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NameFirstName" sheetId="1" r:id="rId4"/>
    <sheet state="visible" name="FirstNameLastName" sheetId="2" r:id="rId5"/>
    <sheet state="visible" name="Yahoo ADP" sheetId="3" r:id="rId6"/>
    <sheet state="hidden" name="Previous Rank" sheetId="4" r:id="rId7"/>
  </sheets>
  <definedNames/>
  <calcPr/>
</workbook>
</file>

<file path=xl/sharedStrings.xml><?xml version="1.0" encoding="utf-8"?>
<sst xmlns="http://schemas.openxmlformats.org/spreadsheetml/2006/main" count="37834" uniqueCount="5609">
  <si>
    <t>Rank</t>
  </si>
  <si>
    <t>Player</t>
  </si>
  <si>
    <t>Position</t>
  </si>
  <si>
    <t>Team</t>
  </si>
  <si>
    <t>ADP</t>
  </si>
  <si>
    <t>Average Cost</t>
  </si>
  <si>
    <t>Change</t>
  </si>
  <si>
    <t>Turner, Trea</t>
  </si>
  <si>
    <t>2B,SS</t>
  </si>
  <si>
    <t>LAD</t>
  </si>
  <si>
    <t>Ramírez, José</t>
  </si>
  <si>
    <t>3B</t>
  </si>
  <si>
    <t>Cle</t>
  </si>
  <si>
    <t>Bichette, Bo</t>
  </si>
  <si>
    <t>SS</t>
  </si>
  <si>
    <t>Tor</t>
  </si>
  <si>
    <t>Soto, Juan</t>
  </si>
  <si>
    <t>RF</t>
  </si>
  <si>
    <t>Was</t>
  </si>
  <si>
    <t>Guerrero Jr., Vladimir</t>
  </si>
  <si>
    <t>1B</t>
  </si>
  <si>
    <t>Cole, Gerrit</t>
  </si>
  <si>
    <t>SP</t>
  </si>
  <si>
    <t>NYY</t>
  </si>
  <si>
    <t>Burnes, Corbin</t>
  </si>
  <si>
    <t>Mil</t>
  </si>
  <si>
    <t>Tucker, Kyle</t>
  </si>
  <si>
    <t>Hou</t>
  </si>
  <si>
    <t>Betts, Mookie</t>
  </si>
  <si>
    <t>2B,CF,RF</t>
  </si>
  <si>
    <t>Harper, Bryce</t>
  </si>
  <si>
    <t>Phi</t>
  </si>
  <si>
    <t>Ohtani (Batter), Shohei</t>
  </si>
  <si>
    <t>Util</t>
  </si>
  <si>
    <t>LAA</t>
  </si>
  <si>
    <t>deGrom, Jacob</t>
  </si>
  <si>
    <t>NYM</t>
  </si>
  <si>
    <t>Freeman, Freddie</t>
  </si>
  <si>
    <t>Trout, Mike</t>
  </si>
  <si>
    <t>CF</t>
  </si>
  <si>
    <t>Buehler, Walker</t>
  </si>
  <si>
    <t>Devers, Rafael</t>
  </si>
  <si>
    <t>Bos</t>
  </si>
  <si>
    <t>Scherzer, Max</t>
  </si>
  <si>
    <t>Woodruff, Brandon</t>
  </si>
  <si>
    <t>Robert, Luis</t>
  </si>
  <si>
    <t>CWS</t>
  </si>
  <si>
    <t>Albies, Ozzie</t>
  </si>
  <si>
    <t>2B</t>
  </si>
  <si>
    <t>Atl</t>
  </si>
  <si>
    <t>Acuña Jr., Ronald</t>
  </si>
  <si>
    <t>Machado, Manny</t>
  </si>
  <si>
    <t>SD</t>
  </si>
  <si>
    <t>Marte, Starling</t>
  </si>
  <si>
    <t>Alvarez, Yordan</t>
  </si>
  <si>
    <t>LF</t>
  </si>
  <si>
    <t>Bieber, Shane</t>
  </si>
  <si>
    <t>Anderson, Tim</t>
  </si>
  <si>
    <t>Bogaerts, Xander</t>
  </si>
  <si>
    <t>Olson, Matt</t>
  </si>
  <si>
    <t>Urías, Julio</t>
  </si>
  <si>
    <t>Giolito, Lucas</t>
  </si>
  <si>
    <t>Judge, Aaron</t>
  </si>
  <si>
    <t>CF,RF</t>
  </si>
  <si>
    <t>Story, Trevor</t>
  </si>
  <si>
    <t>Merrifield, Whit</t>
  </si>
  <si>
    <t>2B,RF</t>
  </si>
  <si>
    <t>KC</t>
  </si>
  <si>
    <t>Hernández, Teoscar</t>
  </si>
  <si>
    <t>LF,RF</t>
  </si>
  <si>
    <t>Semien, Marcus</t>
  </si>
  <si>
    <t>Tex</t>
  </si>
  <si>
    <t>Mullins, Cedric</t>
  </si>
  <si>
    <t>Bal</t>
  </si>
  <si>
    <t>Nola, Aaron</t>
  </si>
  <si>
    <t>Lindor, Francisco</t>
  </si>
  <si>
    <t>Perez, Salvador</t>
  </si>
  <si>
    <t>C</t>
  </si>
  <si>
    <t>Hader, Josh</t>
  </si>
  <si>
    <t>RP</t>
  </si>
  <si>
    <t>Castellanos, Nick</t>
  </si>
  <si>
    <t>Goldschmidt, Paul</t>
  </si>
  <si>
    <t>StL</t>
  </si>
  <si>
    <t>Hendriks, Liam</t>
  </si>
  <si>
    <t>Alcantara, Sandy</t>
  </si>
  <si>
    <t>Mia</t>
  </si>
  <si>
    <t>Riley, Austin</t>
  </si>
  <si>
    <t>1B,3B</t>
  </si>
  <si>
    <t>Franco, Wander</t>
  </si>
  <si>
    <t>3B,SS</t>
  </si>
  <si>
    <t>TB</t>
  </si>
  <si>
    <t>Arozarena, Randy</t>
  </si>
  <si>
    <t>Altuve, Jose</t>
  </si>
  <si>
    <t>Springer, George</t>
  </si>
  <si>
    <t>Ray, Robbie</t>
  </si>
  <si>
    <t>Sea</t>
  </si>
  <si>
    <t>Mondesi, Adalberto</t>
  </si>
  <si>
    <t>Jiménez, Eloy</t>
  </si>
  <si>
    <t>Buxton, Byron</t>
  </si>
  <si>
    <t>Min</t>
  </si>
  <si>
    <t>Peralta, Freddy</t>
  </si>
  <si>
    <t>Wheeler, Zack</t>
  </si>
  <si>
    <t>Alonso, Pete</t>
  </si>
  <si>
    <t>Bryant, Kris</t>
  </si>
  <si>
    <t>1B,3B,LF,CF,RF</t>
  </si>
  <si>
    <t>Col</t>
  </si>
  <si>
    <t>Abreu, José</t>
  </si>
  <si>
    <t>Lynn, Lance</t>
  </si>
  <si>
    <t>Martinez, J.D.</t>
  </si>
  <si>
    <t>O'Neill, Tyler</t>
  </si>
  <si>
    <t>Gausman, Kevin</t>
  </si>
  <si>
    <t>Berríos, José</t>
  </si>
  <si>
    <t>Báez, Javier</t>
  </si>
  <si>
    <t>Det</t>
  </si>
  <si>
    <t>Musgrove, Joe</t>
  </si>
  <si>
    <t>Arenado, Nolan</t>
  </si>
  <si>
    <t>Chisholm Jr., Jazz</t>
  </si>
  <si>
    <t>Seager, Corey</t>
  </si>
  <si>
    <t>Morton, Charlie</t>
  </si>
  <si>
    <t>Montas, Frankie</t>
  </si>
  <si>
    <t>Oak</t>
  </si>
  <si>
    <t>Webb, Logan</t>
  </si>
  <si>
    <t>SF</t>
  </si>
  <si>
    <t>Stanton, Giancarlo</t>
  </si>
  <si>
    <t>Bregman, Alex</t>
  </si>
  <si>
    <t>Lowe, Brandon</t>
  </si>
  <si>
    <t>2B,LF,RF</t>
  </si>
  <si>
    <t>Cease, Dylan</t>
  </si>
  <si>
    <t>India, Jonathan</t>
  </si>
  <si>
    <t>Cin</t>
  </si>
  <si>
    <t>Smith, Will</t>
  </si>
  <si>
    <t>Fried, Max</t>
  </si>
  <si>
    <t>Darvish, Yu</t>
  </si>
  <si>
    <t>Iglesias, Raisel</t>
  </si>
  <si>
    <t>Rodón, Carlos</t>
  </si>
  <si>
    <t>Reynolds, Bryan</t>
  </si>
  <si>
    <t>LF,CF</t>
  </si>
  <si>
    <t>Pit</t>
  </si>
  <si>
    <t>Marte, Ketel</t>
  </si>
  <si>
    <t>2B,CF</t>
  </si>
  <si>
    <t>Ari</t>
  </si>
  <si>
    <t>Polanco, Jorge</t>
  </si>
  <si>
    <t>Yelich, Christian</t>
  </si>
  <si>
    <t>Rogers, Trevor</t>
  </si>
  <si>
    <t>Manoah, Alek</t>
  </si>
  <si>
    <t>Haniger, Mitch</t>
  </si>
  <si>
    <t>Rendon, Anthony</t>
  </si>
  <si>
    <t>Realmuto, J.T.</t>
  </si>
  <si>
    <t>C,1B</t>
  </si>
  <si>
    <t>Schwarber, Kyle</t>
  </si>
  <si>
    <t>1B,LF</t>
  </si>
  <si>
    <t>Bellinger, Cody</t>
  </si>
  <si>
    <t>Clase, Emmanuel</t>
  </si>
  <si>
    <t>Verlander, Justin</t>
  </si>
  <si>
    <t>Winker, Jesse</t>
  </si>
  <si>
    <t>Correa, Carlos</t>
  </si>
  <si>
    <t>Ohtani (Pitcher), Shohei</t>
  </si>
  <si>
    <t>Walsh, Jared</t>
  </si>
  <si>
    <t>1B,RF</t>
  </si>
  <si>
    <t>Reyes, Franmil</t>
  </si>
  <si>
    <t>McClanahan, Shane</t>
  </si>
  <si>
    <t>Pressly, Ryan</t>
  </si>
  <si>
    <t>Tatis Jr., Fernando</t>
  </si>
  <si>
    <t>SS,CF,RF</t>
  </si>
  <si>
    <t>Witt Jr., Bobby</t>
  </si>
  <si>
    <t>Chapman, Aroldis</t>
  </si>
  <si>
    <t>Swanson, Dansby</t>
  </si>
  <si>
    <t>Edman, Tommy</t>
  </si>
  <si>
    <t>Cruz, Nelson</t>
  </si>
  <si>
    <t>Hoskins, Rhys</t>
  </si>
  <si>
    <t>Castillo, Luis</t>
  </si>
  <si>
    <t>Mahle, Tyler</t>
  </si>
  <si>
    <t>Díaz, Edwin</t>
  </si>
  <si>
    <t>Bassitt, Chris</t>
  </si>
  <si>
    <t>Valdez, Framber</t>
  </si>
  <si>
    <t>Muncy, Max</t>
  </si>
  <si>
    <t>1B,2B</t>
  </si>
  <si>
    <t>Cron, C.J.</t>
  </si>
  <si>
    <t>Meadows, Austin</t>
  </si>
  <si>
    <t>Mountcastle, Ryan</t>
  </si>
  <si>
    <t>Grisham, Trent</t>
  </si>
  <si>
    <t>Cronenworth, Jake</t>
  </si>
  <si>
    <t>1B,2B,SS</t>
  </si>
  <si>
    <t>Snell, Blake</t>
  </si>
  <si>
    <t>Eovaldi, Nathan</t>
  </si>
  <si>
    <t>Gallen, Zac</t>
  </si>
  <si>
    <t>Manaea, Sean</t>
  </si>
  <si>
    <t>López, Pablo</t>
  </si>
  <si>
    <t>LeMahieu, DJ</t>
  </si>
  <si>
    <t>1B,2B,3B</t>
  </si>
  <si>
    <t>Gray, Sonny</t>
  </si>
  <si>
    <t>Jansen, Kenley</t>
  </si>
  <si>
    <t>Anderson, Ian</t>
  </si>
  <si>
    <t>Bell, Josh</t>
  </si>
  <si>
    <t>Rodriguez, Eduardo</t>
  </si>
  <si>
    <t>Rizzo, Anthony</t>
  </si>
  <si>
    <t>Gurriel Jr., Lourdes</t>
  </si>
  <si>
    <t>Adames, Willy</t>
  </si>
  <si>
    <t>Taylor, Chris</t>
  </si>
  <si>
    <t>2B,3B,SS,LF,CF,RF</t>
  </si>
  <si>
    <t>Kershaw, Clayton</t>
  </si>
  <si>
    <t>Soler, Jorge</t>
  </si>
  <si>
    <t>Clevinger, Mike</t>
  </si>
  <si>
    <t>Conforto, Michael</t>
  </si>
  <si>
    <t>Moncada, Yoán</t>
  </si>
  <si>
    <t>Contreras, Willson</t>
  </si>
  <si>
    <t>ChC</t>
  </si>
  <si>
    <t>Gallegos, Giovanny</t>
  </si>
  <si>
    <t>García, Avisaíl</t>
  </si>
  <si>
    <t>Chapman, Matt</t>
  </si>
  <si>
    <t>Gilbert, Logan</t>
  </si>
  <si>
    <t>Votto, Joey</t>
  </si>
  <si>
    <t>Kelenic, Jarred</t>
  </si>
  <si>
    <t>Romano, Jordan</t>
  </si>
  <si>
    <t>France, Ty</t>
  </si>
  <si>
    <t>Gallo, Joey</t>
  </si>
  <si>
    <t>Renfroe, Hunter</t>
  </si>
  <si>
    <t>Verdugo, Alex</t>
  </si>
  <si>
    <t>LF,CF,RF</t>
  </si>
  <si>
    <t>Kopech, Michael</t>
  </si>
  <si>
    <t>SP,RP</t>
  </si>
  <si>
    <t>Gurriel, Yuli</t>
  </si>
  <si>
    <t>Mancini, Trey</t>
  </si>
  <si>
    <t>Skubal, Tarik</t>
  </si>
  <si>
    <t>Hayes, Ke'Bryan</t>
  </si>
  <si>
    <t>Donaldson, Josh</t>
  </si>
  <si>
    <t>Suzuki, Seiya</t>
  </si>
  <si>
    <t>Carlson, Dylan</t>
  </si>
  <si>
    <t>Grossman, Robbie</t>
  </si>
  <si>
    <t>Urquidy, José</t>
  </si>
  <si>
    <t>Means, John</t>
  </si>
  <si>
    <t>Happ, Ian</t>
  </si>
  <si>
    <t>Grandal, Yasmani</t>
  </si>
  <si>
    <t>Garcia, Luis</t>
  </si>
  <si>
    <t>Torres, Gleyber</t>
  </si>
  <si>
    <t>Sale, Chris</t>
  </si>
  <si>
    <t>Benintendi, Andrew</t>
  </si>
  <si>
    <t>Segura, Jean</t>
  </si>
  <si>
    <t>Stroman, Marcus</t>
  </si>
  <si>
    <t>McMahon, Ryan</t>
  </si>
  <si>
    <t>2B,3B</t>
  </si>
  <si>
    <t>Varsho, Daulton</t>
  </si>
  <si>
    <t>C,LF,CF,RF</t>
  </si>
  <si>
    <t>Treinen, Blake</t>
  </si>
  <si>
    <t>García, Adolis</t>
  </si>
  <si>
    <t>DeSclafani, Anthony</t>
  </si>
  <si>
    <t>Turner, Justin</t>
  </si>
  <si>
    <t>Hays, Austin</t>
  </si>
  <si>
    <t>Laureano, Ramón</t>
  </si>
  <si>
    <t>Knebel, Corey</t>
  </si>
  <si>
    <t>Brantley, Michael</t>
  </si>
  <si>
    <t>Belt, Brandon</t>
  </si>
  <si>
    <t>Voit, Luke</t>
  </si>
  <si>
    <t>Duvall, Adam</t>
  </si>
  <si>
    <t>Rosario, Eddie</t>
  </si>
  <si>
    <t>Rodgers, Brendan</t>
  </si>
  <si>
    <t>Melancon, Mark</t>
  </si>
  <si>
    <t>Suárez, Eugenio</t>
  </si>
  <si>
    <t>Canha, Mark</t>
  </si>
  <si>
    <t>Sandoval, Patrick</t>
  </si>
  <si>
    <t>Wong, Kolten</t>
  </si>
  <si>
    <t>Kirilloff, Alex</t>
  </si>
  <si>
    <t>1B,LF,RF</t>
  </si>
  <si>
    <t>Schwindel, Frank</t>
  </si>
  <si>
    <t>Crawford, Brandon</t>
  </si>
  <si>
    <t>Hendricks, Kyle</t>
  </si>
  <si>
    <t>Wood, Alex</t>
  </si>
  <si>
    <t>McKenzie, Triston</t>
  </si>
  <si>
    <t>Márquez, Germán</t>
  </si>
  <si>
    <t>Bednar, David</t>
  </si>
  <si>
    <t>Pollock, AJ</t>
  </si>
  <si>
    <t>Doval, Camilo</t>
  </si>
  <si>
    <t>Blackmon, Charlie</t>
  </si>
  <si>
    <t>Civale, Aaron</t>
  </si>
  <si>
    <t>Mize, Casey</t>
  </si>
  <si>
    <t>Aguilar, Jesús</t>
  </si>
  <si>
    <t>Tapia, Raimel</t>
  </si>
  <si>
    <t>Ryu, Hyun Jin</t>
  </si>
  <si>
    <t>Straw, Myles</t>
  </si>
  <si>
    <t>Wainwright, Adam</t>
  </si>
  <si>
    <t>Bader, Harrison</t>
  </si>
  <si>
    <t>Rogers, Taylor</t>
  </si>
  <si>
    <t>Urías, Luis</t>
  </si>
  <si>
    <t>2B,3B,SS</t>
  </si>
  <si>
    <t>Suárez, Ranger</t>
  </si>
  <si>
    <t>Rosario, Amed</t>
  </si>
  <si>
    <t>SS,CF</t>
  </si>
  <si>
    <t>Baz, Shane</t>
  </si>
  <si>
    <t>Plesac, Zach</t>
  </si>
  <si>
    <t>Barlow, Scott</t>
  </si>
  <si>
    <t>Vaughn, Andrew</t>
  </si>
  <si>
    <t>McCullers Jr., Lance</t>
  </si>
  <si>
    <t>Adell, Jo</t>
  </si>
  <si>
    <t>Ruiz, Keibert</t>
  </si>
  <si>
    <t>Santander, Anthony</t>
  </si>
  <si>
    <t>Houck, Tanner</t>
  </si>
  <si>
    <t>Flaherty, Jack</t>
  </si>
  <si>
    <t>Montgomery, Jordan</t>
  </si>
  <si>
    <t>Ryan, Joe</t>
  </si>
  <si>
    <t>Yastrzemski, Mike</t>
  </si>
  <si>
    <t>Lowe, Nathaniel</t>
  </si>
  <si>
    <t>Syndergaard, Noah</t>
  </si>
  <si>
    <t>Baddoo, Akil</t>
  </si>
  <si>
    <t>Schoop, Jonathan</t>
  </si>
  <si>
    <t>Greinke, Zack</t>
  </si>
  <si>
    <t>Garver, Mitch</t>
  </si>
  <si>
    <t>Ynoa, Huascar</t>
  </si>
  <si>
    <t>Cobb, Alex</t>
  </si>
  <si>
    <t>Pham, Tommy</t>
  </si>
  <si>
    <t>Myers, Wil</t>
  </si>
  <si>
    <t>Kikuchi, Yusei</t>
  </si>
  <si>
    <t>Ozuna, Marcell</t>
  </si>
  <si>
    <t>Vázquez, Christian</t>
  </si>
  <si>
    <t>Stephenson, Tyler</t>
  </si>
  <si>
    <t>Matz, Steven</t>
  </si>
  <si>
    <t>Kimbrel, Craig</t>
  </si>
  <si>
    <t>Sanó, Miguel</t>
  </si>
  <si>
    <t>Paddack, Chris</t>
  </si>
  <si>
    <t>Escobar, Eduardo</t>
  </si>
  <si>
    <t>Severino, Luis</t>
  </si>
  <si>
    <t>Bohm, Alec</t>
  </si>
  <si>
    <t>Williams, Devin</t>
  </si>
  <si>
    <t>Taillon, Jameson</t>
  </si>
  <si>
    <t>Lewis, Kyle</t>
  </si>
  <si>
    <t>Dalbec, Bobby</t>
  </si>
  <si>
    <t>d'Arnaud, Travis</t>
  </si>
  <si>
    <t>Lux, Gavin</t>
  </si>
  <si>
    <t>2B,SS,LF,CF</t>
  </si>
  <si>
    <t>Rojas, Josh</t>
  </si>
  <si>
    <t>2B,3B,SS,LF,RF</t>
  </si>
  <si>
    <t>Walker, Taijuan</t>
  </si>
  <si>
    <t>Hernández, Kiké</t>
  </si>
  <si>
    <t>Carrasco, Carlos</t>
  </si>
  <si>
    <t>Whitlock, Garrett</t>
  </si>
  <si>
    <t>Hosmer, Eric</t>
  </si>
  <si>
    <t>Candelario, Jeimer</t>
  </si>
  <si>
    <t>Urshela, Gio</t>
  </si>
  <si>
    <t>Strasburg, Stephen</t>
  </si>
  <si>
    <t>Gonsolin, Tony</t>
  </si>
  <si>
    <t>Singer, Brady</t>
  </si>
  <si>
    <t>Soto, Gregory</t>
  </si>
  <si>
    <t>Kepler, Max</t>
  </si>
  <si>
    <t>Quantrill, Cal</t>
  </si>
  <si>
    <t>Barnes, Matt</t>
  </si>
  <si>
    <t>Gray, Jon</t>
  </si>
  <si>
    <t>McNeil, Jeff</t>
  </si>
  <si>
    <t>2B,LF</t>
  </si>
  <si>
    <t>Ober, Bailey</t>
  </si>
  <si>
    <t>Kelly, Carson</t>
  </si>
  <si>
    <t>Gonzales, Marco</t>
  </si>
  <si>
    <t>Eflin, Zach</t>
  </si>
  <si>
    <t>Nimmo, Brandon</t>
  </si>
  <si>
    <t>Javier, Cristian</t>
  </si>
  <si>
    <t>Sánchez, Jesús</t>
  </si>
  <si>
    <t>Biggio, Cavan</t>
  </si>
  <si>
    <t>3B,RF</t>
  </si>
  <si>
    <t>Sewald, Paul</t>
  </si>
  <si>
    <t>McCutchen, Andrew</t>
  </si>
  <si>
    <t>Villar, Jonathan</t>
  </si>
  <si>
    <t>Cortes, Nestor</t>
  </si>
  <si>
    <t>Díaz, Elias</t>
  </si>
  <si>
    <t>Sánchez, Gary</t>
  </si>
  <si>
    <t>Cruz, Oneil</t>
  </si>
  <si>
    <t>Lopez, Nicky</t>
  </si>
  <si>
    <t>Dunning, Dane</t>
  </si>
  <si>
    <t>Heaney, Andrew</t>
  </si>
  <si>
    <t>Gray, Josiah</t>
  </si>
  <si>
    <t>Frazier, Adam</t>
  </si>
  <si>
    <t>Ashby, Aaron</t>
  </si>
  <si>
    <t>Kittredge, Andrew</t>
  </si>
  <si>
    <t>Bauer, Trevor</t>
  </si>
  <si>
    <t>Murphy, Sean</t>
  </si>
  <si>
    <t>Rodríguez, Julio</t>
  </si>
  <si>
    <t>Hampson, Garrett</t>
  </si>
  <si>
    <t>Harrison, Josh</t>
  </si>
  <si>
    <t>2B,3B,SS,LF</t>
  </si>
  <si>
    <t>Gibson, Kyle</t>
  </si>
  <si>
    <t>Pederson, Joc</t>
  </si>
  <si>
    <t>Torkelson, Spencer</t>
  </si>
  <si>
    <t>Hernandez, Cesar</t>
  </si>
  <si>
    <t>Zunino, Mike</t>
  </si>
  <si>
    <t>Hernandez, Elieser</t>
  </si>
  <si>
    <t>-</t>
  </si>
  <si>
    <t>Kluber, Corey</t>
  </si>
  <si>
    <t>Wade Jr., LaMonte</t>
  </si>
  <si>
    <t>Solak, Nick</t>
  </si>
  <si>
    <t>Kirk, Alejandro</t>
  </si>
  <si>
    <t>McGee, Jake</t>
  </si>
  <si>
    <t>Tellez, Rowdy</t>
  </si>
  <si>
    <t>Floro, Dylan</t>
  </si>
  <si>
    <t>Longoria, Evan</t>
  </si>
  <si>
    <t>Walker, Christian</t>
  </si>
  <si>
    <t>Green, Chad</t>
  </si>
  <si>
    <t>Cain, Lorenzo</t>
  </si>
  <si>
    <t>Narváez, Omar</t>
  </si>
  <si>
    <t>Bradley, Bobby</t>
  </si>
  <si>
    <t>Trivino, Lou</t>
  </si>
  <si>
    <t>Kiner-Falefa, Isiah</t>
  </si>
  <si>
    <t>Wendle, Joey</t>
  </si>
  <si>
    <t>Lauer, Eric</t>
  </si>
  <si>
    <t>Hand, Brad</t>
  </si>
  <si>
    <t>Tsutsugo, Yoshi</t>
  </si>
  <si>
    <t>Pivetta, Nick</t>
  </si>
  <si>
    <t>Smith, Dominic</t>
  </si>
  <si>
    <t>Fletcher, David</t>
  </si>
  <si>
    <t>Grichuk, Randal</t>
  </si>
  <si>
    <t>Giménez, Andrés</t>
  </si>
  <si>
    <t>Toro, Abraham</t>
  </si>
  <si>
    <t>Madrigal, Nick</t>
  </si>
  <si>
    <t>Castillo, Diego</t>
  </si>
  <si>
    <t>Peralta, David</t>
  </si>
  <si>
    <t>Joe, Connor</t>
  </si>
  <si>
    <t>Contreras, Roansy</t>
  </si>
  <si>
    <t>Kaprielian, James</t>
  </si>
  <si>
    <t>Calhoun, Willie</t>
  </si>
  <si>
    <t>Thomas, Lane</t>
  </si>
  <si>
    <t>Gore, MacKenzie</t>
  </si>
  <si>
    <t>Fairbanks, Pete</t>
  </si>
  <si>
    <t>Wisdom, Patrick</t>
  </si>
  <si>
    <t>1B,3B,LF</t>
  </si>
  <si>
    <t>Gregorius, Didi</t>
  </si>
  <si>
    <t>Cabrera, Edward</t>
  </si>
  <si>
    <t>Senzel, Nick</t>
  </si>
  <si>
    <t>Rasmussen, Drew</t>
  </si>
  <si>
    <t>Fulmer, Michael</t>
  </si>
  <si>
    <t>Rojas, Miguel</t>
  </si>
  <si>
    <t>DeJong, Paul</t>
  </si>
  <si>
    <t>Rutschman, Adley</t>
  </si>
  <si>
    <t>Crawford, J.P.</t>
  </si>
  <si>
    <t>Sims, Lucas</t>
  </si>
  <si>
    <t>McHugh, Collin</t>
  </si>
  <si>
    <t>Karinchak, James</t>
  </si>
  <si>
    <t>Luzardo, Jesús</t>
  </si>
  <si>
    <t>Arraez, Luis</t>
  </si>
  <si>
    <t>2B,3B,LF</t>
  </si>
  <si>
    <t>Neris, Héctor</t>
  </si>
  <si>
    <t>Santana, Carlos</t>
  </si>
  <si>
    <t>Patiño, Luis</t>
  </si>
  <si>
    <t>Smith, Pavin</t>
  </si>
  <si>
    <t>1B,LF,CF,RF</t>
  </si>
  <si>
    <t>Flores, Wilmer</t>
  </si>
  <si>
    <t>Robles, Victor</t>
  </si>
  <si>
    <t>Margot, Manuel</t>
  </si>
  <si>
    <t>Lowe, Josh</t>
  </si>
  <si>
    <t>Bruján, Vidal</t>
  </si>
  <si>
    <t>Reyes, Alex</t>
  </si>
  <si>
    <t>Jung, Josh</t>
  </si>
  <si>
    <t>Barlow, Joe</t>
  </si>
  <si>
    <t>Megill, Tylor</t>
  </si>
  <si>
    <t>Wick, Rowan</t>
  </si>
  <si>
    <t>Molina, Yadier</t>
  </si>
  <si>
    <t>Hoerner, Nico</t>
  </si>
  <si>
    <t>Colomé, Alex</t>
  </si>
  <si>
    <t>Sulser, Cole</t>
  </si>
  <si>
    <t>Duran, Jarren</t>
  </si>
  <si>
    <t>Beer, Seth</t>
  </si>
  <si>
    <t>Flexen, Chris</t>
  </si>
  <si>
    <t>Moustakas, Mike</t>
  </si>
  <si>
    <t>Nola, Austin</t>
  </si>
  <si>
    <t>Barnhart, Tucker</t>
  </si>
  <si>
    <t>Bender, Anthony</t>
  </si>
  <si>
    <t>Ortega, Rafael</t>
  </si>
  <si>
    <t>Ramirez, Harold</t>
  </si>
  <si>
    <t>McCann, James</t>
  </si>
  <si>
    <t>Germán, Domingo</t>
  </si>
  <si>
    <t>Loáisiga, Jonathan</t>
  </si>
  <si>
    <t>Lodolo, Nick</t>
  </si>
  <si>
    <t>Brubaker, JT</t>
  </si>
  <si>
    <t>Pearson, Nate</t>
  </si>
  <si>
    <t>Haase, Eric</t>
  </si>
  <si>
    <t>C,LF</t>
  </si>
  <si>
    <t>Sánchez, Sixto</t>
  </si>
  <si>
    <t>Pineda, Michael</t>
  </si>
  <si>
    <t>Gomes, Yan</t>
  </si>
  <si>
    <t>Bumgarner, Madison</t>
  </si>
  <si>
    <t>Naquin, Tyler</t>
  </si>
  <si>
    <t>Díaz, Yandy</t>
  </si>
  <si>
    <t>Profar, Jurickson</t>
  </si>
  <si>
    <t>1B,2B,LF,CF,RF</t>
  </si>
  <si>
    <t>Rainey, Tanner</t>
  </si>
  <si>
    <t>Odorizzi, Jake</t>
  </si>
  <si>
    <t>Kelly, Merrill</t>
  </si>
  <si>
    <t>Gil, Luis</t>
  </si>
  <si>
    <t>Hilliard, Sam</t>
  </si>
  <si>
    <t>Glasnow, Tyler</t>
  </si>
  <si>
    <t>Loup, Aaron</t>
  </si>
  <si>
    <t>Rodríguez, Richard</t>
  </si>
  <si>
    <t>Rogers, Tyler</t>
  </si>
  <si>
    <t>Steckenrider, Drew</t>
  </si>
  <si>
    <t>García, Jarlín</t>
  </si>
  <si>
    <t>Graveman, Kendall</t>
  </si>
  <si>
    <t>Suter, Brent</t>
  </si>
  <si>
    <t>Chafin, Andrew</t>
  </si>
  <si>
    <t>Stammen, Craig</t>
  </si>
  <si>
    <t>Staumont, Josh</t>
  </si>
  <si>
    <t>García, Yimi</t>
  </si>
  <si>
    <t>Kennedy, Ian</t>
  </si>
  <si>
    <t>Hudson, Daniel</t>
  </si>
  <si>
    <t>Thielbar, Caleb</t>
  </si>
  <si>
    <t>Boxberger, Brad</t>
  </si>
  <si>
    <t>Petit, Yusmeiro</t>
  </si>
  <si>
    <t>May, Trevor</t>
  </si>
  <si>
    <t>Watson, Tony</t>
  </si>
  <si>
    <t>Chargois, JT</t>
  </si>
  <si>
    <t>Antone, Tejay</t>
  </si>
  <si>
    <t>Stratton, Chris</t>
  </si>
  <si>
    <t>Kim, Kwang Hyun</t>
  </si>
  <si>
    <t>Holmes, Clay</t>
  </si>
  <si>
    <t>Maeda, Kenta</t>
  </si>
  <si>
    <t>Sadler, Casey</t>
  </si>
  <si>
    <t>Luetge, Lucas</t>
  </si>
  <si>
    <t>Mayers, Mike</t>
  </si>
  <si>
    <t>Leone, Dominic</t>
  </si>
  <si>
    <t>Mayza, Tim</t>
  </si>
  <si>
    <t>Cessa, Luis</t>
  </si>
  <si>
    <t>Tepera, Ryan</t>
  </si>
  <si>
    <t>Álvarez, José</t>
  </si>
  <si>
    <t>Cimber, Adam</t>
  </si>
  <si>
    <t>Richards, Trevor</t>
  </si>
  <si>
    <t>Turnbull, Spencer</t>
  </si>
  <si>
    <t>Iglesias, José</t>
  </si>
  <si>
    <t>Bleier, Richard</t>
  </si>
  <si>
    <t>Hill, Rich</t>
  </si>
  <si>
    <t>Duffey, Tyler</t>
  </si>
  <si>
    <t>Diekman, Jake</t>
  </si>
  <si>
    <t>Cabrera, Miguel</t>
  </si>
  <si>
    <t>Alcala, Jorge</t>
  </si>
  <si>
    <t>Wisler, Matt</t>
  </si>
  <si>
    <t>Bummer, Aaron</t>
  </si>
  <si>
    <t>Brogdon, Connor</t>
  </si>
  <si>
    <t>Matzek, Tyler</t>
  </si>
  <si>
    <t>Heuer, Codi</t>
  </si>
  <si>
    <t>Bickford, Phil</t>
  </si>
  <si>
    <t>Bard, Daniel</t>
  </si>
  <si>
    <t>May, Dustin</t>
  </si>
  <si>
    <t>Wells, Tyler</t>
  </si>
  <si>
    <t>Cabrera, Génesis</t>
  </si>
  <si>
    <t>Curtiss, John</t>
  </si>
  <si>
    <t>Warren, Art</t>
  </si>
  <si>
    <t>Kelly, Joe</t>
  </si>
  <si>
    <t>Duffy, Danny</t>
  </si>
  <si>
    <t>Johnson, Pierce</t>
  </si>
  <si>
    <t>Bradley, Archie</t>
  </si>
  <si>
    <t>Hill, Tim</t>
  </si>
  <si>
    <t>Pomeranz, Drew</t>
  </si>
  <si>
    <t>Miley, Wade</t>
  </si>
  <si>
    <t>Head, Louis</t>
  </si>
  <si>
    <t>Feyereisen, J.P.</t>
  </si>
  <si>
    <t>King, John</t>
  </si>
  <si>
    <t>Givens, Mychal</t>
  </si>
  <si>
    <t>Gomber, Austin</t>
  </si>
  <si>
    <t>Cisnero, José</t>
  </si>
  <si>
    <t>Smith, Drew</t>
  </si>
  <si>
    <t>Familia, Jeurys</t>
  </si>
  <si>
    <t>Vesia, Alex</t>
  </si>
  <si>
    <t>Crochet, Garrett</t>
  </si>
  <si>
    <t>Lamet, Dinelson</t>
  </si>
  <si>
    <t>Holland, Greg</t>
  </si>
  <si>
    <t>Baragar, Caleb</t>
  </si>
  <si>
    <t>Okert, Steven</t>
  </si>
  <si>
    <t>Nelson, Jimmy</t>
  </si>
  <si>
    <t>Littell, Zack</t>
  </si>
  <si>
    <t>Strickland, Hunter</t>
  </si>
  <si>
    <t>Thompson, Ryan</t>
  </si>
  <si>
    <t>Ottavino, Adam</t>
  </si>
  <si>
    <t>López, Reynaldo</t>
  </si>
  <si>
    <t>Brentz, Jake</t>
  </si>
  <si>
    <t>Peralta, Wandy</t>
  </si>
  <si>
    <t>McFarland, T.J.</t>
  </si>
  <si>
    <t>Finnegan, Kyle</t>
  </si>
  <si>
    <t>Springs, Jeffrey</t>
  </si>
  <si>
    <t>Warren, Austin</t>
  </si>
  <si>
    <t>Minter, A.J.</t>
  </si>
  <si>
    <t>Clippard, Tyler</t>
  </si>
  <si>
    <t>González, Victor</t>
  </si>
  <si>
    <t>Rosenthal, Trevor</t>
  </si>
  <si>
    <t>Anderson, Nick</t>
  </si>
  <si>
    <t>Houser, Adrian</t>
  </si>
  <si>
    <t>Jeffress, Jeremy</t>
  </si>
  <si>
    <t>Lugo, Seth</t>
  </si>
  <si>
    <t>Tapia, Domingo</t>
  </si>
  <si>
    <t>Chávez, Jesse</t>
  </si>
  <si>
    <t>Taylor, Michael A.</t>
  </si>
  <si>
    <t>Bass, Anthony</t>
  </si>
  <si>
    <t>Hudson, Dakota</t>
  </si>
  <si>
    <t>P</t>
  </si>
  <si>
    <t>Alzolay, Adbert</t>
  </si>
  <si>
    <t>Jackson, Luke</t>
  </si>
  <si>
    <t>Minaya, Juan</t>
  </si>
  <si>
    <t>Taylor, Blake</t>
  </si>
  <si>
    <t>Farmer, Kyle</t>
  </si>
  <si>
    <t>Thompson, Zach</t>
  </si>
  <si>
    <t>Enns, Dietrich</t>
  </si>
  <si>
    <t>Ruiz, José</t>
  </si>
  <si>
    <t>Stanek, Ryne</t>
  </si>
  <si>
    <t>Ramírez, Noé</t>
  </si>
  <si>
    <t>Martin, Chris</t>
  </si>
  <si>
    <t>Martin, Brett</t>
  </si>
  <si>
    <t>O'Day, Darren</t>
  </si>
  <si>
    <t>Diaz, Miguel</t>
  </si>
  <si>
    <t>Shreve, Chasen</t>
  </si>
  <si>
    <t>Adams, Austin</t>
  </si>
  <si>
    <t>Sawamura, Hirokazu</t>
  </si>
  <si>
    <t>Guerra, Deolis</t>
  </si>
  <si>
    <t>Gilbert, Tyler</t>
  </si>
  <si>
    <t>Parker, Blake</t>
  </si>
  <si>
    <t>Sandlin, Nick</t>
  </si>
  <si>
    <t>Ramirez, Yohan</t>
  </si>
  <si>
    <t>Suarez, José</t>
  </si>
  <si>
    <t>Ross, Joe</t>
  </si>
  <si>
    <t>Vincent, Nick</t>
  </si>
  <si>
    <t>Cousins, Jake</t>
  </si>
  <si>
    <t>Castro, Miguel</t>
  </si>
  <si>
    <t>Hernández, Jonathan</t>
  </si>
  <si>
    <t>Miller, Brad</t>
  </si>
  <si>
    <t>1B,2B,LF,RF</t>
  </si>
  <si>
    <t>Pillar, Kevin</t>
  </si>
  <si>
    <t>Santana, Edgar</t>
  </si>
  <si>
    <t>Moore, Dylan</t>
  </si>
  <si>
    <t>2B,3B,LF,RF</t>
  </si>
  <si>
    <t>Smyly, Drew</t>
  </si>
  <si>
    <t>Sampson, Adrian</t>
  </si>
  <si>
    <t>Hernández, Carlos</t>
  </si>
  <si>
    <t>Gilbreath, Lucas</t>
  </si>
  <si>
    <t>Patton, Spencer</t>
  </si>
  <si>
    <t>Wieck, Brad</t>
  </si>
  <si>
    <t>Lovelady, Richard</t>
  </si>
  <si>
    <t>Santillan, Tony</t>
  </si>
  <si>
    <t>Effross, Scott</t>
  </si>
  <si>
    <t>Slater, Austin</t>
  </si>
  <si>
    <t>Whitley, Kodi</t>
  </si>
  <si>
    <t>Coulombe, Danny</t>
  </si>
  <si>
    <t>Pagán, Emilio</t>
  </si>
  <si>
    <t>García, Leury</t>
  </si>
  <si>
    <t>White, Mitch</t>
  </si>
  <si>
    <t>Sanmartin, Reiver</t>
  </si>
  <si>
    <t>Ellis, Chris</t>
  </si>
  <si>
    <t>Emanuel, Kent</t>
  </si>
  <si>
    <t>Webb, Jacob</t>
  </si>
  <si>
    <t>Bergen, Travis</t>
  </si>
  <si>
    <t>Burr, Ryan</t>
  </si>
  <si>
    <t>Castro, Kervin</t>
  </si>
  <si>
    <t>Kemp, Tony</t>
  </si>
  <si>
    <t>García, Luís</t>
  </si>
  <si>
    <t>Raley, Brooks</t>
  </si>
  <si>
    <t>Peralta, Wily</t>
  </si>
  <si>
    <t>Funkhouser, Kyle</t>
  </si>
  <si>
    <t>Hutchison, Drew</t>
  </si>
  <si>
    <t>Detwiler, Ross</t>
  </si>
  <si>
    <t>Fleming, Josh</t>
  </si>
  <si>
    <t>Helsley, Ryan</t>
  </si>
  <si>
    <t>Ruf, Darin</t>
  </si>
  <si>
    <t>Wendelken, J.B.</t>
  </si>
  <si>
    <t>Tropeano, Nick</t>
  </si>
  <si>
    <t>Espino, Paolo</t>
  </si>
  <si>
    <t>Alvarado, José</t>
  </si>
  <si>
    <t>Jackson, Jay</t>
  </si>
  <si>
    <t>Kiermaier, Kevin</t>
  </si>
  <si>
    <t>Herrera, Odúbel</t>
  </si>
  <si>
    <t>Sborz, Josh</t>
  </si>
  <si>
    <t>Foster, Matt</t>
  </si>
  <si>
    <t>Hunter, Tommy</t>
  </si>
  <si>
    <t>Maton, Phil</t>
  </si>
  <si>
    <t>Borucki, Ryan</t>
  </si>
  <si>
    <t>Conley, Adam</t>
  </si>
  <si>
    <t>Payamps, Joel</t>
  </si>
  <si>
    <t>Ferguson, Caleb</t>
  </si>
  <si>
    <t>Maples, Dillon</t>
  </si>
  <si>
    <t>Sherfy, Jimmie</t>
  </si>
  <si>
    <t>Solomon, Peter</t>
  </si>
  <si>
    <t>Phelps, David</t>
  </si>
  <si>
    <t>Báez, Pedro</t>
  </si>
  <si>
    <t>Gose, Anthony</t>
  </si>
  <si>
    <t>Stephenson, Robert</t>
  </si>
  <si>
    <t>Menez, Conner</t>
  </si>
  <si>
    <t>Hernandez, Darwinzon</t>
  </si>
  <si>
    <t>Brasier, Ryan</t>
  </si>
  <si>
    <t>Gustave, Jandel</t>
  </si>
  <si>
    <t>Garza Jr., Ralph</t>
  </si>
  <si>
    <t>Rios, Yacksel</t>
  </si>
  <si>
    <t>Shaw, Bryan</t>
  </si>
  <si>
    <t>Rogers, Josh</t>
  </si>
  <si>
    <t>Hill, Cam</t>
  </si>
  <si>
    <t>Hahn, Jesse</t>
  </si>
  <si>
    <t>Romo, Sergio</t>
  </si>
  <si>
    <t>Steele, Justin</t>
  </si>
  <si>
    <t>Graterol, Brusdar</t>
  </si>
  <si>
    <t>Muller, Kyle</t>
  </si>
  <si>
    <t>Zimmer, Kyle</t>
  </si>
  <si>
    <t>Zerpa, Angel</t>
  </si>
  <si>
    <t>Phillips, Brett</t>
  </si>
  <si>
    <t>Thompson, Keegan</t>
  </si>
  <si>
    <t>Alexy, A.J.</t>
  </si>
  <si>
    <t>Adam, Jason</t>
  </si>
  <si>
    <t>Johnson, DJ</t>
  </si>
  <si>
    <t>Zamora, Daniel</t>
  </si>
  <si>
    <t>Coleman, Dylan</t>
  </si>
  <si>
    <t>Morin, Mike</t>
  </si>
  <si>
    <t>Sheffield, Jordan</t>
  </si>
  <si>
    <t>Castro, Willi</t>
  </si>
  <si>
    <t>2B,SS,LF</t>
  </si>
  <si>
    <t>Moronta, Reyes</t>
  </si>
  <si>
    <t>Ramírez, Erasmo</t>
  </si>
  <si>
    <t>Cotton, Jharel</t>
  </si>
  <si>
    <t>Bruihl, Justin</t>
  </si>
  <si>
    <t>Kela, Keone</t>
  </si>
  <si>
    <t>Ramos, AJ</t>
  </si>
  <si>
    <t>Beeks, Jalen</t>
  </si>
  <si>
    <t>McGowin, Kyle</t>
  </si>
  <si>
    <t>Phillips, Evan</t>
  </si>
  <si>
    <t>Machado, Andres</t>
  </si>
  <si>
    <t>Alexander, Scott</t>
  </si>
  <si>
    <t>Griffin, Foster</t>
  </si>
  <si>
    <t>Smeltzer, Devin</t>
  </si>
  <si>
    <t>Herget, Jimmy</t>
  </si>
  <si>
    <t>Wittgren, Nick</t>
  </si>
  <si>
    <t>Sanchez, Aaron</t>
  </si>
  <si>
    <t>Hembree, Heath</t>
  </si>
  <si>
    <t>Diplán, Marcos</t>
  </si>
  <si>
    <t>Alexander, Tyler</t>
  </si>
  <si>
    <t>Strider, Spencer</t>
  </si>
  <si>
    <t>Crismatt, Nabil</t>
  </si>
  <si>
    <t>Morgan, Adam</t>
  </si>
  <si>
    <t>Robles, Hansel</t>
  </si>
  <si>
    <t>Ramirez, Yefry</t>
  </si>
  <si>
    <t>Mikolas, Miles</t>
  </si>
  <si>
    <t>Bazardo, Eduard</t>
  </si>
  <si>
    <t>Misiewicz, Anthony</t>
  </si>
  <si>
    <t>Jackson, Andre</t>
  </si>
  <si>
    <t>Moreta, Dauri</t>
  </si>
  <si>
    <t>Ridings, Stephen</t>
  </si>
  <si>
    <t>Vasquez, Andrew</t>
  </si>
  <si>
    <t>Rodriguez, Chris</t>
  </si>
  <si>
    <t>Bailey, Homer</t>
  </si>
  <si>
    <t>Wood, Hunter</t>
  </si>
  <si>
    <t>Snead, Kirby</t>
  </si>
  <si>
    <t>Dunn, Justin</t>
  </si>
  <si>
    <t>Swanson, Erik</t>
  </si>
  <si>
    <t>Braymer, Ben</t>
  </si>
  <si>
    <t>Northcraft, Aaron</t>
  </si>
  <si>
    <t>Dolis, Rafael</t>
  </si>
  <si>
    <t>Domínguez, Seranthony</t>
  </si>
  <si>
    <t>Pruitt, Austin</t>
  </si>
  <si>
    <t>Vólquez, Edinson</t>
  </si>
  <si>
    <t>Reid-Foley, Sean</t>
  </si>
  <si>
    <t>Tyler, Kyle</t>
  </si>
  <si>
    <t>Santiago, Héctor</t>
  </si>
  <si>
    <t>Allgeyer, Nick</t>
  </si>
  <si>
    <t>Rondón, Angel</t>
  </si>
  <si>
    <t>Wantz, Andrew</t>
  </si>
  <si>
    <t>Oswalt, Corey</t>
  </si>
  <si>
    <t>Harvey, Joe</t>
  </si>
  <si>
    <t>Dozier, Hunter</t>
  </si>
  <si>
    <t>1B,3B,LF,RF</t>
  </si>
  <si>
    <t>Morejon, Adrian</t>
  </si>
  <si>
    <t>Roe, Chaz</t>
  </si>
  <si>
    <t>Kinley, Tyler</t>
  </si>
  <si>
    <t>Acevedo, Domingo</t>
  </si>
  <si>
    <t>Holloway, Jordan</t>
  </si>
  <si>
    <t>Kuhnel, Joel</t>
  </si>
  <si>
    <t>Barraclough, Kyle</t>
  </si>
  <si>
    <t>Solano, Donovan</t>
  </si>
  <si>
    <t>Castro, Anthony</t>
  </si>
  <si>
    <t>Gonsalves, Stephen</t>
  </si>
  <si>
    <t>Leibrandt, Brandon</t>
  </si>
  <si>
    <t>Foley, Jason</t>
  </si>
  <si>
    <t>Reed, Jake</t>
  </si>
  <si>
    <t>Baker, Bryan</t>
  </si>
  <si>
    <t>Scott, Tanner</t>
  </si>
  <si>
    <t>Kaminsky, Rob</t>
  </si>
  <si>
    <t>Dickerson, Corey</t>
  </si>
  <si>
    <t>Britton, Zack</t>
  </si>
  <si>
    <t>Gerber, Joey</t>
  </si>
  <si>
    <t>Bostick, Akeem</t>
  </si>
  <si>
    <t>Price, David</t>
  </si>
  <si>
    <t>Burdi, Nick</t>
  </si>
  <si>
    <t>Heller, Ben</t>
  </si>
  <si>
    <t>Rosscup, Zac</t>
  </si>
  <si>
    <t>Anderson, Tanner</t>
  </si>
  <si>
    <t>Diaz, Jhonathan</t>
  </si>
  <si>
    <t>Jefferies, Daulton</t>
  </si>
  <si>
    <t>Bailey, Brandon</t>
  </si>
  <si>
    <t>Cleavinger, Garrett</t>
  </si>
  <si>
    <t>McRae, Alex</t>
  </si>
  <si>
    <t>Kahnle, Tommy</t>
  </si>
  <si>
    <t>Smith, Joe</t>
  </si>
  <si>
    <t>Cederlind, Blake</t>
  </si>
  <si>
    <t>Leclerc, José</t>
  </si>
  <si>
    <t>Nogosek, Stephen</t>
  </si>
  <si>
    <t>Guilmet, Preston</t>
  </si>
  <si>
    <t>Anderson, Justin</t>
  </si>
  <si>
    <t>Cate, Tim</t>
  </si>
  <si>
    <t>Knight, Blaine</t>
  </si>
  <si>
    <t>Jimenez, Eduardo</t>
  </si>
  <si>
    <t>Vasto, Jerry</t>
  </si>
  <si>
    <t>Morris, Akeel</t>
  </si>
  <si>
    <t>De La Cruz, Oscar</t>
  </si>
  <si>
    <t>Vargas, Carlos</t>
  </si>
  <si>
    <t>Baker, Dylan</t>
  </si>
  <si>
    <t>Cavalli, Cade</t>
  </si>
  <si>
    <t>Rodriguez, Yerry</t>
  </si>
  <si>
    <t>Hanifee, Brenan</t>
  </si>
  <si>
    <t>Priester, Quinn</t>
  </si>
  <si>
    <t>Gilliam, Ryley</t>
  </si>
  <si>
    <t>Seijas, Alvaro</t>
  </si>
  <si>
    <t>Supak, Trey</t>
  </si>
  <si>
    <t>Eder, Jake</t>
  </si>
  <si>
    <t>Russ, Addison</t>
  </si>
  <si>
    <t>Ferrell, Riley</t>
  </si>
  <si>
    <t>De Horta, Adrian</t>
  </si>
  <si>
    <t>McGrath, Kyle</t>
  </si>
  <si>
    <t>Franklin, Kohl</t>
  </si>
  <si>
    <t>Walsh, Jake</t>
  </si>
  <si>
    <t>Faucher, Calvin</t>
  </si>
  <si>
    <t>Jameson, Drey</t>
  </si>
  <si>
    <t>Hidalgo, Alejandro</t>
  </si>
  <si>
    <t>Gillaspie, Logan</t>
  </si>
  <si>
    <t>Pelham, CD</t>
  </si>
  <si>
    <t>Winn, Cole</t>
  </si>
  <si>
    <t>Moss, Scott</t>
  </si>
  <si>
    <t>Hjelle, Sean</t>
  </si>
  <si>
    <t>Marinan, James</t>
  </si>
  <si>
    <t>Battenfield, Peyton</t>
  </si>
  <si>
    <t>Grove, Michael</t>
  </si>
  <si>
    <t>Bowman, Matt</t>
  </si>
  <si>
    <t>Greene, Hunter</t>
  </si>
  <si>
    <t>Gómez, Yoendrys</t>
  </si>
  <si>
    <t>Wesneski, Hayden</t>
  </si>
  <si>
    <t>McCambley, Zach</t>
  </si>
  <si>
    <t>Liberatore, Matthew</t>
  </si>
  <si>
    <t>Pilkington, Konnor</t>
  </si>
  <si>
    <t>Carraway, Burl</t>
  </si>
  <si>
    <t>Abbott, Andrew</t>
  </si>
  <si>
    <t>Álvarez, Daniel</t>
  </si>
  <si>
    <t>Roberts, Ethan</t>
  </si>
  <si>
    <t>Then, Juan</t>
  </si>
  <si>
    <t>Parker, Mitchell</t>
  </si>
  <si>
    <t>Hansen, Austin</t>
  </si>
  <si>
    <t>Arano, Víctor</t>
  </si>
  <si>
    <t>Humphreys, Jordan</t>
  </si>
  <si>
    <t>Pannone, Thomas</t>
  </si>
  <si>
    <t>Zastryzny, Rob</t>
  </si>
  <si>
    <t>Snider, Collin</t>
  </si>
  <si>
    <t>Vodnik, Victor</t>
  </si>
  <si>
    <t>Ginn, J.T.</t>
  </si>
  <si>
    <t>Hernandez, Ben</t>
  </si>
  <si>
    <t>Shortridge, Aaron</t>
  </si>
  <si>
    <t>Medina, Brayan</t>
  </si>
  <si>
    <t>Vera, Norge</t>
  </si>
  <si>
    <t>Cyr, Tyler</t>
  </si>
  <si>
    <t>Rodgers, Brady</t>
  </si>
  <si>
    <t>Kelley, Jared</t>
  </si>
  <si>
    <t>Nunez, Edwin</t>
  </si>
  <si>
    <t>McCreery, Adam</t>
  </si>
  <si>
    <t>Miller, Mason</t>
  </si>
  <si>
    <t>Marte, Yunior</t>
  </si>
  <si>
    <t>Andrews, Clayton</t>
  </si>
  <si>
    <t>Rivera, Jose Alberto</t>
  </si>
  <si>
    <t>Mekkes, Dakota</t>
  </si>
  <si>
    <t>Maurer, Brandon</t>
  </si>
  <si>
    <t>Morris, Cody</t>
  </si>
  <si>
    <t>Delgado, Randall</t>
  </si>
  <si>
    <t>Mozzicato, Frank</t>
  </si>
  <si>
    <t>Sadzeck, Connor</t>
  </si>
  <si>
    <t>Solometo, Anthony</t>
  </si>
  <si>
    <t>Marvel, James</t>
  </si>
  <si>
    <t>Sears, JP</t>
  </si>
  <si>
    <t>Knack, Landon</t>
  </si>
  <si>
    <t>Vasquez, Randy</t>
  </si>
  <si>
    <t>Kauffmann, Karl</t>
  </si>
  <si>
    <t>Pacheco, Freddy</t>
  </si>
  <si>
    <t>Bitsko, Nick</t>
  </si>
  <si>
    <t>Madden, Ty</t>
  </si>
  <si>
    <t>Moore, Andrew</t>
  </si>
  <si>
    <t>Rolison, Ryan</t>
  </si>
  <si>
    <t>Reyes, Denyi</t>
  </si>
  <si>
    <t>Aybar, Yoan</t>
  </si>
  <si>
    <t>Lara, Andry</t>
  </si>
  <si>
    <t>Lovegrove, Kieran</t>
  </si>
  <si>
    <t>Guillen, Alexander</t>
  </si>
  <si>
    <t>Bautista, Félix</t>
  </si>
  <si>
    <t>Leiter Jr., Mark</t>
  </si>
  <si>
    <t>Williams, Kendall</t>
  </si>
  <si>
    <t>Mercado, Michael</t>
  </si>
  <si>
    <t>Wicks, Jordan</t>
  </si>
  <si>
    <t>Sedlock, Cody</t>
  </si>
  <si>
    <t>Hauschild, Mike</t>
  </si>
  <si>
    <t>Hoglund, Gunnar</t>
  </si>
  <si>
    <t>Pepiot, Ryan</t>
  </si>
  <si>
    <t>Dalquist, Andrew</t>
  </si>
  <si>
    <t>Wolff, Sam</t>
  </si>
  <si>
    <t>Canterino, Matt</t>
  </si>
  <si>
    <t>Solomon, Jared</t>
  </si>
  <si>
    <t>Yean, Eddy</t>
  </si>
  <si>
    <t>Shawaryn, Mike</t>
  </si>
  <si>
    <t>Dallas, Chad</t>
  </si>
  <si>
    <t>Luciano, Elvis</t>
  </si>
  <si>
    <t>Snelten, D.J.</t>
  </si>
  <si>
    <t>Murray, Joey</t>
  </si>
  <si>
    <t>Gardewine, Nick</t>
  </si>
  <si>
    <t>Chandler, Bubba</t>
  </si>
  <si>
    <t>Almonte, Miguel</t>
  </si>
  <si>
    <t>Groome, Jay</t>
  </si>
  <si>
    <t>Oller, Adam</t>
  </si>
  <si>
    <t>Del Rosario, Yefri</t>
  </si>
  <si>
    <t>Kilian, Caleb</t>
  </si>
  <si>
    <t>Cantillo, Joey</t>
  </si>
  <si>
    <t>Lee, Evan</t>
  </si>
  <si>
    <t>Phillips, Tyler</t>
  </si>
  <si>
    <t>Juan, Jorge</t>
  </si>
  <si>
    <t>Bednar, Will</t>
  </si>
  <si>
    <t>Espinoza, Anderson</t>
  </si>
  <si>
    <t>Bolton, Cody</t>
  </si>
  <si>
    <t>Bilous, Jason</t>
  </si>
  <si>
    <t>Kerr, Ray</t>
  </si>
  <si>
    <t>Gadea, Kevin</t>
  </si>
  <si>
    <t>Hence, Tink</t>
  </si>
  <si>
    <t>Eusebio, Breiling</t>
  </si>
  <si>
    <t>Jarvis, Bryce</t>
  </si>
  <si>
    <t>Jackson, Edwin</t>
  </si>
  <si>
    <t>Kudrna, Ben</t>
  </si>
  <si>
    <t>Tabor, Matt</t>
  </si>
  <si>
    <t>Doxakis, John</t>
  </si>
  <si>
    <t>Vargas, Emilio</t>
  </si>
  <si>
    <t>Perez, Eury</t>
  </si>
  <si>
    <t>Pina, Robinson</t>
  </si>
  <si>
    <t>Kasowski, Marshall</t>
  </si>
  <si>
    <t>Morales, Michael</t>
  </si>
  <si>
    <t>Hock, Colton</t>
  </si>
  <si>
    <t>Williams, Gavin</t>
  </si>
  <si>
    <t>Woods Jr., Stephen</t>
  </si>
  <si>
    <t>Nelson, Ryne</t>
  </si>
  <si>
    <t>Kelly, Antoine</t>
  </si>
  <si>
    <t>Navas, Carlos</t>
  </si>
  <si>
    <t>Jensen, Ryan</t>
  </si>
  <si>
    <t>Omogrosso, Brian</t>
  </si>
  <si>
    <t>Martínez, Nick</t>
  </si>
  <si>
    <t>Jerez, Williams</t>
  </si>
  <si>
    <t>Alvarez, Yadier</t>
  </si>
  <si>
    <t>Rangel, Alan</t>
  </si>
  <si>
    <t>Small, Ethan</t>
  </si>
  <si>
    <t>Payano, Pedro</t>
  </si>
  <si>
    <t>Rodriguez, Grayson</t>
  </si>
  <si>
    <t>Hess, Zack</t>
  </si>
  <si>
    <t>Whitley, Forrest</t>
  </si>
  <si>
    <t>Jorge, Felix</t>
  </si>
  <si>
    <t>Espino, Daniel</t>
  </si>
  <si>
    <t>De La Cruz, Jasseel</t>
  </si>
  <si>
    <t>Olson, Reese</t>
  </si>
  <si>
    <t>Lacy, Asa</t>
  </si>
  <si>
    <t>Fillmyer, Heath</t>
  </si>
  <si>
    <t>Shore, Logan</t>
  </si>
  <si>
    <t>Francis, Bowden</t>
  </si>
  <si>
    <t>Fisher, Braydon</t>
  </si>
  <si>
    <t>Fulton, Dax</t>
  </si>
  <si>
    <t>Davis, Noah</t>
  </si>
  <si>
    <t>Pipkin, Dominic</t>
  </si>
  <si>
    <t>Ashcraft, Graham</t>
  </si>
  <si>
    <t>Goss, JJ</t>
  </si>
  <si>
    <t>Solis, Jairo</t>
  </si>
  <si>
    <t>Dyson, Sam</t>
  </si>
  <si>
    <t>Dominguez, Robert</t>
  </si>
  <si>
    <t>Poche, Colin</t>
  </si>
  <si>
    <t>Hamel, Dominic</t>
  </si>
  <si>
    <t>Soriano, José</t>
  </si>
  <si>
    <t>Wells, Nick</t>
  </si>
  <si>
    <t>Smith, Carson</t>
  </si>
  <si>
    <t>Kelly, Levi</t>
  </si>
  <si>
    <t>Schroeder, Jayson</t>
  </si>
  <si>
    <t>Beeter, Clayton</t>
  </si>
  <si>
    <t>Santos, Junior</t>
  </si>
  <si>
    <t>Heatherly, Jacob</t>
  </si>
  <si>
    <t>Gonzalez, Rayan</t>
  </si>
  <si>
    <t>Brady, Denny</t>
  </si>
  <si>
    <t>Perez, Brayan</t>
  </si>
  <si>
    <t>Kirby, George</t>
  </si>
  <si>
    <t>McWilliams, Sam</t>
  </si>
  <si>
    <t>Schlitter, Brian</t>
  </si>
  <si>
    <t>Fenter, Gray</t>
  </si>
  <si>
    <t>Olson, Tyler</t>
  </si>
  <si>
    <t>Bowlan, Jonathan</t>
  </si>
  <si>
    <t>Naile, James</t>
  </si>
  <si>
    <t>Beck, Brendan</t>
  </si>
  <si>
    <t>Blackwood, Nolan</t>
  </si>
  <si>
    <t>Melendez, Jaime</t>
  </si>
  <si>
    <t>Flynn, Brian</t>
  </si>
  <si>
    <t>Cingrani, Tony</t>
  </si>
  <si>
    <t>Dowdy, Kyle</t>
  </si>
  <si>
    <t>Zych, Tony</t>
  </si>
  <si>
    <t>Carrillo, Gerardo</t>
  </si>
  <si>
    <t>Speas, Alex</t>
  </si>
  <si>
    <t>Riley, Trey</t>
  </si>
  <si>
    <t>Dodd, Dylan</t>
  </si>
  <si>
    <t>Bonnin, Bryce</t>
  </si>
  <si>
    <t>Murphy, Chris</t>
  </si>
  <si>
    <t>Strotman, Drew</t>
  </si>
  <si>
    <t>Henriquez, Ronny</t>
  </si>
  <si>
    <t>Stewart, Brock</t>
  </si>
  <si>
    <t>Enlow, Blayne</t>
  </si>
  <si>
    <t>Danner, Hagen</t>
  </si>
  <si>
    <t>Carle, Shane</t>
  </si>
  <si>
    <t>Martinez, Adrian</t>
  </si>
  <si>
    <t>Wentz, Joey</t>
  </si>
  <si>
    <t>Elder, Bryce</t>
  </si>
  <si>
    <t>Johnson, Seth</t>
  </si>
  <si>
    <t>Morales, Francisco</t>
  </si>
  <si>
    <t>White, Owen</t>
  </si>
  <si>
    <t>Henzman, Lincoln</t>
  </si>
  <si>
    <t>Bradford, Chasen</t>
  </si>
  <si>
    <t>Hernandez, Aaron</t>
  </si>
  <si>
    <t>Henry, Tommy</t>
  </si>
  <si>
    <t>Poyner, Bobby</t>
  </si>
  <si>
    <t>Buchanan, Jake</t>
  </si>
  <si>
    <t>McDougal, Tanner</t>
  </si>
  <si>
    <t>Alcantara, Victor</t>
  </si>
  <si>
    <t>Carter, Irv</t>
  </si>
  <si>
    <t>Mlodzinski, Carmen</t>
  </si>
  <si>
    <t>Tuivailala, Sam</t>
  </si>
  <si>
    <t>Leiter, Jack</t>
  </si>
  <si>
    <t>Yan, Hector</t>
  </si>
  <si>
    <t>Bibens-Dirkx, Austin</t>
  </si>
  <si>
    <t>Lizarraga, Victor</t>
  </si>
  <si>
    <t>Stoudt, Levi</t>
  </si>
  <si>
    <t>Rzepczynski, Marc</t>
  </si>
  <si>
    <t>De Jesus, Angel</t>
  </si>
  <si>
    <t>Burrows, Mike</t>
  </si>
  <si>
    <t>Medeiros, Kodi</t>
  </si>
  <si>
    <t>Swiney, Nick</t>
  </si>
  <si>
    <t>Bradley, Taj</t>
  </si>
  <si>
    <t>Armenteros, Rogelio</t>
  </si>
  <si>
    <t>Brash, Matt</t>
  </si>
  <si>
    <t>Henry, Cole</t>
  </si>
  <si>
    <t>Cedeno, Xavier</t>
  </si>
  <si>
    <t>Olivarez, Helcris</t>
  </si>
  <si>
    <t>Rooney, John</t>
  </si>
  <si>
    <t>Danish, Tyler</t>
  </si>
  <si>
    <t>Ortiz, Luis</t>
  </si>
  <si>
    <t>Collins, Tim</t>
  </si>
  <si>
    <t>Delaplane, Sam</t>
  </si>
  <si>
    <t>Vanasco, Ricky</t>
  </si>
  <si>
    <t>Reyes, Gerardo</t>
  </si>
  <si>
    <t>Meyer, Ben</t>
  </si>
  <si>
    <t>Kloffenstein, Adam</t>
  </si>
  <si>
    <t>Nix, Jacob</t>
  </si>
  <si>
    <t>Tillo, Daniel</t>
  </si>
  <si>
    <t>Walker, Josh</t>
  </si>
  <si>
    <t>Sousa, Bennett</t>
  </si>
  <si>
    <t>Simpson, Caleb</t>
  </si>
  <si>
    <t>Kennedy, Brett</t>
  </si>
  <si>
    <t>Pérez, Franklin</t>
  </si>
  <si>
    <t>Contreras, Efraín</t>
  </si>
  <si>
    <t>Butto, José</t>
  </si>
  <si>
    <t>Wong, Jake</t>
  </si>
  <si>
    <t>Estes, Joey</t>
  </si>
  <si>
    <t>Rutledge, Jackson</t>
  </si>
  <si>
    <t>Schugel, A.J.</t>
  </si>
  <si>
    <t>McGreevy, Michael</t>
  </si>
  <si>
    <t>Mace, Tommy</t>
  </si>
  <si>
    <t>Baez, Sandy</t>
  </si>
  <si>
    <t>Lucas, Josh</t>
  </si>
  <si>
    <t>Festa, Matt</t>
  </si>
  <si>
    <t>Reininger, Zac</t>
  </si>
  <si>
    <t>McArthur, James</t>
  </si>
  <si>
    <t>Blair, Aaron</t>
  </si>
  <si>
    <t>Blackham, Matt</t>
  </si>
  <si>
    <t>Mikulski, Matt</t>
  </si>
  <si>
    <t>Stallings, Garrett</t>
  </si>
  <si>
    <t>Liriano, Francisco</t>
  </si>
  <si>
    <t>Winckowski, Josh</t>
  </si>
  <si>
    <t>McMahon, Chris</t>
  </si>
  <si>
    <t>Wingenter, Trey</t>
  </si>
  <si>
    <t>Mata, Bryan</t>
  </si>
  <si>
    <t>Rivera, Erik</t>
  </si>
  <si>
    <t>MacGregor, Travis</t>
  </si>
  <si>
    <t>Peluse, Colin</t>
  </si>
  <si>
    <t>Volstad, Chris</t>
  </si>
  <si>
    <t>Van Eyk, CJ</t>
  </si>
  <si>
    <t>Irvin, Jake</t>
  </si>
  <si>
    <t>Ynoa, Michael</t>
  </si>
  <si>
    <t>Hill, Jaden</t>
  </si>
  <si>
    <t>Schwellenbach, Spencer</t>
  </si>
  <si>
    <t>Duran, Jhoan</t>
  </si>
  <si>
    <t>Duarte, Daniel</t>
  </si>
  <si>
    <t>Harrison, Kyle</t>
  </si>
  <si>
    <t>Beck, Tristan</t>
  </si>
  <si>
    <t>Bruns, Maddux</t>
  </si>
  <si>
    <t>Elliott, Ethan</t>
  </si>
  <si>
    <t>Weiss, Zack</t>
  </si>
  <si>
    <t>Medina, Luis</t>
  </si>
  <si>
    <t>Hernandez, Cristian</t>
  </si>
  <si>
    <t>Huff, David</t>
  </si>
  <si>
    <t>McKay (Pitcher), Brendan</t>
  </si>
  <si>
    <t>Walter, Brandon</t>
  </si>
  <si>
    <t>Lange, Justin</t>
  </si>
  <si>
    <t>Song, Noah</t>
  </si>
  <si>
    <t>Santos, Alex</t>
  </si>
  <si>
    <t>Faedo, Alex</t>
  </si>
  <si>
    <t>Dibrell, Tony</t>
  </si>
  <si>
    <t>St. John, Locke</t>
  </si>
  <si>
    <t>Adleman, Tim</t>
  </si>
  <si>
    <t>Asher, Alec</t>
  </si>
  <si>
    <t>Gossett, Daniel</t>
  </si>
  <si>
    <t>Schaller, Reid</t>
  </si>
  <si>
    <t>Parkinson, David</t>
  </si>
  <si>
    <t>Myers, Tobias</t>
  </si>
  <si>
    <t>Robberse, Sem</t>
  </si>
  <si>
    <t>Brown, Zack</t>
  </si>
  <si>
    <t>Shepherd, Chandler</t>
  </si>
  <si>
    <t>Gámez, Juan</t>
  </si>
  <si>
    <t>Meyer, Max</t>
  </si>
  <si>
    <t>Herz, Davidjohn Patrick</t>
  </si>
  <si>
    <t>Morrow, Brandon</t>
  </si>
  <si>
    <t>Abel, Mick</t>
  </si>
  <si>
    <t>Ross, Tyson</t>
  </si>
  <si>
    <t>Ziegler, Calvin</t>
  </si>
  <si>
    <t>McClure, Kade</t>
  </si>
  <si>
    <t>Reyes, Jesus</t>
  </si>
  <si>
    <t>Albright, Mason</t>
  </si>
  <si>
    <t>Jobe, Jackson</t>
  </si>
  <si>
    <t>Thompson, Matthew</t>
  </si>
  <si>
    <t>Walston, Blake</t>
  </si>
  <si>
    <t>Englert, Mason</t>
  </si>
  <si>
    <t>Weatherly, Sam</t>
  </si>
  <si>
    <t>Brown, Hunter</t>
  </si>
  <si>
    <t>Bachman, Sam</t>
  </si>
  <si>
    <t>Campbell, Isaiah</t>
  </si>
  <si>
    <t>Bedell, Ian</t>
  </si>
  <si>
    <t>Shuster, Jared</t>
  </si>
  <si>
    <t>Storen, Drew</t>
  </si>
  <si>
    <t>Murdock, Noah</t>
  </si>
  <si>
    <t>File, Dylan</t>
  </si>
  <si>
    <t>Bello, Brayan</t>
  </si>
  <si>
    <t>Wilson, Steven</t>
  </si>
  <si>
    <t>Ramirez, Aldo</t>
  </si>
  <si>
    <t>Jones, Jared</t>
  </si>
  <si>
    <t>VerHagen, Drew</t>
  </si>
  <si>
    <t>Hernandez, Arnaldo</t>
  </si>
  <si>
    <t>Koch, Matt</t>
  </si>
  <si>
    <t>Oberg, Scott</t>
  </si>
  <si>
    <t>Rock, Joe</t>
  </si>
  <si>
    <t>Araujo, Pedro</t>
  </si>
  <si>
    <t>Perez, Freicer</t>
  </si>
  <si>
    <t>Bermudez, Jonathan</t>
  </si>
  <si>
    <t>Thomas, Tahnaj</t>
  </si>
  <si>
    <t>Hernandez, David</t>
  </si>
  <si>
    <t>Malone, Brennan</t>
  </si>
  <si>
    <t>Walker, Jeremy</t>
  </si>
  <si>
    <t>Smith-Shawver, AJ</t>
  </si>
  <si>
    <t>Wotherspoon, Matt</t>
  </si>
  <si>
    <t>Carpenter, David</t>
  </si>
  <si>
    <t>Smith, Russell</t>
  </si>
  <si>
    <t>Taylor, Ben</t>
  </si>
  <si>
    <t>Wilson, Brooks</t>
  </si>
  <si>
    <t>Baum, Tyler</t>
  </si>
  <si>
    <t>Tarnok, Freddy</t>
  </si>
  <si>
    <t>Johnson, Tyler</t>
  </si>
  <si>
    <t>Huang, Wei-Chieh</t>
  </si>
  <si>
    <t>Cox, Austin</t>
  </si>
  <si>
    <t>Balazovic, Jordan</t>
  </si>
  <si>
    <t>Butler, Eddie</t>
  </si>
  <si>
    <t>Sikkema, TJ</t>
  </si>
  <si>
    <t>Weiss, Ryan</t>
  </si>
  <si>
    <t>Hancock, Emerson</t>
  </si>
  <si>
    <t>Stephens, Jordan</t>
  </si>
  <si>
    <t>Ramos, Edubray</t>
  </si>
  <si>
    <t>Wright, Steven</t>
  </si>
  <si>
    <t>Webb, Nate</t>
  </si>
  <si>
    <t>Albertos, Jose</t>
  </si>
  <si>
    <t>Smith, Dylan</t>
  </si>
  <si>
    <t>Logue, Zach</t>
  </si>
  <si>
    <t>Cronin, Matt</t>
  </si>
  <si>
    <t>Vallimont, Chris</t>
  </si>
  <si>
    <t>Adon, Melvin</t>
  </si>
  <si>
    <t>Gatto, Joe</t>
  </si>
  <si>
    <t>Liranzo, Jesus</t>
  </si>
  <si>
    <t>Winder, Josh</t>
  </si>
  <si>
    <t>Pinto, Ricardo</t>
  </si>
  <si>
    <t>Allan, Matt</t>
  </si>
  <si>
    <t>Gaston, Sandy</t>
  </si>
  <si>
    <t>Guerrieri, Taylor</t>
  </si>
  <si>
    <t>Ogle, Braeden</t>
  </si>
  <si>
    <t>Roa, Christian</t>
  </si>
  <si>
    <t>Skoglund, Eric</t>
  </si>
  <si>
    <t>Dubin, Shawn</t>
  </si>
  <si>
    <t>Nuno III, Vidal</t>
  </si>
  <si>
    <t>Holman, Grant</t>
  </si>
  <si>
    <t>Uelmen, Erich</t>
  </si>
  <si>
    <t>Richardson, Lyon</t>
  </si>
  <si>
    <t>Elliott, Tim</t>
  </si>
  <si>
    <t>Hall, DL</t>
  </si>
  <si>
    <t>Blach, Ty</t>
  </si>
  <si>
    <t>Smith, Kevin</t>
  </si>
  <si>
    <t>Johnson, Brian</t>
  </si>
  <si>
    <t>Carlson, Sam</t>
  </si>
  <si>
    <t>McDermott, Chayce</t>
  </si>
  <si>
    <t>Fuentes, Steven</t>
  </si>
  <si>
    <t>Gonzalez, Wilkelman</t>
  </si>
  <si>
    <t>Lawson, Reggie</t>
  </si>
  <si>
    <t>Williamson, Brandon</t>
  </si>
  <si>
    <t>Waldichuk, Ken</t>
  </si>
  <si>
    <t>Marinaccio, Ron</t>
  </si>
  <si>
    <t>Burke, Sean</t>
  </si>
  <si>
    <t>Pounders, Brooks</t>
  </si>
  <si>
    <t>Powers, Alex</t>
  </si>
  <si>
    <t>Criswell, Jeff</t>
  </si>
  <si>
    <t>Ashcraft, Braxton</t>
  </si>
  <si>
    <t>Cusick, Ryan</t>
  </si>
  <si>
    <t>Barbato, Johnny</t>
  </si>
  <si>
    <t>Marsh, Alec</t>
  </si>
  <si>
    <t>Suarez, Robert</t>
  </si>
  <si>
    <t>Hernández, Félix</t>
  </si>
  <si>
    <t>Tiedemann, Ricky</t>
  </si>
  <si>
    <t>Bahr, Jason</t>
  </si>
  <si>
    <t>Romero, Tommy</t>
  </si>
  <si>
    <t>Wilcox, Cole</t>
  </si>
  <si>
    <t>Romero, Miguel</t>
  </si>
  <si>
    <t>Bradish, Kyle</t>
  </si>
  <si>
    <t>Hansen, Alec</t>
  </si>
  <si>
    <t>Seminaris, Adam</t>
  </si>
  <si>
    <t>Chalmers, Dakota</t>
  </si>
  <si>
    <t>Woods Richardson, Simeon</t>
  </si>
  <si>
    <t>Miller, Bobby</t>
  </si>
  <si>
    <t>McAllister, Zach</t>
  </si>
  <si>
    <t>Miller, Erik</t>
  </si>
  <si>
    <t>Rivera, Jerryell</t>
  </si>
  <si>
    <t>Núñez, Dedniel</t>
  </si>
  <si>
    <t>Diaz, Alexis</t>
  </si>
  <si>
    <t>Burns, Tanner</t>
  </si>
  <si>
    <t>Corry, Seth</t>
  </si>
  <si>
    <t>Pfeifer, Philip</t>
  </si>
  <si>
    <t>Conine, Brett</t>
  </si>
  <si>
    <t>Ward, Thad</t>
  </si>
  <si>
    <t>Feltman, Durbin</t>
  </si>
  <si>
    <t>Mercer, Matt</t>
  </si>
  <si>
    <t>Sauer, Matt</t>
  </si>
  <si>
    <t>Henley, Blair</t>
  </si>
  <si>
    <t>Bishop, Cameron</t>
  </si>
  <si>
    <t>Holmes, Grant</t>
  </si>
  <si>
    <t>Vizcaino, Arodys</t>
  </si>
  <si>
    <t>Pardinho, Eric</t>
  </si>
  <si>
    <t>Petty, Chase</t>
  </si>
  <si>
    <t>Roach, Donn</t>
  </si>
  <si>
    <t>Burke, Brock</t>
  </si>
  <si>
    <t>Noesí, Héctor</t>
  </si>
  <si>
    <t>Woods, William</t>
  </si>
  <si>
    <t>Jennings, Steven</t>
  </si>
  <si>
    <t>Charles, Wandisson</t>
  </si>
  <si>
    <t>Lee, Zach</t>
  </si>
  <si>
    <t>Markel, Parker</t>
  </si>
  <si>
    <t>Dyson, Tyler</t>
  </si>
  <si>
    <t>Rodriguez, Randy</t>
  </si>
  <si>
    <t>Lawrence, Casey</t>
  </si>
  <si>
    <t>Carasiti, Matt</t>
  </si>
  <si>
    <t>Agrazal, Dario</t>
  </si>
  <si>
    <t>Miller, Bryce</t>
  </si>
  <si>
    <t>Finnegan, Brandon</t>
  </si>
  <si>
    <t>Warren, Adam</t>
  </si>
  <si>
    <t>Selvidge, Brock</t>
  </si>
  <si>
    <t>Aquino, Stiward</t>
  </si>
  <si>
    <t>Rodriguez, Elvin</t>
  </si>
  <si>
    <t>Cecconi, Slade</t>
  </si>
  <si>
    <t>Duran, Carlos</t>
  </si>
  <si>
    <t>Patterson, Jack</t>
  </si>
  <si>
    <t>Scherff, Alex</t>
  </si>
  <si>
    <t>Nikhazy, Doug</t>
  </si>
  <si>
    <t>Copeland, Scott</t>
  </si>
  <si>
    <t>Bautista, Gerson</t>
  </si>
  <si>
    <t>Phillips, Connor</t>
  </si>
  <si>
    <t>Worley, Vance</t>
  </si>
  <si>
    <t>Elías, Roenis</t>
  </si>
  <si>
    <t>Stumpf, Daniel</t>
  </si>
  <si>
    <t>Mercedes, Manuel</t>
  </si>
  <si>
    <t>Cruz, Rhiner</t>
  </si>
  <si>
    <t>Graves, Brett</t>
  </si>
  <si>
    <t>Wolf, Josh</t>
  </si>
  <si>
    <t>Sands, Cole</t>
  </si>
  <si>
    <t>Burrows, Thomas</t>
  </si>
  <si>
    <t>Little, Brendon</t>
  </si>
  <si>
    <t>Castillo, José</t>
  </si>
  <si>
    <t>Roberts, Griffin</t>
  </si>
  <si>
    <t>Kochanowicz, Jack</t>
  </si>
  <si>
    <t>Williams, Garrett</t>
  </si>
  <si>
    <t>Gasser, Robert</t>
  </si>
  <si>
    <t>Martes, Francis</t>
  </si>
  <si>
    <t>Thompson, Riley</t>
  </si>
  <si>
    <t>Green, Josh</t>
  </si>
  <si>
    <t>Severino, Anderson</t>
  </si>
  <si>
    <t>Schultz, Jaime</t>
  </si>
  <si>
    <t>Leake, Mike</t>
  </si>
  <si>
    <t>DuRapau, Montana</t>
  </si>
  <si>
    <t>Vizcaíno, Alexander</t>
  </si>
  <si>
    <t>Bush, Ky</t>
  </si>
  <si>
    <t>Torres, Lenny</t>
  </si>
  <si>
    <t>Therrien, Jesen</t>
  </si>
  <si>
    <t>Torres, Jojanse</t>
  </si>
  <si>
    <t>Eveld, Tommy</t>
  </si>
  <si>
    <t>Hankins, Ethan</t>
  </si>
  <si>
    <t>Thompson, Zack</t>
  </si>
  <si>
    <t>Denaburg, Mason</t>
  </si>
  <si>
    <t>Bridwell, Parker</t>
  </si>
  <si>
    <t>Alvarez, R.J.</t>
  </si>
  <si>
    <t>Lemons, Caden</t>
  </si>
  <si>
    <t>Macko, Adam</t>
  </si>
  <si>
    <t>Clarkin, Ian</t>
  </si>
  <si>
    <t>Moll, Sam</t>
  </si>
  <si>
    <t>Dohy, Kyle</t>
  </si>
  <si>
    <t>Sherriff, Ryan</t>
  </si>
  <si>
    <t>Buttrey, Ty</t>
  </si>
  <si>
    <t>Rodríguez, José</t>
  </si>
  <si>
    <t>Hartman, Ryan</t>
  </si>
  <si>
    <t>Archer, Chris</t>
  </si>
  <si>
    <t>Lowrie, Jed</t>
  </si>
  <si>
    <t>Koerner, Brody</t>
  </si>
  <si>
    <t>Taylor, Josh</t>
  </si>
  <si>
    <t>Robertson, David</t>
  </si>
  <si>
    <t>Alaniz, R.J.</t>
  </si>
  <si>
    <t>Scrubb, Andre</t>
  </si>
  <si>
    <t>Freeman, Sam</t>
  </si>
  <si>
    <t>Black, Ray</t>
  </si>
  <si>
    <t>Drake, Oliver</t>
  </si>
  <si>
    <t>Spitzbarth, Shea</t>
  </si>
  <si>
    <t>Montero, Rafael</t>
  </si>
  <si>
    <t>Krehbiel, Joey</t>
  </si>
  <si>
    <t>Avila, Pedro</t>
  </si>
  <si>
    <t>Muñoz, Andrés</t>
  </si>
  <si>
    <t>Stephan, Trevor</t>
  </si>
  <si>
    <t>Chacín, Jhoulys</t>
  </si>
  <si>
    <t>Romero, Jhon</t>
  </si>
  <si>
    <t>Falter, Bailey</t>
  </si>
  <si>
    <t>Dickerson, Alex</t>
  </si>
  <si>
    <t>Tate, Dillon</t>
  </si>
  <si>
    <t>Altavilla, Dan</t>
  </si>
  <si>
    <t>Heasley, Jon</t>
  </si>
  <si>
    <t>Moran, Colin</t>
  </si>
  <si>
    <t>Latz, Jake</t>
  </si>
  <si>
    <t>Miller, Tyson</t>
  </si>
  <si>
    <t>Thornburg, Tyler</t>
  </si>
  <si>
    <t>Adon, Joan</t>
  </si>
  <si>
    <t>Poteet, Cody</t>
  </si>
  <si>
    <t>Chirinos, Yonny</t>
  </si>
  <si>
    <t>Brigham, Jeff</t>
  </si>
  <si>
    <t>Bolaños, Ronald</t>
  </si>
  <si>
    <t>Hearn, Taylor</t>
  </si>
  <si>
    <t>Kolarek, Adam</t>
  </si>
  <si>
    <t>Montgomery, Mike</t>
  </si>
  <si>
    <t>Bourque, James</t>
  </si>
  <si>
    <t>Osich, Josh</t>
  </si>
  <si>
    <t>Smith, Josh D.</t>
  </si>
  <si>
    <t>McCormick, Chas</t>
  </si>
  <si>
    <t>Davidson, Tucker</t>
  </si>
  <si>
    <t>Perez, Francisco</t>
  </si>
  <si>
    <t>Coonrod, Sam</t>
  </si>
  <si>
    <t>Guilbeau, Taylor</t>
  </si>
  <si>
    <t>Yacabonis, Jimmy</t>
  </si>
  <si>
    <t>Brennan, Brandon</t>
  </si>
  <si>
    <t>Ort, Kaleb</t>
  </si>
  <si>
    <t>Hendrix, Ryan</t>
  </si>
  <si>
    <t>Dayton, Grant</t>
  </si>
  <si>
    <t>Merryweather, Julian</t>
  </si>
  <si>
    <t>Ortega, Oliver</t>
  </si>
  <si>
    <t>Bard, Luke</t>
  </si>
  <si>
    <t>Hamels, Cole</t>
  </si>
  <si>
    <t>Peters, Dillon</t>
  </si>
  <si>
    <t>Marshall, Evan</t>
  </si>
  <si>
    <t>Aguilar, Miguel</t>
  </si>
  <si>
    <t>Jiménez, Dany</t>
  </si>
  <si>
    <t>Bracho, Silvino</t>
  </si>
  <si>
    <t>Bush, Matt</t>
  </si>
  <si>
    <t>Harvey, Hunter</t>
  </si>
  <si>
    <t>Hatch, Thomas</t>
  </si>
  <si>
    <t>Flores Jr., Bernardo</t>
  </si>
  <si>
    <t>Soroka, Mike</t>
  </si>
  <si>
    <t>Lee, Dylan</t>
  </si>
  <si>
    <t>Overton, Connor</t>
  </si>
  <si>
    <t>Barrett, Aaron</t>
  </si>
  <si>
    <t>Frías, Luis</t>
  </si>
  <si>
    <t>Quezada, Johan</t>
  </si>
  <si>
    <t>Jones, Damon</t>
  </si>
  <si>
    <t>McKay, David</t>
  </si>
  <si>
    <t>Mitchell, Bryan</t>
  </si>
  <si>
    <t>Blewett, Scott</t>
  </si>
  <si>
    <t>Hamilton, Ian</t>
  </si>
  <si>
    <t>Garcia, Rico</t>
  </si>
  <si>
    <t>Wahl, Bobby</t>
  </si>
  <si>
    <t>Holder, Jonathan</t>
  </si>
  <si>
    <t>Rodríguez, Manuel</t>
  </si>
  <si>
    <t>Giles, Ken</t>
  </si>
  <si>
    <t>Cruz, Jesus</t>
  </si>
  <si>
    <t>Snyder, Nick</t>
  </si>
  <si>
    <t>Espinal, Raynel</t>
  </si>
  <si>
    <t>Paulino, David</t>
  </si>
  <si>
    <t>Sanabria, Carlos</t>
  </si>
  <si>
    <t>Speier, Gabe</t>
  </si>
  <si>
    <t>Palumbo, Joe</t>
  </si>
  <si>
    <t>Woodford, Jake</t>
  </si>
  <si>
    <t>Crick, Kyle</t>
  </si>
  <si>
    <t>Baez, Michel</t>
  </si>
  <si>
    <t>Sánchez, Miguel</t>
  </si>
  <si>
    <t>Seabold, Connor</t>
  </si>
  <si>
    <t>Lucchesi, Joey</t>
  </si>
  <si>
    <t>Tarpley, Stephen</t>
  </si>
  <si>
    <t>Pérez, Héctor</t>
  </si>
  <si>
    <t>Junk, Janson</t>
  </si>
  <si>
    <t>García, Deivi</t>
  </si>
  <si>
    <t>Moran, Brian</t>
  </si>
  <si>
    <t>Magill, Matt</t>
  </si>
  <si>
    <t>McCarthy, Kevin</t>
  </si>
  <si>
    <t>Barreda, Manny</t>
  </si>
  <si>
    <t>Sánchez, Ricardo</t>
  </si>
  <si>
    <t>Hoyt, James</t>
  </si>
  <si>
    <t>Norwood, James</t>
  </si>
  <si>
    <t>Quackenbush, Kevin</t>
  </si>
  <si>
    <t>Lange, Alex</t>
  </si>
  <si>
    <t>Williams, Taylor</t>
  </si>
  <si>
    <t>Rusin, Chris</t>
  </si>
  <si>
    <t>Howard, Sam</t>
  </si>
  <si>
    <t>King, Michael</t>
  </si>
  <si>
    <t>Goudeau, Ashton</t>
  </si>
  <si>
    <t>Lyons, Tyler</t>
  </si>
  <si>
    <t>McClain, Reggie</t>
  </si>
  <si>
    <t>Yates, Kirby</t>
  </si>
  <si>
    <t>Lorenzen (Pitcher), Michael</t>
  </si>
  <si>
    <t>Abreu, Albert</t>
  </si>
  <si>
    <t>Jiménez, Joe</t>
  </si>
  <si>
    <t>Nittoli, Vinny</t>
  </si>
  <si>
    <t>Medina, Adonis</t>
  </si>
  <si>
    <t>Diehl, Phillip</t>
  </si>
  <si>
    <t>Perdomo, Luis</t>
  </si>
  <si>
    <t>Beede, Tyler</t>
  </si>
  <si>
    <t>Kelley, Trevor</t>
  </si>
  <si>
    <t>Romero, Seth</t>
  </si>
  <si>
    <t>Valdez, César</t>
  </si>
  <si>
    <t>Ivey, Tyler</t>
  </si>
  <si>
    <t>Gilmartin, Sean</t>
  </si>
  <si>
    <t>Feliz, Neftalí</t>
  </si>
  <si>
    <t>Saucedo, Tayler</t>
  </si>
  <si>
    <t>Sobotka, Chad</t>
  </si>
  <si>
    <t>Gott, Trevor</t>
  </si>
  <si>
    <t>Yarbrough, Ryan</t>
  </si>
  <si>
    <t>Crouse, Hans</t>
  </si>
  <si>
    <t>Biagini, Joe</t>
  </si>
  <si>
    <t>Triggs, Andrew</t>
  </si>
  <si>
    <t>Hicks, Jordan</t>
  </si>
  <si>
    <t>Hardy, Blaine</t>
  </si>
  <si>
    <t>Sittinger, Brandyn</t>
  </si>
  <si>
    <t>Jurado, Ariel</t>
  </si>
  <si>
    <t>Paxton, James</t>
  </si>
  <si>
    <t>Marte, José</t>
  </si>
  <si>
    <t>Colina, Edwar</t>
  </si>
  <si>
    <t>O'Brien, Riley</t>
  </si>
  <si>
    <t>Brothers, Rex</t>
  </si>
  <si>
    <t>Axford, John</t>
  </si>
  <si>
    <t>Reed, Cody</t>
  </si>
  <si>
    <t>Anderson, Tyler</t>
  </si>
  <si>
    <t>Quijada, José</t>
  </si>
  <si>
    <t>Bashlor, Tyler</t>
  </si>
  <si>
    <t>Gibaut, Ian</t>
  </si>
  <si>
    <t>Cody, Kyle</t>
  </si>
  <si>
    <t>Rodriguez, Nivaldo</t>
  </si>
  <si>
    <t>Sánchez, Cristopher</t>
  </si>
  <si>
    <t>Garza, Justin</t>
  </si>
  <si>
    <t>Weigel, Patrick</t>
  </si>
  <si>
    <t>Stiever, Jonathan</t>
  </si>
  <si>
    <t>Honeywell Jr., Brent</t>
  </si>
  <si>
    <t>Márquez, Brailyn</t>
  </si>
  <si>
    <t>Dickson, Brandon</t>
  </si>
  <si>
    <t>Lakins Sr., Travis</t>
  </si>
  <si>
    <t>Stewart, Kohl</t>
  </si>
  <si>
    <t>Lobstein, Kyle</t>
  </si>
  <si>
    <t>Gosselin, Phil</t>
  </si>
  <si>
    <t>Upton, Justin</t>
  </si>
  <si>
    <t>Long, Sammy</t>
  </si>
  <si>
    <t>Selman, Sam</t>
  </si>
  <si>
    <t>Miller, Justin</t>
  </si>
  <si>
    <t>Estévez, Carlos</t>
  </si>
  <si>
    <t>Sharp, Sterling</t>
  </si>
  <si>
    <t>Law, Derek</t>
  </si>
  <si>
    <t>Schreiber, John</t>
  </si>
  <si>
    <t>Tice, Ty</t>
  </si>
  <si>
    <t>Stashak, Cody</t>
  </si>
  <si>
    <t>Pujols, Albert</t>
  </si>
  <si>
    <t>Hammer, JD</t>
  </si>
  <si>
    <t>Morgan, Eli</t>
  </si>
  <si>
    <t>Eibner, Brett</t>
  </si>
  <si>
    <t>Fry, Paul</t>
  </si>
  <si>
    <t>Rodríguez, Joely</t>
  </si>
  <si>
    <t>Mattson, Isaac</t>
  </si>
  <si>
    <t>Carlton, Drew</t>
  </si>
  <si>
    <t>Doolittle, Sean</t>
  </si>
  <si>
    <t>Flaa, Jay</t>
  </si>
  <si>
    <t>Lambert, Jimmy</t>
  </si>
  <si>
    <t>Cooper, Garrett</t>
  </si>
  <si>
    <t>Smith, Burch</t>
  </si>
  <si>
    <t>Adams, Chance</t>
  </si>
  <si>
    <t>Andrus, Elvis</t>
  </si>
  <si>
    <t>Kintzler, Brandon</t>
  </si>
  <si>
    <t>Hildenberger, Trevor</t>
  </si>
  <si>
    <t>Lail, Brady</t>
  </si>
  <si>
    <t>Mujica, José</t>
  </si>
  <si>
    <t>Grace, Matt</t>
  </si>
  <si>
    <t>Doyle, Tommy</t>
  </si>
  <si>
    <t>Miller, Andrew</t>
  </si>
  <si>
    <t>Rodríguez, Dereck</t>
  </si>
  <si>
    <t>Anderson, Brett</t>
  </si>
  <si>
    <t>Nuñez, Darien</t>
  </si>
  <si>
    <t>Elledge, Seth</t>
  </si>
  <si>
    <t>Cueto, Johnny</t>
  </si>
  <si>
    <t>Strahm, Matt</t>
  </si>
  <si>
    <t>Wilson, Justin</t>
  </si>
  <si>
    <t>Criswell, Cooper</t>
  </si>
  <si>
    <t>Gutierrez, Vladimir</t>
  </si>
  <si>
    <t>Goody, Nick</t>
  </si>
  <si>
    <t>Stassi, Max</t>
  </si>
  <si>
    <t>Klobosits, Gabe</t>
  </si>
  <si>
    <t>Abreu, Bryan</t>
  </si>
  <si>
    <t>McCaughan, Darren</t>
  </si>
  <si>
    <t>Harris, Will</t>
  </si>
  <si>
    <t>Peterson, David</t>
  </si>
  <si>
    <t>James, Josh</t>
  </si>
  <si>
    <t>Bellatti, Andrew</t>
  </si>
  <si>
    <t>Krol, Ian</t>
  </si>
  <si>
    <t>Tinoco, Jesus</t>
  </si>
  <si>
    <t>Duffy, Matt</t>
  </si>
  <si>
    <t>Cordero, Jimmy</t>
  </si>
  <si>
    <t>Pop, Zach</t>
  </si>
  <si>
    <t>Paredes, Enoli</t>
  </si>
  <si>
    <t>Evans, Demarcus</t>
  </si>
  <si>
    <t>Goodrum, Niko</t>
  </si>
  <si>
    <t>Hanhold, Eric</t>
  </si>
  <si>
    <t>Bacus, Dakota</t>
  </si>
  <si>
    <t>García, Rony</t>
  </si>
  <si>
    <t>Martinez, Seth</t>
  </si>
  <si>
    <t>Banda, Anthony</t>
  </si>
  <si>
    <t>Betances, Dellin</t>
  </si>
  <si>
    <t>Beasley, Jeremy</t>
  </si>
  <si>
    <t>Mazza, Chris</t>
  </si>
  <si>
    <t>Santana, Ervin</t>
  </si>
  <si>
    <t>Mella, Keury</t>
  </si>
  <si>
    <t>Edwards Jr., Carl</t>
  </si>
  <si>
    <t>Santos, Gregory</t>
  </si>
  <si>
    <t>Rosso, Ramón</t>
  </si>
  <si>
    <t>Knehr, Reiss</t>
  </si>
  <si>
    <t>Irvin, Cole</t>
  </si>
  <si>
    <t>Ramirez, Nick</t>
  </si>
  <si>
    <t>Crawford, Kutter</t>
  </si>
  <si>
    <t>Weaver, Luke</t>
  </si>
  <si>
    <t>Anderson, Brian</t>
  </si>
  <si>
    <t>Moran, Jovani</t>
  </si>
  <si>
    <t>Harper, Ryne</t>
  </si>
  <si>
    <t>Santana, Dennis</t>
  </si>
  <si>
    <t>Murphy, Patrick</t>
  </si>
  <si>
    <t>Castano, Daniel</t>
  </si>
  <si>
    <t>Kilomé, Franklyn</t>
  </si>
  <si>
    <t>Armstrong, Shawn</t>
  </si>
  <si>
    <t>Garrett, Amir</t>
  </si>
  <si>
    <t>Pazos, James</t>
  </si>
  <si>
    <t>Brebbia, John</t>
  </si>
  <si>
    <t>Minor, Mike</t>
  </si>
  <si>
    <t>Ahmed, Nick</t>
  </si>
  <si>
    <t>Devenski, Chris</t>
  </si>
  <si>
    <t>Puk, A.J.</t>
  </si>
  <si>
    <t>Baldonado, Alberto</t>
  </si>
  <si>
    <t>Davis, Austin</t>
  </si>
  <si>
    <t>Kazmir, Scott</t>
  </si>
  <si>
    <t>Smith, Josh A.</t>
  </si>
  <si>
    <t>Szapucki, Thomas</t>
  </si>
  <si>
    <t>Chatwood, Tyler</t>
  </si>
  <si>
    <t>Peña, Félix</t>
  </si>
  <si>
    <t>Middleton, Keynan</t>
  </si>
  <si>
    <t>Zimmer, Bradley</t>
  </si>
  <si>
    <t>Wright, Mike</t>
  </si>
  <si>
    <t>Kuhl, Chad</t>
  </si>
  <si>
    <t>Díaz, Jairo</t>
  </si>
  <si>
    <t>Taylor, Tyrone</t>
  </si>
  <si>
    <t>Boyd, Matthew</t>
  </si>
  <si>
    <t>Knight, Dusten</t>
  </si>
  <si>
    <t>Mears, Nick</t>
  </si>
  <si>
    <t>Poppen, Sean</t>
  </si>
  <si>
    <t>Bielak, Brandon</t>
  </si>
  <si>
    <t>Stripling, Ross</t>
  </si>
  <si>
    <t>Campbell, Paul</t>
  </si>
  <si>
    <t>Samardzija, Jeff</t>
  </si>
  <si>
    <t>Fernández, Julian</t>
  </si>
  <si>
    <t>Valdéz, Phillips</t>
  </si>
  <si>
    <t>Suero, Wander</t>
  </si>
  <si>
    <t>Díaz, Yennsy</t>
  </si>
  <si>
    <t>Thompson, Mason</t>
  </si>
  <si>
    <t>Barnes, Jacob</t>
  </si>
  <si>
    <t>del Pozo, Miguel</t>
  </si>
  <si>
    <t>Escobar, Alcides</t>
  </si>
  <si>
    <t>Llovera, Mauricio</t>
  </si>
  <si>
    <t>Farrell, Luke</t>
  </si>
  <si>
    <t>Avilán, Luis</t>
  </si>
  <si>
    <t>Widener, Taylor</t>
  </si>
  <si>
    <t>Duggar, Steven</t>
  </si>
  <si>
    <t>Uceta, Edwin</t>
  </si>
  <si>
    <t>Kickham, Mike</t>
  </si>
  <si>
    <t>Crichton, Stefan</t>
  </si>
  <si>
    <t>Smith, Caleb</t>
  </si>
  <si>
    <t>Brown, Seth</t>
  </si>
  <si>
    <t>Schmidt, Clarke</t>
  </si>
  <si>
    <t>Mantiply, Joe</t>
  </si>
  <si>
    <t>Leyer, Robinson</t>
  </si>
  <si>
    <t>Ryan, Kyle</t>
  </si>
  <si>
    <t>Feltner, Ryan</t>
  </si>
  <si>
    <t>Guduan, Reymin</t>
  </si>
  <si>
    <t>Buchter, Ryan</t>
  </si>
  <si>
    <t>Baumann, Mike</t>
  </si>
  <si>
    <t>Bukauskas, J.B.</t>
  </si>
  <si>
    <t>Lambert, Peter</t>
  </si>
  <si>
    <t>Grotz, Zac</t>
  </si>
  <si>
    <t>Peacock, Brad</t>
  </si>
  <si>
    <t>Perdomo, Angel</t>
  </si>
  <si>
    <t>Walden, Marcus</t>
  </si>
  <si>
    <t>Romero, JoJo</t>
  </si>
  <si>
    <t>Nance, Tommy</t>
  </si>
  <si>
    <t>Santos, Antonio</t>
  </si>
  <si>
    <t>Fiers, Mike</t>
  </si>
  <si>
    <t>Margevicius, Nick</t>
  </si>
  <si>
    <t>Weems, Jordan</t>
  </si>
  <si>
    <t>Carroll, Cody</t>
  </si>
  <si>
    <t>Newsome, Ljay</t>
  </si>
  <si>
    <t>Toussaint, Touki</t>
  </si>
  <si>
    <t>Abad, Fernando</t>
  </si>
  <si>
    <t>Severino, Pedro</t>
  </si>
  <si>
    <t>Brice, Austin</t>
  </si>
  <si>
    <t>Gant, John</t>
  </si>
  <si>
    <t>Guerra, Javy</t>
  </si>
  <si>
    <t>Yardley, Eric</t>
  </si>
  <si>
    <t>Nolin, Sean</t>
  </si>
  <si>
    <t>Reyes, Victor</t>
  </si>
  <si>
    <t>Burdi, Zack</t>
  </si>
  <si>
    <t>Gsellman, Robert</t>
  </si>
  <si>
    <t>Clarke, Taylor</t>
  </si>
  <si>
    <t>Stallings, Jacob</t>
  </si>
  <si>
    <t>Yajure, Miguel</t>
  </si>
  <si>
    <t>Castellanos, Humberto</t>
  </si>
  <si>
    <t>Bedrosian, Cam</t>
  </si>
  <si>
    <t>Waddell, Brandon</t>
  </si>
  <si>
    <t>Neidert, Nick</t>
  </si>
  <si>
    <t>Winkler, Dan</t>
  </si>
  <si>
    <t>Milner, Hoby</t>
  </si>
  <si>
    <t>Petricka, Jake</t>
  </si>
  <si>
    <t>Greene, Shane</t>
  </si>
  <si>
    <t>Zeuch, T.J.</t>
  </si>
  <si>
    <t>Canning, Griffin</t>
  </si>
  <si>
    <t>Fletcher, Aaron</t>
  </si>
  <si>
    <t>Peguero, Elvis</t>
  </si>
  <si>
    <t>Jannis, Mickey</t>
  </si>
  <si>
    <t>Claudio, Alex</t>
  </si>
  <si>
    <t>Newberry, Jake</t>
  </si>
  <si>
    <t>Bundy, Dylan</t>
  </si>
  <si>
    <t>Camarena, Daniel</t>
  </si>
  <si>
    <t>Underwood Jr., Duane</t>
  </si>
  <si>
    <t>Polanco, Gregory</t>
  </si>
  <si>
    <t>Gardner, Brett</t>
  </si>
  <si>
    <t>Meisinger, Ryan</t>
  </si>
  <si>
    <t>Fry, Jace</t>
  </si>
  <si>
    <t>Torrens, Luis</t>
  </si>
  <si>
    <t>Guzman, Jorge</t>
  </si>
  <si>
    <t>Porcello, Rick</t>
  </si>
  <si>
    <t>Cishek, Steve</t>
  </si>
  <si>
    <t>Thorpe, Lewis</t>
  </si>
  <si>
    <t>Swarzak, Anthony</t>
  </si>
  <si>
    <t>Wojciechowski, Asher</t>
  </si>
  <si>
    <t>Madero, Luís</t>
  </si>
  <si>
    <t>Norris, Daniel</t>
  </si>
  <si>
    <t>Alberto, Hanser</t>
  </si>
  <si>
    <t>Freeland, Kyle</t>
  </si>
  <si>
    <t>Bubic, Kris</t>
  </si>
  <si>
    <t>Brault, Steven</t>
  </si>
  <si>
    <t>Zimmermann, Bruce</t>
  </si>
  <si>
    <t>Cabrera, Asdrúbal</t>
  </si>
  <si>
    <t>Abbott, Cory</t>
  </si>
  <si>
    <t>Romano, Sal</t>
  </si>
  <si>
    <t>Pérez, Cionel</t>
  </si>
  <si>
    <t>Albers, Andrew</t>
  </si>
  <si>
    <t>Beaty, Matt</t>
  </si>
  <si>
    <t>Sánchez, Aníbal</t>
  </si>
  <si>
    <t>Wright, Kyle</t>
  </si>
  <si>
    <t>Junis, Jakob</t>
  </si>
  <si>
    <t>Barria, Jaime</t>
  </si>
  <si>
    <t>Senzatela, Antonio</t>
  </si>
  <si>
    <t>Nelson, Kyle</t>
  </si>
  <si>
    <t>Cahill, Trevor</t>
  </si>
  <si>
    <t>Castellani, Ryan</t>
  </si>
  <si>
    <t>Detmers, Reid</t>
  </si>
  <si>
    <t>Fulmer, Carson</t>
  </si>
  <si>
    <t>Faria, Jake</t>
  </si>
  <si>
    <t>Peterson, Jace</t>
  </si>
  <si>
    <t>1B,2B,3B,LF,RF</t>
  </si>
  <si>
    <t>Franco, Maikel</t>
  </si>
  <si>
    <t>Jewell, Jake</t>
  </si>
  <si>
    <t>Brach, Brad</t>
  </si>
  <si>
    <t>Rucker, Michael</t>
  </si>
  <si>
    <t>Milone, Tommy</t>
  </si>
  <si>
    <t>Rodriguez, Jefry</t>
  </si>
  <si>
    <t>Topa, Justin</t>
  </si>
  <si>
    <t>De Los Santos, Enyel</t>
  </si>
  <si>
    <t>Choi, Ji-Man</t>
  </si>
  <si>
    <t>Urías, Ramón</t>
  </si>
  <si>
    <t>Hale, David</t>
  </si>
  <si>
    <t>Thornton, Trent</t>
  </si>
  <si>
    <t>La Stella, Tommy</t>
  </si>
  <si>
    <t>López, Yoan</t>
  </si>
  <si>
    <t>Moreland, Mitch</t>
  </si>
  <si>
    <t>Lowther, Zac</t>
  </si>
  <si>
    <t>Hart, Kyle</t>
  </si>
  <si>
    <t>Zuber, Tyler</t>
  </si>
  <si>
    <t>Wade, Tyler</t>
  </si>
  <si>
    <t>2B,3B,SS,CF</t>
  </si>
  <si>
    <t>Castro, Harold</t>
  </si>
  <si>
    <t>1B,2B,3B,SS</t>
  </si>
  <si>
    <t>Espinal, Santiago</t>
  </si>
  <si>
    <t>Newcomb, Sean</t>
  </si>
  <si>
    <t>Greene, Conner</t>
  </si>
  <si>
    <t>Kay, Anthony</t>
  </si>
  <si>
    <t>Hernandez, Yadiel</t>
  </si>
  <si>
    <t>Brewer, Colten</t>
  </si>
  <si>
    <t>Hartlieb, Geoff</t>
  </si>
  <si>
    <t>Ponce de Leon, Daniel</t>
  </si>
  <si>
    <t>Arihara, Kohei</t>
  </si>
  <si>
    <t>Tomlin, Josh</t>
  </si>
  <si>
    <t>Slegers, Aaron</t>
  </si>
  <si>
    <t>Mills, Wyatt</t>
  </si>
  <si>
    <t>Bowden, Ben</t>
  </si>
  <si>
    <t>Miller, Shelby</t>
  </si>
  <si>
    <t>Feliz, Michael</t>
  </si>
  <si>
    <t>Garrett, Braxton</t>
  </si>
  <si>
    <t>Vest, Will</t>
  </si>
  <si>
    <t>Teheran, Julio</t>
  </si>
  <si>
    <t>Fernández, Junior</t>
  </si>
  <si>
    <t>Sceroler, Mac</t>
  </si>
  <si>
    <t>Naughton, Packy</t>
  </si>
  <si>
    <t>Weathers, Ryan</t>
  </si>
  <si>
    <t>Odor, Rougned</t>
  </si>
  <si>
    <t>Ward, Taylor</t>
  </si>
  <si>
    <t>Díaz, Aledmys</t>
  </si>
  <si>
    <t>1B,2B,3B,SS,LF</t>
  </si>
  <si>
    <t>Gamel, Ben</t>
  </si>
  <si>
    <t>Bettinger, Alec</t>
  </si>
  <si>
    <t>Yamamoto, Jordan</t>
  </si>
  <si>
    <t>Nelson, Nick</t>
  </si>
  <si>
    <t>Mills, Alec</t>
  </si>
  <si>
    <t>Heyward, Jason</t>
  </si>
  <si>
    <t>Eshelman, Thomas</t>
  </si>
  <si>
    <t>Garcia, Bryan</t>
  </si>
  <si>
    <t>Weber, Ryan</t>
  </si>
  <si>
    <t>Roark, Tanner</t>
  </si>
  <si>
    <t>Megill, Trevor</t>
  </si>
  <si>
    <t>Sosa, Edmundo</t>
  </si>
  <si>
    <t>Holland, Derek</t>
  </si>
  <si>
    <t>Kriske, Brooks</t>
  </si>
  <si>
    <t>Kranick, Max</t>
  </si>
  <si>
    <t>Calhoun, Kole</t>
  </si>
  <si>
    <t>Berti, Jon</t>
  </si>
  <si>
    <t>Voth, Austin</t>
  </si>
  <si>
    <t>Lawrence, Justin</t>
  </si>
  <si>
    <t>Wade, Konner</t>
  </si>
  <si>
    <t>Zimmerman, Ryan</t>
  </si>
  <si>
    <t>Pérez, Martín</t>
  </si>
  <si>
    <t>Goodwin, Brian</t>
  </si>
  <si>
    <t>Davis, J.D.</t>
  </si>
  <si>
    <t>Workman, Brandon</t>
  </si>
  <si>
    <t>Castro, Starlin</t>
  </si>
  <si>
    <t>Engel, Adam</t>
  </si>
  <si>
    <t>Farmer, Buck</t>
  </si>
  <si>
    <t>Ginkel, Kevin</t>
  </si>
  <si>
    <t>Frankoff, Seth</t>
  </si>
  <si>
    <t>Otto, Glenn</t>
  </si>
  <si>
    <t>Lindblom, Josh</t>
  </si>
  <si>
    <t>Wilson, Bryse</t>
  </si>
  <si>
    <t>Jansen, Danny</t>
  </si>
  <si>
    <t>Mejía, Humberto</t>
  </si>
  <si>
    <t>Duplantier, Jon</t>
  </si>
  <si>
    <t>Allen, Logan</t>
  </si>
  <si>
    <t>Barnes, Charlie</t>
  </si>
  <si>
    <t>Fraley, Jake</t>
  </si>
  <si>
    <t>Alfaro, Jorge</t>
  </si>
  <si>
    <t>Peacock, Matt</t>
  </si>
  <si>
    <t>Almonte, Yency</t>
  </si>
  <si>
    <t>De León, José</t>
  </si>
  <si>
    <t>Jax, Griffin</t>
  </si>
  <si>
    <t>Eickhoff, Jerad</t>
  </si>
  <si>
    <t>García, Edgar</t>
  </si>
  <si>
    <t>Wells, Alexander</t>
  </si>
  <si>
    <t>LeBlanc, Wade</t>
  </si>
  <si>
    <t>Hoffman, Jeff</t>
  </si>
  <si>
    <t>Burrows, Beau</t>
  </si>
  <si>
    <t>Blackburn, Paul</t>
  </si>
  <si>
    <t>Godley, Zack</t>
  </si>
  <si>
    <t>Williams, Trevor</t>
  </si>
  <si>
    <t>Stewart, DJ</t>
  </si>
  <si>
    <t>Lynch, Daniel</t>
  </si>
  <si>
    <t>Eaton, Adam</t>
  </si>
  <si>
    <t>Smith, Riley</t>
  </si>
  <si>
    <t>Wacha, Michael</t>
  </si>
  <si>
    <t>Newman, Kevin</t>
  </si>
  <si>
    <t>Guenther, Sean</t>
  </si>
  <si>
    <t>Hess, David</t>
  </si>
  <si>
    <t>De Jong, Chase</t>
  </si>
  <si>
    <t>Fuentes, Joshua</t>
  </si>
  <si>
    <t>Mercedes, Yermín</t>
  </si>
  <si>
    <t>Martin, Corbin</t>
  </si>
  <si>
    <t>Caratini, Victor</t>
  </si>
  <si>
    <t>Dubón, Mauricio</t>
  </si>
  <si>
    <t>Clay, Sam</t>
  </si>
  <si>
    <t>Guerra, Junior</t>
  </si>
  <si>
    <t>Mayfield, Jack</t>
  </si>
  <si>
    <t>Ponce, Cody</t>
  </si>
  <si>
    <t>Ibáñez, Andy</t>
  </si>
  <si>
    <t>García, Luis</t>
  </si>
  <si>
    <t>Brinson, Lewis</t>
  </si>
  <si>
    <t>Chang, Yu</t>
  </si>
  <si>
    <t>1B,3B,SS</t>
  </si>
  <si>
    <t>Sheets, Gavin</t>
  </si>
  <si>
    <t>Anderson, Shaun</t>
  </si>
  <si>
    <t>Daza, Yonathan</t>
  </si>
  <si>
    <t>Torreyes, Ronald</t>
  </si>
  <si>
    <t>Lagares, Juan</t>
  </si>
  <si>
    <t>Mejía, Francisco</t>
  </si>
  <si>
    <t>Benjamin, Wes</t>
  </si>
  <si>
    <t>Webb, Tyler</t>
  </si>
  <si>
    <t>Pinder, Chad</t>
  </si>
  <si>
    <t>Bote, David</t>
  </si>
  <si>
    <t>Vogelbach, Daniel</t>
  </si>
  <si>
    <t>Naylor, Josh</t>
  </si>
  <si>
    <t>Oviedo, Johan</t>
  </si>
  <si>
    <t>Arroyo, Christian</t>
  </si>
  <si>
    <t>Manning, Matt</t>
  </si>
  <si>
    <t>Oviedo, Luis</t>
  </si>
  <si>
    <t>Shaw, Travis</t>
  </si>
  <si>
    <t>Meyers, Jake</t>
  </si>
  <si>
    <t>Fedde, Erick</t>
  </si>
  <si>
    <t>Peters, DJ</t>
  </si>
  <si>
    <t>Dobnak, Randy</t>
  </si>
  <si>
    <t>Keller, Brad</t>
  </si>
  <si>
    <t>Bradley Jr., Jackie</t>
  </si>
  <si>
    <t>Adrianza, Ehire</t>
  </si>
  <si>
    <t>3B,LF,RF</t>
  </si>
  <si>
    <t>Keuchel, Dallas</t>
  </si>
  <si>
    <t>Jeffers, Ryan</t>
  </si>
  <si>
    <t>Stevenson, Andrew</t>
  </si>
  <si>
    <t>Piña, Manny</t>
  </si>
  <si>
    <t>Gordon, Nick</t>
  </si>
  <si>
    <t>Richards, Garrett</t>
  </si>
  <si>
    <t>Heredia, Guillermo</t>
  </si>
  <si>
    <t>Estrada, Thairo</t>
  </si>
  <si>
    <t>Anderson, Chase</t>
  </si>
  <si>
    <t>Plawecki, Kevin</t>
  </si>
  <si>
    <t>Reddick, Josh</t>
  </si>
  <si>
    <t>Dugger, Robert</t>
  </si>
  <si>
    <t>Simmons, Andrelton</t>
  </si>
  <si>
    <t>Hamilton, Billy</t>
  </si>
  <si>
    <t>Frazier, Clint</t>
  </si>
  <si>
    <t>de Geus, Brett</t>
  </si>
  <si>
    <t>Culberson, Charlie</t>
  </si>
  <si>
    <t>3B,LF</t>
  </si>
  <si>
    <t>Barnes, Austin</t>
  </si>
  <si>
    <t>Happ, J.A.</t>
  </si>
  <si>
    <t>Mateo, Jorge</t>
  </si>
  <si>
    <t>2B,SS,CF</t>
  </si>
  <si>
    <t>Trevino, Jose</t>
  </si>
  <si>
    <t>Luplow, Jordan</t>
  </si>
  <si>
    <t>De La Cruz, Bryan</t>
  </si>
  <si>
    <t>Marsh, Brandon</t>
  </si>
  <si>
    <t>Foltynewicz, Mike</t>
  </si>
  <si>
    <t>Difo, Wilmer</t>
  </si>
  <si>
    <t>2B,3B,RF</t>
  </si>
  <si>
    <t>Allard, Kolby</t>
  </si>
  <si>
    <t>Sierra, Magneuris</t>
  </si>
  <si>
    <t>Mercado, Oscar</t>
  </si>
  <si>
    <t>Hiura, Keston</t>
  </si>
  <si>
    <t>O'Hearn, Ryan</t>
  </si>
  <si>
    <t>Kim, Ha-Seong</t>
  </si>
  <si>
    <t>Moore, Matt</t>
  </si>
  <si>
    <t>Marisnick, Jake</t>
  </si>
  <si>
    <t>Piscotty, Stephen</t>
  </si>
  <si>
    <t>Murphy, Tom</t>
  </si>
  <si>
    <t>Castro, Jason</t>
  </si>
  <si>
    <t>Maldonado, Martín</t>
  </si>
  <si>
    <t>Brosseau, Mike</t>
  </si>
  <si>
    <t>Gonzalez, Marwin</t>
  </si>
  <si>
    <t>Aquino, Aristides</t>
  </si>
  <si>
    <t>Lester, Jon</t>
  </si>
  <si>
    <t>VanMeter, Josh</t>
  </si>
  <si>
    <t>Quintana, José</t>
  </si>
  <si>
    <t>Chavis, Michael</t>
  </si>
  <si>
    <t>Valaika, Pat</t>
  </si>
  <si>
    <t>Hill, Derek</t>
  </si>
  <si>
    <t>Hicks, Aaron</t>
  </si>
  <si>
    <t>Larnach, Trevor</t>
  </si>
  <si>
    <t>Young, Alex</t>
  </si>
  <si>
    <t>Alford, Anthony</t>
  </si>
  <si>
    <t>Ramos, Wilson</t>
  </si>
  <si>
    <t>Nuñez, Dom</t>
  </si>
  <si>
    <t>Higashioka, Kyle</t>
  </si>
  <si>
    <t>Mejía, J.C.</t>
  </si>
  <si>
    <t>Martínez, Carlos</t>
  </si>
  <si>
    <t>McKinstry, Zach</t>
  </si>
  <si>
    <t>González, Erik</t>
  </si>
  <si>
    <t>Howard, Spencer</t>
  </si>
  <si>
    <t>Casali, Curt</t>
  </si>
  <si>
    <t>Arcia, Orlando</t>
  </si>
  <si>
    <t>Schrock, Max</t>
  </si>
  <si>
    <t>Velasquez, Vince</t>
  </si>
  <si>
    <t>Canó, Robinson</t>
  </si>
  <si>
    <t>Peraza, José</t>
  </si>
  <si>
    <t>Jankowski, Travis</t>
  </si>
  <si>
    <t>Dyson, Jarrod</t>
  </si>
  <si>
    <t>Suzuki, Kurt</t>
  </si>
  <si>
    <t>Heim, Jonah</t>
  </si>
  <si>
    <t>Olivares, Edward</t>
  </si>
  <si>
    <t>Kremer, Dean</t>
  </si>
  <si>
    <t>McKinney, Billy</t>
  </si>
  <si>
    <t>Lamb, Jake</t>
  </si>
  <si>
    <t>Andújar, Miguel</t>
  </si>
  <si>
    <t>Astudillo, Willians</t>
  </si>
  <si>
    <t>C,1B,3B</t>
  </si>
  <si>
    <t>Taveras, Leody</t>
  </si>
  <si>
    <t>Contreras, William</t>
  </si>
  <si>
    <t>Rogers, Jake</t>
  </si>
  <si>
    <t>Rooker, Brent</t>
  </si>
  <si>
    <t>Sheffield, Justus</t>
  </si>
  <si>
    <t>Watkins, Spenser</t>
  </si>
  <si>
    <t>Davies, Zach</t>
  </si>
  <si>
    <t>Kieboom, Carter</t>
  </si>
  <si>
    <t>Hedges, Austin</t>
  </si>
  <si>
    <t>Rojas, Jose</t>
  </si>
  <si>
    <t>Nootbaar, Lars</t>
  </si>
  <si>
    <t>Alcántara, Sergio</t>
  </si>
  <si>
    <t>Holt, Brock</t>
  </si>
  <si>
    <t>Cameron, Daz</t>
  </si>
  <si>
    <t>Evans, Phillip</t>
  </si>
  <si>
    <t>Siri, Jose</t>
  </si>
  <si>
    <t>Owings, Chris</t>
  </si>
  <si>
    <t>Shoemaker, Matt</t>
  </si>
  <si>
    <t>Tucker, Cole</t>
  </si>
  <si>
    <t>2B,SS,RF</t>
  </si>
  <si>
    <t>Collins, Zack</t>
  </si>
  <si>
    <t>Sogard, Eric</t>
  </si>
  <si>
    <t>Bauers, Jake</t>
  </si>
  <si>
    <t>Haggerty, Sam</t>
  </si>
  <si>
    <t>Kowar, Jackson</t>
  </si>
  <si>
    <t>Maton, Nick</t>
  </si>
  <si>
    <t>Locastro, Tim</t>
  </si>
  <si>
    <t>Rengifo, Luis</t>
  </si>
  <si>
    <t>3B,SS,RF</t>
  </si>
  <si>
    <t>Almonte, Abraham</t>
  </si>
  <si>
    <t>Quinn, Roman</t>
  </si>
  <si>
    <t>Refsnyder, Rob</t>
  </si>
  <si>
    <t>Hernandez, Yonny</t>
  </si>
  <si>
    <t>Vogt, Stephen</t>
  </si>
  <si>
    <t>Vierling, Matt</t>
  </si>
  <si>
    <t>1B,CF</t>
  </si>
  <si>
    <t>Lyles, Jordan</t>
  </si>
  <si>
    <t>Santana, Danny</t>
  </si>
  <si>
    <t>Hentges, Sam</t>
  </si>
  <si>
    <t>Long Jr., Shed</t>
  </si>
  <si>
    <t>Guillorme, Luis</t>
  </si>
  <si>
    <t>Jones, JaCoby</t>
  </si>
  <si>
    <t>Rondón, José</t>
  </si>
  <si>
    <t>Young, Andrew</t>
  </si>
  <si>
    <t>Inciarte, Ender</t>
  </si>
  <si>
    <t>Martin, Jason</t>
  </si>
  <si>
    <t>Akiyama, Shogo</t>
  </si>
  <si>
    <t>Mendick, Danny</t>
  </si>
  <si>
    <t>Nido, Tomás</t>
  </si>
  <si>
    <t>Isbel, Kyle</t>
  </si>
  <si>
    <t>Garlick, Kyle</t>
  </si>
  <si>
    <t>White, Eli</t>
  </si>
  <si>
    <t>Velazquez, Andrew</t>
  </si>
  <si>
    <t>Dahl, David</t>
  </si>
  <si>
    <t>Chirinos, Robinson</t>
  </si>
  <si>
    <t>Allen, Greg</t>
  </si>
  <si>
    <t>Crowe, Wil</t>
  </si>
  <si>
    <t>Trammell, Taylor</t>
  </si>
  <si>
    <t>Mazara, Nomar</t>
  </si>
  <si>
    <t>Jones, Taylor</t>
  </si>
  <si>
    <t>Díaz, Lewin</t>
  </si>
  <si>
    <t>Carpenter, Matt</t>
  </si>
  <si>
    <t>Gutierrez, Kelvin</t>
  </si>
  <si>
    <t>Panik, Joe</t>
  </si>
  <si>
    <t>Cave, Jake</t>
  </si>
  <si>
    <t>DeShields, Delino</t>
  </si>
  <si>
    <t>Thompson, Trayce</t>
  </si>
  <si>
    <t>Drury, Brandon</t>
  </si>
  <si>
    <t>Valera, Breyvic</t>
  </si>
  <si>
    <t>Garneau, Dustin</t>
  </si>
  <si>
    <t>Ureña, José</t>
  </si>
  <si>
    <t>Kemp, Matt</t>
  </si>
  <si>
    <t>Reyes, Pablo</t>
  </si>
  <si>
    <t>Walls, Taylor</t>
  </si>
  <si>
    <t>Fortes, Nick</t>
  </si>
  <si>
    <t>Fowler, Dexter</t>
  </si>
  <si>
    <t>Zavala, Seby</t>
  </si>
  <si>
    <t>McGuire, Reese</t>
  </si>
  <si>
    <t>Parra, Gerardo</t>
  </si>
  <si>
    <t>Miller, Owen</t>
  </si>
  <si>
    <t>Rivera, Emmanuel</t>
  </si>
  <si>
    <t>Gallagher, Cam</t>
  </si>
  <si>
    <t>Mercer, Jordy</t>
  </si>
  <si>
    <t>Clement, Ernie</t>
  </si>
  <si>
    <t>Davis, Khris</t>
  </si>
  <si>
    <t>Akin, Keegan</t>
  </si>
  <si>
    <t>Araúz, Jonathan</t>
  </si>
  <si>
    <t>McCarthy, Jake</t>
  </si>
  <si>
    <t>Pozo, Yohel</t>
  </si>
  <si>
    <t>Barrera, Tres</t>
  </si>
  <si>
    <t>Nogowski, John</t>
  </si>
  <si>
    <t>Davis, Jonathan</t>
  </si>
  <si>
    <t>Hicks, John</t>
  </si>
  <si>
    <t>Park, Hoy</t>
  </si>
  <si>
    <t>Nottingham, Jacob</t>
  </si>
  <si>
    <t>Keller, Mitch</t>
  </si>
  <si>
    <t>Romine, Austin</t>
  </si>
  <si>
    <t>Sandoval, Pablo</t>
  </si>
  <si>
    <t>Vosler, Jason</t>
  </si>
  <si>
    <t>Lopes, Tim</t>
  </si>
  <si>
    <t>Short, Zack</t>
  </si>
  <si>
    <t>Díaz, Isan</t>
  </si>
  <si>
    <t>Adams, Riley</t>
  </si>
  <si>
    <t>Kipnis, Jason</t>
  </si>
  <si>
    <t>White, Evan</t>
  </si>
  <si>
    <t>Greiner, Grayson</t>
  </si>
  <si>
    <t>Rivas, Alfonso</t>
  </si>
  <si>
    <t>Williams, Luke</t>
  </si>
  <si>
    <t>Tromp, Chadwick</t>
  </si>
  <si>
    <t>Encarnación, Edwin</t>
  </si>
  <si>
    <t>Rivera, René</t>
  </si>
  <si>
    <t>Joyce, Matt</t>
  </si>
  <si>
    <t>Marchán, Rafael</t>
  </si>
  <si>
    <t>Johnson, Daniel</t>
  </si>
  <si>
    <t>Cordero, Franchy</t>
  </si>
  <si>
    <t>Castro, Rodolfo</t>
  </si>
  <si>
    <t>Friedl, TJ</t>
  </si>
  <si>
    <t>Hermosillo, Michael</t>
  </si>
  <si>
    <t>Alvarez, Eddy</t>
  </si>
  <si>
    <t>Tejeda, Anderson</t>
  </si>
  <si>
    <t>McKenna, Ryan</t>
  </si>
  <si>
    <t>Martin, Richie</t>
  </si>
  <si>
    <t>Ríos, Edwin</t>
  </si>
  <si>
    <t>Dietrich, Derek</t>
  </si>
  <si>
    <t>Dean, Austin</t>
  </si>
  <si>
    <t>Guzmán, Ronald</t>
  </si>
  <si>
    <t>Walton, Donovan</t>
  </si>
  <si>
    <t>Smoak, Justin</t>
  </si>
  <si>
    <t>Bart, Joey</t>
  </si>
  <si>
    <t>Maile, Luke</t>
  </si>
  <si>
    <t>Pérez, Roberto</t>
  </si>
  <si>
    <t>Florial, Estevan</t>
  </si>
  <si>
    <t>Huff, Sam</t>
  </si>
  <si>
    <t>Knapp, Andrew</t>
  </si>
  <si>
    <t>Devers, José</t>
  </si>
  <si>
    <t>LaMarre, Ryan</t>
  </si>
  <si>
    <t>Bemboom, Anthony</t>
  </si>
  <si>
    <t>Garcia, Aramis</t>
  </si>
  <si>
    <t>Haseley, Adam</t>
  </si>
  <si>
    <t>Rivas, Webster</t>
  </si>
  <si>
    <t>Bonifacio, Jorge</t>
  </si>
  <si>
    <t>Burger, Jake</t>
  </si>
  <si>
    <t>Harrison, Monte</t>
  </si>
  <si>
    <t>Fargas, Johneshwy</t>
  </si>
  <si>
    <t>Thames, Eric</t>
  </si>
  <si>
    <t>Paredes, Isaac</t>
  </si>
  <si>
    <t>Nevin, Tyler</t>
  </si>
  <si>
    <t>Fisher, Derek</t>
  </si>
  <si>
    <t>Robertson, Daniel</t>
  </si>
  <si>
    <t>Muñoz, Yairo</t>
  </si>
  <si>
    <t>Trejo, Alan</t>
  </si>
  <si>
    <t>Strange-Gordon, Dee</t>
  </si>
  <si>
    <t>Blandino, Alex</t>
  </si>
  <si>
    <t>González, Chi Chi</t>
  </si>
  <si>
    <t>Marrero, Deven</t>
  </si>
  <si>
    <t>Corbin, Patrick</t>
  </si>
  <si>
    <t>Mathisen, Wyatt</t>
  </si>
  <si>
    <t>Davidson, Matt</t>
  </si>
  <si>
    <t>Lucroy, Jonathan</t>
  </si>
  <si>
    <t>Palacios, Josh</t>
  </si>
  <si>
    <t>Garcia, Greg</t>
  </si>
  <si>
    <t>Jay, Jon</t>
  </si>
  <si>
    <t>Sánchez, Yolmer</t>
  </si>
  <si>
    <t>Perez, Michael</t>
  </si>
  <si>
    <t>Martínez, José</t>
  </si>
  <si>
    <t>Neuse, Sheldon</t>
  </si>
  <si>
    <t>Allen, Austin</t>
  </si>
  <si>
    <t>Perdomo, Geraldo</t>
  </si>
  <si>
    <t>Sanchez, Adrián</t>
  </si>
  <si>
    <t>Freeman, Mike</t>
  </si>
  <si>
    <t>Wong, Connor</t>
  </si>
  <si>
    <t>Kivlehan, Patrick</t>
  </si>
  <si>
    <t>Gonzalez, Romy</t>
  </si>
  <si>
    <t>Blankenhorn, Travis</t>
  </si>
  <si>
    <t>Mathias, Mark</t>
  </si>
  <si>
    <t>Básabe, Luis</t>
  </si>
  <si>
    <t>Wallach, Chad</t>
  </si>
  <si>
    <t>Oliva, Jared</t>
  </si>
  <si>
    <t>De Goti, Alex</t>
  </si>
  <si>
    <t>Oña, Jorge</t>
  </si>
  <si>
    <t>Rortvedt, Ben</t>
  </si>
  <si>
    <t>Welker, Colton</t>
  </si>
  <si>
    <t>Camargo, Johan</t>
  </si>
  <si>
    <t>Adams, Matt</t>
  </si>
  <si>
    <t>Williams, Justin</t>
  </si>
  <si>
    <t>Souza Jr., Steven</t>
  </si>
  <si>
    <t>Maybin, Cameron</t>
  </si>
  <si>
    <t>Céspedes, Yoenis</t>
  </si>
  <si>
    <t>Stewart, Christin</t>
  </si>
  <si>
    <t>Ford, Mike</t>
  </si>
  <si>
    <t>Marcano, Tucupita</t>
  </si>
  <si>
    <t>Lopez, Alejo</t>
  </si>
  <si>
    <t>Sisco, Chance</t>
  </si>
  <si>
    <t>Barrero, Jose</t>
  </si>
  <si>
    <t>Bishop, Braden</t>
  </si>
  <si>
    <t>Wolters, Tony</t>
  </si>
  <si>
    <t>Motter, Taylor</t>
  </si>
  <si>
    <t>Demeritte, Travis</t>
  </si>
  <si>
    <t>Noll, Jake</t>
  </si>
  <si>
    <t>Joseph, Caleb</t>
  </si>
  <si>
    <t>Burns, Andy</t>
  </si>
  <si>
    <t>Vargas, Ildemaro</t>
  </si>
  <si>
    <t>González, Luis</t>
  </si>
  <si>
    <t>Knizner, Andrew</t>
  </si>
  <si>
    <t>Mathis, Jeff</t>
  </si>
  <si>
    <t>Riddle, JT</t>
  </si>
  <si>
    <t>Reetz, Jakson</t>
  </si>
  <si>
    <t>Lavarnway, Ryan</t>
  </si>
  <si>
    <t>Raley, Luke</t>
  </si>
  <si>
    <t>Mazeika, Patrick</t>
  </si>
  <si>
    <t>Lorenzen (Batter), Michael</t>
  </si>
  <si>
    <t>Núñez, Eduardo</t>
  </si>
  <si>
    <t>León, Sandy</t>
  </si>
  <si>
    <t>Wieters, Matt</t>
  </si>
  <si>
    <t>Soto, Elliot</t>
  </si>
  <si>
    <t>Dawson, Ronnie</t>
  </si>
  <si>
    <t>Castillo, Ivan</t>
  </si>
  <si>
    <t>Puello, César</t>
  </si>
  <si>
    <t>Davis, Taylor</t>
  </si>
  <si>
    <t>Thomas, Dillon</t>
  </si>
  <si>
    <t>Campbell, Eric</t>
  </si>
  <si>
    <t>Miller, Brian</t>
  </si>
  <si>
    <t>Fairchild, Stuart</t>
  </si>
  <si>
    <t>Feliciano, Mario</t>
  </si>
  <si>
    <t>Tom, Ka'ai</t>
  </si>
  <si>
    <t>Ervin, Phillip</t>
  </si>
  <si>
    <t>Marté, Luis</t>
  </si>
  <si>
    <t>Andreoli, John</t>
  </si>
  <si>
    <t>Stokes Jr., Troy</t>
  </si>
  <si>
    <t>Barrera, Luis</t>
  </si>
  <si>
    <t>Grullón, Deivy</t>
  </si>
  <si>
    <t>Navarreto, Brian</t>
  </si>
  <si>
    <t>Morrison, Logan</t>
  </si>
  <si>
    <t>Barreto, Franklin</t>
  </si>
  <si>
    <t>Sánchez, Ali</t>
  </si>
  <si>
    <t>Heineman, Tyler</t>
  </si>
  <si>
    <t>Holaday, Bryan</t>
  </si>
  <si>
    <t>Thaiss, Matt</t>
  </si>
  <si>
    <t>Whitefield, Aaron</t>
  </si>
  <si>
    <t>Goins, Ryan</t>
  </si>
  <si>
    <t>Rivera, Yadiel</t>
  </si>
  <si>
    <t>Ray, Corey</t>
  </si>
  <si>
    <t>Davis, Jaylin</t>
  </si>
  <si>
    <t>Lavastida, Bryan</t>
  </si>
  <si>
    <t>Hicklen, Brewer</t>
  </si>
  <si>
    <t>De La Rosa, Jeremy</t>
  </si>
  <si>
    <t>Cannon, Cameron</t>
  </si>
  <si>
    <t>Mauricio, Ronny</t>
  </si>
  <si>
    <t>McKenna, Alex</t>
  </si>
  <si>
    <t>Cortes, Carlos</t>
  </si>
  <si>
    <t>Calabrese, David</t>
  </si>
  <si>
    <t>Bird, Greg</t>
  </si>
  <si>
    <t>Kreidler, Ryan</t>
  </si>
  <si>
    <t>Rodriguez, Endy</t>
  </si>
  <si>
    <t>Chatham, C.J.</t>
  </si>
  <si>
    <t>Lewis, Royce</t>
  </si>
  <si>
    <t>Johnson, Osiris</t>
  </si>
  <si>
    <t>Johnson, Ivan</t>
  </si>
  <si>
    <t>Zavala, Aaron</t>
  </si>
  <si>
    <t>Perez, Junior</t>
  </si>
  <si>
    <t>Miranda, Jose</t>
  </si>
  <si>
    <t>Curbelo, Luis</t>
  </si>
  <si>
    <t>Turang, Brice</t>
  </si>
  <si>
    <t>Allen, Jay</t>
  </si>
  <si>
    <t>Conine, Griffin</t>
  </si>
  <si>
    <t>Jackson, Drew</t>
  </si>
  <si>
    <t>Peterson, Dustin</t>
  </si>
  <si>
    <t>Rivera, Laz</t>
  </si>
  <si>
    <t>Edwards, Xavier</t>
  </si>
  <si>
    <t>Arteaga, Aeverson</t>
  </si>
  <si>
    <t>Pomares, Jairo</t>
  </si>
  <si>
    <t>Asuaje, Carlos</t>
  </si>
  <si>
    <t>Abreu, Pablo</t>
  </si>
  <si>
    <t>Morrobel, Yeison</t>
  </si>
  <si>
    <t>Morel, Christopher</t>
  </si>
  <si>
    <t>Cerda, Allan</t>
  </si>
  <si>
    <t>Breaux, Josh</t>
  </si>
  <si>
    <t>Fermin, Freddy</t>
  </si>
  <si>
    <t>Sabato, Aaron</t>
  </si>
  <si>
    <t>McKay (Batter), Brendan</t>
  </si>
  <si>
    <t>Keith, Colt</t>
  </si>
  <si>
    <t>Mundell, Brian</t>
  </si>
  <si>
    <t>Kelley, Christian</t>
  </si>
  <si>
    <t>Freeman, Tyler</t>
  </si>
  <si>
    <t>Salas, Jose</t>
  </si>
  <si>
    <t>Mead, Curtis</t>
  </si>
  <si>
    <t>Canning, Gage</t>
  </si>
  <si>
    <t>Sweeney, Trey</t>
  </si>
  <si>
    <t>Arroyo, Edwin</t>
  </si>
  <si>
    <t>Keenan, Tyler</t>
  </si>
  <si>
    <t>Arias, Gabriel</t>
  </si>
  <si>
    <t>Goodman, Hunter</t>
  </si>
  <si>
    <t>Sanchez, Jose</t>
  </si>
  <si>
    <t>Vargas, Alexander</t>
  </si>
  <si>
    <t>Garcia, Yhoswar</t>
  </si>
  <si>
    <t>Del Castillo, Adrian</t>
  </si>
  <si>
    <t>Muzziotti, Simón</t>
  </si>
  <si>
    <t>Green, Zach</t>
  </si>
  <si>
    <t>Cabrera, Melky</t>
  </si>
  <si>
    <t>Howard, Ed</t>
  </si>
  <si>
    <t>Durán, Rodolfo</t>
  </si>
  <si>
    <t>Hannah, Jameson</t>
  </si>
  <si>
    <t>Erceg, Lucas</t>
  </si>
  <si>
    <t>Stassi, Brock</t>
  </si>
  <si>
    <t>Wilson, Marcus</t>
  </si>
  <si>
    <t>Paris, Kyren</t>
  </si>
  <si>
    <t>Rivas, Leonardo</t>
  </si>
  <si>
    <t>Ramos, Jose</t>
  </si>
  <si>
    <t>Franklin, Jesse</t>
  </si>
  <si>
    <t>Davis, Brendon</t>
  </si>
  <si>
    <t>Nuñez, Malcolm</t>
  </si>
  <si>
    <t>Reinheimer, Jack</t>
  </si>
  <si>
    <t>Montgomery, Benny</t>
  </si>
  <si>
    <t>Papierski, Michael</t>
  </si>
  <si>
    <t>Waters, Drew</t>
  </si>
  <si>
    <t>Bailey, Benyamin</t>
  </si>
  <si>
    <t>Encarnación, Jerar</t>
  </si>
  <si>
    <t>Hall, Adam</t>
  </si>
  <si>
    <t>Amador, Adael</t>
  </si>
  <si>
    <t>Casas, Triston</t>
  </si>
  <si>
    <t>Velázquez, Nelson</t>
  </si>
  <si>
    <t>Valera, George</t>
  </si>
  <si>
    <t>McLain, Matt</t>
  </si>
  <si>
    <t>Holgate, Ryan</t>
  </si>
  <si>
    <t>Hanson, Alen</t>
  </si>
  <si>
    <t>Bandy, Jett</t>
  </si>
  <si>
    <t>Valenzuela, Brandon</t>
  </si>
  <si>
    <t>Frelick, Sal</t>
  </si>
  <si>
    <t>Wood, James</t>
  </si>
  <si>
    <t>Toglia, Michael</t>
  </si>
  <si>
    <t>Brown, Logan</t>
  </si>
  <si>
    <t>Barber, Colin</t>
  </si>
  <si>
    <t>Rivera, T.J.</t>
  </si>
  <si>
    <t>Lee, Braxton</t>
  </si>
  <si>
    <t>Alcantara, Kevin</t>
  </si>
  <si>
    <t>Deveaux, Trent</t>
  </si>
  <si>
    <t>García, David</t>
  </si>
  <si>
    <t>Dewees, Donnie</t>
  </si>
  <si>
    <t>Greene, Riley</t>
  </si>
  <si>
    <t>Veen, Zac</t>
  </si>
  <si>
    <t>Jenista, Greyson</t>
  </si>
  <si>
    <t>Acosta, Victor</t>
  </si>
  <si>
    <t>Westburg, Jordan</t>
  </si>
  <si>
    <t>Reed, Buddy</t>
  </si>
  <si>
    <t>Shewmake, Braden</t>
  </si>
  <si>
    <t>Lee, Korey</t>
  </si>
  <si>
    <t>Rodriguez, David</t>
  </si>
  <si>
    <t>Fernandez, Vince</t>
  </si>
  <si>
    <t>Morgan, Joey</t>
  </si>
  <si>
    <t>Hernandez, Maikol</t>
  </si>
  <si>
    <t>Querecuto, Juan</t>
  </si>
  <si>
    <t>Gamboa, Arquimedes</t>
  </si>
  <si>
    <t>Schwartz, JT</t>
  </si>
  <si>
    <t>Peterson, D.J.</t>
  </si>
  <si>
    <t>Melendez, MJ</t>
  </si>
  <si>
    <t>Vargas, Yerdel</t>
  </si>
  <si>
    <t>Gettys, Michael</t>
  </si>
  <si>
    <t>Valdez, Malvin</t>
  </si>
  <si>
    <t>Aranda, Jonathan</t>
  </si>
  <si>
    <t>Cecchini, Gavin</t>
  </si>
  <si>
    <t>Baez, Joshua</t>
  </si>
  <si>
    <t>Mears, Joshua</t>
  </si>
  <si>
    <t>Peña, Francisco</t>
  </si>
  <si>
    <t>Smith, Josh</t>
  </si>
  <si>
    <t>Pineda, Israel</t>
  </si>
  <si>
    <t>Haskin, Hudson</t>
  </si>
  <si>
    <t>Buelvas, Brayan</t>
  </si>
  <si>
    <t>Santana, Luis</t>
  </si>
  <si>
    <t>Wilson, Will</t>
  </si>
  <si>
    <t>Miller, Noah</t>
  </si>
  <si>
    <t>McDonough, Tyler</t>
  </si>
  <si>
    <t>Luciano, Marco</t>
  </si>
  <si>
    <t>Ruiz, Esteury</t>
  </si>
  <si>
    <t>Rodriguez, Carlos</t>
  </si>
  <si>
    <t>Acosta, Maximo</t>
  </si>
  <si>
    <t>Bautista, Rafael</t>
  </si>
  <si>
    <t>Martinez, Orelvis</t>
  </si>
  <si>
    <t>Quintana, Roismar</t>
  </si>
  <si>
    <t>Vogel, Jake</t>
  </si>
  <si>
    <t>Montero, Elehuris</t>
  </si>
  <si>
    <t>Colmenares, Carlos</t>
  </si>
  <si>
    <t>Hinds, Rece</t>
  </si>
  <si>
    <t>Pompey, Tristan</t>
  </si>
  <si>
    <t>Jordan, Blaze</t>
  </si>
  <si>
    <t>Machado, Dixon</t>
  </si>
  <si>
    <t>Díaz, Jordan</t>
  </si>
  <si>
    <t>Hernandez, Heriberto</t>
  </si>
  <si>
    <t>Harris, Dustin</t>
  </si>
  <si>
    <t>Antuna, Yasel</t>
  </si>
  <si>
    <t>Céspedes, Yoelqui</t>
  </si>
  <si>
    <t>De Castro, Rikelbin</t>
  </si>
  <si>
    <t>Marte, Noelvi</t>
  </si>
  <si>
    <t>Rodriguez, Jose</t>
  </si>
  <si>
    <t>Cabello, Antonio</t>
  </si>
  <si>
    <t>Proctor, Ford</t>
  </si>
  <si>
    <t>Brown, Dasan</t>
  </si>
  <si>
    <t>Dini, Nick</t>
  </si>
  <si>
    <t>Davis, Brennen</t>
  </si>
  <si>
    <t>Herrera, Iván</t>
  </si>
  <si>
    <t>Sosa, Lenyn</t>
  </si>
  <si>
    <t>Amaya, Jacob</t>
  </si>
  <si>
    <t>Gonzalez, Jacob</t>
  </si>
  <si>
    <t>Bird, Corey</t>
  </si>
  <si>
    <t>Perez, Rickardo</t>
  </si>
  <si>
    <t>Alexander, Blaze</t>
  </si>
  <si>
    <t>Newton, Shervyen</t>
  </si>
  <si>
    <t>Rodríguez, Alberto</t>
  </si>
  <si>
    <t>Beckham, Tim</t>
  </si>
  <si>
    <t>Walker, Steele</t>
  </si>
  <si>
    <t>Bastidas, Abel</t>
  </si>
  <si>
    <t>Winn, Masyn</t>
  </si>
  <si>
    <t>Ureña, Richard</t>
  </si>
  <si>
    <t>Hickey, Nathan</t>
  </si>
  <si>
    <t>Gorman, Nolan</t>
  </si>
  <si>
    <t>Tejada, Rubén</t>
  </si>
  <si>
    <t>Decker, Nick</t>
  </si>
  <si>
    <t>Potts, Hudson</t>
  </si>
  <si>
    <t>Joseph, Corban</t>
  </si>
  <si>
    <t>Ramirez, Alexander</t>
  </si>
  <si>
    <t>Gómez, Moisés</t>
  </si>
  <si>
    <t>Soto, Livan</t>
  </si>
  <si>
    <t>Swaggerty, Travis</t>
  </si>
  <si>
    <t>Guzman, Denzer</t>
  </si>
  <si>
    <t>Campos, Alexander</t>
  </si>
  <si>
    <t>Preciado, Reginald</t>
  </si>
  <si>
    <t>Gray, Joe</t>
  </si>
  <si>
    <t>Walding, Mitch</t>
  </si>
  <si>
    <t>Baron, Steven</t>
  </si>
  <si>
    <t>Diaz, Wilman</t>
  </si>
  <si>
    <t>Schmitt, Casey</t>
  </si>
  <si>
    <t>Conley, Cal</t>
  </si>
  <si>
    <t>Puason, Robert</t>
  </si>
  <si>
    <t>Beard, James</t>
  </si>
  <si>
    <t>Desmond, Ian</t>
  </si>
  <si>
    <t>Valera, Leonel</t>
  </si>
  <si>
    <t>Bannon, Rylan</t>
  </si>
  <si>
    <t>Leonard, Eddys</t>
  </si>
  <si>
    <t>Yerzy, Andy</t>
  </si>
  <si>
    <t>Burleson, Alec</t>
  </si>
  <si>
    <t>Chourio, Jackson</t>
  </si>
  <si>
    <t>Palmer, Jaylen</t>
  </si>
  <si>
    <t>Pinango, Yohendrick</t>
  </si>
  <si>
    <t>Freeman, Ronnie</t>
  </si>
  <si>
    <t>Clarke, Denzel</t>
  </si>
  <si>
    <t>Bliss, Ryan</t>
  </si>
  <si>
    <t>Pena, Erick</t>
  </si>
  <si>
    <t>Mayer, Marcelo</t>
  </si>
  <si>
    <t>Merrell, Kevin</t>
  </si>
  <si>
    <t>Nuñez, Nasim</t>
  </si>
  <si>
    <t>Workman, Gage</t>
  </si>
  <si>
    <t>Alvarez, Francisco</t>
  </si>
  <si>
    <t>Morissette, Cody</t>
  </si>
  <si>
    <t>Hernandez, Adrian</t>
  </si>
  <si>
    <t>Seise, Chris</t>
  </si>
  <si>
    <t>Quiroz, Esteban</t>
  </si>
  <si>
    <t>Gonzales, Nick</t>
  </si>
  <si>
    <t>Infante, Sammy</t>
  </si>
  <si>
    <t>Bailey, Patrick</t>
  </si>
  <si>
    <t>Lile, Daylen</t>
  </si>
  <si>
    <t>Duran, Ezequiel</t>
  </si>
  <si>
    <t>Javier, Wander</t>
  </si>
  <si>
    <t>Quintana, Nick</t>
  </si>
  <si>
    <t>Foscue, Justin</t>
  </si>
  <si>
    <t>Ramos, Heliot</t>
  </si>
  <si>
    <t>Ademan, Aramis</t>
  </si>
  <si>
    <t>Donovan, Brendan</t>
  </si>
  <si>
    <t>Pacheco, Izaac</t>
  </si>
  <si>
    <t>Decolati, Niko</t>
  </si>
  <si>
    <t>Merrill, Jackson</t>
  </si>
  <si>
    <t>Boswell, Bret</t>
  </si>
  <si>
    <t>Scott, Connor</t>
  </si>
  <si>
    <t>Lopez, Raffy</t>
  </si>
  <si>
    <t>Schunk, Aaron</t>
  </si>
  <si>
    <t>Moreno, Gabriel</t>
  </si>
  <si>
    <t>Stamets, Eric</t>
  </si>
  <si>
    <t>Hernández, Ronaldo</t>
  </si>
  <si>
    <t>Capel, Conner</t>
  </si>
  <si>
    <t>Chávez, Santiago</t>
  </si>
  <si>
    <t>Lund, Brennon</t>
  </si>
  <si>
    <t>Seigler, Anthony</t>
  </si>
  <si>
    <t>Mendoza, Evan</t>
  </si>
  <si>
    <t>Kessinger, Grae</t>
  </si>
  <si>
    <t>Tilson, Charlie</t>
  </si>
  <si>
    <t>Manea, Scott</t>
  </si>
  <si>
    <t>Maitan, Kevin</t>
  </si>
  <si>
    <t>Bishop, Hunter</t>
  </si>
  <si>
    <t>Martínez, Pedro</t>
  </si>
  <si>
    <t>Mejias-Brean, Seth</t>
  </si>
  <si>
    <t>Bleday, JJ</t>
  </si>
  <si>
    <t>Wilson, Ethan</t>
  </si>
  <si>
    <t>Gonzalez, Cristian</t>
  </si>
  <si>
    <t>Johnson, Sherman</t>
  </si>
  <si>
    <t>Ritchie, Jamie</t>
  </si>
  <si>
    <t>Parmelee, Chris</t>
  </si>
  <si>
    <t>Placencia, Adrian</t>
  </si>
  <si>
    <t>Carreras, Julio</t>
  </si>
  <si>
    <t>Henderson, Gunnar</t>
  </si>
  <si>
    <t>Hauver, Trevor</t>
  </si>
  <si>
    <t>Cabrera, Daniel</t>
  </si>
  <si>
    <t>Davis, Henry</t>
  </si>
  <si>
    <t>Garcia, Maikel</t>
  </si>
  <si>
    <t>Florimon, Pedro</t>
  </si>
  <si>
    <t>Lawlar, Jordan</t>
  </si>
  <si>
    <t>Bride, Jonah</t>
  </si>
  <si>
    <t>Casey, Donovan</t>
  </si>
  <si>
    <t>McCann, Kyle</t>
  </si>
  <si>
    <t>Mitchell, Calvin</t>
  </si>
  <si>
    <t>Naylor, Bo</t>
  </si>
  <si>
    <t>Carmona, Jean</t>
  </si>
  <si>
    <t>Made, Kevin</t>
  </si>
  <si>
    <t>Pereira, Everson</t>
  </si>
  <si>
    <t>Martinez, Julio Pablo</t>
  </si>
  <si>
    <t>Binelas, Alex</t>
  </si>
  <si>
    <t>Delgado, Raynel</t>
  </si>
  <si>
    <t>Cordoba, Allen</t>
  </si>
  <si>
    <t>Burdick, Peyton</t>
  </si>
  <si>
    <t>Romo, Drew</t>
  </si>
  <si>
    <t>Gore, Terrance</t>
  </si>
  <si>
    <t>Angeles, Euribiel</t>
  </si>
  <si>
    <t>Hernández, Marco</t>
  </si>
  <si>
    <t>Kruger, Jack</t>
  </si>
  <si>
    <t>Watson, Kahlil</t>
  </si>
  <si>
    <t>Centeno, Juan</t>
  </si>
  <si>
    <t>Vazquez, Daniel</t>
  </si>
  <si>
    <t>Kjerstad, Heston</t>
  </si>
  <si>
    <t>Fletcher, Dominic</t>
  </si>
  <si>
    <t>Matias, Seuly</t>
  </si>
  <si>
    <t>Aguilar, Starlin</t>
  </si>
  <si>
    <t>Quero, Jeferson</t>
  </si>
  <si>
    <t>Broxton, Keon</t>
  </si>
  <si>
    <t>Mendoza, Drew</t>
  </si>
  <si>
    <t>Meadows, Parker</t>
  </si>
  <si>
    <t>Liniak, Kingston</t>
  </si>
  <si>
    <t>Cruz, Trei</t>
  </si>
  <si>
    <t>Moss, Keithron</t>
  </si>
  <si>
    <t>Wells, Austin</t>
  </si>
  <si>
    <t>Carroll, Corbin</t>
  </si>
  <si>
    <t>O'Keefe, Brian</t>
  </si>
  <si>
    <t>Perkins, Blake</t>
  </si>
  <si>
    <t>Norby, Connor</t>
  </si>
  <si>
    <t>Tomás, Yasmany</t>
  </si>
  <si>
    <t>Shenton, Austin</t>
  </si>
  <si>
    <t>Green, Ryder</t>
  </si>
  <si>
    <t>Calixte, Orlando</t>
  </si>
  <si>
    <t>O'Hoppe, Logan</t>
  </si>
  <si>
    <t>Wendzel, Davis</t>
  </si>
  <si>
    <t>Black, Tyler</t>
  </si>
  <si>
    <t>Ferguson, Max</t>
  </si>
  <si>
    <t>Gigliotti, Michael</t>
  </si>
  <si>
    <t>Zamora, Freddy</t>
  </si>
  <si>
    <t>Peguero, Liover</t>
  </si>
  <si>
    <t>Jones, Ryder</t>
  </si>
  <si>
    <t>Gale, Rocky</t>
  </si>
  <si>
    <t>Martinez, Angel</t>
  </si>
  <si>
    <t>Clemens, Kody</t>
  </si>
  <si>
    <t>Millas, Drew</t>
  </si>
  <si>
    <t>Stowers, Kyle</t>
  </si>
  <si>
    <t>Urbina, Misael</t>
  </si>
  <si>
    <t>Adames, Cristhian</t>
  </si>
  <si>
    <t>Cabrera, Oswaldo</t>
  </si>
  <si>
    <t>Fox, Lucius</t>
  </si>
  <si>
    <t>Morales, Jonathan</t>
  </si>
  <si>
    <t>Wilkins, Andy</t>
  </si>
  <si>
    <t>Vavra, Terrin</t>
  </si>
  <si>
    <t>Shuck, JB</t>
  </si>
  <si>
    <t>Hassell III, Robert</t>
  </si>
  <si>
    <t>Machado, Estiven</t>
  </si>
  <si>
    <t>Stott, Bryson</t>
  </si>
  <si>
    <t>Nelson, James</t>
  </si>
  <si>
    <t>Adams, Jordyn</t>
  </si>
  <si>
    <t>Graterol, Juan</t>
  </si>
  <si>
    <t>Vargas, Jheremy</t>
  </si>
  <si>
    <t>Fletcher, Tre</t>
  </si>
  <si>
    <t>Fabian, Sandro</t>
  </si>
  <si>
    <t>Stowers, Josh</t>
  </si>
  <si>
    <t>Montgomery, Colson</t>
  </si>
  <si>
    <t>Patino, Wilderd</t>
  </si>
  <si>
    <t>Rodriguez, Luis</t>
  </si>
  <si>
    <t>Nova, Freudis</t>
  </si>
  <si>
    <t>Pereda, Jhonny</t>
  </si>
  <si>
    <t>Elmore, Jake</t>
  </si>
  <si>
    <t>Jimenez, Leonardo</t>
  </si>
  <si>
    <t>De Jesus, Alex</t>
  </si>
  <si>
    <t>Abrams, CJ</t>
  </si>
  <si>
    <t>Shaver, Colton</t>
  </si>
  <si>
    <t>Halpin, Petey</t>
  </si>
  <si>
    <t>Freitas, David</t>
  </si>
  <si>
    <t>Thompson, Bubba</t>
  </si>
  <si>
    <t>Soderstrom, Tyler</t>
  </si>
  <si>
    <t>Tucker, Carson</t>
  </si>
  <si>
    <t>Sands, Donny</t>
  </si>
  <si>
    <t>Valdez, Freddy</t>
  </si>
  <si>
    <t>Baker, Luken</t>
  </si>
  <si>
    <t>Rosario, Alberto</t>
  </si>
  <si>
    <t>Bonaci, Brainer</t>
  </si>
  <si>
    <t>Bello, Micah</t>
  </si>
  <si>
    <t>Wall, Forrest</t>
  </si>
  <si>
    <t>Perez, Wenceel</t>
  </si>
  <si>
    <t>Lutz, Tristen</t>
  </si>
  <si>
    <t>Beltre, Michael</t>
  </si>
  <si>
    <t>Herrmann, Chris</t>
  </si>
  <si>
    <t>C,RF</t>
  </si>
  <si>
    <t>Castillo, Wilkin</t>
  </si>
  <si>
    <t>Maggi, Drew</t>
  </si>
  <si>
    <t>Smith-Njigba, Canaan</t>
  </si>
  <si>
    <t>Peña, Jeremy</t>
  </si>
  <si>
    <t>Leon, Pedro</t>
  </si>
  <si>
    <t>Dillard, Thomas</t>
  </si>
  <si>
    <t>Torres, Jhon</t>
  </si>
  <si>
    <t>Curletta, Joey</t>
  </si>
  <si>
    <t>Kwan, Steven</t>
  </si>
  <si>
    <t>Cartaya, Diego</t>
  </si>
  <si>
    <t>Vientos, Mark</t>
  </si>
  <si>
    <t>Allen, Nick</t>
  </si>
  <si>
    <t>Strumpf, Chase</t>
  </si>
  <si>
    <t>Jones, Nolan</t>
  </si>
  <si>
    <t>Cowart, Kaleb</t>
  </si>
  <si>
    <t>Diaz, Yusniel</t>
  </si>
  <si>
    <t>Barefoot, Matthew</t>
  </si>
  <si>
    <t>Ortiz, Jhailyn</t>
  </si>
  <si>
    <t>Mesia, Victor</t>
  </si>
  <si>
    <t>Lockridge, Brandon</t>
  </si>
  <si>
    <t>Misner, Kameron</t>
  </si>
  <si>
    <t>Schnell, Nick</t>
  </si>
  <si>
    <t>Tovar, Ezequiel</t>
  </si>
  <si>
    <t>Zavala, Samuel</t>
  </si>
  <si>
    <t>Thompson-Williams, Dom</t>
  </si>
  <si>
    <t>Whitaker, Tyler</t>
  </si>
  <si>
    <t>Thomas, Alek</t>
  </si>
  <si>
    <t>Carter, Evan</t>
  </si>
  <si>
    <t>Rutherford, Blake</t>
  </si>
  <si>
    <t>Kolozsvary, Mark</t>
  </si>
  <si>
    <t>Holder, Kyle</t>
  </si>
  <si>
    <t>Genovés, Ricardo</t>
  </si>
  <si>
    <t>Guzmán, Jeison</t>
  </si>
  <si>
    <t>Cruz, Armando</t>
  </si>
  <si>
    <t>Nay, Mitch</t>
  </si>
  <si>
    <t>Beck, Austin</t>
  </si>
  <si>
    <t>Dunand, Joe</t>
  </si>
  <si>
    <t>Palka, Daniel</t>
  </si>
  <si>
    <t>Almonte, Ariel</t>
  </si>
  <si>
    <t>Spanberger, Chad</t>
  </si>
  <si>
    <t>Grissom, Vaughn</t>
  </si>
  <si>
    <t>Snider, Travis</t>
  </si>
  <si>
    <t>Brito, Daniel</t>
  </si>
  <si>
    <t>Brito, Marcos</t>
  </si>
  <si>
    <t>Caissie, Owen</t>
  </si>
  <si>
    <t>Wiel, Zander</t>
  </si>
  <si>
    <t>Vukovich, A.J.</t>
  </si>
  <si>
    <t>Triantos, James</t>
  </si>
  <si>
    <t>Rosario, Eguy</t>
  </si>
  <si>
    <t>Robinson, Kristian</t>
  </si>
  <si>
    <t>Martin, Mason</t>
  </si>
  <si>
    <t>Brannen, Cole</t>
  </si>
  <si>
    <t>Vincej, Zach</t>
  </si>
  <si>
    <t>Maxwell, Bruce</t>
  </si>
  <si>
    <t>Soularie, Alerick</t>
  </si>
  <si>
    <t>MacIver, Willie</t>
  </si>
  <si>
    <t>Galiz, Jesus</t>
  </si>
  <si>
    <t>Miller, Jackson</t>
  </si>
  <si>
    <t>Busch, Michael</t>
  </si>
  <si>
    <t>Warmoth, Logan</t>
  </si>
  <si>
    <t>Holland, Will</t>
  </si>
  <si>
    <t>Pérez, Delvin</t>
  </si>
  <si>
    <t>Yepez, Juan</t>
  </si>
  <si>
    <t>Encarnacion, Jean Carlos</t>
  </si>
  <si>
    <t>Flores, Antoni</t>
  </si>
  <si>
    <t>Vargas, Miguel</t>
  </si>
  <si>
    <t>Jensen, Carter</t>
  </si>
  <si>
    <t>Morgan, Gareth</t>
  </si>
  <si>
    <t>Ford, Harry</t>
  </si>
  <si>
    <t>Siani, Mike</t>
  </si>
  <si>
    <t>Wilson, Peyton</t>
  </si>
  <si>
    <t>Rojas, Johan</t>
  </si>
  <si>
    <t>Amaya, Miguel</t>
  </si>
  <si>
    <t>Vera, Arol</t>
  </si>
  <si>
    <t>Mahan, Riley</t>
  </si>
  <si>
    <t>Campos, Roberto</t>
  </si>
  <si>
    <t>Polcovich, Kaden</t>
  </si>
  <si>
    <t>Toffey, Will</t>
  </si>
  <si>
    <t>Pineda, Pedro</t>
  </si>
  <si>
    <t>Perez, Milkar</t>
  </si>
  <si>
    <t>Estevez, Omar</t>
  </si>
  <si>
    <t>Sullivan, Brett</t>
  </si>
  <si>
    <t>Martin, Austin</t>
  </si>
  <si>
    <t>Bracho, Aaron</t>
  </si>
  <si>
    <t>Callihan, Tyler</t>
  </si>
  <si>
    <t>Policelli, Brady</t>
  </si>
  <si>
    <t>Rivera, Reynaldo</t>
  </si>
  <si>
    <t>Altherr, Aaron</t>
  </si>
  <si>
    <t>Jimenez, Gilberto</t>
  </si>
  <si>
    <t>Zagunis, Mark</t>
  </si>
  <si>
    <t>Matos, Luis</t>
  </si>
  <si>
    <t>Peraza, Oswald</t>
  </si>
  <si>
    <t>Ornelas, Jonathan</t>
  </si>
  <si>
    <t>Knowles, D'Shawn</t>
  </si>
  <si>
    <t>De La Cruz, Elly</t>
  </si>
  <si>
    <t>Howlett, Brandon</t>
  </si>
  <si>
    <t>Miller, Ian</t>
  </si>
  <si>
    <t>Crow-Armstrong, Pete</t>
  </si>
  <si>
    <t>Williams, Carson</t>
  </si>
  <si>
    <t>Maciel, Gabriel</t>
  </si>
  <si>
    <t>Boissiere, Branden</t>
  </si>
  <si>
    <t>Gennett, Scooter</t>
  </si>
  <si>
    <t>Doyle, Brenton</t>
  </si>
  <si>
    <t>Kramer, Kevin</t>
  </si>
  <si>
    <t>Jackson, Jeremiah</t>
  </si>
  <si>
    <t>Bechtold, Andrew</t>
  </si>
  <si>
    <t>Quinn, Heath</t>
  </si>
  <si>
    <t>Aparicio, Miguel</t>
  </si>
  <si>
    <t>Daniels, Zach</t>
  </si>
  <si>
    <t>White, Lonnie</t>
  </si>
  <si>
    <t>García, Eduardo</t>
  </si>
  <si>
    <t>Valerio, Felix</t>
  </si>
  <si>
    <t>White, Tyler</t>
  </si>
  <si>
    <t>Machado, Jonatan</t>
  </si>
  <si>
    <t>Escotto, Maikol</t>
  </si>
  <si>
    <t>Querecuto, Juniel</t>
  </si>
  <si>
    <t>Tena, José</t>
  </si>
  <si>
    <t>Harris, Michael</t>
  </si>
  <si>
    <t>McDowell, Max</t>
  </si>
  <si>
    <t>Suwinski, Jack</t>
  </si>
  <si>
    <t>Warren, Zavier</t>
  </si>
  <si>
    <t>C,3B</t>
  </si>
  <si>
    <t>Meneses, Joey</t>
  </si>
  <si>
    <t>Travis, Sam</t>
  </si>
  <si>
    <t>Pearson, Jacob</t>
  </si>
  <si>
    <t>Planez, Alexfri</t>
  </si>
  <si>
    <t>Cowser, Colton</t>
  </si>
  <si>
    <t>Cappe, Yiddi</t>
  </si>
  <si>
    <t>Jones, Greg</t>
  </si>
  <si>
    <t>Telis, Tomás</t>
  </si>
  <si>
    <t>Perez, Hedbert</t>
  </si>
  <si>
    <t>Cauley, Cam</t>
  </si>
  <si>
    <t>Taylor, Carson</t>
  </si>
  <si>
    <t>Plummer, Nick</t>
  </si>
  <si>
    <t>Quero, Edgar</t>
  </si>
  <si>
    <t>Blanco, Andres</t>
  </si>
  <si>
    <t>Noel, Jhonkensy</t>
  </si>
  <si>
    <t>Perez, Carlos</t>
  </si>
  <si>
    <t>Adolfo, Micker</t>
  </si>
  <si>
    <t>Gonzalez, Gabriel</t>
  </si>
  <si>
    <t>Acuna, Luisangel</t>
  </si>
  <si>
    <t>Roederer, Cole</t>
  </si>
  <si>
    <t>Mack, Joe</t>
  </si>
  <si>
    <t>Mahtook, Mikie</t>
  </si>
  <si>
    <t>Baylor, Jamari</t>
  </si>
  <si>
    <t>Morris, Tanner</t>
  </si>
  <si>
    <t>Pratto, Nick</t>
  </si>
  <si>
    <t>Groshans, Jordan</t>
  </si>
  <si>
    <t>Martin, Casey</t>
  </si>
  <si>
    <t>Thomas, Cody</t>
  </si>
  <si>
    <t>Toribio, Luis</t>
  </si>
  <si>
    <t>Dominguez, Jasson</t>
  </si>
  <si>
    <t>McConnell, Brady</t>
  </si>
  <si>
    <t>Siani, Sammy</t>
  </si>
  <si>
    <t>Rodriguez, Gabriel</t>
  </si>
  <si>
    <t>Valdes, Yordys</t>
  </si>
  <si>
    <t>Bautista, Mariel</t>
  </si>
  <si>
    <t>Bae, Ji-Hwan</t>
  </si>
  <si>
    <t>Kinney, Cooper</t>
  </si>
  <si>
    <t>Ernesto, Larry</t>
  </si>
  <si>
    <t>Baty, Brett</t>
  </si>
  <si>
    <t>Walker, Jordan</t>
  </si>
  <si>
    <t>Hummel, Cooper</t>
  </si>
  <si>
    <t>Lora, Bayron</t>
  </si>
  <si>
    <t>Mitchell, Garrett</t>
  </si>
  <si>
    <t>Rabago, Chris</t>
  </si>
  <si>
    <t>Pages, Andy</t>
  </si>
  <si>
    <t>Sawyer, Wynston</t>
  </si>
  <si>
    <t>Hiraldo, Miguel</t>
  </si>
  <si>
    <t>Downs, Jeter</t>
  </si>
  <si>
    <t>Volpe, Anthony</t>
  </si>
  <si>
    <t>DeLoach, Zach</t>
  </si>
  <si>
    <t>Court, Ryan</t>
  </si>
  <si>
    <t>Matijevic, J.J.</t>
  </si>
  <si>
    <t>McCants, Jordan</t>
  </si>
  <si>
    <t>Rodriguez, Emmanuel</t>
  </si>
  <si>
    <t>Pompey, Dalton</t>
  </si>
  <si>
    <t>Canario, Alexander</t>
  </si>
  <si>
    <t>Tocci, Carlos</t>
  </si>
  <si>
    <t>Lavigne, Grant</t>
  </si>
  <si>
    <t>Rosario, Jeisson</t>
  </si>
  <si>
    <t>Loftin, Nick</t>
  </si>
  <si>
    <t>Rocchio, Brayan</t>
  </si>
  <si>
    <t>Lugo, Matthew</t>
  </si>
  <si>
    <t>Hendrick, Austin</t>
  </si>
  <si>
    <t>Descalso, Daniel</t>
  </si>
  <si>
    <t>Taijeron, Travis</t>
  </si>
  <si>
    <t>Mesa, Victor Victor</t>
  </si>
  <si>
    <t>Herrera, José</t>
  </si>
  <si>
    <t>Langeliers, Shea</t>
  </si>
  <si>
    <t>Packard, Bryant</t>
  </si>
  <si>
    <t>Ortiz, Joseph</t>
  </si>
  <si>
    <t>Mayo, Coby</t>
  </si>
  <si>
    <t>Head, Hudson</t>
  </si>
  <si>
    <t>Palacios, Richie</t>
  </si>
  <si>
    <t>Auerbach, Brett</t>
  </si>
  <si>
    <t>C,2B</t>
  </si>
  <si>
    <t>Davidson, Logan</t>
  </si>
  <si>
    <t>Diaz, Yainer</t>
  </si>
  <si>
    <t>Severino, Yunior</t>
  </si>
  <si>
    <t>Eierman, Jeremy</t>
  </si>
  <si>
    <t>Ball, Bryce</t>
  </si>
  <si>
    <t>House, Brady</t>
  </si>
  <si>
    <t>Hamilton, Caleb</t>
  </si>
  <si>
    <t>Ornelas, Tirso</t>
  </si>
  <si>
    <t>Kendall, Jeren</t>
  </si>
  <si>
    <t>Pinto, René</t>
  </si>
  <si>
    <t>Pasquantino, Vinnie</t>
  </si>
  <si>
    <t>Sanchez, Yolbert</t>
  </si>
  <si>
    <t>Outman, James</t>
  </si>
  <si>
    <t>Swihart, Blake</t>
  </si>
  <si>
    <t>Vivas, Jorbit</t>
  </si>
  <si>
    <t>Torres, Chris</t>
  </si>
  <si>
    <t>Perez, Joe</t>
  </si>
  <si>
    <t>Beltre, Manuel</t>
  </si>
  <si>
    <t>Gelof, Zack</t>
  </si>
  <si>
    <t>Santana, Cristian</t>
  </si>
  <si>
    <t>Brewer, Jordan</t>
  </si>
  <si>
    <t>Hearn, Ethan</t>
  </si>
  <si>
    <t>Brugman, Jaycob</t>
  </si>
  <si>
    <t>Yorke, Nick</t>
  </si>
  <si>
    <t>Dingler, Dillon</t>
  </si>
  <si>
    <t>Nelson, Mat</t>
  </si>
  <si>
    <t>Avelino, Abiatal</t>
  </si>
  <si>
    <t>Banfield, Will</t>
  </si>
  <si>
    <t>Williams, Alika</t>
  </si>
  <si>
    <t>Ramos, Bryan</t>
  </si>
  <si>
    <t>Kath, Wes</t>
  </si>
  <si>
    <t>Taylor, Samad</t>
  </si>
  <si>
    <t>Szczur, Matt</t>
  </si>
  <si>
    <t>Cavaco, Keoni</t>
  </si>
  <si>
    <t>Wyatt, Logan</t>
  </si>
  <si>
    <t>Hoese, Kody</t>
  </si>
  <si>
    <t>Mann, Devin</t>
  </si>
  <si>
    <t>Gonzalez, Gianpaul</t>
  </si>
  <si>
    <t>Northcut, Nick</t>
  </si>
  <si>
    <t>Wallner, Matt</t>
  </si>
  <si>
    <t>Whitcomb, Shay</t>
  </si>
  <si>
    <t>Brigman, Bryson</t>
  </si>
  <si>
    <t>Harris, Trey</t>
  </si>
  <si>
    <t>Vellojin, Daniel</t>
  </si>
  <si>
    <t>Guerrero, Gregory</t>
  </si>
  <si>
    <t>Alemais, Stephen</t>
  </si>
  <si>
    <t>Sanchez, Lolo</t>
  </si>
  <si>
    <t>Grenier, Cadyn</t>
  </si>
  <si>
    <t>Henry, Payton</t>
  </si>
  <si>
    <t>Bonifácio, Emilio</t>
  </si>
  <si>
    <t>Williams, Mason</t>
  </si>
  <si>
    <t>Cuthbert, Cheslor</t>
  </si>
  <si>
    <t>Fowler, Dustin</t>
  </si>
  <si>
    <t>Castillo, Erick</t>
  </si>
  <si>
    <t>Smith, Mallex</t>
  </si>
  <si>
    <t>Heath, Nick</t>
  </si>
  <si>
    <t>Wilson, Jacob</t>
  </si>
  <si>
    <t>Susac, Andrew</t>
  </si>
  <si>
    <t>Ladendorf, Tyler</t>
  </si>
  <si>
    <t>Wilson, Cody</t>
  </si>
  <si>
    <t>Lopez, Otto</t>
  </si>
  <si>
    <t>Mejia, Erick</t>
  </si>
  <si>
    <t>Arteaga, Humberto</t>
  </si>
  <si>
    <t>Ciuffo, Nick</t>
  </si>
  <si>
    <t>Delmonico, Nicky</t>
  </si>
  <si>
    <t>Smith, Kevan</t>
  </si>
  <si>
    <t>Lopez, Jack</t>
  </si>
  <si>
    <t>Murphy, John Ryan</t>
  </si>
  <si>
    <t>Tovar, Wilfredo</t>
  </si>
  <si>
    <t>Celestino, Gilberto</t>
  </si>
  <si>
    <t>Viloria, Meibrys</t>
  </si>
  <si>
    <t>Payne, Tyler</t>
  </si>
  <si>
    <t>Stubbs, Garrett</t>
  </si>
  <si>
    <t>Herrera, Dilson</t>
  </si>
  <si>
    <t>Ellis, Drew</t>
  </si>
  <si>
    <t>Forsythe, Logan</t>
  </si>
  <si>
    <t>Rodríguez, Sean</t>
  </si>
  <si>
    <t>Hudson, Joe</t>
  </si>
  <si>
    <t>Raleigh, Cal</t>
  </si>
  <si>
    <t>Payton, Mark</t>
  </si>
  <si>
    <t>Amburgey, Trey</t>
  </si>
  <si>
    <t>Gushue, Taylor</t>
  </si>
  <si>
    <t>Owen, Hunter</t>
  </si>
  <si>
    <t>Reynolds, Matt</t>
  </si>
  <si>
    <t>Wilkerson, Stevie</t>
  </si>
  <si>
    <t>Jones, Jahmai</t>
  </si>
  <si>
    <t>Moniak, Mickey</t>
  </si>
  <si>
    <t>McCarthy, Joe</t>
  </si>
  <si>
    <t>Apostel, Sherten</t>
  </si>
  <si>
    <t>Jackson, Alex</t>
  </si>
  <si>
    <t>Robson, Jacob</t>
  </si>
  <si>
    <t>Hurst, Scott</t>
  </si>
  <si>
    <t>Taylor, Beau</t>
  </si>
  <si>
    <t>Godoy, José</t>
  </si>
  <si>
    <t>Lin, Tzu-Wei</t>
  </si>
  <si>
    <t>Giambrone, Trent</t>
  </si>
  <si>
    <t>Williams, Nick</t>
  </si>
  <si>
    <t>Reks, Zach</t>
  </si>
  <si>
    <t>Dorow, Ryan</t>
  </si>
  <si>
    <t>Vilade, Ryan</t>
  </si>
  <si>
    <t>Wong, Kean</t>
  </si>
  <si>
    <t>Gittens, Chris</t>
  </si>
  <si>
    <t>Rivero, Sebastian</t>
  </si>
  <si>
    <t>Padlo, Kevin</t>
  </si>
  <si>
    <t>Hager, Jake</t>
  </si>
  <si>
    <t>Kozma, Pete</t>
  </si>
  <si>
    <t>Odom, Joseph</t>
  </si>
  <si>
    <t>Bolt, Skye</t>
  </si>
  <si>
    <t>Lee, Khalil</t>
  </si>
  <si>
    <t>Machín, Vimael</t>
  </si>
  <si>
    <t>Lobaton, Jose</t>
  </si>
  <si>
    <t>Kingery, Scott</t>
  </si>
  <si>
    <t>Butera, Drew</t>
  </si>
  <si>
    <t>Schebler, Scott</t>
  </si>
  <si>
    <t>Brantly, Rob</t>
  </si>
  <si>
    <t>Moroff, Max</t>
  </si>
  <si>
    <t>García, Robel</t>
  </si>
  <si>
    <t>Deichmann, Greg</t>
  </si>
  <si>
    <t>Harvey, Matt</t>
  </si>
  <si>
    <t>Pache, Cristian</t>
  </si>
  <si>
    <t>Pérez, Hernán</t>
  </si>
  <si>
    <t>Campusano, Luis</t>
  </si>
  <si>
    <t>Higgins, P.J.</t>
  </si>
  <si>
    <t>Terry, Curtis</t>
  </si>
  <si>
    <t>Almora Jr., Albert</t>
  </si>
  <si>
    <t>López, Jorge</t>
  </si>
  <si>
    <t>Leyba, Domingo</t>
  </si>
  <si>
    <t>Arrieta, Jake</t>
  </si>
  <si>
    <t>Davis, Chris</t>
  </si>
  <si>
    <t>Rank (2022/03/20)</t>
  </si>
  <si>
    <t>José Ramírez</t>
  </si>
  <si>
    <t>Bo Bichette</t>
  </si>
  <si>
    <t>Juan Soto</t>
  </si>
  <si>
    <t>Vladimir Guerrero Jr.</t>
  </si>
  <si>
    <t>Gerrit Cole</t>
  </si>
  <si>
    <t>Corbin Burnes</t>
  </si>
  <si>
    <t>Kyle Tucker</t>
  </si>
  <si>
    <t>Mookie Betts</t>
  </si>
  <si>
    <t>Bryce Harper</t>
  </si>
  <si>
    <t>Shohei Ohtani (Batter)</t>
  </si>
  <si>
    <t>Jacob deGrom</t>
  </si>
  <si>
    <t>Freddie Freeman</t>
  </si>
  <si>
    <t>Mike Trout</t>
  </si>
  <si>
    <t>Walker Buehler</t>
  </si>
  <si>
    <t>Rafael Devers</t>
  </si>
  <si>
    <t>Max Scherzer</t>
  </si>
  <si>
    <t>Brandon Woodruff</t>
  </si>
  <si>
    <t>Luis Robert</t>
  </si>
  <si>
    <t>Ozzie Albies</t>
  </si>
  <si>
    <t>Ronald Acuña Jr.</t>
  </si>
  <si>
    <t>Manny Machado</t>
  </si>
  <si>
    <t>Starling Marte</t>
  </si>
  <si>
    <t>Yordan Alvarez</t>
  </si>
  <si>
    <t>Shane Bieber</t>
  </si>
  <si>
    <t>Tim Anderson</t>
  </si>
  <si>
    <t>Xander Bogaerts</t>
  </si>
  <si>
    <t>Matt Olson</t>
  </si>
  <si>
    <t>Julio Urías</t>
  </si>
  <si>
    <t>Lucas Giolito</t>
  </si>
  <si>
    <t>Aaron Judge</t>
  </si>
  <si>
    <t>Trevor Story</t>
  </si>
  <si>
    <t>Whit Merrifield</t>
  </si>
  <si>
    <t>Teoscar Hernández</t>
  </si>
  <si>
    <t>Marcus Semien</t>
  </si>
  <si>
    <t>Cedric Mullins</t>
  </si>
  <si>
    <t>Aaron Nola</t>
  </si>
  <si>
    <t>Francisco Lindor</t>
  </si>
  <si>
    <t>Salvador Perez</t>
  </si>
  <si>
    <t>Josh Hader</t>
  </si>
  <si>
    <t>Nick Castellanos</t>
  </si>
  <si>
    <t>Paul Goldschmidt</t>
  </si>
  <si>
    <t>Liam Hendriks</t>
  </si>
  <si>
    <t>Sandy Alcantara</t>
  </si>
  <si>
    <t>Austin Riley</t>
  </si>
  <si>
    <t>Wander Franco</t>
  </si>
  <si>
    <t>Randy Arozarena</t>
  </si>
  <si>
    <t>Jose Altuve</t>
  </si>
  <si>
    <t>George Springer</t>
  </si>
  <si>
    <t>Robbie Ray</t>
  </si>
  <si>
    <t/>
  </si>
  <si>
    <t>Adalberto Mondesi</t>
  </si>
  <si>
    <t>Eloy Jiménez</t>
  </si>
  <si>
    <t>Byron Buxton</t>
  </si>
  <si>
    <t>Freddy Peralta</t>
  </si>
  <si>
    <t>Zack Wheeler</t>
  </si>
  <si>
    <t>Pete Alonso</t>
  </si>
  <si>
    <t>Kris Bryant</t>
  </si>
  <si>
    <t>José Abreu</t>
  </si>
  <si>
    <t>Lance Lynn</t>
  </si>
  <si>
    <t>J.D. Martinez</t>
  </si>
  <si>
    <t>Tyler O'Neill</t>
  </si>
  <si>
    <t>Kevin Gausman</t>
  </si>
  <si>
    <t>José Berríos</t>
  </si>
  <si>
    <t>Javier Báez</t>
  </si>
  <si>
    <t>Joe Musgrove</t>
  </si>
  <si>
    <t>Nolan Arenado</t>
  </si>
  <si>
    <t>Jazz Chisholm Jr.</t>
  </si>
  <si>
    <t>Corey Seager</t>
  </si>
  <si>
    <t>Charlie Morton</t>
  </si>
  <si>
    <t>Frankie Montas</t>
  </si>
  <si>
    <t>Logan Webb</t>
  </si>
  <si>
    <t>Giancarlo Stanton</t>
  </si>
  <si>
    <t>Alex Bregman</t>
  </si>
  <si>
    <t>Brandon Lowe</t>
  </si>
  <si>
    <t>Dylan Cease</t>
  </si>
  <si>
    <t>Jonathan India</t>
  </si>
  <si>
    <t>Will Smith</t>
  </si>
  <si>
    <t>Max Fried</t>
  </si>
  <si>
    <t>Yu Darvish</t>
  </si>
  <si>
    <t>Raisel Iglesias</t>
  </si>
  <si>
    <t>Carlos Rodón</t>
  </si>
  <si>
    <t>Bryan Reynolds</t>
  </si>
  <si>
    <t>Ketel Marte</t>
  </si>
  <si>
    <t>Jorge Polanco</t>
  </si>
  <si>
    <t>Christian Yelich</t>
  </si>
  <si>
    <t>Trevor Rogers</t>
  </si>
  <si>
    <t>Alek Manoah</t>
  </si>
  <si>
    <t>Mitch Haniger</t>
  </si>
  <si>
    <t>Anthony Rendon</t>
  </si>
  <si>
    <t>J.T. Realmuto</t>
  </si>
  <si>
    <t>Kyle Schwarber</t>
  </si>
  <si>
    <t>Cody Bellinger</t>
  </si>
  <si>
    <t>Emmanuel Clase</t>
  </si>
  <si>
    <t>Justin Verlander</t>
  </si>
  <si>
    <t>Jesse Winker</t>
  </si>
  <si>
    <t>Carlos Correa</t>
  </si>
  <si>
    <t>Shohei Ohtani (Pitcher)</t>
  </si>
  <si>
    <t>Jared Walsh</t>
  </si>
  <si>
    <t>Franmil Reyes</t>
  </si>
  <si>
    <t>Shane McClanahan</t>
  </si>
  <si>
    <t>Ryan Pressly</t>
  </si>
  <si>
    <t>Fernando Tatis Jr.</t>
  </si>
  <si>
    <t>Bobby Witt Jr.</t>
  </si>
  <si>
    <t>Aroldis Chapman</t>
  </si>
  <si>
    <t>Dansby Swanson</t>
  </si>
  <si>
    <t>Tommy Edman</t>
  </si>
  <si>
    <t>Nelson Cruz</t>
  </si>
  <si>
    <t>Rhys Hoskins</t>
  </si>
  <si>
    <t>Luis Castillo</t>
  </si>
  <si>
    <t>Tyler Mahle</t>
  </si>
  <si>
    <t>Edwin Díaz</t>
  </si>
  <si>
    <t>Chris Bassitt</t>
  </si>
  <si>
    <t>Framber Valdez</t>
  </si>
  <si>
    <t>Max Muncy</t>
  </si>
  <si>
    <t>C.J. Cron</t>
  </si>
  <si>
    <t>Austin Meadows</t>
  </si>
  <si>
    <t>Ryan Mountcastle</t>
  </si>
  <si>
    <t>Trent Grisham</t>
  </si>
  <si>
    <t>Jake Cronenworth</t>
  </si>
  <si>
    <t>Blake Snell</t>
  </si>
  <si>
    <t>Nathan Eovaldi</t>
  </si>
  <si>
    <t>Zac Gallen</t>
  </si>
  <si>
    <t>Sean Manaea</t>
  </si>
  <si>
    <t>Pablo López</t>
  </si>
  <si>
    <t>DJ LeMahieu</t>
  </si>
  <si>
    <t>Sonny Gray</t>
  </si>
  <si>
    <t>Kenley Jansen</t>
  </si>
  <si>
    <t>Ian Anderson</t>
  </si>
  <si>
    <t>Josh Bell</t>
  </si>
  <si>
    <t>Eduardo Rodriguez</t>
  </si>
  <si>
    <t>Anthony Rizzo</t>
  </si>
  <si>
    <t>Lourdes Gurriel Jr.</t>
  </si>
  <si>
    <t>Willy Adames</t>
  </si>
  <si>
    <t>Chris Taylor</t>
  </si>
  <si>
    <t>Clayton Kershaw</t>
  </si>
  <si>
    <t>Jorge Soler</t>
  </si>
  <si>
    <t>Mike Clevinger</t>
  </si>
  <si>
    <t>Michael Conforto</t>
  </si>
  <si>
    <t>Yoán Moncada</t>
  </si>
  <si>
    <t>Willson Contreras</t>
  </si>
  <si>
    <t>Giovanny Gallegos</t>
  </si>
  <si>
    <t>Avisaíl García</t>
  </si>
  <si>
    <t>Matt Chapman</t>
  </si>
  <si>
    <t>Logan Gilbert</t>
  </si>
  <si>
    <t>Joey Votto</t>
  </si>
  <si>
    <t>Jarred Kelenic</t>
  </si>
  <si>
    <t>Jordan Romano</t>
  </si>
  <si>
    <t>Ty France</t>
  </si>
  <si>
    <t>Joey Gallo</t>
  </si>
  <si>
    <t>Hunter Renfroe</t>
  </si>
  <si>
    <t>Alex Verdugo</t>
  </si>
  <si>
    <t>Michael Kopech</t>
  </si>
  <si>
    <t>Yuli Gurriel</t>
  </si>
  <si>
    <t>Trey Mancini</t>
  </si>
  <si>
    <t>Tarik Skubal</t>
  </si>
  <si>
    <t>Ke'Bryan Hayes</t>
  </si>
  <si>
    <t>Josh Donaldson</t>
  </si>
  <si>
    <t>Seiya Suzuki</t>
  </si>
  <si>
    <t>Dylan Carlson</t>
  </si>
  <si>
    <t>Robbie Grossman</t>
  </si>
  <si>
    <t>José Urquidy</t>
  </si>
  <si>
    <t>John Means</t>
  </si>
  <si>
    <t>Ian Happ</t>
  </si>
  <si>
    <t>Yasmani Grandal</t>
  </si>
  <si>
    <t>Luis Garcia</t>
  </si>
  <si>
    <t>Gleyber Torres</t>
  </si>
  <si>
    <t>Chris Sale</t>
  </si>
  <si>
    <t>Andrew Benintendi</t>
  </si>
  <si>
    <t>Jean Segura</t>
  </si>
  <si>
    <t>Marcus Stroman</t>
  </si>
  <si>
    <t>Ryan McMahon</t>
  </si>
  <si>
    <t>Daulton Varsho</t>
  </si>
  <si>
    <t>Blake Treinen</t>
  </si>
  <si>
    <t>Adolis García</t>
  </si>
  <si>
    <t>Anthony DeSclafani</t>
  </si>
  <si>
    <t>Justin Turner</t>
  </si>
  <si>
    <t>Austin Hays</t>
  </si>
  <si>
    <t>Ramón Laureano</t>
  </si>
  <si>
    <t>Corey Knebel</t>
  </si>
  <si>
    <t>Michael Brantley</t>
  </si>
  <si>
    <t>Brandon Belt</t>
  </si>
  <si>
    <t>Luke Voit</t>
  </si>
  <si>
    <t>Adam Duvall</t>
  </si>
  <si>
    <t>Eddie Rosario</t>
  </si>
  <si>
    <t>Brendan Rodgers</t>
  </si>
  <si>
    <t>Mark Melancon</t>
  </si>
  <si>
    <t>Eugenio Suárez</t>
  </si>
  <si>
    <t>Mark Canha</t>
  </si>
  <si>
    <t>Patrick Sandoval</t>
  </si>
  <si>
    <t>Kolten Wong</t>
  </si>
  <si>
    <t>Alex Kirilloff</t>
  </si>
  <si>
    <t>Frank Schwindel</t>
  </si>
  <si>
    <t>Brandon Crawford</t>
  </si>
  <si>
    <t>Kyle Hendricks</t>
  </si>
  <si>
    <t>Alex Wood</t>
  </si>
  <si>
    <t>Triston McKenzie</t>
  </si>
  <si>
    <t>Germán Márquez</t>
  </si>
  <si>
    <t>David Bednar</t>
  </si>
  <si>
    <t>AJ Pollock</t>
  </si>
  <si>
    <t>Camilo Doval</t>
  </si>
  <si>
    <t>Charlie Blackmon</t>
  </si>
  <si>
    <t>Aaron Civale</t>
  </si>
  <si>
    <t>Casey Mize</t>
  </si>
  <si>
    <t>Jesús Aguilar</t>
  </si>
  <si>
    <t>Raimel Tapia</t>
  </si>
  <si>
    <t>Hyun Jin Ryu</t>
  </si>
  <si>
    <t>Myles Straw</t>
  </si>
  <si>
    <t>Adam Wainwright</t>
  </si>
  <si>
    <t>Harrison Bader</t>
  </si>
  <si>
    <t>Taylor Rogers</t>
  </si>
  <si>
    <t>Luis Urías</t>
  </si>
  <si>
    <t>Ranger Suárez</t>
  </si>
  <si>
    <t>Amed Rosario</t>
  </si>
  <si>
    <t>Shane Baz</t>
  </si>
  <si>
    <t>Zach Plesac</t>
  </si>
  <si>
    <t>Scott Barlow</t>
  </si>
  <si>
    <t>Andrew Vaughn</t>
  </si>
  <si>
    <t>Lance McCullers Jr.</t>
  </si>
  <si>
    <t>Jo Adell</t>
  </si>
  <si>
    <t>Keibert Ruiz</t>
  </si>
  <si>
    <t>Anthony Santander</t>
  </si>
  <si>
    <t>Tanner Houck</t>
  </si>
  <si>
    <t>Jack Flaherty</t>
  </si>
  <si>
    <t>Jordan Montgomery</t>
  </si>
  <si>
    <t>Joe Ryan</t>
  </si>
  <si>
    <t>Mike Yastrzemski</t>
  </si>
  <si>
    <t>Nathaniel Lowe</t>
  </si>
  <si>
    <t>Noah Syndergaard</t>
  </si>
  <si>
    <t>Akil Baddoo</t>
  </si>
  <si>
    <t>Jonathan Schoop</t>
  </si>
  <si>
    <t>Zack Greinke</t>
  </si>
  <si>
    <t>Mitch Garver</t>
  </si>
  <si>
    <t>Huascar Ynoa</t>
  </si>
  <si>
    <t>Alex Cobb</t>
  </si>
  <si>
    <t>Tommy Pham</t>
  </si>
  <si>
    <t>Wil Myers</t>
  </si>
  <si>
    <t>Yusei Kikuchi</t>
  </si>
  <si>
    <t>Marcell Ozuna</t>
  </si>
  <si>
    <t>Christian Vázquez</t>
  </si>
  <si>
    <t>Tyler Stephenson</t>
  </si>
  <si>
    <t>Steven Matz</t>
  </si>
  <si>
    <t>Craig Kimbrel</t>
  </si>
  <si>
    <t>Miguel Sanó</t>
  </si>
  <si>
    <t>Chris Paddack</t>
  </si>
  <si>
    <t>Eduardo Escobar</t>
  </si>
  <si>
    <t>Luis Severino</t>
  </si>
  <si>
    <t>Alec Bohm</t>
  </si>
  <si>
    <t>Devin Williams</t>
  </si>
  <si>
    <t>Jameson Taillon</t>
  </si>
  <si>
    <t>Kyle Lewis</t>
  </si>
  <si>
    <t>Bobby Dalbec</t>
  </si>
  <si>
    <t>Travis d'Arnaud</t>
  </si>
  <si>
    <t>Gavin Lux</t>
  </si>
  <si>
    <t>Josh Rojas</t>
  </si>
  <si>
    <t>Taijuan Walker</t>
  </si>
  <si>
    <t>Kiké Hernández</t>
  </si>
  <si>
    <t>Carlos Carrasco</t>
  </si>
  <si>
    <t>Garrett Whitlock</t>
  </si>
  <si>
    <t>Eric Hosmer</t>
  </si>
  <si>
    <t>Jeimer Candelario</t>
  </si>
  <si>
    <t>Gio Urshela</t>
  </si>
  <si>
    <t>Stephen Strasburg</t>
  </si>
  <si>
    <t>Tony Gonsolin</t>
  </si>
  <si>
    <t>Brady Singer</t>
  </si>
  <si>
    <t>Gregory Soto</t>
  </si>
  <si>
    <t>Max Kepler</t>
  </si>
  <si>
    <t>Cal Quantrill</t>
  </si>
  <si>
    <t>Matt Barnes</t>
  </si>
  <si>
    <t>Jon Gray</t>
  </si>
  <si>
    <t>Jeff McNeil</t>
  </si>
  <si>
    <t>Bailey Ober</t>
  </si>
  <si>
    <t>Carson Kelly</t>
  </si>
  <si>
    <t>Marco Gonzales</t>
  </si>
  <si>
    <t>Zach Eflin</t>
  </si>
  <si>
    <t>Brandon Nimmo</t>
  </si>
  <si>
    <t>Cristian Javier</t>
  </si>
  <si>
    <t>Jesús Sánchez</t>
  </si>
  <si>
    <t>Cavan Biggio</t>
  </si>
  <si>
    <t>Paul Sewald</t>
  </si>
  <si>
    <t>Andrew McCutchen</t>
  </si>
  <si>
    <t>Jonathan Villar</t>
  </si>
  <si>
    <t>Nestor Cortes</t>
  </si>
  <si>
    <t>Elias Díaz</t>
  </si>
  <si>
    <t>Gary Sánchez</t>
  </si>
  <si>
    <t>Oneil Cruz</t>
  </si>
  <si>
    <t>Nicky Lopez</t>
  </si>
  <si>
    <t>Dane Dunning</t>
  </si>
  <si>
    <t>Andrew Heaney</t>
  </si>
  <si>
    <t>Josiah Gray</t>
  </si>
  <si>
    <t>Adam Frazier</t>
  </si>
  <si>
    <t>Aaron Ashby</t>
  </si>
  <si>
    <t>Andrew Kittredge</t>
  </si>
  <si>
    <t>Trevor Bauer</t>
  </si>
  <si>
    <t>Sean Murphy</t>
  </si>
  <si>
    <t>Julio Rodríguez</t>
  </si>
  <si>
    <t>Garrett Hampson</t>
  </si>
  <si>
    <t>Josh Harrison</t>
  </si>
  <si>
    <t>Kyle Gibson</t>
  </si>
  <si>
    <t>Joc Pederson</t>
  </si>
  <si>
    <t>Spencer Torkelson</t>
  </si>
  <si>
    <t>Cesar Hernandez</t>
  </si>
  <si>
    <t>Mike Zunino</t>
  </si>
  <si>
    <t>Elieser Hernandez</t>
  </si>
  <si>
    <t>Corey Kluber</t>
  </si>
  <si>
    <t>LaMonte Wade Jr.</t>
  </si>
  <si>
    <t>Nick Solak</t>
  </si>
  <si>
    <t>Alejandro Kirk</t>
  </si>
  <si>
    <t>Jake McGee</t>
  </si>
  <si>
    <t>Rowdy Tellez</t>
  </si>
  <si>
    <t>Dylan Floro</t>
  </si>
  <si>
    <t>Evan Longoria</t>
  </si>
  <si>
    <t>Christian Walker</t>
  </si>
  <si>
    <t>Chad Green</t>
  </si>
  <si>
    <t>Lorenzo Cain</t>
  </si>
  <si>
    <t>Omar Narváez</t>
  </si>
  <si>
    <t>Bobby Bradley</t>
  </si>
  <si>
    <t>Lou Trivino</t>
  </si>
  <si>
    <t>Isiah Kiner-Falefa</t>
  </si>
  <si>
    <t>Joey Wendle</t>
  </si>
  <si>
    <t>Eric Lauer</t>
  </si>
  <si>
    <t>Brad Hand</t>
  </si>
  <si>
    <t>Yoshi Tsutsugo</t>
  </si>
  <si>
    <t>Nick Pivetta</t>
  </si>
  <si>
    <t>Dominic Smith</t>
  </si>
  <si>
    <t>David Fletcher</t>
  </si>
  <si>
    <t>Randal Grichuk</t>
  </si>
  <si>
    <t>Andrés Giménez</t>
  </si>
  <si>
    <t>Abraham Toro</t>
  </si>
  <si>
    <t>Nick Madrigal</t>
  </si>
  <si>
    <t>Diego Castillo</t>
  </si>
  <si>
    <t>David Peralta</t>
  </si>
  <si>
    <t>Connor Joe</t>
  </si>
  <si>
    <t>Roansy Contreras</t>
  </si>
  <si>
    <t>James Kaprielian</t>
  </si>
  <si>
    <t>Willie Calhoun</t>
  </si>
  <si>
    <t>Lane Thomas</t>
  </si>
  <si>
    <t>MacKenzie Gore</t>
  </si>
  <si>
    <t>Pete Fairbanks</t>
  </si>
  <si>
    <t>Patrick Wisdom</t>
  </si>
  <si>
    <t>Didi Gregorius</t>
  </si>
  <si>
    <t>Edward Cabrera</t>
  </si>
  <si>
    <t>Nick Senzel</t>
  </si>
  <si>
    <t>Drew Rasmussen</t>
  </si>
  <si>
    <t>Michael Fulmer</t>
  </si>
  <si>
    <t>Miguel Rojas</t>
  </si>
  <si>
    <t>Paul DeJong</t>
  </si>
  <si>
    <t>Adley Rutschman</t>
  </si>
  <si>
    <t>J.P. Crawford</t>
  </si>
  <si>
    <t>Lucas Sims</t>
  </si>
  <si>
    <t>Collin McHugh</t>
  </si>
  <si>
    <t>James Karinchak</t>
  </si>
  <si>
    <t>Jesús Luzardo</t>
  </si>
  <si>
    <t>Luis Arraez</t>
  </si>
  <si>
    <t>Héctor Neris</t>
  </si>
  <si>
    <t>Carlos Santana</t>
  </si>
  <si>
    <t>Luis Patiño</t>
  </si>
  <si>
    <t>Pavin Smith</t>
  </si>
  <si>
    <t>Wilmer Flores</t>
  </si>
  <si>
    <t>Victor Robles</t>
  </si>
  <si>
    <t>Manuel Margot</t>
  </si>
  <si>
    <t>Josh Lowe</t>
  </si>
  <si>
    <t>Vidal Bruján</t>
  </si>
  <si>
    <t>Alex Reyes</t>
  </si>
  <si>
    <t>Josh Jung</t>
  </si>
  <si>
    <t>Joe Barlow</t>
  </si>
  <si>
    <t>Tylor Megill</t>
  </si>
  <si>
    <t>Rowan Wick</t>
  </si>
  <si>
    <t>Yadier Molina</t>
  </si>
  <si>
    <t>Nico Hoerner</t>
  </si>
  <si>
    <t>Alex Colomé</t>
  </si>
  <si>
    <t>Cole Sulser</t>
  </si>
  <si>
    <t>Jarren Duran</t>
  </si>
  <si>
    <t>Seth Beer</t>
  </si>
  <si>
    <t>Chris Flexen</t>
  </si>
  <si>
    <t>Mike Moustakas</t>
  </si>
  <si>
    <t>Austin Nola</t>
  </si>
  <si>
    <t>Tucker Barnhart</t>
  </si>
  <si>
    <t>Anthony Bender</t>
  </si>
  <si>
    <t>Rafael Ortega</t>
  </si>
  <si>
    <t>Harold Ramirez</t>
  </si>
  <si>
    <t>James McCann</t>
  </si>
  <si>
    <t>Domingo Germán</t>
  </si>
  <si>
    <t>Jonathan Loáisiga</t>
  </si>
  <si>
    <t>Nick Lodolo</t>
  </si>
  <si>
    <t>JT Brubaker</t>
  </si>
  <si>
    <t>Nate Pearson</t>
  </si>
  <si>
    <t>Eric Haase</t>
  </si>
  <si>
    <t>Sixto Sánchez</t>
  </si>
  <si>
    <t>Michael Pineda</t>
  </si>
  <si>
    <t>Yan Gomes</t>
  </si>
  <si>
    <t>Madison Bumgarner</t>
  </si>
  <si>
    <t>Tyler Naquin</t>
  </si>
  <si>
    <t>Yandy Díaz</t>
  </si>
  <si>
    <t>Jurickson Profar</t>
  </si>
  <si>
    <t>Tanner Rainey</t>
  </si>
  <si>
    <t>Jake Odorizzi</t>
  </si>
  <si>
    <t>Merrill Kelly</t>
  </si>
  <si>
    <t>Luis Gil</t>
  </si>
  <si>
    <t>Sam Hilliard</t>
  </si>
  <si>
    <t>Tyler Glasnow</t>
  </si>
  <si>
    <t>Aaron Loup</t>
  </si>
  <si>
    <t>Richard Rodríguez</t>
  </si>
  <si>
    <t>Tyler Rogers</t>
  </si>
  <si>
    <t>Drew Steckenrider</t>
  </si>
  <si>
    <t>Jarlín García</t>
  </si>
  <si>
    <t>Kendall Graveman</t>
  </si>
  <si>
    <t>Brent Suter</t>
  </si>
  <si>
    <t>Andrew Chafin</t>
  </si>
  <si>
    <t>Craig Stammen</t>
  </si>
  <si>
    <t>Josh Staumont</t>
  </si>
  <si>
    <t>Yimi García</t>
  </si>
  <si>
    <t>Ian Kennedy</t>
  </si>
  <si>
    <t>Daniel Hudson</t>
  </si>
  <si>
    <t>Caleb Thielbar</t>
  </si>
  <si>
    <t>Brad Boxberger</t>
  </si>
  <si>
    <t>Yusmeiro Petit</t>
  </si>
  <si>
    <t>Trevor May</t>
  </si>
  <si>
    <t>Tony Watson</t>
  </si>
  <si>
    <t>JT Chargois</t>
  </si>
  <si>
    <t>Tejay Antone</t>
  </si>
  <si>
    <t>Chris Stratton</t>
  </si>
  <si>
    <t>Kwang Hyun Kim</t>
  </si>
  <si>
    <t>Clay Holmes</t>
  </si>
  <si>
    <t>Kenta Maeda</t>
  </si>
  <si>
    <t>Casey Sadler</t>
  </si>
  <si>
    <t>Lucas Luetge</t>
  </si>
  <si>
    <t>Mike Mayers</t>
  </si>
  <si>
    <t>Dominic Leone</t>
  </si>
  <si>
    <t>Tim Mayza</t>
  </si>
  <si>
    <t>Luis Cessa</t>
  </si>
  <si>
    <t>Ryan Tepera</t>
  </si>
  <si>
    <t>José Álvarez</t>
  </si>
  <si>
    <t>Adam Cimber</t>
  </si>
  <si>
    <t>Trevor Richards</t>
  </si>
  <si>
    <t>Spencer Turnbull</t>
  </si>
  <si>
    <t>José Iglesias</t>
  </si>
  <si>
    <t>Richard Bleier</t>
  </si>
  <si>
    <t>Rich Hill</t>
  </si>
  <si>
    <t>Tyler Duffey</t>
  </si>
  <si>
    <t>Jake Diekman</t>
  </si>
  <si>
    <t>Miguel Cabrera</t>
  </si>
  <si>
    <t>Jorge Alcala</t>
  </si>
  <si>
    <t>Matt Wisler</t>
  </si>
  <si>
    <t>Aaron Bummer</t>
  </si>
  <si>
    <t>Connor Brogdon</t>
  </si>
  <si>
    <t>Tyler Matzek</t>
  </si>
  <si>
    <t>Codi Heuer</t>
  </si>
  <si>
    <t>Phil Bickford</t>
  </si>
  <si>
    <t>Daniel Bard</t>
  </si>
  <si>
    <t>Dustin May</t>
  </si>
  <si>
    <t>Tyler Wells</t>
  </si>
  <si>
    <t>Génesis Cabrera</t>
  </si>
  <si>
    <t>John Curtiss</t>
  </si>
  <si>
    <t>Art Warren</t>
  </si>
  <si>
    <t>Joe Kelly</t>
  </si>
  <si>
    <t>Danny Duffy</t>
  </si>
  <si>
    <t>Pierce Johnson</t>
  </si>
  <si>
    <t>Archie Bradley</t>
  </si>
  <si>
    <t>Tim Hill</t>
  </si>
  <si>
    <t>Drew Pomeranz</t>
  </si>
  <si>
    <t>Wade Miley</t>
  </si>
  <si>
    <t>Louis Head</t>
  </si>
  <si>
    <t>J.P. Feyereisen</t>
  </si>
  <si>
    <t>John King</t>
  </si>
  <si>
    <t>Mychal Givens</t>
  </si>
  <si>
    <t>Austin Gomber</t>
  </si>
  <si>
    <t>José Cisnero</t>
  </si>
  <si>
    <t>Drew Smith</t>
  </si>
  <si>
    <t>Jeurys Familia</t>
  </si>
  <si>
    <t>Alex Vesia</t>
  </si>
  <si>
    <t>Garrett Crochet</t>
  </si>
  <si>
    <t>Dinelson Lamet</t>
  </si>
  <si>
    <t>Greg Holland</t>
  </si>
  <si>
    <t>Caleb Baragar</t>
  </si>
  <si>
    <t>Steven Okert</t>
  </si>
  <si>
    <t>Jimmy Nelson</t>
  </si>
  <si>
    <t>Zack Littell</t>
  </si>
  <si>
    <t>Hunter Strickland</t>
  </si>
  <si>
    <t>Ryan Thompson</t>
  </si>
  <si>
    <t>Adam Ottavino</t>
  </si>
  <si>
    <t>Reynaldo López</t>
  </si>
  <si>
    <t>Jake Brentz</t>
  </si>
  <si>
    <t>Wandy Peralta</t>
  </si>
  <si>
    <t>T.J. McFarland</t>
  </si>
  <si>
    <t>Kyle Finnegan</t>
  </si>
  <si>
    <t>Jeffrey Springs</t>
  </si>
  <si>
    <t>Austin Warren</t>
  </si>
  <si>
    <t>A.J. Minter</t>
  </si>
  <si>
    <t>Tyler Clippard</t>
  </si>
  <si>
    <t>Victor González</t>
  </si>
  <si>
    <t>Trevor Rosenthal</t>
  </si>
  <si>
    <t>Nick Anderson</t>
  </si>
  <si>
    <t>Adrian Houser</t>
  </si>
  <si>
    <t>Jeremy Jeffress</t>
  </si>
  <si>
    <t>Seth Lugo</t>
  </si>
  <si>
    <t>Domingo Tapia</t>
  </si>
  <si>
    <t>Jesse Chávez</t>
  </si>
  <si>
    <t>Michael A. Taylor</t>
  </si>
  <si>
    <t>Anthony Bass</t>
  </si>
  <si>
    <t>Dakota Hudson</t>
  </si>
  <si>
    <t>Adbert Alzolay</t>
  </si>
  <si>
    <t>Luke Jackson</t>
  </si>
  <si>
    <t>Juan Minaya</t>
  </si>
  <si>
    <t>Blake Taylor</t>
  </si>
  <si>
    <t>Kyle Farmer</t>
  </si>
  <si>
    <t>Zach Thompson</t>
  </si>
  <si>
    <t>Dietrich Enns</t>
  </si>
  <si>
    <t>José Ruiz</t>
  </si>
  <si>
    <t>Ryne Stanek</t>
  </si>
  <si>
    <t>Noé Ramírez</t>
  </si>
  <si>
    <t>Chris Martin</t>
  </si>
  <si>
    <t>Brett Martin</t>
  </si>
  <si>
    <t>Darren O'Day</t>
  </si>
  <si>
    <t>Miguel Diaz</t>
  </si>
  <si>
    <t>Chasen Shreve</t>
  </si>
  <si>
    <t>Austin Adams</t>
  </si>
  <si>
    <t>Hirokazu Sawamura</t>
  </si>
  <si>
    <t>Deolis Guerra</t>
  </si>
  <si>
    <t>Tyler Gilbert</t>
  </si>
  <si>
    <t>Blake Parker</t>
  </si>
  <si>
    <t>Nick Sandlin</t>
  </si>
  <si>
    <t>Yohan Ramirez</t>
  </si>
  <si>
    <t>José Suarez</t>
  </si>
  <si>
    <t>Joe Ross</t>
  </si>
  <si>
    <t>Nick Vincent</t>
  </si>
  <si>
    <t>Jake Cousins</t>
  </si>
  <si>
    <t>Miguel Castro</t>
  </si>
  <si>
    <t>Jonathan Hernández</t>
  </si>
  <si>
    <t>Brad Miller</t>
  </si>
  <si>
    <t>Kevin Pillar</t>
  </si>
  <si>
    <t>Edgar Santana</t>
  </si>
  <si>
    <t>Dylan Moore</t>
  </si>
  <si>
    <t>Drew Smyly</t>
  </si>
  <si>
    <t>Adrian Sampson</t>
  </si>
  <si>
    <t>Carlos Hernández</t>
  </si>
  <si>
    <t>Lucas Gilbreath</t>
  </si>
  <si>
    <t>Spencer Patton</t>
  </si>
  <si>
    <t>Brad Wieck</t>
  </si>
  <si>
    <t>Richard Lovelady</t>
  </si>
  <si>
    <t>Tony Santillan</t>
  </si>
  <si>
    <t>Scott Effross</t>
  </si>
  <si>
    <t>Austin Slater</t>
  </si>
  <si>
    <t>Kodi Whitley</t>
  </si>
  <si>
    <t>Danny Coulombe</t>
  </si>
  <si>
    <t>Emilio Pagán</t>
  </si>
  <si>
    <t>Leury García</t>
  </si>
  <si>
    <t>Mitch White</t>
  </si>
  <si>
    <t>Reiver Sanmartin</t>
  </si>
  <si>
    <t>Chris Ellis</t>
  </si>
  <si>
    <t>Kent Emanuel</t>
  </si>
  <si>
    <t>Jacob Webb</t>
  </si>
  <si>
    <t>Travis Bergen</t>
  </si>
  <si>
    <t>Ryan Burr</t>
  </si>
  <si>
    <t>Kervin Castro</t>
  </si>
  <si>
    <t>Tony Kemp</t>
  </si>
  <si>
    <t>Luís García</t>
  </si>
  <si>
    <t>Brooks Raley</t>
  </si>
  <si>
    <t>Wily Peralta</t>
  </si>
  <si>
    <t>Kyle Funkhouser</t>
  </si>
  <si>
    <t>Drew Hutchison</t>
  </si>
  <si>
    <t>Ross Detwiler</t>
  </si>
  <si>
    <t>Josh Fleming</t>
  </si>
  <si>
    <t>Ryan Helsley</t>
  </si>
  <si>
    <t>Darin Ruf</t>
  </si>
  <si>
    <t>J.B. Wendelken</t>
  </si>
  <si>
    <t>Nick Tropeano</t>
  </si>
  <si>
    <t>Paolo Espino</t>
  </si>
  <si>
    <t>José Alvarado</t>
  </si>
  <si>
    <t>Jay Jackson</t>
  </si>
  <si>
    <t>Kevin Kiermaier</t>
  </si>
  <si>
    <t>Odúbel Herrera</t>
  </si>
  <si>
    <t>Josh Sborz</t>
  </si>
  <si>
    <t>Matt Foster</t>
  </si>
  <si>
    <t>Tommy Hunter</t>
  </si>
  <si>
    <t>Phil Maton</t>
  </si>
  <si>
    <t>Ryan Borucki</t>
  </si>
  <si>
    <t>Adam Conley</t>
  </si>
  <si>
    <t>Joel Payamps</t>
  </si>
  <si>
    <t>Caleb Ferguson</t>
  </si>
  <si>
    <t>Dillon Maples</t>
  </si>
  <si>
    <t>Jimmie Sherfy</t>
  </si>
  <si>
    <t>Peter Solomon</t>
  </si>
  <si>
    <t>David Phelps</t>
  </si>
  <si>
    <t>Pedro Báez</t>
  </si>
  <si>
    <t>Anthony Gose</t>
  </si>
  <si>
    <t>Robert Stephenson</t>
  </si>
  <si>
    <t>Conner Menez</t>
  </si>
  <si>
    <t>Darwinzon Hernandez</t>
  </si>
  <si>
    <t>Ryan Brasier</t>
  </si>
  <si>
    <t>Jandel Gustave</t>
  </si>
  <si>
    <t>Ralph Garza Jr.</t>
  </si>
  <si>
    <t>Yacksel Rios</t>
  </si>
  <si>
    <t>Bryan Shaw</t>
  </si>
  <si>
    <t>Josh Rogers</t>
  </si>
  <si>
    <t>Cam Hill</t>
  </si>
  <si>
    <t>Jesse Hahn</t>
  </si>
  <si>
    <t>Sergio Romo</t>
  </si>
  <si>
    <t>Justin Steele</t>
  </si>
  <si>
    <t>Brusdar Graterol</t>
  </si>
  <si>
    <t>Kyle Muller</t>
  </si>
  <si>
    <t>Kyle Zimmer</t>
  </si>
  <si>
    <t>Angel Zerpa</t>
  </si>
  <si>
    <t>Brett Phillips</t>
  </si>
  <si>
    <t>Keegan Thompson</t>
  </si>
  <si>
    <t>A.J. Alexy</t>
  </si>
  <si>
    <t>Jason Adam</t>
  </si>
  <si>
    <t>DJ Johnson</t>
  </si>
  <si>
    <t>Daniel Zamora</t>
  </si>
  <si>
    <t>Dylan Coleman</t>
  </si>
  <si>
    <t>Mike Morin</t>
  </si>
  <si>
    <t>Jordan Sheffield</t>
  </si>
  <si>
    <t>Willi Castro</t>
  </si>
  <si>
    <t>Reyes Moronta</t>
  </si>
  <si>
    <t>Erasmo Ramírez</t>
  </si>
  <si>
    <t>Jharel Cotton</t>
  </si>
  <si>
    <t>Justin Bruihl</t>
  </si>
  <si>
    <t>Keone Kela</t>
  </si>
  <si>
    <t>AJ Ramos</t>
  </si>
  <si>
    <t>Jalen Beeks</t>
  </si>
  <si>
    <t>Kyle McGowin</t>
  </si>
  <si>
    <t>Evan Phillips</t>
  </si>
  <si>
    <t>Andres Machado</t>
  </si>
  <si>
    <t>Scott Alexander</t>
  </si>
  <si>
    <t>Foster Griffin</t>
  </si>
  <si>
    <t>Devin Smeltzer</t>
  </si>
  <si>
    <t>Jimmy Herget</t>
  </si>
  <si>
    <t>Nick Wittgren</t>
  </si>
  <si>
    <t>Aaron Sanchez</t>
  </si>
  <si>
    <t>Heath Hembree</t>
  </si>
  <si>
    <t>Marcos Diplán</t>
  </si>
  <si>
    <t>Tyler Alexander</t>
  </si>
  <si>
    <t>Spencer Strider</t>
  </si>
  <si>
    <t>Nabil Crismatt</t>
  </si>
  <si>
    <t>Adam Morgan</t>
  </si>
  <si>
    <t>Hansel Robles</t>
  </si>
  <si>
    <t>Yefry Ramirez</t>
  </si>
  <si>
    <t>Miles Mikolas</t>
  </si>
  <si>
    <t>Eduard Bazardo</t>
  </si>
  <si>
    <t>Anthony Misiewicz</t>
  </si>
  <si>
    <t>Andre Jackson</t>
  </si>
  <si>
    <t>Dauri Moreta</t>
  </si>
  <si>
    <t>Stephen Ridings</t>
  </si>
  <si>
    <t>Andrew Vasquez</t>
  </si>
  <si>
    <t>Chris Rodriguez</t>
  </si>
  <si>
    <t>Homer Bailey</t>
  </si>
  <si>
    <t>Hunter Wood</t>
  </si>
  <si>
    <t>Kirby Snead</t>
  </si>
  <si>
    <t>Justin Dunn</t>
  </si>
  <si>
    <t>Erik Swanson</t>
  </si>
  <si>
    <t>Ben Braymer</t>
  </si>
  <si>
    <t>Aaron Northcraft</t>
  </si>
  <si>
    <t>Rafael Dolis</t>
  </si>
  <si>
    <t>Seranthony Domínguez</t>
  </si>
  <si>
    <t>Austin Pruitt</t>
  </si>
  <si>
    <t>Edinson Vólquez</t>
  </si>
  <si>
    <t>Sean Reid-Foley</t>
  </si>
  <si>
    <t>Kyle Tyler</t>
  </si>
  <si>
    <t>Héctor Santiago</t>
  </si>
  <si>
    <t>Nick Allgeyer</t>
  </si>
  <si>
    <t>Angel Rondón</t>
  </si>
  <si>
    <t>Andrew Wantz</t>
  </si>
  <si>
    <t>Corey Oswalt</t>
  </si>
  <si>
    <t>Joe Harvey</t>
  </si>
  <si>
    <t>Hunter Dozier</t>
  </si>
  <si>
    <t>Adrian Morejon</t>
  </si>
  <si>
    <t>Chaz Roe</t>
  </si>
  <si>
    <t>Tyler Kinley</t>
  </si>
  <si>
    <t>Domingo Acevedo</t>
  </si>
  <si>
    <t>Jordan Holloway</t>
  </si>
  <si>
    <t>Joel Kuhnel</t>
  </si>
  <si>
    <t>Kyle Barraclough</t>
  </si>
  <si>
    <t>Donovan Solano</t>
  </si>
  <si>
    <t>Anthony Castro</t>
  </si>
  <si>
    <t>Stephen Gonsalves</t>
  </si>
  <si>
    <t>Brandon Leibrandt</t>
  </si>
  <si>
    <t>Jason Foley</t>
  </si>
  <si>
    <t>Jake Reed</t>
  </si>
  <si>
    <t>Bryan Baker</t>
  </si>
  <si>
    <t>Tanner Scott</t>
  </si>
  <si>
    <t>Rob Kaminsky</t>
  </si>
  <si>
    <t>Corey Dickerson</t>
  </si>
  <si>
    <t>Zack Britton</t>
  </si>
  <si>
    <t>Joey Gerber</t>
  </si>
  <si>
    <t>Akeem Bostick</t>
  </si>
  <si>
    <t>David Price</t>
  </si>
  <si>
    <t>Nick Burdi</t>
  </si>
  <si>
    <t>Ben Heller</t>
  </si>
  <si>
    <t>Zac Rosscup</t>
  </si>
  <si>
    <t>Tanner Anderson</t>
  </si>
  <si>
    <t>Jhonathan Diaz</t>
  </si>
  <si>
    <t>Daulton Jefferies</t>
  </si>
  <si>
    <t>Brandon Bailey</t>
  </si>
  <si>
    <t>Garrett Cleavinger</t>
  </si>
  <si>
    <t>Alex McRae</t>
  </si>
  <si>
    <t>Tommy Kahnle</t>
  </si>
  <si>
    <t>Joe Smith</t>
  </si>
  <si>
    <t>Blake Cederlind</t>
  </si>
  <si>
    <t>José Leclerc</t>
  </si>
  <si>
    <t>Stephen Nogosek</t>
  </si>
  <si>
    <t>Preston Guilmet</t>
  </si>
  <si>
    <t>Justin Anderson</t>
  </si>
  <si>
    <t>Tim Cate</t>
  </si>
  <si>
    <t>Blaine Knight</t>
  </si>
  <si>
    <t>Eduardo Jimenez</t>
  </si>
  <si>
    <t>Jerry Vasto</t>
  </si>
  <si>
    <t>Akeel Morris</t>
  </si>
  <si>
    <t>Oscar De La Cruz</t>
  </si>
  <si>
    <t>Carlos Vargas</t>
  </si>
  <si>
    <t>Dylan Baker</t>
  </si>
  <si>
    <t>Cade Cavalli</t>
  </si>
  <si>
    <t>Yerry Rodriguez</t>
  </si>
  <si>
    <t>Brenan Hanifee</t>
  </si>
  <si>
    <t>Quinn Priester</t>
  </si>
  <si>
    <t>Ryley Gilliam</t>
  </si>
  <si>
    <t>Alvaro Seijas</t>
  </si>
  <si>
    <t>Trey Supak</t>
  </si>
  <si>
    <t>Jake Eder</t>
  </si>
  <si>
    <t>Addison Russ</t>
  </si>
  <si>
    <t>Riley Ferrell</t>
  </si>
  <si>
    <t>Adrian De Horta</t>
  </si>
  <si>
    <t>Kyle McGrath</t>
  </si>
  <si>
    <t>Kohl Franklin</t>
  </si>
  <si>
    <t>Jake Walsh</t>
  </si>
  <si>
    <t>Calvin Faucher</t>
  </si>
  <si>
    <t>Drey Jameson</t>
  </si>
  <si>
    <t>Alejandro Hidalgo</t>
  </si>
  <si>
    <t>Logan Gillaspie</t>
  </si>
  <si>
    <t>CD Pelham</t>
  </si>
  <si>
    <t>Cole Winn</t>
  </si>
  <si>
    <t>Scott Moss</t>
  </si>
  <si>
    <t>Sean Hjelle</t>
  </si>
  <si>
    <t>James Marinan</t>
  </si>
  <si>
    <t>Peyton Battenfield</t>
  </si>
  <si>
    <t>Michael Grove</t>
  </si>
  <si>
    <t>Matt Bowman</t>
  </si>
  <si>
    <t>Hunter Greene</t>
  </si>
  <si>
    <t>Yoendrys Gómez</t>
  </si>
  <si>
    <t>Hayden Wesneski</t>
  </si>
  <si>
    <t>Zach McCambley</t>
  </si>
  <si>
    <t>Matthew Liberatore</t>
  </si>
  <si>
    <t>Konnor Pilkington</t>
  </si>
  <si>
    <t>Burl Carraway</t>
  </si>
  <si>
    <t>Andrew Abbott</t>
  </si>
  <si>
    <t>Daniel Álvarez</t>
  </si>
  <si>
    <t>Ethan Roberts</t>
  </si>
  <si>
    <t>Juan Then</t>
  </si>
  <si>
    <t>Mitchell Parker</t>
  </si>
  <si>
    <t>Austin Hansen</t>
  </si>
  <si>
    <t>Víctor Arano</t>
  </si>
  <si>
    <t>Jordan Humphreys</t>
  </si>
  <si>
    <t>Thomas Pannone</t>
  </si>
  <si>
    <t>Rob Zastryzny</t>
  </si>
  <si>
    <t>Collin Snider</t>
  </si>
  <si>
    <t>Victor Vodnik</t>
  </si>
  <si>
    <t>J.T. Ginn</t>
  </si>
  <si>
    <t>Ben Hernandez</t>
  </si>
  <si>
    <t>Aaron Shortridge</t>
  </si>
  <si>
    <t>Brayan Medina</t>
  </si>
  <si>
    <t>Norge Vera</t>
  </si>
  <si>
    <t>Tyler Cyr</t>
  </si>
  <si>
    <t>Brady Rodgers</t>
  </si>
  <si>
    <t>Jared Kelley</t>
  </si>
  <si>
    <t>Edwin Nunez</t>
  </si>
  <si>
    <t>Adam McCreery</t>
  </si>
  <si>
    <t>Mason Miller</t>
  </si>
  <si>
    <t>Yunior Marte</t>
  </si>
  <si>
    <t>Clayton Andrews</t>
  </si>
  <si>
    <t>Jose Alberto Rivera</t>
  </si>
  <si>
    <t>Dakota Mekkes</t>
  </si>
  <si>
    <t>Brandon Maurer</t>
  </si>
  <si>
    <t>Cody Morris</t>
  </si>
  <si>
    <t>Randall Delgado</t>
  </si>
  <si>
    <t>Frank Mozzicato</t>
  </si>
  <si>
    <t>Connor Sadzeck</t>
  </si>
  <si>
    <t>Anthony Solometo</t>
  </si>
  <si>
    <t>James Marvel</t>
  </si>
  <si>
    <t>JP Sears</t>
  </si>
  <si>
    <t>Landon Knack</t>
  </si>
  <si>
    <t>Randy Vasquez</t>
  </si>
  <si>
    <t>Karl Kauffmann</t>
  </si>
  <si>
    <t>Freddy Pacheco</t>
  </si>
  <si>
    <t>Nick Bitsko</t>
  </si>
  <si>
    <t>Ty Madden</t>
  </si>
  <si>
    <t>Andrew Moore</t>
  </si>
  <si>
    <t>Ryan Rolison</t>
  </si>
  <si>
    <t>Denyi Reyes</t>
  </si>
  <si>
    <t>Yoan Aybar</t>
  </si>
  <si>
    <t>Andry Lara</t>
  </si>
  <si>
    <t>Kieran Lovegrove</t>
  </si>
  <si>
    <t>Alexander Guillen</t>
  </si>
  <si>
    <t>Félix Bautista</t>
  </si>
  <si>
    <t>Mark Leiter Jr.</t>
  </si>
  <si>
    <t>Kendall Williams</t>
  </si>
  <si>
    <t>Michael Mercado</t>
  </si>
  <si>
    <t>Jordan Wicks</t>
  </si>
  <si>
    <t>Cody Sedlock</t>
  </si>
  <si>
    <t>Mike Hauschild</t>
  </si>
  <si>
    <t>Gunnar Hoglund</t>
  </si>
  <si>
    <t>Ryan Pepiot</t>
  </si>
  <si>
    <t>Andrew Dalquist</t>
  </si>
  <si>
    <t>Sam Wolff</t>
  </si>
  <si>
    <t>Matt Canterino</t>
  </si>
  <si>
    <t>Jared Solomon</t>
  </si>
  <si>
    <t>Eddy Yean</t>
  </si>
  <si>
    <t>Mike Shawaryn</t>
  </si>
  <si>
    <t>Chad Dallas</t>
  </si>
  <si>
    <t>Elvis Luciano</t>
  </si>
  <si>
    <t>D.J. Snelten</t>
  </si>
  <si>
    <t>Joey Murray</t>
  </si>
  <si>
    <t>Nick Gardewine</t>
  </si>
  <si>
    <t>Bubba Chandler</t>
  </si>
  <si>
    <t>Miguel Almonte</t>
  </si>
  <si>
    <t>Jay Groome</t>
  </si>
  <si>
    <t>Adam Oller</t>
  </si>
  <si>
    <t>Yefri Del Rosario</t>
  </si>
  <si>
    <t>Caleb Kilian</t>
  </si>
  <si>
    <t>Joey Cantillo</t>
  </si>
  <si>
    <t>Evan Lee</t>
  </si>
  <si>
    <t>Tyler Phillips</t>
  </si>
  <si>
    <t>Jorge Juan</t>
  </si>
  <si>
    <t>Will Bednar</t>
  </si>
  <si>
    <t>Anderson Espinoza</t>
  </si>
  <si>
    <t>Cody Bolton</t>
  </si>
  <si>
    <t>Jason Bilous</t>
  </si>
  <si>
    <t>Ray Kerr</t>
  </si>
  <si>
    <t>Kevin Gadea</t>
  </si>
  <si>
    <t>Tink Hence</t>
  </si>
  <si>
    <t>Breiling Eusebio</t>
  </si>
  <si>
    <t>Bryce Jarvis</t>
  </si>
  <si>
    <t>Edwin Jackson</t>
  </si>
  <si>
    <t>Ben Kudrna</t>
  </si>
  <si>
    <t>Matt Tabor</t>
  </si>
  <si>
    <t>John Doxakis</t>
  </si>
  <si>
    <t>Emilio Vargas</t>
  </si>
  <si>
    <t>Eury Perez</t>
  </si>
  <si>
    <t>Robinson Pina</t>
  </si>
  <si>
    <t>Marshall Kasowski</t>
  </si>
  <si>
    <t>Michael Morales</t>
  </si>
  <si>
    <t>Colton Hock</t>
  </si>
  <si>
    <t>Gavin Williams</t>
  </si>
  <si>
    <t>Stephen Woods Jr.</t>
  </si>
  <si>
    <t>Ryne Nelson</t>
  </si>
  <si>
    <t>Antoine Kelly</t>
  </si>
  <si>
    <t>Carlos Navas</t>
  </si>
  <si>
    <t>Ryan Jensen</t>
  </si>
  <si>
    <t>Brian Omogrosso</t>
  </si>
  <si>
    <t>Nick Martínez</t>
  </si>
  <si>
    <t>Williams Jerez</t>
  </si>
  <si>
    <t>Yadier Alvarez</t>
  </si>
  <si>
    <t>Alan Rangel</t>
  </si>
  <si>
    <t>Ethan Small</t>
  </si>
  <si>
    <t>Pedro Payano</t>
  </si>
  <si>
    <t>Grayson Rodriguez</t>
  </si>
  <si>
    <t>Zack Hess</t>
  </si>
  <si>
    <t>Forrest Whitley</t>
  </si>
  <si>
    <t>Felix Jorge</t>
  </si>
  <si>
    <t>Daniel Espino</t>
  </si>
  <si>
    <t>Jasseel De La Cruz</t>
  </si>
  <si>
    <t>Reese Olson</t>
  </si>
  <si>
    <t>Asa Lacy</t>
  </si>
  <si>
    <t>Heath Fillmyer</t>
  </si>
  <si>
    <t>Logan Shore</t>
  </si>
  <si>
    <t>Bowden Francis</t>
  </si>
  <si>
    <t>Braydon Fisher</t>
  </si>
  <si>
    <t>Dax Fulton</t>
  </si>
  <si>
    <t>Noah Davis</t>
  </si>
  <si>
    <t>Dominic Pipkin</t>
  </si>
  <si>
    <t>Graham Ashcraft</t>
  </si>
  <si>
    <t>JJ Goss</t>
  </si>
  <si>
    <t>Jairo Solis</t>
  </si>
  <si>
    <t>Sam Dyson</t>
  </si>
  <si>
    <t>Robert Dominguez</t>
  </si>
  <si>
    <t>Colin Poche</t>
  </si>
  <si>
    <t>Dominic Hamel</t>
  </si>
  <si>
    <t>José Soriano</t>
  </si>
  <si>
    <t>Nick Wells</t>
  </si>
  <si>
    <t>Carson Smith</t>
  </si>
  <si>
    <t>Levi Kelly</t>
  </si>
  <si>
    <t>Jayson Schroeder</t>
  </si>
  <si>
    <t>Clayton Beeter</t>
  </si>
  <si>
    <t>Junior Santos</t>
  </si>
  <si>
    <t>Jacob Heatherly</t>
  </si>
  <si>
    <t>Rayan Gonzalez</t>
  </si>
  <si>
    <t>Denny Brady</t>
  </si>
  <si>
    <t>Brayan Perez</t>
  </si>
  <si>
    <t>George Kirby</t>
  </si>
  <si>
    <t>Sam McWilliams</t>
  </si>
  <si>
    <t>Brian Schlitter</t>
  </si>
  <si>
    <t>Gray Fenter</t>
  </si>
  <si>
    <t>Tyler Olson</t>
  </si>
  <si>
    <t>Jonathan Bowlan</t>
  </si>
  <si>
    <t>James Naile</t>
  </si>
  <si>
    <t>Brendan Beck</t>
  </si>
  <si>
    <t>Nolan Blackwood</t>
  </si>
  <si>
    <t>Jaime Melendez</t>
  </si>
  <si>
    <t>Brian Flynn</t>
  </si>
  <si>
    <t>Tony Cingrani</t>
  </si>
  <si>
    <t>Kyle Dowdy</t>
  </si>
  <si>
    <t>Tony Zych</t>
  </si>
  <si>
    <t>Gerardo Carrillo</t>
  </si>
  <si>
    <t>Alex Speas</t>
  </si>
  <si>
    <t>Trey Riley</t>
  </si>
  <si>
    <t>Dylan Dodd</t>
  </si>
  <si>
    <t>Bryce Bonnin</t>
  </si>
  <si>
    <t>Chris Murphy</t>
  </si>
  <si>
    <t>Drew Strotman</t>
  </si>
  <si>
    <t>Ronny Henriquez</t>
  </si>
  <si>
    <t>Brock Stewart</t>
  </si>
  <si>
    <t>Blayne Enlow</t>
  </si>
  <si>
    <t>Hagen Danner</t>
  </si>
  <si>
    <t>Shane Carle</t>
  </si>
  <si>
    <t>Adrian Martinez</t>
  </si>
  <si>
    <t>Joey Wentz</t>
  </si>
  <si>
    <t>Bryce Elder</t>
  </si>
  <si>
    <t>Seth Johnson</t>
  </si>
  <si>
    <t>Francisco Morales</t>
  </si>
  <si>
    <t>Owen White</t>
  </si>
  <si>
    <t>Lincoln Henzman</t>
  </si>
  <si>
    <t>Chasen Bradford</t>
  </si>
  <si>
    <t>Aaron Hernandez</t>
  </si>
  <si>
    <t>Tommy Henry</t>
  </si>
  <si>
    <t>Bobby Poyner</t>
  </si>
  <si>
    <t>Jake Buchanan</t>
  </si>
  <si>
    <t>Tanner McDougal</t>
  </si>
  <si>
    <t>Victor Alcantara</t>
  </si>
  <si>
    <t>Irv Carter</t>
  </si>
  <si>
    <t>Carmen Mlodzinski</t>
  </si>
  <si>
    <t>Sam Tuivailala</t>
  </si>
  <si>
    <t>Jack Leiter</t>
  </si>
  <si>
    <t>Hector Yan</t>
  </si>
  <si>
    <t>Austin Bibens-Dirkx</t>
  </si>
  <si>
    <t>Victor Lizarraga</t>
  </si>
  <si>
    <t>Levi Stoudt</t>
  </si>
  <si>
    <t>Marc Rzepczynski</t>
  </si>
  <si>
    <t>Angel De Jesus</t>
  </si>
  <si>
    <t>Mike Burrows</t>
  </si>
  <si>
    <t>Kodi Medeiros</t>
  </si>
  <si>
    <t>Nick Swiney</t>
  </si>
  <si>
    <t>Taj Bradley</t>
  </si>
  <si>
    <t>Rogelio Armenteros</t>
  </si>
  <si>
    <t>Matt Brash</t>
  </si>
  <si>
    <t>Cole Henry</t>
  </si>
  <si>
    <t>Xavier Cedeno</t>
  </si>
  <si>
    <t>Helcris Olivarez</t>
  </si>
  <si>
    <t>John Rooney</t>
  </si>
  <si>
    <t>Tyler Danish</t>
  </si>
  <si>
    <t>Luis Ortiz</t>
  </si>
  <si>
    <t>Tim Collins</t>
  </si>
  <si>
    <t>Sam Delaplane</t>
  </si>
  <si>
    <t>Ricky Vanasco</t>
  </si>
  <si>
    <t>Gerardo Reyes</t>
  </si>
  <si>
    <t>Ben Meyer</t>
  </si>
  <si>
    <t>Adam Kloffenstein</t>
  </si>
  <si>
    <t>Jacob Nix</t>
  </si>
  <si>
    <t>Daniel Tillo</t>
  </si>
  <si>
    <t>Josh Walker</t>
  </si>
  <si>
    <t>Bennett Sousa</t>
  </si>
  <si>
    <t>Caleb Simpson</t>
  </si>
  <si>
    <t>Brett Kennedy</t>
  </si>
  <si>
    <t>Franklin Pérez</t>
  </si>
  <si>
    <t>Efraín Contreras</t>
  </si>
  <si>
    <t>José Butto</t>
  </si>
  <si>
    <t>Jake Wong</t>
  </si>
  <si>
    <t>Joey Estes</t>
  </si>
  <si>
    <t>Jackson Rutledge</t>
  </si>
  <si>
    <t>A.J. Schugel</t>
  </si>
  <si>
    <t>Michael McGreevy</t>
  </si>
  <si>
    <t>Tommy Mace</t>
  </si>
  <si>
    <t>Sandy Baez</t>
  </si>
  <si>
    <t>Josh Lucas</t>
  </si>
  <si>
    <t>Matt Festa</t>
  </si>
  <si>
    <t>Zac Reininger</t>
  </si>
  <si>
    <t>James McArthur</t>
  </si>
  <si>
    <t>Aaron Blair</t>
  </si>
  <si>
    <t>Matt Blackham</t>
  </si>
  <si>
    <t>Matt Mikulski</t>
  </si>
  <si>
    <t>Garrett Stallings</t>
  </si>
  <si>
    <t>Francisco Liriano</t>
  </si>
  <si>
    <t>Josh Winckowski</t>
  </si>
  <si>
    <t>Chris McMahon</t>
  </si>
  <si>
    <t>Trey Wingenter</t>
  </si>
  <si>
    <t>Bryan Mata</t>
  </si>
  <si>
    <t>Erik Rivera</t>
  </si>
  <si>
    <t>Travis MacGregor</t>
  </si>
  <si>
    <t>Colin Peluse</t>
  </si>
  <si>
    <t>Chris Volstad</t>
  </si>
  <si>
    <t>CJ Van Eyk</t>
  </si>
  <si>
    <t>Jake Irvin</t>
  </si>
  <si>
    <t>Michael Ynoa</t>
  </si>
  <si>
    <t>Jaden Hill</t>
  </si>
  <si>
    <t>Spencer Schwellenbach</t>
  </si>
  <si>
    <t>Jhoan Duran</t>
  </si>
  <si>
    <t>Daniel Duarte</t>
  </si>
  <si>
    <t>Kyle Harrison</t>
  </si>
  <si>
    <t>Tristan Beck</t>
  </si>
  <si>
    <t>Maddux Bruns</t>
  </si>
  <si>
    <t>Ethan Elliott</t>
  </si>
  <si>
    <t>Zack Weiss</t>
  </si>
  <si>
    <t>Luis Medina</t>
  </si>
  <si>
    <t>Cristian Hernandez</t>
  </si>
  <si>
    <t>David Huff</t>
  </si>
  <si>
    <t>Brendan McKay (Pitcher)</t>
  </si>
  <si>
    <t>Brandon Walter</t>
  </si>
  <si>
    <t>Justin Lange</t>
  </si>
  <si>
    <t>Noah Song</t>
  </si>
  <si>
    <t>Alex Santos</t>
  </si>
  <si>
    <t>Alex Faedo</t>
  </si>
  <si>
    <t>Tony Dibrell</t>
  </si>
  <si>
    <t>Locke St. John</t>
  </si>
  <si>
    <t>Tim Adleman</t>
  </si>
  <si>
    <t>Alec Asher</t>
  </si>
  <si>
    <t>Daniel Gossett</t>
  </si>
  <si>
    <t>Reid Schaller</t>
  </si>
  <si>
    <t>David Parkinson</t>
  </si>
  <si>
    <t>Tobias Myers</t>
  </si>
  <si>
    <t>Sem Robberse</t>
  </si>
  <si>
    <t>Zack Brown</t>
  </si>
  <si>
    <t>Chandler Shepherd</t>
  </si>
  <si>
    <t>Juan Gámez</t>
  </si>
  <si>
    <t>Max Meyer</t>
  </si>
  <si>
    <t>Davidjohn Patrick Herz</t>
  </si>
  <si>
    <t>Brandon Morrow</t>
  </si>
  <si>
    <t>Mick Abel</t>
  </si>
  <si>
    <t>Tyson Ross</t>
  </si>
  <si>
    <t>Calvin Ziegler</t>
  </si>
  <si>
    <t>Kade McClure</t>
  </si>
  <si>
    <t>Jesus Reyes</t>
  </si>
  <si>
    <t>Mason Albright</t>
  </si>
  <si>
    <t>Jackson Jobe</t>
  </si>
  <si>
    <t>Matthew Thompson</t>
  </si>
  <si>
    <t>Blake Walston</t>
  </si>
  <si>
    <t>Mason Englert</t>
  </si>
  <si>
    <t>Sam Weatherly</t>
  </si>
  <si>
    <t>Hunter Brown</t>
  </si>
  <si>
    <t>Sam Bachman</t>
  </si>
  <si>
    <t>Isaiah Campbell</t>
  </si>
  <si>
    <t>Ian Bedell</t>
  </si>
  <si>
    <t>Jared Shuster</t>
  </si>
  <si>
    <t>Drew Storen</t>
  </si>
  <si>
    <t>Noah Murdock</t>
  </si>
  <si>
    <t>Dylan File</t>
  </si>
  <si>
    <t>Brayan Bello</t>
  </si>
  <si>
    <t>Steven Wilson</t>
  </si>
  <si>
    <t>Aldo Ramirez</t>
  </si>
  <si>
    <t>Jared Jones</t>
  </si>
  <si>
    <t>Drew VerHagen</t>
  </si>
  <si>
    <t>Arnaldo Hernandez</t>
  </si>
  <si>
    <t>Matt Koch</t>
  </si>
  <si>
    <t>Scott Oberg</t>
  </si>
  <si>
    <t>Joe Rock</t>
  </si>
  <si>
    <t>Pedro Araujo</t>
  </si>
  <si>
    <t>Freicer Perez</t>
  </si>
  <si>
    <t>Jonathan Bermudez</t>
  </si>
  <si>
    <t>Tahnaj Thomas</t>
  </si>
  <si>
    <t>David Hernandez</t>
  </si>
  <si>
    <t>Brennan Malone</t>
  </si>
  <si>
    <t>Jeremy Walker</t>
  </si>
  <si>
    <t>AJ Smith-Shawver</t>
  </si>
  <si>
    <t>Matt Wotherspoon</t>
  </si>
  <si>
    <t>David Carpenter</t>
  </si>
  <si>
    <t>Russell Smith</t>
  </si>
  <si>
    <t>Ben Taylor</t>
  </si>
  <si>
    <t>Brooks Wilson</t>
  </si>
  <si>
    <t>Tyler Baum</t>
  </si>
  <si>
    <t>Freddy Tarnok</t>
  </si>
  <si>
    <t>Tyler Johnson</t>
  </si>
  <si>
    <t>Wei-Chieh Huang</t>
  </si>
  <si>
    <t>Austin Cox</t>
  </si>
  <si>
    <t>Jordan Balazovic</t>
  </si>
  <si>
    <t>Eddie Butler</t>
  </si>
  <si>
    <t>TJ Sikkema</t>
  </si>
  <si>
    <t>Ryan Weiss</t>
  </si>
  <si>
    <t>Emerson Hancock</t>
  </si>
  <si>
    <t>Jordan Stephens</t>
  </si>
  <si>
    <t>Edubray Ramos</t>
  </si>
  <si>
    <t>Steven Wright</t>
  </si>
  <si>
    <t>Nate Webb</t>
  </si>
  <si>
    <t>Jose Albertos</t>
  </si>
  <si>
    <t>Dylan Smith</t>
  </si>
  <si>
    <t>Zach Logue</t>
  </si>
  <si>
    <t>Matt Cronin</t>
  </si>
  <si>
    <t>Chris Vallimont</t>
  </si>
  <si>
    <t>Melvin Adon</t>
  </si>
  <si>
    <t>Joe Gatto</t>
  </si>
  <si>
    <t>Jesus Liranzo</t>
  </si>
  <si>
    <t>Josh Winder</t>
  </si>
  <si>
    <t>Ricardo Pinto</t>
  </si>
  <si>
    <t>Matt Allan</t>
  </si>
  <si>
    <t>Sandy Gaston</t>
  </si>
  <si>
    <t>Taylor Guerrieri</t>
  </si>
  <si>
    <t>Braeden Ogle</t>
  </si>
  <si>
    <t>Christian Roa</t>
  </si>
  <si>
    <t>Eric Skoglund</t>
  </si>
  <si>
    <t>Shawn Dubin</t>
  </si>
  <si>
    <t>Vidal Nuno III</t>
  </si>
  <si>
    <t>Grant Holman</t>
  </si>
  <si>
    <t>Erich Uelmen</t>
  </si>
  <si>
    <t>Lyon Richardson</t>
  </si>
  <si>
    <t>Tim Elliott</t>
  </si>
  <si>
    <t>DL Hall</t>
  </si>
  <si>
    <t>Ty Blach</t>
  </si>
  <si>
    <t>Kevin Smith</t>
  </si>
  <si>
    <t>Brian Johnson</t>
  </si>
  <si>
    <t>Sam Carlson</t>
  </si>
  <si>
    <t>Chayce McDermott</t>
  </si>
  <si>
    <t>Steven Fuentes</t>
  </si>
  <si>
    <t>Wilkelman Gonzalez</t>
  </si>
  <si>
    <t>Reggie Lawson</t>
  </si>
  <si>
    <t>Brandon Williamson</t>
  </si>
  <si>
    <t>Ken Waldichuk</t>
  </si>
  <si>
    <t>Ron Marinaccio</t>
  </si>
  <si>
    <t>Sean Burke</t>
  </si>
  <si>
    <t>Brooks Pounders</t>
  </si>
  <si>
    <t>Alex Powers</t>
  </si>
  <si>
    <t>Jeff Criswell</t>
  </si>
  <si>
    <t>Braxton Ashcraft</t>
  </si>
  <si>
    <t>Ryan Cusick</t>
  </si>
  <si>
    <t>Johnny Barbato</t>
  </si>
  <si>
    <t>Alec Marsh</t>
  </si>
  <si>
    <t>Robert Suarez</t>
  </si>
  <si>
    <t>Félix Hernández</t>
  </si>
  <si>
    <t>Ricky Tiedemann</t>
  </si>
  <si>
    <t>Jason Bahr</t>
  </si>
  <si>
    <t>Tommy Romero</t>
  </si>
  <si>
    <t>Cole Wilcox</t>
  </si>
  <si>
    <t>Miguel Romero</t>
  </si>
  <si>
    <t>Kyle Bradish</t>
  </si>
  <si>
    <t>Alec Hansen</t>
  </si>
  <si>
    <t>Adam Seminaris</t>
  </si>
  <si>
    <t>Dakota Chalmers</t>
  </si>
  <si>
    <t>Simeon Woods Richardson</t>
  </si>
  <si>
    <t>Bobby Miller</t>
  </si>
  <si>
    <t>Zach McAllister</t>
  </si>
  <si>
    <t>Erik Miller</t>
  </si>
  <si>
    <t>Jerryell Rivera</t>
  </si>
  <si>
    <t>Dedniel Núñez</t>
  </si>
  <si>
    <t>Alexis Diaz</t>
  </si>
  <si>
    <t>Tanner Burns</t>
  </si>
  <si>
    <t>Seth Corry</t>
  </si>
  <si>
    <t>Philip Pfeifer</t>
  </si>
  <si>
    <t>Brett Conine</t>
  </si>
  <si>
    <t>Thad Ward</t>
  </si>
  <si>
    <t>Durbin Feltman</t>
  </si>
  <si>
    <t>Matt Mercer</t>
  </si>
  <si>
    <t>Matt Sauer</t>
  </si>
  <si>
    <t>Blair Henley</t>
  </si>
  <si>
    <t>Cameron Bishop</t>
  </si>
  <si>
    <t>Grant Holmes</t>
  </si>
  <si>
    <t>Arodys Vizcaino</t>
  </si>
  <si>
    <t>Eric Pardinho</t>
  </si>
  <si>
    <t>Chase Petty</t>
  </si>
  <si>
    <t>Donn Roach</t>
  </si>
  <si>
    <t>Brock Burke</t>
  </si>
  <si>
    <t>Héctor Noesí</t>
  </si>
  <si>
    <t>William Woods</t>
  </si>
  <si>
    <t>Steven Jennings</t>
  </si>
  <si>
    <t>Wandisson Charles</t>
  </si>
  <si>
    <t>Zach Lee</t>
  </si>
  <si>
    <t>Parker Markel</t>
  </si>
  <si>
    <t>Tyler Dyson</t>
  </si>
  <si>
    <t>Randy Rodriguez</t>
  </si>
  <si>
    <t>Casey Lawrence</t>
  </si>
  <si>
    <t>Matt Carasiti</t>
  </si>
  <si>
    <t>Dario Agrazal</t>
  </si>
  <si>
    <t>Bryce Miller</t>
  </si>
  <si>
    <t>Brandon Finnegan</t>
  </si>
  <si>
    <t>Adam Warren</t>
  </si>
  <si>
    <t>Brock Selvidge</t>
  </si>
  <si>
    <t>Stiward Aquino</t>
  </si>
  <si>
    <t>Elvin Rodriguez</t>
  </si>
  <si>
    <t>Slade Cecconi</t>
  </si>
  <si>
    <t>Carlos Duran</t>
  </si>
  <si>
    <t>Jack Patterson</t>
  </si>
  <si>
    <t>Alex Scherff</t>
  </si>
  <si>
    <t>Doug Nikhazy</t>
  </si>
  <si>
    <t>Scott Copeland</t>
  </si>
  <si>
    <t>Gerson Bautista</t>
  </si>
  <si>
    <t>Connor Phillips</t>
  </si>
  <si>
    <t>Vance Worley</t>
  </si>
  <si>
    <t>Roenis Elías</t>
  </si>
  <si>
    <t>Daniel Stumpf</t>
  </si>
  <si>
    <t>Manuel Mercedes</t>
  </si>
  <si>
    <t>Rhiner Cruz</t>
  </si>
  <si>
    <t>Brett Graves</t>
  </si>
  <si>
    <t>Josh Wolf</t>
  </si>
  <si>
    <t>Cole Sands</t>
  </si>
  <si>
    <t>Thomas Burrows</t>
  </si>
  <si>
    <t>Brendon Little</t>
  </si>
  <si>
    <t>José Castillo</t>
  </si>
  <si>
    <t>Griffin Roberts</t>
  </si>
  <si>
    <t>Jack Kochanowicz</t>
  </si>
  <si>
    <t>Garrett Williams</t>
  </si>
  <si>
    <t>Robert Gasser</t>
  </si>
  <si>
    <t>Francis Martes</t>
  </si>
  <si>
    <t>Riley Thompson</t>
  </si>
  <si>
    <t>Josh Green</t>
  </si>
  <si>
    <t>Anderson Severino</t>
  </si>
  <si>
    <t>Jaime Schultz</t>
  </si>
  <si>
    <t>Mike Leake</t>
  </si>
  <si>
    <t>Montana DuRapau</t>
  </si>
  <si>
    <t>Alexander Vizcaíno</t>
  </si>
  <si>
    <t>Ky Bush</t>
  </si>
  <si>
    <t>Lenny Torres</t>
  </si>
  <si>
    <t>Jesen Therrien</t>
  </si>
  <si>
    <t>Jojanse Torres</t>
  </si>
  <si>
    <t>Tommy Eveld</t>
  </si>
  <si>
    <t>Ethan Hankins</t>
  </si>
  <si>
    <t>Zack Thompson</t>
  </si>
  <si>
    <t>Mason Denaburg</t>
  </si>
  <si>
    <t>Parker Bridwell</t>
  </si>
  <si>
    <t>R.J. Alvarez</t>
  </si>
  <si>
    <t>Caden Lemons</t>
  </si>
  <si>
    <t>Adam Macko</t>
  </si>
  <si>
    <t>Ian Clarkin</t>
  </si>
  <si>
    <t>Sam Moll</t>
  </si>
  <si>
    <t>Kyle Dohy</t>
  </si>
  <si>
    <t>Ryan Sherriff</t>
  </si>
  <si>
    <t>Ty Buttrey</t>
  </si>
  <si>
    <t>José Rodríguez</t>
  </si>
  <si>
    <t>Ryan Hartman</t>
  </si>
  <si>
    <t>Chris Archer</t>
  </si>
  <si>
    <t>Jed Lowrie</t>
  </si>
  <si>
    <t>Brody Koerner</t>
  </si>
  <si>
    <t>Josh Taylor</t>
  </si>
  <si>
    <t>David Robertson</t>
  </si>
  <si>
    <t>R.J. Alaniz</t>
  </si>
  <si>
    <t>Andre Scrubb</t>
  </si>
  <si>
    <t>Sam Freeman</t>
  </si>
  <si>
    <t>Ray Black</t>
  </si>
  <si>
    <t>Oliver Drake</t>
  </si>
  <si>
    <t>Shea Spitzbarth</t>
  </si>
  <si>
    <t>Rafael Montero</t>
  </si>
  <si>
    <t>Joey Krehbiel</t>
  </si>
  <si>
    <t>Pedro Avila</t>
  </si>
  <si>
    <t>Andrés Muñoz</t>
  </si>
  <si>
    <t>Trevor Stephan</t>
  </si>
  <si>
    <t>Jhoulys Chacín</t>
  </si>
  <si>
    <t>Jhon Romero</t>
  </si>
  <si>
    <t>Bailey Falter</t>
  </si>
  <si>
    <t>Alex Dickerson</t>
  </si>
  <si>
    <t>Dillon Tate</t>
  </si>
  <si>
    <t>Dan Altavilla</t>
  </si>
  <si>
    <t>Jon Heasley</t>
  </si>
  <si>
    <t>Colin Moran</t>
  </si>
  <si>
    <t>Jake Latz</t>
  </si>
  <si>
    <t>Tyson Miller</t>
  </si>
  <si>
    <t>Tyler Thornburg</t>
  </si>
  <si>
    <t>Joan Adon</t>
  </si>
  <si>
    <t>Cody Poteet</t>
  </si>
  <si>
    <t>Yonny Chirinos</t>
  </si>
  <si>
    <t>Jeff Brigham</t>
  </si>
  <si>
    <t>Ronald Bolaños</t>
  </si>
  <si>
    <t>Taylor Hearn</t>
  </si>
  <si>
    <t>Adam Kolarek</t>
  </si>
  <si>
    <t>Mike Montgomery</t>
  </si>
  <si>
    <t>James Bourque</t>
  </si>
  <si>
    <t>Josh Osich</t>
  </si>
  <si>
    <t>Josh D. Smith</t>
  </si>
  <si>
    <t>Chas McCormick</t>
  </si>
  <si>
    <t>Tucker Davidson</t>
  </si>
  <si>
    <t>Francisco Perez</t>
  </si>
  <si>
    <t>Sam Coonrod</t>
  </si>
  <si>
    <t>Taylor Guilbeau</t>
  </si>
  <si>
    <t>Jimmy Yacabonis</t>
  </si>
  <si>
    <t>Brandon Brennan</t>
  </si>
  <si>
    <t>Kaleb Ort</t>
  </si>
  <si>
    <t>Ryan Hendrix</t>
  </si>
  <si>
    <t>Grant Dayton</t>
  </si>
  <si>
    <t>Julian Merryweather</t>
  </si>
  <si>
    <t>Oliver Ortega</t>
  </si>
  <si>
    <t>Luke Bard</t>
  </si>
  <si>
    <t>Cole Hamels</t>
  </si>
  <si>
    <t>Dillon Peters</t>
  </si>
  <si>
    <t>Evan Marshall</t>
  </si>
  <si>
    <t>Miguel Aguilar</t>
  </si>
  <si>
    <t>Dany Jiménez</t>
  </si>
  <si>
    <t>Silvino Bracho</t>
  </si>
  <si>
    <t>Matt Bush</t>
  </si>
  <si>
    <t>Hunter Harvey</t>
  </si>
  <si>
    <t>Thomas Hatch</t>
  </si>
  <si>
    <t>Bernardo Flores Jr.</t>
  </si>
  <si>
    <t>Mike Soroka</t>
  </si>
  <si>
    <t>Dylan Lee</t>
  </si>
  <si>
    <t>Connor Overton</t>
  </si>
  <si>
    <t>Aaron Barrett</t>
  </si>
  <si>
    <t>Luis Frías</t>
  </si>
  <si>
    <t>Johan Quezada</t>
  </si>
  <si>
    <t>Damon Jones</t>
  </si>
  <si>
    <t>David McKay</t>
  </si>
  <si>
    <t>Bryan Mitchell</t>
  </si>
  <si>
    <t>Scott Blewett</t>
  </si>
  <si>
    <t>Ian Hamilton</t>
  </si>
  <si>
    <t>Rico Garcia</t>
  </si>
  <si>
    <t>Bobby Wahl</t>
  </si>
  <si>
    <t>Jonathan Holder</t>
  </si>
  <si>
    <t>Manuel Rodríguez</t>
  </si>
  <si>
    <t>Ken Giles</t>
  </si>
  <si>
    <t>Jesus Cruz</t>
  </si>
  <si>
    <t>Nick Snyder</t>
  </si>
  <si>
    <t>Raynel Espinal</t>
  </si>
  <si>
    <t>David Paulino</t>
  </si>
  <si>
    <t>Carlos Sanabria</t>
  </si>
  <si>
    <t>Gabe Speier</t>
  </si>
  <si>
    <t>Joe Palumbo</t>
  </si>
  <si>
    <t>Jake Woodford</t>
  </si>
  <si>
    <t>Kyle Crick</t>
  </si>
  <si>
    <t>Michel Baez</t>
  </si>
  <si>
    <t>Miguel Sánchez</t>
  </si>
  <si>
    <t>Connor Seabold</t>
  </si>
  <si>
    <t>Joey Lucchesi</t>
  </si>
  <si>
    <t>Stephen Tarpley</t>
  </si>
  <si>
    <t>Héctor Pérez</t>
  </si>
  <si>
    <t>Janson Junk</t>
  </si>
  <si>
    <t>Deivi García</t>
  </si>
  <si>
    <t>Brian Moran</t>
  </si>
  <si>
    <t>Matt Magill</t>
  </si>
  <si>
    <t>Kevin McCarthy</t>
  </si>
  <si>
    <t>Manny Barreda</t>
  </si>
  <si>
    <t>Ricardo Sánchez</t>
  </si>
  <si>
    <t>James Hoyt</t>
  </si>
  <si>
    <t>James Norwood</t>
  </si>
  <si>
    <t>Kevin Quackenbush</t>
  </si>
  <si>
    <t>Alex Lange</t>
  </si>
  <si>
    <t>Taylor Williams</t>
  </si>
  <si>
    <t>Chris Rusin</t>
  </si>
  <si>
    <t>Sam Howard</t>
  </si>
  <si>
    <t>Michael King</t>
  </si>
  <si>
    <t>Ashton Goudeau</t>
  </si>
  <si>
    <t>Tyler Lyons</t>
  </si>
  <si>
    <t>Reggie McClain</t>
  </si>
  <si>
    <t>Kirby Yates</t>
  </si>
  <si>
    <t>Michael Lorenzen (Pitcher)</t>
  </si>
  <si>
    <t>Albert Abreu</t>
  </si>
  <si>
    <t>Joe Jiménez</t>
  </si>
  <si>
    <t>Vinny Nittoli</t>
  </si>
  <si>
    <t>Adonis Medina</t>
  </si>
  <si>
    <t>Phillip Diehl</t>
  </si>
  <si>
    <t>Luis Perdomo</t>
  </si>
  <si>
    <t>Tyler Beede</t>
  </si>
  <si>
    <t>Trevor Kelley</t>
  </si>
  <si>
    <t>Seth Romero</t>
  </si>
  <si>
    <t>César Valdez</t>
  </si>
  <si>
    <t>Tyler Ivey</t>
  </si>
  <si>
    <t>Sean Gilmartin</t>
  </si>
  <si>
    <t>Neftalí Feliz</t>
  </si>
  <si>
    <t>Tayler Saucedo</t>
  </si>
  <si>
    <t>Chad Sobotka</t>
  </si>
  <si>
    <t>Trevor Gott</t>
  </si>
  <si>
    <t>Ryan Yarbrough</t>
  </si>
  <si>
    <t>Hans Crouse</t>
  </si>
  <si>
    <t>Joe Biagini</t>
  </si>
  <si>
    <t>Andrew Triggs</t>
  </si>
  <si>
    <t>Jordan Hicks</t>
  </si>
  <si>
    <t>Blaine Hardy</t>
  </si>
  <si>
    <t>Brandyn Sittinger</t>
  </si>
  <si>
    <t>Ariel Jurado</t>
  </si>
  <si>
    <t>James Paxton</t>
  </si>
  <si>
    <t>José Marte</t>
  </si>
  <si>
    <t>Edwar Colina</t>
  </si>
  <si>
    <t>Riley O'Brien</t>
  </si>
  <si>
    <t>Rex Brothers</t>
  </si>
  <si>
    <t>John Axford</t>
  </si>
  <si>
    <t>Cody Reed</t>
  </si>
  <si>
    <t>Tyler Anderson</t>
  </si>
  <si>
    <t>José Quijada</t>
  </si>
  <si>
    <t>Tyler Bashlor</t>
  </si>
  <si>
    <t>Ian Gibaut</t>
  </si>
  <si>
    <t>Kyle Cody</t>
  </si>
  <si>
    <t>Nivaldo Rodriguez</t>
  </si>
  <si>
    <t>Cristopher Sánchez</t>
  </si>
  <si>
    <t>Justin Garza</t>
  </si>
  <si>
    <t>Patrick Weigel</t>
  </si>
  <si>
    <t>Jonathan Stiever</t>
  </si>
  <si>
    <t>Brent Honeywell Jr.</t>
  </si>
  <si>
    <t>Brailyn Márquez</t>
  </si>
  <si>
    <t>Brandon Dickson</t>
  </si>
  <si>
    <t>Travis Lakins Sr.</t>
  </si>
  <si>
    <t>Kohl Stewart</t>
  </si>
  <si>
    <t>Kyle Lobstein</t>
  </si>
  <si>
    <t>Phil Gosselin</t>
  </si>
  <si>
    <t>Justin Upton</t>
  </si>
  <si>
    <t>Sammy Long</t>
  </si>
  <si>
    <t>Sam Selman</t>
  </si>
  <si>
    <t>Justin Miller</t>
  </si>
  <si>
    <t>Carlos Estévez</t>
  </si>
  <si>
    <t>Sterling Sharp</t>
  </si>
  <si>
    <t>Derek Law</t>
  </si>
  <si>
    <t>John Schreiber</t>
  </si>
  <si>
    <t>Ty Tice</t>
  </si>
  <si>
    <t>Cody Stashak</t>
  </si>
  <si>
    <t>Albert Pujols</t>
  </si>
  <si>
    <t>JD Hammer</t>
  </si>
  <si>
    <t>Eli Morgan</t>
  </si>
  <si>
    <t>Brett Eibner</t>
  </si>
  <si>
    <t>Paul Fry</t>
  </si>
  <si>
    <t>Joely Rodríguez</t>
  </si>
  <si>
    <t>Isaac Mattson</t>
  </si>
  <si>
    <t>Drew Carlton</t>
  </si>
  <si>
    <t>Sean Doolittle</t>
  </si>
  <si>
    <t>Jay Flaa</t>
  </si>
  <si>
    <t>Jimmy Lambert</t>
  </si>
  <si>
    <t>Garrett Cooper</t>
  </si>
  <si>
    <t>Burch Smith</t>
  </si>
  <si>
    <t>Chance Adams</t>
  </si>
  <si>
    <t>Elvis Andrus</t>
  </si>
  <si>
    <t>Brandon Kintzler</t>
  </si>
  <si>
    <t>Trevor Hildenberger</t>
  </si>
  <si>
    <t>Brady Lail</t>
  </si>
  <si>
    <t>José Mujica</t>
  </si>
  <si>
    <t>Matt Grace</t>
  </si>
  <si>
    <t>Tommy Doyle</t>
  </si>
  <si>
    <t>Andrew Miller</t>
  </si>
  <si>
    <t>Dereck Rodríguez</t>
  </si>
  <si>
    <t>Brett Anderson</t>
  </si>
  <si>
    <t>Darien Nuñez</t>
  </si>
  <si>
    <t>Seth Elledge</t>
  </si>
  <si>
    <t>Johnny Cueto</t>
  </si>
  <si>
    <t>Matt Strahm</t>
  </si>
  <si>
    <t>Justin Wilson</t>
  </si>
  <si>
    <t>Cooper Criswell</t>
  </si>
  <si>
    <t>Vladimir Gutierrez</t>
  </si>
  <si>
    <t>Nick Goody</t>
  </si>
  <si>
    <t>Max Stassi</t>
  </si>
  <si>
    <t>Gabe Klobosits</t>
  </si>
  <si>
    <t>Bryan Abreu</t>
  </si>
  <si>
    <t>Darren McCaughan</t>
  </si>
  <si>
    <t>Will Harris</t>
  </si>
  <si>
    <t>David Peterson</t>
  </si>
  <si>
    <t>Josh James</t>
  </si>
  <si>
    <t>Andrew Bellatti</t>
  </si>
  <si>
    <t>Ian Krol</t>
  </si>
  <si>
    <t>Jesus Tinoco</t>
  </si>
  <si>
    <t>Matt Duffy</t>
  </si>
  <si>
    <t>Jimmy Cordero</t>
  </si>
  <si>
    <t>Zach Pop</t>
  </si>
  <si>
    <t>Enoli Paredes</t>
  </si>
  <si>
    <t>Demarcus Evans</t>
  </si>
  <si>
    <t>Niko Goodrum</t>
  </si>
  <si>
    <t>Eric Hanhold</t>
  </si>
  <si>
    <t>Dakota Bacus</t>
  </si>
  <si>
    <t>Rony García</t>
  </si>
  <si>
    <t>Seth Martinez</t>
  </si>
  <si>
    <t>Anthony Banda</t>
  </si>
  <si>
    <t>Dellin Betances</t>
  </si>
  <si>
    <t>Jeremy Beasley</t>
  </si>
  <si>
    <t>Chris Mazza</t>
  </si>
  <si>
    <t>Ervin Santana</t>
  </si>
  <si>
    <t>Keury Mella</t>
  </si>
  <si>
    <t>Carl Edwards Jr.</t>
  </si>
  <si>
    <t>Gregory Santos</t>
  </si>
  <si>
    <t>Ramón Rosso</t>
  </si>
  <si>
    <t>Reiss Knehr</t>
  </si>
  <si>
    <t>Cole Irvin</t>
  </si>
  <si>
    <t>Nick Ramirez</t>
  </si>
  <si>
    <t>Kutter Crawford</t>
  </si>
  <si>
    <t>Luke Weaver</t>
  </si>
  <si>
    <t>Brian Anderson</t>
  </si>
  <si>
    <t>Jovani Moran</t>
  </si>
  <si>
    <t>Ryne Harper</t>
  </si>
  <si>
    <t>Dennis Santana</t>
  </si>
  <si>
    <t>Patrick Murphy</t>
  </si>
  <si>
    <t>Daniel Castano</t>
  </si>
  <si>
    <t>Franklyn Kilomé</t>
  </si>
  <si>
    <t>Shawn Armstrong</t>
  </si>
  <si>
    <t>Amir Garrett</t>
  </si>
  <si>
    <t>James Pazos</t>
  </si>
  <si>
    <t>John Brebbia</t>
  </si>
  <si>
    <t>Mike Minor</t>
  </si>
  <si>
    <t>Nick Ahmed</t>
  </si>
  <si>
    <t>Chris Devenski</t>
  </si>
  <si>
    <t>A.J. Puk</t>
  </si>
  <si>
    <t>Alberto Baldonado</t>
  </si>
  <si>
    <t>Austin Davis</t>
  </si>
  <si>
    <t>Scott Kazmir</t>
  </si>
  <si>
    <t>Josh A. Smith</t>
  </si>
  <si>
    <t>Thomas Szapucki</t>
  </si>
  <si>
    <t>Tyler Chatwood</t>
  </si>
  <si>
    <t>Félix Peña</t>
  </si>
  <si>
    <t>Keynan Middleton</t>
  </si>
  <si>
    <t>Bradley Zimmer</t>
  </si>
  <si>
    <t>Mike Wright</t>
  </si>
  <si>
    <t>Chad Kuhl</t>
  </si>
  <si>
    <t>Jairo Díaz</t>
  </si>
  <si>
    <t>Tyrone Taylor</t>
  </si>
  <si>
    <t>Matthew Boyd</t>
  </si>
  <si>
    <t>Dusten Knight</t>
  </si>
  <si>
    <t>Nick Mears</t>
  </si>
  <si>
    <t>Sean Poppen</t>
  </si>
  <si>
    <t>Brandon Bielak</t>
  </si>
  <si>
    <t>Ross Stripling</t>
  </si>
  <si>
    <t>Paul Campbell</t>
  </si>
  <si>
    <t>Jeff Samardzija</t>
  </si>
  <si>
    <t>Julian Fernández</t>
  </si>
  <si>
    <t>Phillips Valdéz</t>
  </si>
  <si>
    <t>Wander Suero</t>
  </si>
  <si>
    <t>Yennsy Díaz</t>
  </si>
  <si>
    <t>Mason Thompson</t>
  </si>
  <si>
    <t>Jacob Barnes</t>
  </si>
  <si>
    <t>Miguel del Pozo</t>
  </si>
  <si>
    <t>Alcides Escobar</t>
  </si>
  <si>
    <t>Mauricio Llovera</t>
  </si>
  <si>
    <t>Luke Farrell</t>
  </si>
  <si>
    <t>Luis Avilán</t>
  </si>
  <si>
    <t>Taylor Widener</t>
  </si>
  <si>
    <t>Steven Duggar</t>
  </si>
  <si>
    <t>Edwin Uceta</t>
  </si>
  <si>
    <t>Mike Kickham</t>
  </si>
  <si>
    <t>Stefan Crichton</t>
  </si>
  <si>
    <t>Caleb Smith</t>
  </si>
  <si>
    <t>Seth Brown</t>
  </si>
  <si>
    <t>Clarke Schmidt</t>
  </si>
  <si>
    <t>Joe Mantiply</t>
  </si>
  <si>
    <t>Robinson Leyer</t>
  </si>
  <si>
    <t>Kyle Ryan</t>
  </si>
  <si>
    <t>Ryan Feltner</t>
  </si>
  <si>
    <t>Reymin Guduan</t>
  </si>
  <si>
    <t>Ryan Buchter</t>
  </si>
  <si>
    <t>Mike Baumann</t>
  </si>
  <si>
    <t>J.B. Bukauskas</t>
  </si>
  <si>
    <t>Peter Lambert</t>
  </si>
  <si>
    <t>Zac Grotz</t>
  </si>
  <si>
    <t>Brad Peacock</t>
  </si>
  <si>
    <t>Angel Perdomo</t>
  </si>
  <si>
    <t>Marcus Walden</t>
  </si>
  <si>
    <t>JoJo Romero</t>
  </si>
  <si>
    <t>Tommy Nance</t>
  </si>
  <si>
    <t>Antonio Santos</t>
  </si>
  <si>
    <t>Mike Fiers</t>
  </si>
  <si>
    <t>Nick Margevicius</t>
  </si>
  <si>
    <t>Jordan Weems</t>
  </si>
  <si>
    <t>Cody Carroll</t>
  </si>
  <si>
    <t>Ljay Newsome</t>
  </si>
  <si>
    <t>Touki Toussaint</t>
  </si>
  <si>
    <t>Fernando Abad</t>
  </si>
  <si>
    <t>Pedro Severino</t>
  </si>
  <si>
    <t>Austin Brice</t>
  </si>
  <si>
    <t>John Gant</t>
  </si>
  <si>
    <t>Javy Guerra</t>
  </si>
  <si>
    <t>Eric Yardley</t>
  </si>
  <si>
    <t>Sean Nolin</t>
  </si>
  <si>
    <t>Victor Reyes</t>
  </si>
  <si>
    <t>Zack Burdi</t>
  </si>
  <si>
    <t>Robert Gsellman</t>
  </si>
  <si>
    <t>Taylor Clarke</t>
  </si>
  <si>
    <t>Jacob Stallings</t>
  </si>
  <si>
    <t>Miguel Yajure</t>
  </si>
  <si>
    <t>Humberto Castellanos</t>
  </si>
  <si>
    <t>Cam Bedrosian</t>
  </si>
  <si>
    <t>Brandon Waddell</t>
  </si>
  <si>
    <t>Nick Neidert</t>
  </si>
  <si>
    <t>Dan Winkler</t>
  </si>
  <si>
    <t>Hoby Milner</t>
  </si>
  <si>
    <t>Jake Petricka</t>
  </si>
  <si>
    <t>Shane Greene</t>
  </si>
  <si>
    <t>T.J. Zeuch</t>
  </si>
  <si>
    <t>Griffin Canning</t>
  </si>
  <si>
    <t>Aaron Fletcher</t>
  </si>
  <si>
    <t>Elvis Peguero</t>
  </si>
  <si>
    <t>Mickey Jannis</t>
  </si>
  <si>
    <t>Alex Claudio</t>
  </si>
  <si>
    <t>Jake Newberry</t>
  </si>
  <si>
    <t>Dylan Bundy</t>
  </si>
  <si>
    <t>Daniel Camarena</t>
  </si>
  <si>
    <t>Duane Underwood Jr.</t>
  </si>
  <si>
    <t>Gregory Polanco</t>
  </si>
  <si>
    <t>Brett Gardner</t>
  </si>
  <si>
    <t>Ryan Meisinger</t>
  </si>
  <si>
    <t>Jace Fry</t>
  </si>
  <si>
    <t>Luis Torrens</t>
  </si>
  <si>
    <t>Jorge Guzman</t>
  </si>
  <si>
    <t>Rick Porcello</t>
  </si>
  <si>
    <t>Steve Cishek</t>
  </si>
  <si>
    <t>Lewis Thorpe</t>
  </si>
  <si>
    <t>Anthony Swarzak</t>
  </si>
  <si>
    <t>Asher Wojciechowski</t>
  </si>
  <si>
    <t>Luís Madero</t>
  </si>
  <si>
    <t>Daniel Norris</t>
  </si>
  <si>
    <t>Hanser Alberto</t>
  </si>
  <si>
    <t>Kyle Freeland</t>
  </si>
  <si>
    <t>Kris Bubic</t>
  </si>
  <si>
    <t>Steven Brault</t>
  </si>
  <si>
    <t>Bruce Zimmermann</t>
  </si>
  <si>
    <t>Asdrúbal Cabrera</t>
  </si>
  <si>
    <t>Cory Abbott</t>
  </si>
  <si>
    <t>Sal Romano</t>
  </si>
  <si>
    <t>Cionel Pérez</t>
  </si>
  <si>
    <t>Andrew Albers</t>
  </si>
  <si>
    <t>Matt Beaty</t>
  </si>
  <si>
    <t>Aníbal Sánchez</t>
  </si>
  <si>
    <t>Kyle Wright</t>
  </si>
  <si>
    <t>Jakob Junis</t>
  </si>
  <si>
    <t>Jaime Barria</t>
  </si>
  <si>
    <t>Antonio Senzatela</t>
  </si>
  <si>
    <t>Kyle Nelson</t>
  </si>
  <si>
    <t>Trevor Cahill</t>
  </si>
  <si>
    <t>Ryan Castellani</t>
  </si>
  <si>
    <t>Reid Detmers</t>
  </si>
  <si>
    <t>Carson Fulmer</t>
  </si>
  <si>
    <t>Jake Faria</t>
  </si>
  <si>
    <t>Jace Peterson</t>
  </si>
  <si>
    <t>Maikel Franco</t>
  </si>
  <si>
    <t>Jake Jewell</t>
  </si>
  <si>
    <t>Brad Brach</t>
  </si>
  <si>
    <t>Michael Rucker</t>
  </si>
  <si>
    <t>Tommy Milone</t>
  </si>
  <si>
    <t>Jefry Rodriguez</t>
  </si>
  <si>
    <t>Justin Topa</t>
  </si>
  <si>
    <t>Enyel De Los Santos</t>
  </si>
  <si>
    <t>Ji-Man Choi</t>
  </si>
  <si>
    <t>Ramón Urías</t>
  </si>
  <si>
    <t>David Hale</t>
  </si>
  <si>
    <t>Trent Thornton</t>
  </si>
  <si>
    <t>Tommy La Stella</t>
  </si>
  <si>
    <t>Yoan López</t>
  </si>
  <si>
    <t>Mitch Moreland</t>
  </si>
  <si>
    <t>Zac Lowther</t>
  </si>
  <si>
    <t>Kyle Hart</t>
  </si>
  <si>
    <t>Tyler Zuber</t>
  </si>
  <si>
    <t>Tyler Wade</t>
  </si>
  <si>
    <t>Harold Castro</t>
  </si>
  <si>
    <t>Santiago Espinal</t>
  </si>
  <si>
    <t>Sean Newcomb</t>
  </si>
  <si>
    <t>Conner Greene</t>
  </si>
  <si>
    <t>Anthony Kay</t>
  </si>
  <si>
    <t>Yadiel Hernandez</t>
  </si>
  <si>
    <t>Colten Brewer</t>
  </si>
  <si>
    <t>Geoff Hartlieb</t>
  </si>
  <si>
    <t>Daniel Ponce de Leon</t>
  </si>
  <si>
    <t>Kohei Arihara</t>
  </si>
  <si>
    <t>Josh Tomlin</t>
  </si>
  <si>
    <t>Aaron Slegers</t>
  </si>
  <si>
    <t>Wyatt Mills</t>
  </si>
  <si>
    <t>Ben Bowden</t>
  </si>
  <si>
    <t>Shelby Miller</t>
  </si>
  <si>
    <t>Michael Feliz</t>
  </si>
  <si>
    <t>Braxton Garrett</t>
  </si>
  <si>
    <t>Will Vest</t>
  </si>
  <si>
    <t>Julio Teheran</t>
  </si>
  <si>
    <t>Junior Fernández</t>
  </si>
  <si>
    <t>Mac Sceroler</t>
  </si>
  <si>
    <t>Packy Naughton</t>
  </si>
  <si>
    <t>Ryan Weathers</t>
  </si>
  <si>
    <t>Rougned Odor</t>
  </si>
  <si>
    <t>Taylor Ward</t>
  </si>
  <si>
    <t>Aledmys Díaz</t>
  </si>
  <si>
    <t>Ben Gamel</t>
  </si>
  <si>
    <t>Alec Bettinger</t>
  </si>
  <si>
    <t>Jordan Yamamoto</t>
  </si>
  <si>
    <t>Nick Nelson</t>
  </si>
  <si>
    <t>Alec Mills</t>
  </si>
  <si>
    <t>Jason Heyward</t>
  </si>
  <si>
    <t>Thomas Eshelman</t>
  </si>
  <si>
    <t>Bryan Garcia</t>
  </si>
  <si>
    <t>Ryan Weber</t>
  </si>
  <si>
    <t>Tanner Roark</t>
  </si>
  <si>
    <t>Trevor Megill</t>
  </si>
  <si>
    <t>Edmundo Sosa</t>
  </si>
  <si>
    <t>Derek Holland</t>
  </si>
  <si>
    <t>Brooks Kriske</t>
  </si>
  <si>
    <t>Max Kranick</t>
  </si>
  <si>
    <t>Kole Calhoun</t>
  </si>
  <si>
    <t>Jon Berti</t>
  </si>
  <si>
    <t>Austin Voth</t>
  </si>
  <si>
    <t>Justin Lawrence</t>
  </si>
  <si>
    <t>Konner Wade</t>
  </si>
  <si>
    <t>Ryan Zimmerman</t>
  </si>
  <si>
    <t>Martín Pérez</t>
  </si>
  <si>
    <t>Brian Goodwin</t>
  </si>
  <si>
    <t>J.D. Davis</t>
  </si>
  <si>
    <t>Brandon Workman</t>
  </si>
  <si>
    <t>Starlin Castro</t>
  </si>
  <si>
    <t>Adam Engel</t>
  </si>
  <si>
    <t>Buck Farmer</t>
  </si>
  <si>
    <t>Kevin Ginkel</t>
  </si>
  <si>
    <t>Seth Frankoff</t>
  </si>
  <si>
    <t>Glenn Otto</t>
  </si>
  <si>
    <t>Josh Lindblom</t>
  </si>
  <si>
    <t>Bryse Wilson</t>
  </si>
  <si>
    <t>Danny Jansen</t>
  </si>
  <si>
    <t>Humberto Mejía</t>
  </si>
  <si>
    <t>Jon Duplantier</t>
  </si>
  <si>
    <t>Logan Allen</t>
  </si>
  <si>
    <t>Charlie Barnes</t>
  </si>
  <si>
    <t>Jake Fraley</t>
  </si>
  <si>
    <t>Jorge Alfaro</t>
  </si>
  <si>
    <t>Matt Peacock</t>
  </si>
  <si>
    <t>Yency Almonte</t>
  </si>
  <si>
    <t>José De León</t>
  </si>
  <si>
    <t>Griffin Jax</t>
  </si>
  <si>
    <t>Jerad Eickhoff</t>
  </si>
  <si>
    <t>Edgar García</t>
  </si>
  <si>
    <t>Alexander Wells</t>
  </si>
  <si>
    <t>Wade LeBlanc</t>
  </si>
  <si>
    <t>Jeff Hoffman</t>
  </si>
  <si>
    <t>Beau Burrows</t>
  </si>
  <si>
    <t>Paul Blackburn</t>
  </si>
  <si>
    <t>Zack Godley</t>
  </si>
  <si>
    <t>Trevor Williams</t>
  </si>
  <si>
    <t>DJ Stewart</t>
  </si>
  <si>
    <t>Daniel Lynch</t>
  </si>
  <si>
    <t>Adam Eaton</t>
  </si>
  <si>
    <t>Riley Smith</t>
  </si>
  <si>
    <t>Michael Wacha</t>
  </si>
  <si>
    <t>Kevin Newman</t>
  </si>
  <si>
    <t>Sean Guenther</t>
  </si>
  <si>
    <t>David Hess</t>
  </si>
  <si>
    <t>Chase De Jong</t>
  </si>
  <si>
    <t>Joshua Fuentes</t>
  </si>
  <si>
    <t>Yermín Mercedes</t>
  </si>
  <si>
    <t>Corbin Martin</t>
  </si>
  <si>
    <t>Victor Caratini</t>
  </si>
  <si>
    <t>Mauricio Dubón</t>
  </si>
  <si>
    <t>Sam Clay</t>
  </si>
  <si>
    <t>Junior Guerra</t>
  </si>
  <si>
    <t>Jack Mayfield</t>
  </si>
  <si>
    <t>Cody Ponce</t>
  </si>
  <si>
    <t>Andy Ibáñez</t>
  </si>
  <si>
    <t>Luis García</t>
  </si>
  <si>
    <t>Lewis Brinson</t>
  </si>
  <si>
    <t>Yu Chang</t>
  </si>
  <si>
    <t>Gavin Sheets</t>
  </si>
  <si>
    <t>Shaun Anderson</t>
  </si>
  <si>
    <t>Yonathan Daza</t>
  </si>
  <si>
    <t>Ronald Torreyes</t>
  </si>
  <si>
    <t>Juan Lagares</t>
  </si>
  <si>
    <t>Francisco Mejía</t>
  </si>
  <si>
    <t>Wes Benjamin</t>
  </si>
  <si>
    <t>Tyler Webb</t>
  </si>
  <si>
    <t>Chad Pinder</t>
  </si>
  <si>
    <t>David Bote</t>
  </si>
  <si>
    <t>Daniel Vogelbach</t>
  </si>
  <si>
    <t>Josh Naylor</t>
  </si>
  <si>
    <t>Johan Oviedo</t>
  </si>
  <si>
    <t>Christian Arroyo</t>
  </si>
  <si>
    <t>Matt Manning</t>
  </si>
  <si>
    <t>Luis Oviedo</t>
  </si>
  <si>
    <t>Travis Shaw</t>
  </si>
  <si>
    <t>Jake Meyers</t>
  </si>
  <si>
    <t>Erick Fedde</t>
  </si>
  <si>
    <t>DJ Peters</t>
  </si>
  <si>
    <t>Randy Dobnak</t>
  </si>
  <si>
    <t>Brad Keller</t>
  </si>
  <si>
    <t>Jackie Bradley Jr.</t>
  </si>
  <si>
    <t>Ehire Adrianza</t>
  </si>
  <si>
    <t>Dallas Keuchel</t>
  </si>
  <si>
    <t>Ryan Jeffers</t>
  </si>
  <si>
    <t>Andrew Stevenson</t>
  </si>
  <si>
    <t>Manny Piña</t>
  </si>
  <si>
    <t>Nick Gordon</t>
  </si>
  <si>
    <t>Garrett Richards</t>
  </si>
  <si>
    <t>Guillermo Heredia</t>
  </si>
  <si>
    <t>Thairo Estrada</t>
  </si>
  <si>
    <t>Chase Anderson</t>
  </si>
  <si>
    <t>Kevin Plawecki</t>
  </si>
  <si>
    <t>Josh Reddick</t>
  </si>
  <si>
    <t>Robert Dugger</t>
  </si>
  <si>
    <t>Andrelton Simmons</t>
  </si>
  <si>
    <t>Billy Hamilton</t>
  </si>
  <si>
    <t>Clint Frazier</t>
  </si>
  <si>
    <t>Brett de Geus</t>
  </si>
  <si>
    <t>Charlie Culberson</t>
  </si>
  <si>
    <t>Austin Barnes</t>
  </si>
  <si>
    <t>J.A. Happ</t>
  </si>
  <si>
    <t>Jorge Mateo</t>
  </si>
  <si>
    <t>Jose Trevino</t>
  </si>
  <si>
    <t>Jordan Luplow</t>
  </si>
  <si>
    <t>Bryan De La Cruz</t>
  </si>
  <si>
    <t>Brandon Marsh</t>
  </si>
  <si>
    <t>Mike Foltynewicz</t>
  </si>
  <si>
    <t>Wilmer Difo</t>
  </si>
  <si>
    <t>Kolby Allard</t>
  </si>
  <si>
    <t>Magneuris Sierra</t>
  </si>
  <si>
    <t>Oscar Mercado</t>
  </si>
  <si>
    <t>Keston Hiura</t>
  </si>
  <si>
    <t>Ryan O'Hearn</t>
  </si>
  <si>
    <t>Ha-Seong Kim</t>
  </si>
  <si>
    <t>Matt Moore</t>
  </si>
  <si>
    <t>Jake Marisnick</t>
  </si>
  <si>
    <t>Stephen Piscotty</t>
  </si>
  <si>
    <t>Tom Murphy</t>
  </si>
  <si>
    <t>Jason Castro</t>
  </si>
  <si>
    <t>Martín Maldonado</t>
  </si>
  <si>
    <t>Mike Brosseau</t>
  </si>
  <si>
    <t>Marwin Gonzalez</t>
  </si>
  <si>
    <t>Aristides Aquino</t>
  </si>
  <si>
    <t>Jon Lester</t>
  </si>
  <si>
    <t>Josh VanMeter</t>
  </si>
  <si>
    <t>José Quintana</t>
  </si>
  <si>
    <t>Michael Chavis</t>
  </si>
  <si>
    <t>Pat Valaika</t>
  </si>
  <si>
    <t>Derek Hill</t>
  </si>
  <si>
    <t>Aaron Hicks</t>
  </si>
  <si>
    <t>Trevor Larnach</t>
  </si>
  <si>
    <t>Alex Young</t>
  </si>
  <si>
    <t>Anthony Alford</t>
  </si>
  <si>
    <t>Wilson Ramos</t>
  </si>
  <si>
    <t>Dom Nuñez</t>
  </si>
  <si>
    <t>Kyle Higashioka</t>
  </si>
  <si>
    <t>J.C. Mejía</t>
  </si>
  <si>
    <t>Carlos Martínez</t>
  </si>
  <si>
    <t>Zach McKinstry</t>
  </si>
  <si>
    <t>Erik González</t>
  </si>
  <si>
    <t>Spencer Howard</t>
  </si>
  <si>
    <t>Curt Casali</t>
  </si>
  <si>
    <t>Orlando Arcia</t>
  </si>
  <si>
    <t>Max Schrock</t>
  </si>
  <si>
    <t>Vince Velasquez</t>
  </si>
  <si>
    <t>Robinson Canó</t>
  </si>
  <si>
    <t>José Peraza</t>
  </si>
  <si>
    <t>Travis Jankowski</t>
  </si>
  <si>
    <t>Jarrod Dyson</t>
  </si>
  <si>
    <t>Kurt Suzuki</t>
  </si>
  <si>
    <t>Jonah Heim</t>
  </si>
  <si>
    <t>Edward Olivares</t>
  </si>
  <si>
    <t>Dean Kremer</t>
  </si>
  <si>
    <t>Billy McKinney</t>
  </si>
  <si>
    <t>Jake Lamb</t>
  </si>
  <si>
    <t>Miguel Andújar</t>
  </si>
  <si>
    <t>Willians Astudillo</t>
  </si>
  <si>
    <t>Leody Taveras</t>
  </si>
  <si>
    <t>William Contreras</t>
  </si>
  <si>
    <t>Jake Rogers</t>
  </si>
  <si>
    <t>Brent Rooker</t>
  </si>
  <si>
    <t>Justus Sheffield</t>
  </si>
  <si>
    <t>Spenser Watkins</t>
  </si>
  <si>
    <t>Zach Davies</t>
  </si>
  <si>
    <t>Carter Kieboom</t>
  </si>
  <si>
    <t>Austin Hedges</t>
  </si>
  <si>
    <t>Jose Rojas</t>
  </si>
  <si>
    <t>Lars Nootbaar</t>
  </si>
  <si>
    <t>Sergio Alcántara</t>
  </si>
  <si>
    <t>Brock Holt</t>
  </si>
  <si>
    <t>Daz Cameron</t>
  </si>
  <si>
    <t>Phillip Evans</t>
  </si>
  <si>
    <t>Jose Siri</t>
  </si>
  <si>
    <t>Chris Owings</t>
  </si>
  <si>
    <t>Matt Shoemaker</t>
  </si>
  <si>
    <t>Cole Tucker</t>
  </si>
  <si>
    <t>Zack Collins</t>
  </si>
  <si>
    <t>Eric Sogard</t>
  </si>
  <si>
    <t>Jake Bauers</t>
  </si>
  <si>
    <t>Sam Haggerty</t>
  </si>
  <si>
    <t>Jackson Kowar</t>
  </si>
  <si>
    <t>Nick Maton</t>
  </si>
  <si>
    <t>Tim Locastro</t>
  </si>
  <si>
    <t>Luis Rengifo</t>
  </si>
  <si>
    <t>Abraham Almonte</t>
  </si>
  <si>
    <t>Roman Quinn</t>
  </si>
  <si>
    <t>Rob Refsnyder</t>
  </si>
  <si>
    <t>Yonny Hernandez</t>
  </si>
  <si>
    <t>Stephen Vogt</t>
  </si>
  <si>
    <t>Matt Vierling</t>
  </si>
  <si>
    <t>Jordan Lyles</t>
  </si>
  <si>
    <t>Danny Santana</t>
  </si>
  <si>
    <t>Sam Hentges</t>
  </si>
  <si>
    <t>Shed Long Jr.</t>
  </si>
  <si>
    <t>Luis Guillorme</t>
  </si>
  <si>
    <t>JaCoby Jones</t>
  </si>
  <si>
    <t>José Rondón</t>
  </si>
  <si>
    <t>Andrew Young</t>
  </si>
  <si>
    <t>Ender Inciarte</t>
  </si>
  <si>
    <t>Jason Martin</t>
  </si>
  <si>
    <t>Shogo Akiyama</t>
  </si>
  <si>
    <t>Danny Mendick</t>
  </si>
  <si>
    <t>Tomás Nido</t>
  </si>
  <si>
    <t>Kyle Isbel</t>
  </si>
  <si>
    <t>Kyle Garlick</t>
  </si>
  <si>
    <t>Eli White</t>
  </si>
  <si>
    <t>Andrew Velazquez</t>
  </si>
  <si>
    <t>David Dahl</t>
  </si>
  <si>
    <t>Robinson Chirinos</t>
  </si>
  <si>
    <t>Greg Allen</t>
  </si>
  <si>
    <t>Wil Crowe</t>
  </si>
  <si>
    <t>Taylor Trammell</t>
  </si>
  <si>
    <t>Nomar Mazara</t>
  </si>
  <si>
    <t>Taylor Jones</t>
  </si>
  <si>
    <t>Lewin Díaz</t>
  </si>
  <si>
    <t>Matt Carpenter</t>
  </si>
  <si>
    <t>Kelvin Gutierrez</t>
  </si>
  <si>
    <t>Joe Panik</t>
  </si>
  <si>
    <t>Jake Cave</t>
  </si>
  <si>
    <t>Delino DeShields</t>
  </si>
  <si>
    <t>Trayce Thompson</t>
  </si>
  <si>
    <t>Brandon Drury</t>
  </si>
  <si>
    <t>Breyvic Valera</t>
  </si>
  <si>
    <t>Dustin Garneau</t>
  </si>
  <si>
    <t>José Ureña</t>
  </si>
  <si>
    <t>Matt Kemp</t>
  </si>
  <si>
    <t>Pablo Reyes</t>
  </si>
  <si>
    <t>Taylor Walls</t>
  </si>
  <si>
    <t>Nick Fortes</t>
  </si>
  <si>
    <t>Dexter Fowler</t>
  </si>
  <si>
    <t>Seby Zavala</t>
  </si>
  <si>
    <t>Reese McGuire</t>
  </si>
  <si>
    <t>Gerardo Parra</t>
  </si>
  <si>
    <t>Owen Miller</t>
  </si>
  <si>
    <t>Emmanuel Rivera</t>
  </si>
  <si>
    <t>Cam Gallagher</t>
  </si>
  <si>
    <t>Jordy Mercer</t>
  </si>
  <si>
    <t>Ernie Clement</t>
  </si>
  <si>
    <t>Khris Davis</t>
  </si>
  <si>
    <t>Keegan Akin</t>
  </si>
  <si>
    <t>Jonathan Araúz</t>
  </si>
  <si>
    <t>Jake McCarthy</t>
  </si>
  <si>
    <t>Yohel Pozo</t>
  </si>
  <si>
    <t>Tres Barrera</t>
  </si>
  <si>
    <t>John Nogowski</t>
  </si>
  <si>
    <t>Jonathan Davis</t>
  </si>
  <si>
    <t>John Hicks</t>
  </si>
  <si>
    <t>Hoy Park</t>
  </si>
  <si>
    <t>Jacob Nottingham</t>
  </si>
  <si>
    <t>Mitch Keller</t>
  </si>
  <si>
    <t>Austin Romine</t>
  </si>
  <si>
    <t>Pablo Sandoval</t>
  </si>
  <si>
    <t>Jason Vosler</t>
  </si>
  <si>
    <t>Tim Lopes</t>
  </si>
  <si>
    <t>Zack Short</t>
  </si>
  <si>
    <t>Isan Díaz</t>
  </si>
  <si>
    <t>Riley Adams</t>
  </si>
  <si>
    <t>Jason Kipnis</t>
  </si>
  <si>
    <t>Evan White</t>
  </si>
  <si>
    <t>Grayson Greiner</t>
  </si>
  <si>
    <t>Alfonso Rivas</t>
  </si>
  <si>
    <t>Luke Williams</t>
  </si>
  <si>
    <t>Chadwick Tromp</t>
  </si>
  <si>
    <t>Edwin Encarnación</t>
  </si>
  <si>
    <t>René Rivera</t>
  </si>
  <si>
    <t>Matt Joyce</t>
  </si>
  <si>
    <t>Rafael Marchán</t>
  </si>
  <si>
    <t>Daniel Johnson</t>
  </si>
  <si>
    <t>Franchy Cordero</t>
  </si>
  <si>
    <t>Rodolfo Castro</t>
  </si>
  <si>
    <t>TJ Friedl</t>
  </si>
  <si>
    <t>Michael Hermosillo</t>
  </si>
  <si>
    <t>Eddy Alvarez</t>
  </si>
  <si>
    <t>Anderson Tejeda</t>
  </si>
  <si>
    <t>Ryan McKenna</t>
  </si>
  <si>
    <t>Richie Martin</t>
  </si>
  <si>
    <t>Edwin Ríos</t>
  </si>
  <si>
    <t>Derek Dietrich</t>
  </si>
  <si>
    <t>Austin Dean</t>
  </si>
  <si>
    <t>Ronald Guzmán</t>
  </si>
  <si>
    <t>Donovan Walton</t>
  </si>
  <si>
    <t>Justin Smoak</t>
  </si>
  <si>
    <t>Joey Bart</t>
  </si>
  <si>
    <t>Luke Maile</t>
  </si>
  <si>
    <t>Roberto Pérez</t>
  </si>
  <si>
    <t>Estevan Florial</t>
  </si>
  <si>
    <t>Sam Huff</t>
  </si>
  <si>
    <t>Andrew Knapp</t>
  </si>
  <si>
    <t>José Devers</t>
  </si>
  <si>
    <t>Ryan LaMarre</t>
  </si>
  <si>
    <t>Anthony Bemboom</t>
  </si>
  <si>
    <t>Aramis Garcia</t>
  </si>
  <si>
    <t>Adam Haseley</t>
  </si>
  <si>
    <t>Webster Rivas</t>
  </si>
  <si>
    <t>Jorge Bonifacio</t>
  </si>
  <si>
    <t>Jake Burger</t>
  </si>
  <si>
    <t>Monte Harrison</t>
  </si>
  <si>
    <t>Johneshwy Fargas</t>
  </si>
  <si>
    <t>Eric Thames</t>
  </si>
  <si>
    <t>Isaac Paredes</t>
  </si>
  <si>
    <t>Tyler Nevin</t>
  </si>
  <si>
    <t>Derek Fisher</t>
  </si>
  <si>
    <t>Daniel Robertson</t>
  </si>
  <si>
    <t>Yairo Muñoz</t>
  </si>
  <si>
    <t>Alan Trejo</t>
  </si>
  <si>
    <t>Dee Strange-Gordon</t>
  </si>
  <si>
    <t>Alex Blandino</t>
  </si>
  <si>
    <t>Chi Chi González</t>
  </si>
  <si>
    <t>Deven Marrero</t>
  </si>
  <si>
    <t>Patrick Corbin</t>
  </si>
  <si>
    <t>Wyatt Mathisen</t>
  </si>
  <si>
    <t>Matt Davidson</t>
  </si>
  <si>
    <t>Jonathan Lucroy</t>
  </si>
  <si>
    <t>Josh Palacios</t>
  </si>
  <si>
    <t>Greg Garcia</t>
  </si>
  <si>
    <t>Jon Jay</t>
  </si>
  <si>
    <t>Yolmer Sánchez</t>
  </si>
  <si>
    <t>Michael Perez</t>
  </si>
  <si>
    <t>José Martínez</t>
  </si>
  <si>
    <t>Sheldon Neuse</t>
  </si>
  <si>
    <t>Austin Allen</t>
  </si>
  <si>
    <t>Geraldo Perdomo</t>
  </si>
  <si>
    <t>Adrián Sanchez</t>
  </si>
  <si>
    <t>Mike Freeman</t>
  </si>
  <si>
    <t>Connor Wong</t>
  </si>
  <si>
    <t>Patrick Kivlehan</t>
  </si>
  <si>
    <t>Romy Gonzalez</t>
  </si>
  <si>
    <t>Travis Blankenhorn</t>
  </si>
  <si>
    <t>Mark Mathias</t>
  </si>
  <si>
    <t>Luis Básabe</t>
  </si>
  <si>
    <t>Chad Wallach</t>
  </si>
  <si>
    <t>Jared Oliva</t>
  </si>
  <si>
    <t>Alex De Goti</t>
  </si>
  <si>
    <t>Jorge Oña</t>
  </si>
  <si>
    <t>Ben Rortvedt</t>
  </si>
  <si>
    <t>Colton Welker</t>
  </si>
  <si>
    <t>Johan Camargo</t>
  </si>
  <si>
    <t>Matt Adams</t>
  </si>
  <si>
    <t>Justin Williams</t>
  </si>
  <si>
    <t>Steven Souza Jr.</t>
  </si>
  <si>
    <t>Cameron Maybin</t>
  </si>
  <si>
    <t>Yoenis Céspedes</t>
  </si>
  <si>
    <t>Christin Stewart</t>
  </si>
  <si>
    <t>Mike Ford</t>
  </si>
  <si>
    <t>Tucupita Marcano</t>
  </si>
  <si>
    <t>Alejo Lopez</t>
  </si>
  <si>
    <t>Chance Sisco</t>
  </si>
  <si>
    <t>Jose Barrero</t>
  </si>
  <si>
    <t>Braden Bishop</t>
  </si>
  <si>
    <t>Tony Wolters</t>
  </si>
  <si>
    <t>Taylor Motter</t>
  </si>
  <si>
    <t>Travis Demeritte</t>
  </si>
  <si>
    <t>Jake Noll</t>
  </si>
  <si>
    <t>Caleb Joseph</t>
  </si>
  <si>
    <t>Andy Burns</t>
  </si>
  <si>
    <t>Ildemaro Vargas</t>
  </si>
  <si>
    <t>Luis González</t>
  </si>
  <si>
    <t>Andrew Knizner</t>
  </si>
  <si>
    <t>Jeff Mathis</t>
  </si>
  <si>
    <t>JT Riddle</t>
  </si>
  <si>
    <t>Jakson Reetz</t>
  </si>
  <si>
    <t>Ryan Lavarnway</t>
  </si>
  <si>
    <t>Luke Raley</t>
  </si>
  <si>
    <t>Patrick Mazeika</t>
  </si>
  <si>
    <t>Michael Lorenzen (Batter)</t>
  </si>
  <si>
    <t>Eduardo Núñez</t>
  </si>
  <si>
    <t>Sandy León</t>
  </si>
  <si>
    <t>Matt Wieters</t>
  </si>
  <si>
    <t>Elliot Soto</t>
  </si>
  <si>
    <t>Ronnie Dawson</t>
  </si>
  <si>
    <t>Ivan Castillo</t>
  </si>
  <si>
    <t>César Puello</t>
  </si>
  <si>
    <t>Taylor Davis</t>
  </si>
  <si>
    <t>Dillon Thomas</t>
  </si>
  <si>
    <t>Eric Campbell</t>
  </si>
  <si>
    <t>Brian Miller</t>
  </si>
  <si>
    <t>Stuart Fairchild</t>
  </si>
  <si>
    <t>Mario Feliciano</t>
  </si>
  <si>
    <t>Ka'ai Tom</t>
  </si>
  <si>
    <t>Phillip Ervin</t>
  </si>
  <si>
    <t>Luis Marté</t>
  </si>
  <si>
    <t>John Andreoli</t>
  </si>
  <si>
    <t>Troy Stokes Jr.</t>
  </si>
  <si>
    <t>Luis Barrera</t>
  </si>
  <si>
    <t>Deivy Grullón</t>
  </si>
  <si>
    <t>Brian Navarreto</t>
  </si>
  <si>
    <t>Logan Morrison</t>
  </si>
  <si>
    <t>Franklin Barreto</t>
  </si>
  <si>
    <t>Ali Sánchez</t>
  </si>
  <si>
    <t>Tyler Heineman</t>
  </si>
  <si>
    <t>Bryan Holaday</t>
  </si>
  <si>
    <t>Matt Thaiss</t>
  </si>
  <si>
    <t>Aaron Whitefield</t>
  </si>
  <si>
    <t>Ryan Goins</t>
  </si>
  <si>
    <t>Yadiel Rivera</t>
  </si>
  <si>
    <t>Corey Ray</t>
  </si>
  <si>
    <t>Jaylin Davis</t>
  </si>
  <si>
    <t>Bryan Lavastida</t>
  </si>
  <si>
    <t>Brewer Hicklen</t>
  </si>
  <si>
    <t>Jeremy De La Rosa</t>
  </si>
  <si>
    <t>Cameron Cannon</t>
  </si>
  <si>
    <t>Ronny Mauricio</t>
  </si>
  <si>
    <t>Alex McKenna</t>
  </si>
  <si>
    <t>Carlos Cortes</t>
  </si>
  <si>
    <t>David Calabrese</t>
  </si>
  <si>
    <t>Greg Bird</t>
  </si>
  <si>
    <t>Ryan Kreidler</t>
  </si>
  <si>
    <t>Endy Rodriguez</t>
  </si>
  <si>
    <t>C.J. Chatham</t>
  </si>
  <si>
    <t>Royce Lewis</t>
  </si>
  <si>
    <t>Osiris Johnson</t>
  </si>
  <si>
    <t>Ivan Johnson</t>
  </si>
  <si>
    <t>Aaron Zavala</t>
  </si>
  <si>
    <t>Junior Perez</t>
  </si>
  <si>
    <t>Jose Miranda</t>
  </si>
  <si>
    <t>Luis Curbelo</t>
  </si>
  <si>
    <t>Brice Turang</t>
  </si>
  <si>
    <t>Jay Allen</t>
  </si>
  <si>
    <t>Griffin Conine</t>
  </si>
  <si>
    <t>Drew Jackson</t>
  </si>
  <si>
    <t>Dustin Peterson</t>
  </si>
  <si>
    <t>Laz Rivera</t>
  </si>
  <si>
    <t>Xavier Edwards</t>
  </si>
  <si>
    <t>Aeverson Arteaga</t>
  </si>
  <si>
    <t>Jairo Pomares</t>
  </si>
  <si>
    <t>Carlos Asuaje</t>
  </si>
  <si>
    <t>Pablo Abreu</t>
  </si>
  <si>
    <t>Yeison Morrobel</t>
  </si>
  <si>
    <t>Christopher Morel</t>
  </si>
  <si>
    <t>Allan Cerda</t>
  </si>
  <si>
    <t>Josh Breaux</t>
  </si>
  <si>
    <t>Freddy Fermin</t>
  </si>
  <si>
    <t>Aaron Sabato</t>
  </si>
  <si>
    <t>Brendan McKay (Batter)</t>
  </si>
  <si>
    <t>Colt Keith</t>
  </si>
  <si>
    <t>Brian Mundell</t>
  </si>
  <si>
    <t>Christian Kelley</t>
  </si>
  <si>
    <t>Tyler Freeman</t>
  </si>
  <si>
    <t>Jose Salas</t>
  </si>
  <si>
    <t>Curtis Mead</t>
  </si>
  <si>
    <t>Gage Canning</t>
  </si>
  <si>
    <t>Trey Sweeney</t>
  </si>
  <si>
    <t>Edwin Arroyo</t>
  </si>
  <si>
    <t>Tyler Keenan</t>
  </si>
  <si>
    <t>Gabriel Arias</t>
  </si>
  <si>
    <t>Hunter Goodman</t>
  </si>
  <si>
    <t>Jose Sanchez</t>
  </si>
  <si>
    <t>Alexander Vargas</t>
  </si>
  <si>
    <t>Yhoswar Garcia</t>
  </si>
  <si>
    <t>Adrian Del Castillo</t>
  </si>
  <si>
    <t>Simón Muzziotti</t>
  </si>
  <si>
    <t>Zach Green</t>
  </si>
  <si>
    <t>Melky Cabrera</t>
  </si>
  <si>
    <t>Ed Howard</t>
  </si>
  <si>
    <t>Rodolfo Durán</t>
  </si>
  <si>
    <t>Jameson Hannah</t>
  </si>
  <si>
    <t>Lucas Erceg</t>
  </si>
  <si>
    <t>Brock Stassi</t>
  </si>
  <si>
    <t>Marcus Wilson</t>
  </si>
  <si>
    <t>Kyren Paris</t>
  </si>
  <si>
    <t>Leonardo Rivas</t>
  </si>
  <si>
    <t>Jose Ramos</t>
  </si>
  <si>
    <t>Jesse Franklin</t>
  </si>
  <si>
    <t>Brendon Davis</t>
  </si>
  <si>
    <t>Malcolm Nuñez</t>
  </si>
  <si>
    <t>Jack Reinheimer</t>
  </si>
  <si>
    <t>Benny Montgomery</t>
  </si>
  <si>
    <t>Michael Papierski</t>
  </si>
  <si>
    <t>Drew Waters</t>
  </si>
  <si>
    <t>Benyamin Bailey</t>
  </si>
  <si>
    <t>Jerar Encarnación</t>
  </si>
  <si>
    <t>Adam Hall</t>
  </si>
  <si>
    <t>Adael Amador</t>
  </si>
  <si>
    <t>Triston Casas</t>
  </si>
  <si>
    <t>Nelson Velázquez</t>
  </si>
  <si>
    <t>George Valera</t>
  </si>
  <si>
    <t>Matt McLain</t>
  </si>
  <si>
    <t>Ryan Holgate</t>
  </si>
  <si>
    <t>Alen Hanson</t>
  </si>
  <si>
    <t>Jett Bandy</t>
  </si>
  <si>
    <t>Brandon Valenzuela</t>
  </si>
  <si>
    <t>Sal Frelick</t>
  </si>
  <si>
    <t>James Wood</t>
  </si>
  <si>
    <t>Michael Toglia</t>
  </si>
  <si>
    <t>Logan Brown</t>
  </si>
  <si>
    <t>Colin Barber</t>
  </si>
  <si>
    <t>T.J. Rivera</t>
  </si>
  <si>
    <t>Braxton Lee</t>
  </si>
  <si>
    <t>Kevin Alcantara</t>
  </si>
  <si>
    <t>Trent Deveaux</t>
  </si>
  <si>
    <t>David García</t>
  </si>
  <si>
    <t>Donnie Dewees</t>
  </si>
  <si>
    <t>Riley Greene</t>
  </si>
  <si>
    <t>Zac Veen</t>
  </si>
  <si>
    <t>Greyson Jenista</t>
  </si>
  <si>
    <t>Victor Acosta</t>
  </si>
  <si>
    <t>Jordan Westburg</t>
  </si>
  <si>
    <t>Buddy Reed</t>
  </si>
  <si>
    <t>Braden Shewmake</t>
  </si>
  <si>
    <t>Korey Lee</t>
  </si>
  <si>
    <t>David Rodriguez</t>
  </si>
  <si>
    <t>Vince Fernandez</t>
  </si>
  <si>
    <t>Joey Morgan</t>
  </si>
  <si>
    <t>Maikol Hernandez</t>
  </si>
  <si>
    <t>Juan Querecuto</t>
  </si>
  <si>
    <t>Arquimedes Gamboa</t>
  </si>
  <si>
    <t>JT Schwartz</t>
  </si>
  <si>
    <t>D.J. Peterson</t>
  </si>
  <si>
    <t>MJ Melendez</t>
  </si>
  <si>
    <t>Yerdel Vargas</t>
  </si>
  <si>
    <t>Michael Gettys</t>
  </si>
  <si>
    <t>Malvin Valdez</t>
  </si>
  <si>
    <t>Jonathan Aranda</t>
  </si>
  <si>
    <t>Gavin Cecchini</t>
  </si>
  <si>
    <t>Joshua Baez</t>
  </si>
  <si>
    <t>Joshua Mears</t>
  </si>
  <si>
    <t>Francisco Peña</t>
  </si>
  <si>
    <t>Josh Smith</t>
  </si>
  <si>
    <t>Israel Pineda</t>
  </si>
  <si>
    <t>Hudson Haskin</t>
  </si>
  <si>
    <t>Brayan Buelvas</t>
  </si>
  <si>
    <t>Luis Santana</t>
  </si>
  <si>
    <t>Will Wilson</t>
  </si>
  <si>
    <t>Noah Miller</t>
  </si>
  <si>
    <t>Tyler McDonough</t>
  </si>
  <si>
    <t>Marco Luciano</t>
  </si>
  <si>
    <t>Esteury Ruiz</t>
  </si>
  <si>
    <t>Carlos Rodriguez</t>
  </si>
  <si>
    <t>Maximo Acosta</t>
  </si>
  <si>
    <t>Rafael Bautista</t>
  </si>
  <si>
    <t>Orelvis Martinez</t>
  </si>
  <si>
    <t>Roismar Quintana</t>
  </si>
  <si>
    <t>Jake Vogel</t>
  </si>
  <si>
    <t>Elehuris Montero</t>
  </si>
  <si>
    <t>Carlos Colmenares</t>
  </si>
  <si>
    <t>Rece Hinds</t>
  </si>
  <si>
    <t>Tristan Pompey</t>
  </si>
  <si>
    <t>Blaze Jordan</t>
  </si>
  <si>
    <t>Dixon Machado</t>
  </si>
  <si>
    <t>Jordan Díaz</t>
  </si>
  <si>
    <t>Heriberto Hernandez</t>
  </si>
  <si>
    <t>Dustin Harris</t>
  </si>
  <si>
    <t>Yasel Antuna</t>
  </si>
  <si>
    <t>Yoelqui Céspedes</t>
  </si>
  <si>
    <t>Rikelbin De Castro</t>
  </si>
  <si>
    <t>Noelvi Marte</t>
  </si>
  <si>
    <t>Jose Rodriguez</t>
  </si>
  <si>
    <t>Antonio Cabello</t>
  </si>
  <si>
    <t>Ford Proctor</t>
  </si>
  <si>
    <t>Dasan Brown</t>
  </si>
  <si>
    <t>Nick Dini</t>
  </si>
  <si>
    <t>Brennen Davis</t>
  </si>
  <si>
    <t>Iván Herrera</t>
  </si>
  <si>
    <t>Lenyn Sosa</t>
  </si>
  <si>
    <t>Jacob Amaya</t>
  </si>
  <si>
    <t>Jacob Gonzalez</t>
  </si>
  <si>
    <t>Corey Bird</t>
  </si>
  <si>
    <t>Rickardo Perez</t>
  </si>
  <si>
    <t>Blaze Alexander</t>
  </si>
  <si>
    <t>Shervyen Newton</t>
  </si>
  <si>
    <t>Alberto Rodríguez</t>
  </si>
  <si>
    <t>Tim Beckham</t>
  </si>
  <si>
    <t>Steele Walker</t>
  </si>
  <si>
    <t>Abel Bastidas</t>
  </si>
  <si>
    <t>Masyn Winn</t>
  </si>
  <si>
    <t>Richard Ureña</t>
  </si>
  <si>
    <t>Nathan Hickey</t>
  </si>
  <si>
    <t>Nolan Gorman</t>
  </si>
  <si>
    <t>Rubén Tejada</t>
  </si>
  <si>
    <t>Nick Decker</t>
  </si>
  <si>
    <t>Hudson Potts</t>
  </si>
  <si>
    <t>Corban Joseph</t>
  </si>
  <si>
    <t>Alexander Ramirez</t>
  </si>
  <si>
    <t>Moisés Gómez</t>
  </si>
  <si>
    <t>Livan Soto</t>
  </si>
  <si>
    <t>Travis Swaggerty</t>
  </si>
  <si>
    <t>Denzer Guzman</t>
  </si>
  <si>
    <t>Alexander Campos</t>
  </si>
  <si>
    <t>Reginald Preciado</t>
  </si>
  <si>
    <t>Joe Gray</t>
  </si>
  <si>
    <t>Mitch Walding</t>
  </si>
  <si>
    <t>Steven Baron</t>
  </si>
  <si>
    <t>Wilman Diaz</t>
  </si>
  <si>
    <t>Casey Schmitt</t>
  </si>
  <si>
    <t>Cal Conley</t>
  </si>
  <si>
    <t>Robert Puason</t>
  </si>
  <si>
    <t>James Beard</t>
  </si>
  <si>
    <t>Ian Desmond</t>
  </si>
  <si>
    <t>Leonel Valera</t>
  </si>
  <si>
    <t>Rylan Bannon</t>
  </si>
  <si>
    <t>Eddys Leonard</t>
  </si>
  <si>
    <t>Andy Yerzy</t>
  </si>
  <si>
    <t>Alec Burleson</t>
  </si>
  <si>
    <t>Jackson Chourio</t>
  </si>
  <si>
    <t>Jaylen Palmer</t>
  </si>
  <si>
    <t>Yohendrick Pinango</t>
  </si>
  <si>
    <t>Ronnie Freeman</t>
  </si>
  <si>
    <t>Denzel Clarke</t>
  </si>
  <si>
    <t>Ryan Bliss</t>
  </si>
  <si>
    <t>Erick Pena</t>
  </si>
  <si>
    <t>Marcelo Mayer</t>
  </si>
  <si>
    <t>Kevin Merrell</t>
  </si>
  <si>
    <t>Nasim Nuñez</t>
  </si>
  <si>
    <t>Gage Workman</t>
  </si>
  <si>
    <t>Francisco Alvarez</t>
  </si>
  <si>
    <t>Cody Morissette</t>
  </si>
  <si>
    <t>Adrian Hernandez</t>
  </si>
  <si>
    <t>Chris Seise</t>
  </si>
  <si>
    <t>Esteban Quiroz</t>
  </si>
  <si>
    <t>Nick Gonzales</t>
  </si>
  <si>
    <t>Sammy Infante</t>
  </si>
  <si>
    <t>Patrick Bailey</t>
  </si>
  <si>
    <t>Daylen Lile</t>
  </si>
  <si>
    <t>Ezequiel Duran</t>
  </si>
  <si>
    <t>Wander Javier</t>
  </si>
  <si>
    <t>Nick Quintana</t>
  </si>
  <si>
    <t>Justin Foscue</t>
  </si>
  <si>
    <t>Heliot Ramos</t>
  </si>
  <si>
    <t>Aramis Ademan</t>
  </si>
  <si>
    <t>Brendan Donovan</t>
  </si>
  <si>
    <t>Izaac Pacheco</t>
  </si>
  <si>
    <t>Niko Decolati</t>
  </si>
  <si>
    <t>Jackson Merrill</t>
  </si>
  <si>
    <t>Bret Boswell</t>
  </si>
  <si>
    <t>Connor Scott</t>
  </si>
  <si>
    <t>Raffy Lopez</t>
  </si>
  <si>
    <t>Aaron Schunk</t>
  </si>
  <si>
    <t>Gabriel Moreno</t>
  </si>
  <si>
    <t>Eric Stamets</t>
  </si>
  <si>
    <t>Ronaldo Hernández</t>
  </si>
  <si>
    <t>Conner Capel</t>
  </si>
  <si>
    <t>Santiago Chávez</t>
  </si>
  <si>
    <t>Brennon Lund</t>
  </si>
  <si>
    <t>Anthony Seigler</t>
  </si>
  <si>
    <t>Evan Mendoza</t>
  </si>
  <si>
    <t>Grae Kessinger</t>
  </si>
  <si>
    <t>Charlie Tilson</t>
  </si>
  <si>
    <t>Scott Manea</t>
  </si>
  <si>
    <t>Kevin Maitan</t>
  </si>
  <si>
    <t>Hunter Bishop</t>
  </si>
  <si>
    <t>Pedro Martínez</t>
  </si>
  <si>
    <t>Seth Mejias-Brean</t>
  </si>
  <si>
    <t>JJ Bleday</t>
  </si>
  <si>
    <t>Ethan Wilson</t>
  </si>
  <si>
    <t>Cristian Gonzalez</t>
  </si>
  <si>
    <t>Sherman Johnson</t>
  </si>
  <si>
    <t>Jamie Ritchie</t>
  </si>
  <si>
    <t>Chris Parmelee</t>
  </si>
  <si>
    <t>Adrian Placencia</t>
  </si>
  <si>
    <t>Julio Carreras</t>
  </si>
  <si>
    <t>Gunnar Henderson</t>
  </si>
  <si>
    <t>Trevor Hauver</t>
  </si>
  <si>
    <t>Daniel Cabrera</t>
  </si>
  <si>
    <t>Henry Davis</t>
  </si>
  <si>
    <t>Maikel Garcia</t>
  </si>
  <si>
    <t>Pedro Florimon</t>
  </si>
  <si>
    <t>Jordan Lawlar</t>
  </si>
  <si>
    <t>Jonah Bride</t>
  </si>
  <si>
    <t>Donovan Casey</t>
  </si>
  <si>
    <t>Kyle McCann</t>
  </si>
  <si>
    <t>Calvin Mitchell</t>
  </si>
  <si>
    <t>Bo Naylor</t>
  </si>
  <si>
    <t>Jean Carmona</t>
  </si>
  <si>
    <t>Kevin Made</t>
  </si>
  <si>
    <t>Everson Pereira</t>
  </si>
  <si>
    <t>Julio Pablo Martinez</t>
  </si>
  <si>
    <t>Alex Binelas</t>
  </si>
  <si>
    <t>Raynel Delgado</t>
  </si>
  <si>
    <t>Allen Cordoba</t>
  </si>
  <si>
    <t>Peyton Burdick</t>
  </si>
  <si>
    <t>Drew Romo</t>
  </si>
  <si>
    <t>Terrance Gore</t>
  </si>
  <si>
    <t>Euribiel Angeles</t>
  </si>
  <si>
    <t>Marco Hernández</t>
  </si>
  <si>
    <t>Jack Kruger</t>
  </si>
  <si>
    <t>Kahlil Watson</t>
  </si>
  <si>
    <t>Juan Centeno</t>
  </si>
  <si>
    <t>Daniel Vazquez</t>
  </si>
  <si>
    <t>Heston Kjerstad</t>
  </si>
  <si>
    <t>Dominic Fletcher</t>
  </si>
  <si>
    <t>Seuly Matias</t>
  </si>
  <si>
    <t>Starlin Aguilar</t>
  </si>
  <si>
    <t>Jeferson Quero</t>
  </si>
  <si>
    <t>Keon Broxton</t>
  </si>
  <si>
    <t>Drew Mendoza</t>
  </si>
  <si>
    <t>Parker Meadows</t>
  </si>
  <si>
    <t>Kingston Liniak</t>
  </si>
  <si>
    <t>Trei Cruz</t>
  </si>
  <si>
    <t>Keithron Moss</t>
  </si>
  <si>
    <t>Austin Wells</t>
  </si>
  <si>
    <t>Corbin Carroll</t>
  </si>
  <si>
    <t>Brian O'Keefe</t>
  </si>
  <si>
    <t>Blake Perkins</t>
  </si>
  <si>
    <t>Connor Norby</t>
  </si>
  <si>
    <t>Yasmany Tomás</t>
  </si>
  <si>
    <t>Austin Shenton</t>
  </si>
  <si>
    <t>Ryder Green</t>
  </si>
  <si>
    <t>Orlando Calixte</t>
  </si>
  <si>
    <t>Logan O'Hoppe</t>
  </si>
  <si>
    <t>Davis Wendzel</t>
  </si>
  <si>
    <t>Tyler Black</t>
  </si>
  <si>
    <t>Max Ferguson</t>
  </si>
  <si>
    <t>Michael Gigliotti</t>
  </si>
  <si>
    <t>Freddy Zamora</t>
  </si>
  <si>
    <t>Liover Peguero</t>
  </si>
  <si>
    <t>Ryder Jones</t>
  </si>
  <si>
    <t>Rocky Gale</t>
  </si>
  <si>
    <t>Angel Martinez</t>
  </si>
  <si>
    <t>Kody Clemens</t>
  </si>
  <si>
    <t>Drew Millas</t>
  </si>
  <si>
    <t>Kyle Stowers</t>
  </si>
  <si>
    <t>Misael Urbina</t>
  </si>
  <si>
    <t>Cristhian Adames</t>
  </si>
  <si>
    <t>Oswaldo Cabrera</t>
  </si>
  <si>
    <t>Lucius Fox</t>
  </si>
  <si>
    <t>Jonathan Morales</t>
  </si>
  <si>
    <t>Andy Wilkins</t>
  </si>
  <si>
    <t>Terrin Vavra</t>
  </si>
  <si>
    <t>JB Shuck</t>
  </si>
  <si>
    <t>Robert Hassell III</t>
  </si>
  <si>
    <t>Estiven Machado</t>
  </si>
  <si>
    <t>Bryson Stott</t>
  </si>
  <si>
    <t>James Nelson</t>
  </si>
  <si>
    <t>Jordyn Adams</t>
  </si>
  <si>
    <t>Juan Graterol</t>
  </si>
  <si>
    <t>Jheremy Vargas</t>
  </si>
  <si>
    <t>Tre Fletcher</t>
  </si>
  <si>
    <t>Sandro Fabian</t>
  </si>
  <si>
    <t>Josh Stowers</t>
  </si>
  <si>
    <t>Colson Montgomery</t>
  </si>
  <si>
    <t>Wilderd Patino</t>
  </si>
  <si>
    <t>Luis Rodriguez</t>
  </si>
  <si>
    <t>Freudis Nova</t>
  </si>
  <si>
    <t>Jhonny Pereda</t>
  </si>
  <si>
    <t>Jake Elmore</t>
  </si>
  <si>
    <t>Leonardo Jimenez</t>
  </si>
  <si>
    <t>Alex De Jesus</t>
  </si>
  <si>
    <t>CJ Abrams</t>
  </si>
  <si>
    <t>Colton Shaver</t>
  </si>
  <si>
    <t>Petey Halpin</t>
  </si>
  <si>
    <t>David Freitas</t>
  </si>
  <si>
    <t>Bubba Thompson</t>
  </si>
  <si>
    <t>Tyler Soderstrom</t>
  </si>
  <si>
    <t>Carson Tucker</t>
  </si>
  <si>
    <t>Donny Sands</t>
  </si>
  <si>
    <t>Freddy Valdez</t>
  </si>
  <si>
    <t>Luken Baker</t>
  </si>
  <si>
    <t>Alberto Rosario</t>
  </si>
  <si>
    <t>Brainer Bonaci</t>
  </si>
  <si>
    <t>Micah Bello</t>
  </si>
  <si>
    <t>Forrest Wall</t>
  </si>
  <si>
    <t>Wenceel Perez</t>
  </si>
  <si>
    <t>Tristen Lutz</t>
  </si>
  <si>
    <t>Michael Beltre</t>
  </si>
  <si>
    <t>Chris Herrmann</t>
  </si>
  <si>
    <t>Wilkin Castillo</t>
  </si>
  <si>
    <t>Drew Maggi</t>
  </si>
  <si>
    <t>Canaan Smith-Njigba</t>
  </si>
  <si>
    <t>Jeremy Peña</t>
  </si>
  <si>
    <t>Pedro Leon</t>
  </si>
  <si>
    <t>Thomas Dillard</t>
  </si>
  <si>
    <t>Jhon Torres</t>
  </si>
  <si>
    <t>Joey Curletta</t>
  </si>
  <si>
    <t>Steven Kwan</t>
  </si>
  <si>
    <t>Diego Cartaya</t>
  </si>
  <si>
    <t>Mark Vientos</t>
  </si>
  <si>
    <t>Nick Allen</t>
  </si>
  <si>
    <t>Chase Strumpf</t>
  </si>
  <si>
    <t>Nolan Jones</t>
  </si>
  <si>
    <t>Kaleb Cowart</t>
  </si>
  <si>
    <t>Yusniel Diaz</t>
  </si>
  <si>
    <t>Matthew Barefoot</t>
  </si>
  <si>
    <t>Jhailyn Ortiz</t>
  </si>
  <si>
    <t>Victor Mesia</t>
  </si>
  <si>
    <t>Brandon Lockridge</t>
  </si>
  <si>
    <t>Kameron Misner</t>
  </si>
  <si>
    <t>Nick Schnell</t>
  </si>
  <si>
    <t>Ezequiel Tovar</t>
  </si>
  <si>
    <t>Samuel Zavala</t>
  </si>
  <si>
    <t>Dom Thompson-Williams</t>
  </si>
  <si>
    <t>Tyler Whitaker</t>
  </si>
  <si>
    <t>Alek Thomas</t>
  </si>
  <si>
    <t>Evan Carter</t>
  </si>
  <si>
    <t>Blake Rutherford</t>
  </si>
  <si>
    <t>Mark Kolozsvary</t>
  </si>
  <si>
    <t>Kyle Holder</t>
  </si>
  <si>
    <t>Ricardo Genovés</t>
  </si>
  <si>
    <t>Jeison Guzmán</t>
  </si>
  <si>
    <t>Armando Cruz</t>
  </si>
  <si>
    <t>Mitch Nay</t>
  </si>
  <si>
    <t>Austin Beck</t>
  </si>
  <si>
    <t>Joe Dunand</t>
  </si>
  <si>
    <t>Daniel Palka</t>
  </si>
  <si>
    <t>Ariel Almonte</t>
  </si>
  <si>
    <t>Chad Spanberger</t>
  </si>
  <si>
    <t>Vaughn Grissom</t>
  </si>
  <si>
    <t>Travis Snider</t>
  </si>
  <si>
    <t>Daniel Brito</t>
  </si>
  <si>
    <t>Marcos Brito</t>
  </si>
  <si>
    <t>Owen Caissie</t>
  </si>
  <si>
    <t>Zander Wiel</t>
  </si>
  <si>
    <t>A.J. Vukovich</t>
  </si>
  <si>
    <t>James Triantos</t>
  </si>
  <si>
    <t>Eguy Rosario</t>
  </si>
  <si>
    <t>Kristian Robinson</t>
  </si>
  <si>
    <t>Mason Martin</t>
  </si>
  <si>
    <t>Cole Brannen</t>
  </si>
  <si>
    <t>Zach Vincej</t>
  </si>
  <si>
    <t>Bruce Maxwell</t>
  </si>
  <si>
    <t>Alerick Soularie</t>
  </si>
  <si>
    <t>Willie MacIver</t>
  </si>
  <si>
    <t>Jesus Galiz</t>
  </si>
  <si>
    <t>Jackson Miller</t>
  </si>
  <si>
    <t>Michael Busch</t>
  </si>
  <si>
    <t>Logan Warmoth</t>
  </si>
  <si>
    <t>Will Holland</t>
  </si>
  <si>
    <t>Delvin Pérez</t>
  </si>
  <si>
    <t>Juan Yepez</t>
  </si>
  <si>
    <t>Jean Carlos Encarnacion</t>
  </si>
  <si>
    <t>Antoni Flores</t>
  </si>
  <si>
    <t>Miguel Vargas</t>
  </si>
  <si>
    <t>Carter Jensen</t>
  </si>
  <si>
    <t>Gareth Morgan</t>
  </si>
  <si>
    <t>Harry Ford</t>
  </si>
  <si>
    <t>Mike Siani</t>
  </si>
  <si>
    <t>Peyton Wilson</t>
  </si>
  <si>
    <t>Johan Rojas</t>
  </si>
  <si>
    <t>Miguel Amaya</t>
  </si>
  <si>
    <t>Arol Vera</t>
  </si>
  <si>
    <t>Riley Mahan</t>
  </si>
  <si>
    <t>Roberto Campos</t>
  </si>
  <si>
    <t>Kaden Polcovich</t>
  </si>
  <si>
    <t>Will Toffey</t>
  </si>
  <si>
    <t>Pedro Pineda</t>
  </si>
  <si>
    <t>Milkar Perez</t>
  </si>
  <si>
    <t>Omar Estevez</t>
  </si>
  <si>
    <t>Brett Sullivan</t>
  </si>
  <si>
    <t>Austin Martin</t>
  </si>
  <si>
    <t>Aaron Bracho</t>
  </si>
  <si>
    <t>Tyler Callihan</t>
  </si>
  <si>
    <t>Brady Policelli</t>
  </si>
  <si>
    <t>Reynaldo Rivera</t>
  </si>
  <si>
    <t>Aaron Altherr</t>
  </si>
  <si>
    <t>Gilberto Jimenez</t>
  </si>
  <si>
    <t>Mark Zagunis</t>
  </si>
  <si>
    <t>Luis Matos</t>
  </si>
  <si>
    <t>Oswald Peraza</t>
  </si>
  <si>
    <t>Jonathan Ornelas</t>
  </si>
  <si>
    <t>D'Shawn Knowles</t>
  </si>
  <si>
    <t>Elly De La Cruz</t>
  </si>
  <si>
    <t>Brandon Howlett</t>
  </si>
  <si>
    <t>Ian Miller</t>
  </si>
  <si>
    <t>Pete Crow-Armstrong</t>
  </si>
  <si>
    <t>Carson Williams</t>
  </si>
  <si>
    <t>Gabriel Maciel</t>
  </si>
  <si>
    <t>Branden Boissiere</t>
  </si>
  <si>
    <t>Scooter Gennett</t>
  </si>
  <si>
    <t>Brenton Doyle</t>
  </si>
  <si>
    <t>Kevin Kramer</t>
  </si>
  <si>
    <t>Jeremiah Jackson</t>
  </si>
  <si>
    <t>Andrew Bechtold</t>
  </si>
  <si>
    <t>Heath Quinn</t>
  </si>
  <si>
    <t>Miguel Aparicio</t>
  </si>
  <si>
    <t>Zach Daniels</t>
  </si>
  <si>
    <t>Lonnie White</t>
  </si>
  <si>
    <t>Eduardo García</t>
  </si>
  <si>
    <t>Felix Valerio</t>
  </si>
  <si>
    <t>Tyler White</t>
  </si>
  <si>
    <t>Jonatan Machado</t>
  </si>
  <si>
    <t>Maikol Escotto</t>
  </si>
  <si>
    <t>Juniel Querecuto</t>
  </si>
  <si>
    <t>José Tena</t>
  </si>
  <si>
    <t>Michael Harris</t>
  </si>
  <si>
    <t>Max McDowell</t>
  </si>
  <si>
    <t>Jack Suwinski</t>
  </si>
  <si>
    <t>Zavier Warren</t>
  </si>
  <si>
    <t>Joey Meneses</t>
  </si>
  <si>
    <t>Sam Travis</t>
  </si>
  <si>
    <t>Jacob Pearson</t>
  </si>
  <si>
    <t>Alexfri Planez</t>
  </si>
  <si>
    <t>Colton Cowser</t>
  </si>
  <si>
    <t>Yiddi Cappe</t>
  </si>
  <si>
    <t>Greg Jones</t>
  </si>
  <si>
    <t>Tomás Telis</t>
  </si>
  <si>
    <t>Hedbert Perez</t>
  </si>
  <si>
    <t>Cam Cauley</t>
  </si>
  <si>
    <t>Carson Taylor</t>
  </si>
  <si>
    <t>Nick Plummer</t>
  </si>
  <si>
    <t>Edgar Quero</t>
  </si>
  <si>
    <t>Andres Blanco</t>
  </si>
  <si>
    <t>Jhonkensy Noel</t>
  </si>
  <si>
    <t>Carlos Perez</t>
  </si>
  <si>
    <t>Micker Adolfo</t>
  </si>
  <si>
    <t>Gabriel Gonzalez</t>
  </si>
  <si>
    <t>Luisangel Acuna</t>
  </si>
  <si>
    <t>Cole Roederer</t>
  </si>
  <si>
    <t>Joe Mack</t>
  </si>
  <si>
    <t>Mikie Mahtook</t>
  </si>
  <si>
    <t>Jamari Baylor</t>
  </si>
  <si>
    <t>Tanner Morris</t>
  </si>
  <si>
    <t>Nick Pratto</t>
  </si>
  <si>
    <t>Jordan Groshans</t>
  </si>
  <si>
    <t>Casey Martin</t>
  </si>
  <si>
    <t>Cody Thomas</t>
  </si>
  <si>
    <t>Luis Toribio</t>
  </si>
  <si>
    <t>Jasson Dominguez</t>
  </si>
  <si>
    <t>Brady McConnell</t>
  </si>
  <si>
    <t>Sammy Siani</t>
  </si>
  <si>
    <t>Gabriel Rodriguez</t>
  </si>
  <si>
    <t>Yordys Valdes</t>
  </si>
  <si>
    <t>Mariel Bautista</t>
  </si>
  <si>
    <t>Ji-Hwan Bae</t>
  </si>
  <si>
    <t>Cooper Kinney</t>
  </si>
  <si>
    <t>Larry Ernesto</t>
  </si>
  <si>
    <t>Brett Baty</t>
  </si>
  <si>
    <t>Jordan Walker</t>
  </si>
  <si>
    <t>Cooper Hummel</t>
  </si>
  <si>
    <t>Bayron Lora</t>
  </si>
  <si>
    <t>Garrett Mitchell</t>
  </si>
  <si>
    <t>Chris Rabago</t>
  </si>
  <si>
    <t>Andy Pages</t>
  </si>
  <si>
    <t>Wynston Sawyer</t>
  </si>
  <si>
    <t>Miguel Hiraldo</t>
  </si>
  <si>
    <t>Jeter Downs</t>
  </si>
  <si>
    <t>Anthony Volpe</t>
  </si>
  <si>
    <t>Zach DeLoach</t>
  </si>
  <si>
    <t>Ryan Court</t>
  </si>
  <si>
    <t>J.J. Matijevic</t>
  </si>
  <si>
    <t>Jordan McCants</t>
  </si>
  <si>
    <t>Emmanuel Rodriguez</t>
  </si>
  <si>
    <t>Dalton Pompey</t>
  </si>
  <si>
    <t>Alexander Canario</t>
  </si>
  <si>
    <t>Carlos Tocci</t>
  </si>
  <si>
    <t>Grant Lavigne</t>
  </si>
  <si>
    <t>Jeisson Rosario</t>
  </si>
  <si>
    <t>Nick Loftin</t>
  </si>
  <si>
    <t>Brayan Rocchio</t>
  </si>
  <si>
    <t>Matthew Lugo</t>
  </si>
  <si>
    <t>Austin Hendrick</t>
  </si>
  <si>
    <t>Daniel Descalso</t>
  </si>
  <si>
    <t>Travis Taijeron</t>
  </si>
  <si>
    <t>Victor Victor Mesa</t>
  </si>
  <si>
    <t>José Herrera</t>
  </si>
  <si>
    <t>Shea Langeliers</t>
  </si>
  <si>
    <t>Bryant Packard</t>
  </si>
  <si>
    <t>Joseph Ortiz</t>
  </si>
  <si>
    <t>Coby Mayo</t>
  </si>
  <si>
    <t>Hudson Head</t>
  </si>
  <si>
    <t>Richie Palacios</t>
  </si>
  <si>
    <t>Brett Auerbach</t>
  </si>
  <si>
    <t>Logan Davidson</t>
  </si>
  <si>
    <t>Yainer Diaz</t>
  </si>
  <si>
    <t>Yunior Severino</t>
  </si>
  <si>
    <t>Jeremy Eierman</t>
  </si>
  <si>
    <t>Bryce Ball</t>
  </si>
  <si>
    <t>Brady House</t>
  </si>
  <si>
    <t>Caleb Hamilton</t>
  </si>
  <si>
    <t>Tirso Ornelas</t>
  </si>
  <si>
    <t>Jeren Kendall</t>
  </si>
  <si>
    <t>René Pinto</t>
  </si>
  <si>
    <t>Vinnie Pasquantino</t>
  </si>
  <si>
    <t>Yolbert Sanchez</t>
  </si>
  <si>
    <t>James Outman</t>
  </si>
  <si>
    <t>Blake Swihart</t>
  </si>
  <si>
    <t>Jorbit Vivas</t>
  </si>
  <si>
    <t>Chris Torres</t>
  </si>
  <si>
    <t>Joe Perez</t>
  </si>
  <si>
    <t>Manuel Beltre</t>
  </si>
  <si>
    <t>Zack Gelof</t>
  </si>
  <si>
    <t>Cristian Santana</t>
  </si>
  <si>
    <t>Jordan Brewer</t>
  </si>
  <si>
    <t>Ethan Hearn</t>
  </si>
  <si>
    <t>Jaycob Brugman</t>
  </si>
  <si>
    <t>Nick Yorke</t>
  </si>
  <si>
    <t>Dillon Dingler</t>
  </si>
  <si>
    <t>Mat Nelson</t>
  </si>
  <si>
    <t>Abiatal Avelino</t>
  </si>
  <si>
    <t>Will Banfield</t>
  </si>
  <si>
    <t>Alika Williams</t>
  </si>
  <si>
    <t>Bryan Ramos</t>
  </si>
  <si>
    <t>Wes Kath</t>
  </si>
  <si>
    <t>Samad Taylor</t>
  </si>
  <si>
    <t>Matt Szczur</t>
  </si>
  <si>
    <t>Keoni Cavaco</t>
  </si>
  <si>
    <t>Logan Wyatt</t>
  </si>
  <si>
    <t>Kody Hoese</t>
  </si>
  <si>
    <t>Devin Mann</t>
  </si>
  <si>
    <t>Gianpaul Gonzalez</t>
  </si>
  <si>
    <t>Nick Northcut</t>
  </si>
  <si>
    <t>Matt Wallner</t>
  </si>
  <si>
    <t>Shay Whitcomb</t>
  </si>
  <si>
    <t>Bryson Brigman</t>
  </si>
  <si>
    <t>Trey Harris</t>
  </si>
  <si>
    <t>Daniel Vellojin</t>
  </si>
  <si>
    <t>Gregory Guerrero</t>
  </si>
  <si>
    <t>Stephen Alemais</t>
  </si>
  <si>
    <t>Lolo Sanchez</t>
  </si>
  <si>
    <t>Cadyn Grenier</t>
  </si>
  <si>
    <t>Payton Henry</t>
  </si>
  <si>
    <t>Emilio Bonifácio</t>
  </si>
  <si>
    <t>Mason Williams</t>
  </si>
  <si>
    <t>Cheslor Cuthbert</t>
  </si>
  <si>
    <t>Dustin Fowler</t>
  </si>
  <si>
    <t>Erick Castillo</t>
  </si>
  <si>
    <t>Mallex Smith</t>
  </si>
  <si>
    <t>Nick Heath</t>
  </si>
  <si>
    <t>Jacob Wilson</t>
  </si>
  <si>
    <t>Andrew Susac</t>
  </si>
  <si>
    <t>Tyler Ladendorf</t>
  </si>
  <si>
    <t>Cody Wilson</t>
  </si>
  <si>
    <t>Otto Lopez</t>
  </si>
  <si>
    <t>Erick Mejia</t>
  </si>
  <si>
    <t>Humberto Arteaga</t>
  </si>
  <si>
    <t>Nick Ciuffo</t>
  </si>
  <si>
    <t>Nicky Delmonico</t>
  </si>
  <si>
    <t>Kevan Smith</t>
  </si>
  <si>
    <t>Jack Lopez</t>
  </si>
  <si>
    <t>John Ryan Murphy</t>
  </si>
  <si>
    <t>Wilfredo Tovar</t>
  </si>
  <si>
    <t>Gilberto Celestino</t>
  </si>
  <si>
    <t>Meibrys Viloria</t>
  </si>
  <si>
    <t>Tyler Payne</t>
  </si>
  <si>
    <t>Garrett Stubbs</t>
  </si>
  <si>
    <t>Dilson Herrera</t>
  </si>
  <si>
    <t>Drew Ellis</t>
  </si>
  <si>
    <t>Logan Forsythe</t>
  </si>
  <si>
    <t>Sean Rodríguez</t>
  </si>
  <si>
    <t>Joe Hudson</t>
  </si>
  <si>
    <t>Cal Raleigh</t>
  </si>
  <si>
    <t>Mark Payton</t>
  </si>
  <si>
    <t>Trey Amburgey</t>
  </si>
  <si>
    <t>Taylor Gushue</t>
  </si>
  <si>
    <t>Hunter Owen</t>
  </si>
  <si>
    <t>Matt Reynolds</t>
  </si>
  <si>
    <t>Stevie Wilkerson</t>
  </si>
  <si>
    <t>Jahmai Jones</t>
  </si>
  <si>
    <t>Mickey Moniak</t>
  </si>
  <si>
    <t>Joe McCarthy</t>
  </si>
  <si>
    <t>Sherten Apostel</t>
  </si>
  <si>
    <t>Alex Jackson</t>
  </si>
  <si>
    <t>Jacob Robson</t>
  </si>
  <si>
    <t>Scott Hurst</t>
  </si>
  <si>
    <t>Beau Taylor</t>
  </si>
  <si>
    <t>José Godoy</t>
  </si>
  <si>
    <t>Tzu-Wei Lin</t>
  </si>
  <si>
    <t>Trent Giambrone</t>
  </si>
  <si>
    <t>Nick Williams</t>
  </si>
  <si>
    <t>Zach Reks</t>
  </si>
  <si>
    <t>Ryan Dorow</t>
  </si>
  <si>
    <t>Ryan Vilade</t>
  </si>
  <si>
    <t>Kean Wong</t>
  </si>
  <si>
    <t>Chris Gittens</t>
  </si>
  <si>
    <t>Sebastian Rivero</t>
  </si>
  <si>
    <t>Kevin Padlo</t>
  </si>
  <si>
    <t>Jake Hager</t>
  </si>
  <si>
    <t>Pete Kozma</t>
  </si>
  <si>
    <t>Joseph Odom</t>
  </si>
  <si>
    <t>Skye Bolt</t>
  </si>
  <si>
    <t>Khalil Lee</t>
  </si>
  <si>
    <t>Vimael Machín</t>
  </si>
  <si>
    <t>Jose Lobaton</t>
  </si>
  <si>
    <t>Scott Kingery</t>
  </si>
  <si>
    <t>Drew Butera</t>
  </si>
  <si>
    <t>Scott Schebler</t>
  </si>
  <si>
    <t>Rob Brantly</t>
  </si>
  <si>
    <t>Max Moroff</t>
  </si>
  <si>
    <t>Robel García</t>
  </si>
  <si>
    <t>Greg Deichmann</t>
  </si>
  <si>
    <t>Matt Harvey</t>
  </si>
  <si>
    <t>Cristian Pache</t>
  </si>
  <si>
    <t>Hernán Pérez</t>
  </si>
  <si>
    <t>Luis Campusano</t>
  </si>
  <si>
    <t>P.J. Higgins</t>
  </si>
  <si>
    <t>Curtis Terry</t>
  </si>
  <si>
    <t>Albert Almora Jr.</t>
  </si>
  <si>
    <t>Jorge López</t>
  </si>
  <si>
    <t>Domingo Leyba</t>
  </si>
  <si>
    <t>Jake Arrieta</t>
  </si>
  <si>
    <t>Chris Davis</t>
  </si>
  <si>
    <t>Name</t>
  </si>
  <si>
    <t>Trea Turner</t>
  </si>
  <si>
    <t>Xavier Cedeño</t>
  </si>
  <si>
    <t>Vidal Nuño III</t>
  </si>
  <si>
    <t>Victor Alcántara</t>
  </si>
  <si>
    <t>Yadier Álvarez</t>
  </si>
  <si>
    <t>Allen Córdoba</t>
  </si>
  <si>
    <t>Freicer Pérez</t>
  </si>
  <si>
    <t>Lolo Sánchez</t>
  </si>
  <si>
    <t>Rayan González</t>
  </si>
  <si>
    <t>Jesús Reyes</t>
  </si>
  <si>
    <t>Eduardo Jiménez</t>
  </si>
  <si>
    <t>Víctor Víctor Mesa</t>
  </si>
  <si>
    <t>JC Encarnación</t>
  </si>
  <si>
    <t>Carlos Rodríguez</t>
  </si>
  <si>
    <t>Adrián Hernández</t>
  </si>
  <si>
    <t>Luisangel Acuña</t>
  </si>
  <si>
    <t>Hedbert Pérez</t>
  </si>
  <si>
    <t>Jesús Cruz</t>
  </si>
  <si>
    <t>Edwards, CJ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</si>
</sst>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right" vertical="bottom"/>
    </xf>
    <xf borderId="0" fillId="0" fontId="3" numFmtId="0" xfId="0" applyFont="1"/>
    <xf borderId="0" fillId="4" fontId="4" numFmtId="0" xfId="0" applyAlignment="1" applyFill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ont="1">
      <alignment horizontal="right" vertical="bottom"/>
    </xf>
    <xf borderId="0" fillId="0" fontId="3" numFmtId="0" xfId="0" applyFont="1"/>
    <xf borderId="0" fillId="3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4" fontId="4" numFmtId="0" xfId="0" applyAlignment="1" applyFont="1">
      <alignment horizontal="right" readingOrder="0" vertical="bottom"/>
    </xf>
    <xf borderId="0" fillId="4" fontId="4" numFmtId="0" xfId="0" applyAlignment="1" applyFon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LastNameFirstName-style">
      <tableStyleElement dxfId="1" type="headerRow"/>
      <tableStyleElement dxfId="2" type="firstRowStripe"/>
      <tableStyleElement dxfId="3" type="secondRowStripe"/>
    </tableStyle>
    <tableStyle count="3" pivot="0" name="FirstNameLastName-style">
      <tableStyleElement dxfId="1" type="headerRow"/>
      <tableStyleElement dxfId="2" type="firstRowStripe"/>
      <tableStyleElement dxfId="3" type="secondRowStripe"/>
    </tableStyle>
    <tableStyle count="3" pivot="0" name="Yahoo ADP-style">
      <tableStyleElement dxfId="1" type="headerRow"/>
      <tableStyleElement dxfId="2" type="firstRowStripe"/>
      <tableStyleElement dxfId="3" type="secondRowStripe"/>
    </tableStyle>
    <tableStyle count="3" pivot="0" name="Previous Ran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766" displayName="Table_1" id="1">
  <tableColumns count="8">
    <tableColumn name="Rank" id="1"/>
    <tableColumn name="Player" id="2"/>
    <tableColumn name="Position" id="3"/>
    <tableColumn name="Team" id="4"/>
    <tableColumn name="ADP" id="5"/>
    <tableColumn name="Average Cost" id="6"/>
    <tableColumn name="Rank (2022/03/20)" id="7"/>
    <tableColumn name="Change" id="8"/>
  </tableColumns>
  <tableStyleInfo name="LastNameFirstName-style" showColumnStripes="0" showFirstColumn="1" showLastColumn="1" showRowStripes="1"/>
</table>
</file>

<file path=xl/tables/table2.xml><?xml version="1.0" encoding="utf-8"?>
<table xmlns="http://schemas.openxmlformats.org/spreadsheetml/2006/main" ref="A1:H2766" displayName="Table_2" id="2">
  <tableColumns count="8">
    <tableColumn name="Rank" id="1"/>
    <tableColumn name="Player" id="2"/>
    <tableColumn name="Position" id="3"/>
    <tableColumn name="Team" id="4"/>
    <tableColumn name="ADP" id="5"/>
    <tableColumn name="Average Cost" id="6"/>
    <tableColumn name="Rank (2022/03/20)" id="7"/>
    <tableColumn name="Change" id="8"/>
  </tableColumns>
  <tableStyleInfo name="FirstNameLastName-style" showColumnStripes="0" showFirstColumn="1" showLastColumn="1" showRowStripes="1"/>
</table>
</file>

<file path=xl/tables/table3.xml><?xml version="1.0" encoding="utf-8"?>
<table xmlns="http://schemas.openxmlformats.org/spreadsheetml/2006/main" ref="A1:E404" displayName="Table_3" id="3">
  <tableColumns count="5">
    <tableColumn name="ADP" id="1"/>
    <tableColumn name="Name" id="2"/>
    <tableColumn name="Position" id="3"/>
    <tableColumn name="Team" id="4"/>
    <tableColumn name="Average Cost" id="5"/>
  </tableColumns>
  <tableStyleInfo name="Yahoo ADP-style" showColumnStripes="0" showFirstColumn="1" showLastColumn="1" showRowStripes="1"/>
</table>
</file>

<file path=xl/tables/table4.xml><?xml version="1.0" encoding="utf-8"?>
<table xmlns="http://schemas.openxmlformats.org/spreadsheetml/2006/main" ref="A1:D2766" displayName="Table_4" id="4">
  <tableColumns count="4">
    <tableColumn name="Rank (2022/03/20)" id="1"/>
    <tableColumn name="Player" id="2"/>
    <tableColumn name="Position" id="3"/>
    <tableColumn name="Team" id="4"/>
  </tableColumns>
  <tableStyleInfo name="Previous Ran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tr">
        <f>'Previous Rank'!A1</f>
        <v>Rank (2022/03/20)</v>
      </c>
      <c r="H1" s="4" t="s">
        <v>6</v>
      </c>
    </row>
    <row r="2">
      <c r="A2" s="5">
        <v>1.0</v>
      </c>
      <c r="B2" s="6" t="s">
        <v>7</v>
      </c>
      <c r="C2" s="5" t="s">
        <v>8</v>
      </c>
      <c r="D2" s="5" t="s">
        <v>9</v>
      </c>
      <c r="E2" s="7">
        <f t="array" ref="E2:E2766">FirstNameLastName!E2:E2766</f>
        <v>1.9</v>
      </c>
      <c r="F2" s="7">
        <f t="array" ref="F2:F2766">FirstNameLastName!F2:F2766</f>
        <v>52.4</v>
      </c>
      <c r="G2" s="8">
        <f>IFERROR(__xludf.DUMMYFUNCTION("if(counta(filter('Previous Rank'!$A$2:$A2766,'Previous Rank'!$B$2:$B2766=B2,'Previous Rank'!$C$2:$C2766=C2))=1,filter('Previous Rank'!$A$2:$A2766,'Previous Rank'!$B$2:$B2766=B2,'Previous Rank'!$C$2:$C2766=C2),"""")"),1.0)</f>
        <v>1</v>
      </c>
      <c r="H2" s="8">
        <f t="shared" ref="H2:H2766" si="1">if(G2="","",G2-A2)</f>
        <v>0</v>
      </c>
    </row>
    <row r="3">
      <c r="A3" s="5">
        <v>2.0</v>
      </c>
      <c r="B3" s="6" t="s">
        <v>10</v>
      </c>
      <c r="C3" s="5" t="s">
        <v>11</v>
      </c>
      <c r="D3" s="5" t="s">
        <v>12</v>
      </c>
      <c r="E3" s="9">
        <v>6.4</v>
      </c>
      <c r="F3" s="9">
        <v>46.8</v>
      </c>
      <c r="G3" s="8">
        <f>IFERROR(__xludf.DUMMYFUNCTION("if(counta(filter('Previous Rank'!$A$2:$A2766,'Previous Rank'!$B$2:$B2766=B3,'Previous Rank'!$C$2:$C2766=C3))=1,filter('Previous Rank'!$A$2:$A2766,'Previous Rank'!$B$2:$B2766=B3,'Previous Rank'!$C$2:$C2766=C3),"""")"),6.0)</f>
        <v>6</v>
      </c>
      <c r="H3" s="8">
        <f t="shared" si="1"/>
        <v>4</v>
      </c>
    </row>
    <row r="4">
      <c r="A4" s="5">
        <v>3.0</v>
      </c>
      <c r="B4" s="6" t="s">
        <v>13</v>
      </c>
      <c r="C4" s="5" t="s">
        <v>14</v>
      </c>
      <c r="D4" s="5" t="s">
        <v>15</v>
      </c>
      <c r="E4" s="7">
        <v>5.9</v>
      </c>
      <c r="F4" s="7">
        <v>46.8</v>
      </c>
      <c r="G4" s="8">
        <f>IFERROR(__xludf.DUMMYFUNCTION("if(counta(filter('Previous Rank'!$A$2:$A2766,'Previous Rank'!$B$2:$B2766=B4,'Previous Rank'!$C$2:$C2766=C4))=1,filter('Previous Rank'!$A$2:$A2766,'Previous Rank'!$B$2:$B2766=B4,'Previous Rank'!$C$2:$C2766=C4),"""")"),5.0)</f>
        <v>5</v>
      </c>
      <c r="H4" s="8">
        <f t="shared" si="1"/>
        <v>2</v>
      </c>
    </row>
    <row r="5">
      <c r="A5" s="5">
        <v>4.0</v>
      </c>
      <c r="B5" s="6" t="s">
        <v>16</v>
      </c>
      <c r="C5" s="5" t="s">
        <v>17</v>
      </c>
      <c r="D5" s="5" t="s">
        <v>18</v>
      </c>
      <c r="E5" s="9">
        <v>3.6</v>
      </c>
      <c r="F5" s="9">
        <v>49.7</v>
      </c>
      <c r="G5" s="8">
        <f>IFERROR(__xludf.DUMMYFUNCTION("if(counta(filter('Previous Rank'!$A$2:$A2766,'Previous Rank'!$B$2:$B2766=B5,'Previous Rank'!$C$2:$C2766=C5))=1,filter('Previous Rank'!$A$2:$A2766,'Previous Rank'!$B$2:$B2766=B5,'Previous Rank'!$C$2:$C2766=C5),"""")"),3.0)</f>
        <v>3</v>
      </c>
      <c r="H5" s="8">
        <f t="shared" si="1"/>
        <v>-1</v>
      </c>
    </row>
    <row r="6">
      <c r="A6" s="5">
        <v>5.0</v>
      </c>
      <c r="B6" s="6" t="s">
        <v>19</v>
      </c>
      <c r="C6" s="5" t="s">
        <v>20</v>
      </c>
      <c r="D6" s="5" t="s">
        <v>15</v>
      </c>
      <c r="E6" s="7">
        <v>3.6</v>
      </c>
      <c r="F6" s="7">
        <v>49.5</v>
      </c>
      <c r="G6" s="8">
        <f>IFERROR(__xludf.DUMMYFUNCTION("if(counta(filter('Previous Rank'!$A$2:$A2766,'Previous Rank'!$B$2:$B2766=B6,'Previous Rank'!$C$2:$C2766=C6))=1,filter('Previous Rank'!$A$2:$A2766,'Previous Rank'!$B$2:$B2766=B6,'Previous Rank'!$C$2:$C2766=C6),"""")"),4.0)</f>
        <v>4</v>
      </c>
      <c r="H6" s="8">
        <f t="shared" si="1"/>
        <v>-1</v>
      </c>
    </row>
    <row r="7">
      <c r="A7" s="5">
        <v>6.0</v>
      </c>
      <c r="B7" s="6" t="s">
        <v>21</v>
      </c>
      <c r="C7" s="5" t="s">
        <v>22</v>
      </c>
      <c r="D7" s="5" t="s">
        <v>23</v>
      </c>
      <c r="E7" s="9">
        <v>9.0</v>
      </c>
      <c r="F7" s="9">
        <v>43.3</v>
      </c>
      <c r="G7" s="8">
        <f>IFERROR(__xludf.DUMMYFUNCTION("if(counta(filter('Previous Rank'!$A$2:$A2766,'Previous Rank'!$B$2:$B2766=B7,'Previous Rank'!$C$2:$C2766=C7))=1,filter('Previous Rank'!$A$2:$A2766,'Previous Rank'!$B$2:$B2766=B7,'Previous Rank'!$C$2:$C2766=C7),"""")"),7.0)</f>
        <v>7</v>
      </c>
      <c r="H7" s="8">
        <f t="shared" si="1"/>
        <v>1</v>
      </c>
    </row>
    <row r="8">
      <c r="A8" s="5">
        <v>7.0</v>
      </c>
      <c r="B8" s="6" t="s">
        <v>24</v>
      </c>
      <c r="C8" s="5" t="s">
        <v>22</v>
      </c>
      <c r="D8" s="5" t="s">
        <v>25</v>
      </c>
      <c r="E8" s="7">
        <v>11.8</v>
      </c>
      <c r="F8" s="7">
        <v>40.3</v>
      </c>
      <c r="G8" s="8">
        <f>IFERROR(__xludf.DUMMYFUNCTION("if(counta(filter('Previous Rank'!$A$2:$A2766,'Previous Rank'!$B$2:$B2766=B8,'Previous Rank'!$C$2:$C2766=C8))=1,filter('Previous Rank'!$A$2:$A2766,'Previous Rank'!$B$2:$B2766=B8,'Previous Rank'!$C$2:$C2766=C8),"""")"),10.0)</f>
        <v>10</v>
      </c>
      <c r="H8" s="8">
        <f t="shared" si="1"/>
        <v>3</v>
      </c>
    </row>
    <row r="9">
      <c r="A9" s="5">
        <v>8.0</v>
      </c>
      <c r="B9" s="6" t="s">
        <v>26</v>
      </c>
      <c r="C9" s="5" t="s">
        <v>17</v>
      </c>
      <c r="D9" s="5" t="s">
        <v>27</v>
      </c>
      <c r="E9" s="9">
        <v>16.8</v>
      </c>
      <c r="F9" s="9">
        <v>36.5</v>
      </c>
      <c r="G9" s="8">
        <f>IFERROR(__xludf.DUMMYFUNCTION("if(counta(filter('Previous Rank'!$A$2:$A2766,'Previous Rank'!$B$2:$B2766=B9,'Previous Rank'!$C$2:$C2766=C9))=1,filter('Previous Rank'!$A$2:$A2766,'Previous Rank'!$B$2:$B2766=B9,'Previous Rank'!$C$2:$C2766=C9),"""")"),11.0)</f>
        <v>11</v>
      </c>
      <c r="H9" s="8">
        <f t="shared" si="1"/>
        <v>3</v>
      </c>
    </row>
    <row r="10">
      <c r="A10" s="5">
        <v>9.0</v>
      </c>
      <c r="B10" s="6" t="s">
        <v>28</v>
      </c>
      <c r="C10" s="5" t="s">
        <v>29</v>
      </c>
      <c r="D10" s="5" t="s">
        <v>9</v>
      </c>
      <c r="E10" s="7">
        <v>9.9</v>
      </c>
      <c r="F10" s="7">
        <v>43.8</v>
      </c>
      <c r="G10" s="8">
        <f>IFERROR(__xludf.DUMMYFUNCTION("if(counta(filter('Previous Rank'!$A$2:$A2766,'Previous Rank'!$B$2:$B2766=B10,'Previous Rank'!$C$2:$C2766=C10))=1,filter('Previous Rank'!$A$2:$A2766,'Previous Rank'!$B$2:$B2766=B10,'Previous Rank'!$C$2:$C2766=C10),"""")"),9.0)</f>
        <v>9</v>
      </c>
      <c r="H10" s="8">
        <f t="shared" si="1"/>
        <v>0</v>
      </c>
    </row>
    <row r="11">
      <c r="A11" s="5">
        <v>10.0</v>
      </c>
      <c r="B11" s="6" t="s">
        <v>30</v>
      </c>
      <c r="C11" s="5" t="s">
        <v>17</v>
      </c>
      <c r="D11" s="5" t="s">
        <v>31</v>
      </c>
      <c r="E11" s="9">
        <v>10.9</v>
      </c>
      <c r="F11" s="9">
        <v>42.6</v>
      </c>
      <c r="G11" s="8">
        <f>IFERROR(__xludf.DUMMYFUNCTION("if(counta(filter('Previous Rank'!$A$2:$A2766,'Previous Rank'!$B$2:$B2766=B11,'Previous Rank'!$C$2:$C2766=C11))=1,filter('Previous Rank'!$A$2:$A2766,'Previous Rank'!$B$2:$B2766=B11,'Previous Rank'!$C$2:$C2766=C11),"""")"),12.0)</f>
        <v>12</v>
      </c>
      <c r="H11" s="8">
        <f t="shared" si="1"/>
        <v>2</v>
      </c>
    </row>
    <row r="12">
      <c r="A12" s="5">
        <v>11.0</v>
      </c>
      <c r="B12" s="6" t="s">
        <v>32</v>
      </c>
      <c r="C12" s="5" t="s">
        <v>33</v>
      </c>
      <c r="D12" s="5" t="s">
        <v>34</v>
      </c>
      <c r="E12" s="7">
        <v>12.3</v>
      </c>
      <c r="F12" s="7">
        <v>40.8</v>
      </c>
      <c r="G12" s="8">
        <f>IFERROR(__xludf.DUMMYFUNCTION("if(counta(filter('Previous Rank'!$A$2:$A2766,'Previous Rank'!$B$2:$B2766=B12,'Previous Rank'!$C$2:$C2766=C12))=1,filter('Previous Rank'!$A$2:$A2766,'Previous Rank'!$B$2:$B2766=B12,'Previous Rank'!$C$2:$C2766=C12),"""")"),14.0)</f>
        <v>14</v>
      </c>
      <c r="H12" s="8">
        <f t="shared" si="1"/>
        <v>3</v>
      </c>
    </row>
    <row r="13">
      <c r="A13" s="5">
        <v>12.0</v>
      </c>
      <c r="B13" s="6" t="s">
        <v>35</v>
      </c>
      <c r="C13" s="5" t="s">
        <v>22</v>
      </c>
      <c r="D13" s="5" t="s">
        <v>36</v>
      </c>
      <c r="E13" s="9">
        <v>21.3</v>
      </c>
      <c r="F13" s="9">
        <v>32.8</v>
      </c>
      <c r="G13" s="8">
        <f>IFERROR(__xludf.DUMMYFUNCTION("if(counta(filter('Previous Rank'!$A$2:$A2766,'Previous Rank'!$B$2:$B2766=B13,'Previous Rank'!$C$2:$C2766=C13))=1,filter('Previous Rank'!$A$2:$A2766,'Previous Rank'!$B$2:$B2766=B13,'Previous Rank'!$C$2:$C2766=C13),"""")"),23.0)</f>
        <v>23</v>
      </c>
      <c r="H13" s="8">
        <f t="shared" si="1"/>
        <v>11</v>
      </c>
    </row>
    <row r="14">
      <c r="A14" s="5">
        <v>13.0</v>
      </c>
      <c r="B14" s="6" t="s">
        <v>37</v>
      </c>
      <c r="C14" s="5" t="s">
        <v>20</v>
      </c>
      <c r="D14" s="5" t="s">
        <v>9</v>
      </c>
      <c r="E14" s="7">
        <v>14.1</v>
      </c>
      <c r="F14" s="7">
        <v>38.2</v>
      </c>
      <c r="G14" s="8">
        <f>IFERROR(__xludf.DUMMYFUNCTION("if(counta(filter('Previous Rank'!$A$2:$A2766,'Previous Rank'!$B$2:$B2766=B14,'Previous Rank'!$C$2:$C2766=C14))=1,filter('Previous Rank'!$A$2:$A2766,'Previous Rank'!$B$2:$B2766=B14,'Previous Rank'!$C$2:$C2766=C14),"""")"),15.0)</f>
        <v>15</v>
      </c>
      <c r="H14" s="8">
        <f t="shared" si="1"/>
        <v>2</v>
      </c>
    </row>
    <row r="15">
      <c r="A15" s="5">
        <v>14.0</v>
      </c>
      <c r="B15" s="6" t="s">
        <v>38</v>
      </c>
      <c r="C15" s="5" t="s">
        <v>39</v>
      </c>
      <c r="D15" s="5" t="s">
        <v>34</v>
      </c>
      <c r="E15" s="9">
        <v>11.8</v>
      </c>
      <c r="F15" s="9">
        <v>40.0</v>
      </c>
      <c r="G15" s="8">
        <f>IFERROR(__xludf.DUMMYFUNCTION("if(counta(filter('Previous Rank'!$A$2:$A2766,'Previous Rank'!$B$2:$B2766=B15,'Previous Rank'!$C$2:$C2766=C15))=1,filter('Previous Rank'!$A$2:$A2766,'Previous Rank'!$B$2:$B2766=B15,'Previous Rank'!$C$2:$C2766=C15),"""")"),13.0)</f>
        <v>13</v>
      </c>
      <c r="H15" s="8">
        <f t="shared" si="1"/>
        <v>-1</v>
      </c>
    </row>
    <row r="16">
      <c r="A16" s="5">
        <v>15.0</v>
      </c>
      <c r="B16" s="6" t="s">
        <v>40</v>
      </c>
      <c r="C16" s="5" t="s">
        <v>22</v>
      </c>
      <c r="D16" s="5" t="s">
        <v>9</v>
      </c>
      <c r="E16" s="7">
        <v>17.9</v>
      </c>
      <c r="F16" s="7">
        <v>34.3</v>
      </c>
      <c r="G16" s="8">
        <f>IFERROR(__xludf.DUMMYFUNCTION("if(counta(filter('Previous Rank'!$A$2:$A2766,'Previous Rank'!$B$2:$B2766=B16,'Previous Rank'!$C$2:$C2766=C16))=1,filter('Previous Rank'!$A$2:$A2766,'Previous Rank'!$B$2:$B2766=B16,'Previous Rank'!$C$2:$C2766=C16),"""")"),16.0)</f>
        <v>16</v>
      </c>
      <c r="H16" s="8">
        <f t="shared" si="1"/>
        <v>1</v>
      </c>
    </row>
    <row r="17">
      <c r="A17" s="5">
        <v>16.0</v>
      </c>
      <c r="B17" s="6" t="s">
        <v>41</v>
      </c>
      <c r="C17" s="5" t="s">
        <v>11</v>
      </c>
      <c r="D17" s="5" t="s">
        <v>42</v>
      </c>
      <c r="E17" s="9">
        <v>16.5</v>
      </c>
      <c r="F17" s="9">
        <v>34.9</v>
      </c>
      <c r="G17" s="8">
        <f>IFERROR(__xludf.DUMMYFUNCTION("if(counta(filter('Previous Rank'!$A$2:$A2766,'Previous Rank'!$B$2:$B2766=B17,'Previous Rank'!$C$2:$C2766=C17))=1,filter('Previous Rank'!$A$2:$A2766,'Previous Rank'!$B$2:$B2766=B17,'Previous Rank'!$C$2:$C2766=C17),"""")"),17.0)</f>
        <v>17</v>
      </c>
      <c r="H17" s="8">
        <f t="shared" si="1"/>
        <v>1</v>
      </c>
    </row>
    <row r="18">
      <c r="A18" s="5">
        <v>17.0</v>
      </c>
      <c r="B18" s="6" t="s">
        <v>43</v>
      </c>
      <c r="C18" s="5" t="s">
        <v>22</v>
      </c>
      <c r="D18" s="5" t="s">
        <v>36</v>
      </c>
      <c r="E18" s="7">
        <v>16.4</v>
      </c>
      <c r="F18" s="7">
        <v>33.9</v>
      </c>
      <c r="G18" s="8">
        <f>IFERROR(__xludf.DUMMYFUNCTION("if(counta(filter('Previous Rank'!$A$2:$A2766,'Previous Rank'!$B$2:$B2766=B18,'Previous Rank'!$C$2:$C2766=C18))=1,filter('Previous Rank'!$A$2:$A2766,'Previous Rank'!$B$2:$B2766=B18,'Previous Rank'!$C$2:$C2766=C18),"""")"),18.0)</f>
        <v>18</v>
      </c>
      <c r="H18" s="8">
        <f t="shared" si="1"/>
        <v>1</v>
      </c>
    </row>
    <row r="19">
      <c r="A19" s="5">
        <v>18.0</v>
      </c>
      <c r="B19" s="6" t="s">
        <v>44</v>
      </c>
      <c r="C19" s="5" t="s">
        <v>22</v>
      </c>
      <c r="D19" s="5" t="s">
        <v>25</v>
      </c>
      <c r="E19" s="9">
        <v>25.0</v>
      </c>
      <c r="F19" s="9">
        <v>31.1</v>
      </c>
      <c r="G19" s="8">
        <f>IFERROR(__xludf.DUMMYFUNCTION("if(counta(filter('Previous Rank'!$A$2:$A2766,'Previous Rank'!$B$2:$B2766=B19,'Previous Rank'!$C$2:$C2766=C19))=1,filter('Previous Rank'!$A$2:$A2766,'Previous Rank'!$B$2:$B2766=B19,'Previous Rank'!$C$2:$C2766=C19),"""")"),24.0)</f>
        <v>24</v>
      </c>
      <c r="H19" s="8">
        <f t="shared" si="1"/>
        <v>6</v>
      </c>
    </row>
    <row r="20">
      <c r="A20" s="5">
        <v>19.0</v>
      </c>
      <c r="B20" s="6" t="s">
        <v>45</v>
      </c>
      <c r="C20" s="5" t="s">
        <v>39</v>
      </c>
      <c r="D20" s="5" t="s">
        <v>46</v>
      </c>
      <c r="E20" s="7">
        <v>20.1</v>
      </c>
      <c r="F20" s="7">
        <v>34.0</v>
      </c>
      <c r="G20" s="8">
        <f>IFERROR(__xludf.DUMMYFUNCTION("if(counta(filter('Previous Rank'!$A$2:$A2766,'Previous Rank'!$B$2:$B2766=B20,'Previous Rank'!$C$2:$C2766=C20))=1,filter('Previous Rank'!$A$2:$A2766,'Previous Rank'!$B$2:$B2766=B20,'Previous Rank'!$C$2:$C2766=C20),"""")"),19.0)</f>
        <v>19</v>
      </c>
      <c r="H20" s="8">
        <f t="shared" si="1"/>
        <v>0</v>
      </c>
    </row>
    <row r="21">
      <c r="A21" s="5">
        <v>20.0</v>
      </c>
      <c r="B21" s="6" t="s">
        <v>47</v>
      </c>
      <c r="C21" s="5" t="s">
        <v>48</v>
      </c>
      <c r="D21" s="5" t="s">
        <v>49</v>
      </c>
      <c r="E21" s="9">
        <v>22.7</v>
      </c>
      <c r="F21" s="9">
        <v>31.6</v>
      </c>
      <c r="G21" s="8">
        <f>IFERROR(__xludf.DUMMYFUNCTION("if(counta(filter('Previous Rank'!$A$2:$A2766,'Previous Rank'!$B$2:$B2766=B21,'Previous Rank'!$C$2:$C2766=C21))=1,filter('Previous Rank'!$A$2:$A2766,'Previous Rank'!$B$2:$B2766=B21,'Previous Rank'!$C$2:$C2766=C21),"""")"),20.0)</f>
        <v>20</v>
      </c>
      <c r="H21" s="8">
        <f t="shared" si="1"/>
        <v>0</v>
      </c>
    </row>
    <row r="22">
      <c r="A22" s="5">
        <v>21.0</v>
      </c>
      <c r="B22" s="6" t="s">
        <v>50</v>
      </c>
      <c r="C22" s="5" t="s">
        <v>17</v>
      </c>
      <c r="D22" s="5" t="s">
        <v>49</v>
      </c>
      <c r="E22" s="7">
        <v>9.9</v>
      </c>
      <c r="F22" s="7">
        <v>44.7</v>
      </c>
      <c r="G22" s="8">
        <f>IFERROR(__xludf.DUMMYFUNCTION("if(counta(filter('Previous Rank'!$A$2:$A2766,'Previous Rank'!$B$2:$B2766=B22,'Previous Rank'!$C$2:$C2766=C22))=1,filter('Previous Rank'!$A$2:$A2766,'Previous Rank'!$B$2:$B2766=B22,'Previous Rank'!$C$2:$C2766=C22),"""")"),8.0)</f>
        <v>8</v>
      </c>
      <c r="H22" s="8">
        <f t="shared" si="1"/>
        <v>-13</v>
      </c>
    </row>
    <row r="23">
      <c r="A23" s="5">
        <v>22.0</v>
      </c>
      <c r="B23" s="6" t="s">
        <v>51</v>
      </c>
      <c r="C23" s="5" t="s">
        <v>11</v>
      </c>
      <c r="D23" s="5" t="s">
        <v>52</v>
      </c>
      <c r="E23" s="9">
        <v>27.5</v>
      </c>
      <c r="F23" s="9">
        <v>29.4</v>
      </c>
      <c r="G23" s="8">
        <f>IFERROR(__xludf.DUMMYFUNCTION("if(counta(filter('Previous Rank'!$A$2:$A2766,'Previous Rank'!$B$2:$B2766=B23,'Previous Rank'!$C$2:$C2766=C23))=1,filter('Previous Rank'!$A$2:$A2766,'Previous Rank'!$B$2:$B2766=B23,'Previous Rank'!$C$2:$C2766=C23),"""")"),26.0)</f>
        <v>26</v>
      </c>
      <c r="H23" s="8">
        <f t="shared" si="1"/>
        <v>4</v>
      </c>
    </row>
    <row r="24">
      <c r="A24" s="5">
        <v>23.0</v>
      </c>
      <c r="B24" s="6" t="s">
        <v>53</v>
      </c>
      <c r="C24" s="5" t="s">
        <v>39</v>
      </c>
      <c r="D24" s="5" t="s">
        <v>36</v>
      </c>
      <c r="E24" s="7">
        <v>24.5</v>
      </c>
      <c r="F24" s="7">
        <v>32.9</v>
      </c>
      <c r="G24" s="8">
        <f>IFERROR(__xludf.DUMMYFUNCTION("if(counta(filter('Previous Rank'!$A$2:$A2766,'Previous Rank'!$B$2:$B2766=B24,'Previous Rank'!$C$2:$C2766=C24))=1,filter('Previous Rank'!$A$2:$A2766,'Previous Rank'!$B$2:$B2766=B24,'Previous Rank'!$C$2:$C2766=C24),"""")"),22.0)</f>
        <v>22</v>
      </c>
      <c r="H24" s="8">
        <f t="shared" si="1"/>
        <v>-1</v>
      </c>
    </row>
    <row r="25">
      <c r="A25" s="5">
        <v>24.0</v>
      </c>
      <c r="B25" s="6" t="s">
        <v>54</v>
      </c>
      <c r="C25" s="5" t="s">
        <v>55</v>
      </c>
      <c r="D25" s="5" t="s">
        <v>27</v>
      </c>
      <c r="E25" s="9">
        <v>23.7</v>
      </c>
      <c r="F25" s="9">
        <v>31.5</v>
      </c>
      <c r="G25" s="8">
        <f>IFERROR(__xludf.DUMMYFUNCTION("if(counta(filter('Previous Rank'!$A$2:$A2766,'Previous Rank'!$B$2:$B2766=B25,'Previous Rank'!$C$2:$C2766=C25))=1,filter('Previous Rank'!$A$2:$A2766,'Previous Rank'!$B$2:$B2766=B25,'Previous Rank'!$C$2:$C2766=C25),"""")"),21.0)</f>
        <v>21</v>
      </c>
      <c r="H25" s="8">
        <f t="shared" si="1"/>
        <v>-3</v>
      </c>
    </row>
    <row r="26">
      <c r="A26" s="5">
        <v>25.0</v>
      </c>
      <c r="B26" s="6" t="s">
        <v>56</v>
      </c>
      <c r="C26" s="5" t="s">
        <v>22</v>
      </c>
      <c r="D26" s="5" t="s">
        <v>12</v>
      </c>
      <c r="E26" s="7">
        <v>28.8</v>
      </c>
      <c r="F26" s="7">
        <v>28.7</v>
      </c>
      <c r="G26" s="8">
        <f>IFERROR(__xludf.DUMMYFUNCTION("if(counta(filter('Previous Rank'!$A$2:$A2766,'Previous Rank'!$B$2:$B2766=B26,'Previous Rank'!$C$2:$C2766=C26))=1,filter('Previous Rank'!$A$2:$A2766,'Previous Rank'!$B$2:$B2766=B26,'Previous Rank'!$C$2:$C2766=C26),"""")"),27.0)</f>
        <v>27</v>
      </c>
      <c r="H26" s="8">
        <f t="shared" si="1"/>
        <v>2</v>
      </c>
    </row>
    <row r="27">
      <c r="A27" s="5">
        <v>26.0</v>
      </c>
      <c r="B27" s="6" t="s">
        <v>57</v>
      </c>
      <c r="C27" s="5" t="s">
        <v>14</v>
      </c>
      <c r="D27" s="5" t="s">
        <v>46</v>
      </c>
      <c r="E27" s="9">
        <v>31.0</v>
      </c>
      <c r="F27" s="9">
        <v>27.6</v>
      </c>
      <c r="G27" s="8">
        <f>IFERROR(__xludf.DUMMYFUNCTION("if(counta(filter('Previous Rank'!$A$2:$A2766,'Previous Rank'!$B$2:$B2766=B27,'Previous Rank'!$C$2:$C2766=C27))=1,filter('Previous Rank'!$A$2:$A2766,'Previous Rank'!$B$2:$B2766=B27,'Previous Rank'!$C$2:$C2766=C27),"""")"),29.0)</f>
        <v>29</v>
      </c>
      <c r="H27" s="8">
        <f t="shared" si="1"/>
        <v>3</v>
      </c>
    </row>
    <row r="28">
      <c r="A28" s="5">
        <v>27.0</v>
      </c>
      <c r="B28" s="6" t="s">
        <v>58</v>
      </c>
      <c r="C28" s="5" t="s">
        <v>14</v>
      </c>
      <c r="D28" s="5" t="s">
        <v>42</v>
      </c>
      <c r="E28" s="7">
        <v>29.0</v>
      </c>
      <c r="F28" s="7">
        <v>27.9</v>
      </c>
      <c r="G28" s="8">
        <f>IFERROR(__xludf.DUMMYFUNCTION("if(counta(filter('Previous Rank'!$A$2:$A2766,'Previous Rank'!$B$2:$B2766=B28,'Previous Rank'!$C$2:$C2766=C28))=1,filter('Previous Rank'!$A$2:$A2766,'Previous Rank'!$B$2:$B2766=B28,'Previous Rank'!$C$2:$C2766=C28),"""")"),28.0)</f>
        <v>28</v>
      </c>
      <c r="H28" s="8">
        <f t="shared" si="1"/>
        <v>1</v>
      </c>
    </row>
    <row r="29">
      <c r="A29" s="5">
        <v>28.0</v>
      </c>
      <c r="B29" s="6" t="s">
        <v>59</v>
      </c>
      <c r="C29" s="5" t="s">
        <v>20</v>
      </c>
      <c r="D29" s="5" t="s">
        <v>49</v>
      </c>
      <c r="E29" s="9">
        <v>32.5</v>
      </c>
      <c r="F29" s="9">
        <v>26.6</v>
      </c>
      <c r="G29" s="8">
        <f>IFERROR(__xludf.DUMMYFUNCTION("if(counta(filter('Previous Rank'!$A$2:$A2766,'Previous Rank'!$B$2:$B2766=B29,'Previous Rank'!$C$2:$C2766=C29))=1,filter('Previous Rank'!$A$2:$A2766,'Previous Rank'!$B$2:$B2766=B29,'Previous Rank'!$C$2:$C2766=C29),"""")"),31.0)</f>
        <v>31</v>
      </c>
      <c r="H29" s="8">
        <f t="shared" si="1"/>
        <v>3</v>
      </c>
    </row>
    <row r="30">
      <c r="A30" s="5">
        <v>29.0</v>
      </c>
      <c r="B30" s="6" t="s">
        <v>60</v>
      </c>
      <c r="C30" s="5" t="s">
        <v>22</v>
      </c>
      <c r="D30" s="5" t="s">
        <v>9</v>
      </c>
      <c r="E30" s="7">
        <v>33.6</v>
      </c>
      <c r="F30" s="7">
        <v>26.9</v>
      </c>
      <c r="G30" s="8">
        <f>IFERROR(__xludf.DUMMYFUNCTION("if(counta(filter('Previous Rank'!$A$2:$A2766,'Previous Rank'!$B$2:$B2766=B30,'Previous Rank'!$C$2:$C2766=C30))=1,filter('Previous Rank'!$A$2:$A2766,'Previous Rank'!$B$2:$B2766=B30,'Previous Rank'!$C$2:$C2766=C30),"""")"),33.0)</f>
        <v>33</v>
      </c>
      <c r="H30" s="8">
        <f t="shared" si="1"/>
        <v>4</v>
      </c>
    </row>
    <row r="31">
      <c r="A31" s="5">
        <v>30.0</v>
      </c>
      <c r="B31" s="6" t="s">
        <v>61</v>
      </c>
      <c r="C31" s="5" t="s">
        <v>22</v>
      </c>
      <c r="D31" s="5" t="s">
        <v>46</v>
      </c>
      <c r="E31" s="9">
        <v>45.7</v>
      </c>
      <c r="F31" s="9">
        <v>22.8</v>
      </c>
      <c r="G31" s="8">
        <f>IFERROR(__xludf.DUMMYFUNCTION("if(counta(filter('Previous Rank'!$A$2:$A2766,'Previous Rank'!$B$2:$B2766=B31,'Previous Rank'!$C$2:$C2766=C31))=1,filter('Previous Rank'!$A$2:$A2766,'Previous Rank'!$B$2:$B2766=B31,'Previous Rank'!$C$2:$C2766=C31),"""")"),41.0)</f>
        <v>41</v>
      </c>
      <c r="H31" s="8">
        <f t="shared" si="1"/>
        <v>11</v>
      </c>
    </row>
    <row r="32">
      <c r="A32" s="5">
        <v>31.0</v>
      </c>
      <c r="B32" s="6" t="s">
        <v>62</v>
      </c>
      <c r="C32" s="5" t="s">
        <v>63</v>
      </c>
      <c r="D32" s="5" t="s">
        <v>23</v>
      </c>
      <c r="E32" s="7">
        <v>28.7</v>
      </c>
      <c r="F32" s="7">
        <v>27.6</v>
      </c>
      <c r="G32" s="8">
        <f>IFERROR(__xludf.DUMMYFUNCTION("if(counta(filter('Previous Rank'!$A$2:$A2766,'Previous Rank'!$B$2:$B2766=B32,'Previous Rank'!$C$2:$C2766=C32))=1,filter('Previous Rank'!$A$2:$A2766,'Previous Rank'!$B$2:$B2766=B32,'Previous Rank'!$C$2:$C2766=C32),"""")"),32.0)</f>
        <v>32</v>
      </c>
      <c r="H32" s="8">
        <f t="shared" si="1"/>
        <v>1</v>
      </c>
    </row>
    <row r="33">
      <c r="A33" s="10">
        <v>32.0</v>
      </c>
      <c r="B33" s="11" t="s">
        <v>64</v>
      </c>
      <c r="C33" s="10" t="s">
        <v>14</v>
      </c>
      <c r="D33" s="10" t="s">
        <v>42</v>
      </c>
      <c r="E33" s="12">
        <v>40.6</v>
      </c>
      <c r="F33" s="12">
        <v>23.9</v>
      </c>
      <c r="G33" s="13">
        <f>IFERROR(__xludf.DUMMYFUNCTION("if(counta(filter('Previous Rank'!$A$2:$A2766,'Previous Rank'!$B$2:$B2766=B33,'Previous Rank'!$C$2:$C2766=C33))=1,filter('Previous Rank'!$A$2:$A2766,'Previous Rank'!$B$2:$B2766=B33,'Previous Rank'!$C$2:$C2766=C33),"""")"),36.0)</f>
        <v>36</v>
      </c>
      <c r="H33" s="8">
        <f t="shared" si="1"/>
        <v>4</v>
      </c>
    </row>
    <row r="34">
      <c r="A34" s="10">
        <v>33.0</v>
      </c>
      <c r="B34" s="11" t="s">
        <v>65</v>
      </c>
      <c r="C34" s="10" t="s">
        <v>66</v>
      </c>
      <c r="D34" s="10" t="s">
        <v>67</v>
      </c>
      <c r="E34" s="14">
        <v>36.0</v>
      </c>
      <c r="F34" s="14">
        <v>26.2</v>
      </c>
      <c r="G34" s="13">
        <f>IFERROR(__xludf.DUMMYFUNCTION("if(counta(filter('Previous Rank'!$A$2:$A2766,'Previous Rank'!$B$2:$B2766=B34,'Previous Rank'!$C$2:$C2766=C34))=1,filter('Previous Rank'!$A$2:$A2766,'Previous Rank'!$B$2:$B2766=B34,'Previous Rank'!$C$2:$C2766=C34),"""")"),37.0)</f>
        <v>37</v>
      </c>
      <c r="H34" s="8">
        <f t="shared" si="1"/>
        <v>4</v>
      </c>
    </row>
    <row r="35">
      <c r="A35" s="10">
        <v>34.0</v>
      </c>
      <c r="B35" s="11" t="s">
        <v>68</v>
      </c>
      <c r="C35" s="10" t="s">
        <v>69</v>
      </c>
      <c r="D35" s="10" t="s">
        <v>15</v>
      </c>
      <c r="E35" s="12">
        <v>37.0</v>
      </c>
      <c r="F35" s="12">
        <v>24.8</v>
      </c>
      <c r="G35" s="13">
        <f>IFERROR(__xludf.DUMMYFUNCTION("if(counta(filter('Previous Rank'!$A$2:$A2766,'Previous Rank'!$B$2:$B2766=B35,'Previous Rank'!$C$2:$C2766=C35))=1,filter('Previous Rank'!$A$2:$A2766,'Previous Rank'!$B$2:$B2766=B35,'Previous Rank'!$C$2:$C2766=C35),"""")"),35.0)</f>
        <v>35</v>
      </c>
      <c r="H35" s="8">
        <f t="shared" si="1"/>
        <v>1</v>
      </c>
    </row>
    <row r="36">
      <c r="A36" s="10">
        <v>35.0</v>
      </c>
      <c r="B36" s="11" t="s">
        <v>70</v>
      </c>
      <c r="C36" s="10" t="s">
        <v>8</v>
      </c>
      <c r="D36" s="10" t="s">
        <v>71</v>
      </c>
      <c r="E36" s="14">
        <v>32.9</v>
      </c>
      <c r="F36" s="14">
        <v>26.8</v>
      </c>
      <c r="G36" s="13">
        <f>IFERROR(__xludf.DUMMYFUNCTION("if(counta(filter('Previous Rank'!$A$2:$A2766,'Previous Rank'!$B$2:$B2766=B36,'Previous Rank'!$C$2:$C2766=C36))=1,filter('Previous Rank'!$A$2:$A2766,'Previous Rank'!$B$2:$B2766=B36,'Previous Rank'!$C$2:$C2766=C36),"""")"),30.0)</f>
        <v>30</v>
      </c>
      <c r="H36" s="8">
        <f t="shared" si="1"/>
        <v>-5</v>
      </c>
    </row>
    <row r="37">
      <c r="A37" s="10">
        <v>36.0</v>
      </c>
      <c r="B37" s="11" t="s">
        <v>72</v>
      </c>
      <c r="C37" s="10" t="s">
        <v>39</v>
      </c>
      <c r="D37" s="10" t="s">
        <v>73</v>
      </c>
      <c r="E37" s="12">
        <v>42.7</v>
      </c>
      <c r="F37" s="12">
        <v>24.4</v>
      </c>
      <c r="G37" s="13">
        <f>IFERROR(__xludf.DUMMYFUNCTION("if(counta(filter('Previous Rank'!$A$2:$A2766,'Previous Rank'!$B$2:$B2766=B37,'Previous Rank'!$C$2:$C2766=C37))=1,filter('Previous Rank'!$A$2:$A2766,'Previous Rank'!$B$2:$B2766=B37,'Previous Rank'!$C$2:$C2766=C37),"""")"),38.0)</f>
        <v>38</v>
      </c>
      <c r="H37" s="8">
        <f t="shared" si="1"/>
        <v>2</v>
      </c>
    </row>
    <row r="38">
      <c r="A38" s="10">
        <v>37.0</v>
      </c>
      <c r="B38" s="11" t="s">
        <v>74</v>
      </c>
      <c r="C38" s="10" t="s">
        <v>22</v>
      </c>
      <c r="D38" s="10" t="s">
        <v>31</v>
      </c>
      <c r="E38" s="14">
        <v>48.7</v>
      </c>
      <c r="F38" s="14">
        <v>22.1</v>
      </c>
      <c r="G38" s="13">
        <f>IFERROR(__xludf.DUMMYFUNCTION("if(counta(filter('Previous Rank'!$A$2:$A2766,'Previous Rank'!$B$2:$B2766=B38,'Previous Rank'!$C$2:$C2766=C38))=1,filter('Previous Rank'!$A$2:$A2766,'Previous Rank'!$B$2:$B2766=B38,'Previous Rank'!$C$2:$C2766=C38),"""")"),39.0)</f>
        <v>39</v>
      </c>
      <c r="H38" s="8">
        <f t="shared" si="1"/>
        <v>2</v>
      </c>
    </row>
    <row r="39">
      <c r="A39" s="10">
        <v>38.0</v>
      </c>
      <c r="B39" s="11" t="s">
        <v>75</v>
      </c>
      <c r="C39" s="10" t="s">
        <v>14</v>
      </c>
      <c r="D39" s="10" t="s">
        <v>36</v>
      </c>
      <c r="E39" s="12">
        <v>40.5</v>
      </c>
      <c r="F39" s="12">
        <v>23.5</v>
      </c>
      <c r="G39" s="13">
        <f>IFERROR(__xludf.DUMMYFUNCTION("if(counta(filter('Previous Rank'!$A$2:$A2766,'Previous Rank'!$B$2:$B2766=B39,'Previous Rank'!$C$2:$C2766=C39))=1,filter('Previous Rank'!$A$2:$A2766,'Previous Rank'!$B$2:$B2766=B39,'Previous Rank'!$C$2:$C2766=C39),"""")"),34.0)</f>
        <v>34</v>
      </c>
      <c r="H39" s="8">
        <f t="shared" si="1"/>
        <v>-4</v>
      </c>
    </row>
    <row r="40">
      <c r="A40" s="10">
        <v>39.0</v>
      </c>
      <c r="B40" s="11" t="s">
        <v>76</v>
      </c>
      <c r="C40" s="10" t="s">
        <v>77</v>
      </c>
      <c r="D40" s="10" t="s">
        <v>67</v>
      </c>
      <c r="E40" s="14">
        <v>35.1</v>
      </c>
      <c r="F40" s="14">
        <v>25.2</v>
      </c>
      <c r="G40" s="13">
        <f>IFERROR(__xludf.DUMMYFUNCTION("if(counta(filter('Previous Rank'!$A$2:$A2766,'Previous Rank'!$B$2:$B2766=B40,'Previous Rank'!$C$2:$C2766=C40))=1,filter('Previous Rank'!$A$2:$A2766,'Previous Rank'!$B$2:$B2766=B40,'Previous Rank'!$C$2:$C2766=C40),"""")"),42.0)</f>
        <v>42</v>
      </c>
      <c r="H40" s="8">
        <f t="shared" si="1"/>
        <v>3</v>
      </c>
    </row>
    <row r="41">
      <c r="A41" s="10">
        <v>40.0</v>
      </c>
      <c r="B41" s="11" t="s">
        <v>78</v>
      </c>
      <c r="C41" s="10" t="s">
        <v>79</v>
      </c>
      <c r="D41" s="10" t="s">
        <v>25</v>
      </c>
      <c r="E41" s="12">
        <v>40.2</v>
      </c>
      <c r="F41" s="12">
        <v>23.7</v>
      </c>
      <c r="G41" s="13">
        <f>IFERROR(__xludf.DUMMYFUNCTION("if(counta(filter('Previous Rank'!$A$2:$A2766,'Previous Rank'!$B$2:$B2766=B41,'Previous Rank'!$C$2:$C2766=C41))=1,filter('Previous Rank'!$A$2:$A2766,'Previous Rank'!$B$2:$B2766=B41,'Previous Rank'!$C$2:$C2766=C41),"""")"),60.0)</f>
        <v>60</v>
      </c>
      <c r="H41" s="8">
        <f t="shared" si="1"/>
        <v>20</v>
      </c>
    </row>
    <row r="42">
      <c r="A42" s="10">
        <v>41.0</v>
      </c>
      <c r="B42" s="11" t="s">
        <v>80</v>
      </c>
      <c r="C42" s="10" t="s">
        <v>17</v>
      </c>
      <c r="D42" s="10" t="s">
        <v>31</v>
      </c>
      <c r="E42" s="14">
        <v>49.7</v>
      </c>
      <c r="F42" s="14">
        <v>21.8</v>
      </c>
      <c r="G42" s="13">
        <f>IFERROR(__xludf.DUMMYFUNCTION("if(counta(filter('Previous Rank'!$A$2:$A2766,'Previous Rank'!$B$2:$B2766=B42,'Previous Rank'!$C$2:$C2766=C42))=1,filter('Previous Rank'!$A$2:$A2766,'Previous Rank'!$B$2:$B2766=B42,'Previous Rank'!$C$2:$C2766=C42),"""")"),44.0)</f>
        <v>44</v>
      </c>
      <c r="H42" s="8">
        <f t="shared" si="1"/>
        <v>3</v>
      </c>
    </row>
    <row r="43">
      <c r="A43" s="10">
        <v>42.0</v>
      </c>
      <c r="B43" s="11" t="s">
        <v>81</v>
      </c>
      <c r="C43" s="10" t="s">
        <v>20</v>
      </c>
      <c r="D43" s="10" t="s">
        <v>82</v>
      </c>
      <c r="E43" s="12">
        <v>47.0</v>
      </c>
      <c r="F43" s="12">
        <v>21.2</v>
      </c>
      <c r="G43" s="13">
        <f>IFERROR(__xludf.DUMMYFUNCTION("if(counta(filter('Previous Rank'!$A$2:$A2766,'Previous Rank'!$B$2:$B2766=B43,'Previous Rank'!$C$2:$C2766=C43))=1,filter('Previous Rank'!$A$2:$A2766,'Previous Rank'!$B$2:$B2766=B43,'Previous Rank'!$C$2:$C2766=C43),"""")"),48.0)</f>
        <v>48</v>
      </c>
      <c r="H43" s="8">
        <f t="shared" si="1"/>
        <v>6</v>
      </c>
    </row>
    <row r="44">
      <c r="A44" s="10">
        <v>43.0</v>
      </c>
      <c r="B44" s="11" t="s">
        <v>83</v>
      </c>
      <c r="C44" s="10" t="s">
        <v>79</v>
      </c>
      <c r="D44" s="10" t="s">
        <v>46</v>
      </c>
      <c r="E44" s="14">
        <v>45.3</v>
      </c>
      <c r="F44" s="14">
        <v>22.4</v>
      </c>
      <c r="G44" s="13">
        <f>IFERROR(__xludf.DUMMYFUNCTION("if(counta(filter('Previous Rank'!$A$2:$A2766,'Previous Rank'!$B$2:$B2766=B44,'Previous Rank'!$C$2:$C2766=C44))=1,filter('Previous Rank'!$A$2:$A2766,'Previous Rank'!$B$2:$B2766=B44,'Previous Rank'!$C$2:$C2766=C44),"""")"),68.0)</f>
        <v>68</v>
      </c>
      <c r="H44" s="8">
        <f t="shared" si="1"/>
        <v>25</v>
      </c>
    </row>
    <row r="45">
      <c r="A45" s="10">
        <v>44.0</v>
      </c>
      <c r="B45" s="11" t="s">
        <v>84</v>
      </c>
      <c r="C45" s="10" t="s">
        <v>22</v>
      </c>
      <c r="D45" s="10" t="s">
        <v>85</v>
      </c>
      <c r="E45" s="12">
        <v>56.2</v>
      </c>
      <c r="F45" s="12">
        <v>20.7</v>
      </c>
      <c r="G45" s="13">
        <f>IFERROR(__xludf.DUMMYFUNCTION("if(counta(filter('Previous Rank'!$A$2:$A2766,'Previous Rank'!$B$2:$B2766=B45,'Previous Rank'!$C$2:$C2766=C45))=1,filter('Previous Rank'!$A$2:$A2766,'Previous Rank'!$B$2:$B2766=B45,'Previous Rank'!$C$2:$C2766=C45),"""")"),45.0)</f>
        <v>45</v>
      </c>
      <c r="H45" s="8">
        <f t="shared" si="1"/>
        <v>1</v>
      </c>
    </row>
    <row r="46">
      <c r="A46" s="10">
        <v>45.0</v>
      </c>
      <c r="B46" s="11" t="s">
        <v>86</v>
      </c>
      <c r="C46" s="10" t="s">
        <v>87</v>
      </c>
      <c r="D46" s="10" t="s">
        <v>49</v>
      </c>
      <c r="E46" s="14">
        <v>43.1</v>
      </c>
      <c r="F46" s="14">
        <v>23.7</v>
      </c>
      <c r="G46" s="13">
        <f>IFERROR(__xludf.DUMMYFUNCTION("if(counta(filter('Previous Rank'!$A$2:$A2766,'Previous Rank'!$B$2:$B2766=B46,'Previous Rank'!$C$2:$C2766=C46))=1,filter('Previous Rank'!$A$2:$A2766,'Previous Rank'!$B$2:$B2766=B46,'Previous Rank'!$C$2:$C2766=C46),"""")"),40.0)</f>
        <v>40</v>
      </c>
      <c r="H46" s="8">
        <f t="shared" si="1"/>
        <v>-5</v>
      </c>
    </row>
    <row r="47">
      <c r="A47" s="10">
        <v>46.0</v>
      </c>
      <c r="B47" s="11" t="s">
        <v>88</v>
      </c>
      <c r="C47" s="10" t="s">
        <v>89</v>
      </c>
      <c r="D47" s="10" t="s">
        <v>90</v>
      </c>
      <c r="E47" s="12">
        <v>42.2</v>
      </c>
      <c r="F47" s="12">
        <v>23.0</v>
      </c>
      <c r="G47" s="13">
        <f>IFERROR(__xludf.DUMMYFUNCTION("if(counta(filter('Previous Rank'!$A$2:$A2766,'Previous Rank'!$B$2:$B2766=B47,'Previous Rank'!$C$2:$C2766=C47))=1,filter('Previous Rank'!$A$2:$A2766,'Previous Rank'!$B$2:$B2766=B47,'Previous Rank'!$C$2:$C2766=C47),"""")"),43.0)</f>
        <v>43</v>
      </c>
      <c r="H47" s="8">
        <f t="shared" si="1"/>
        <v>-3</v>
      </c>
    </row>
    <row r="48">
      <c r="A48" s="10">
        <v>47.0</v>
      </c>
      <c r="B48" s="11" t="s">
        <v>91</v>
      </c>
      <c r="C48" s="10" t="s">
        <v>69</v>
      </c>
      <c r="D48" s="10" t="s">
        <v>90</v>
      </c>
      <c r="E48" s="14">
        <v>53.5</v>
      </c>
      <c r="F48" s="14">
        <v>21.4</v>
      </c>
      <c r="G48" s="13">
        <f>IFERROR(__xludf.DUMMYFUNCTION("if(counta(filter('Previous Rank'!$A$2:$A2766,'Previous Rank'!$B$2:$B2766=B48,'Previous Rank'!$C$2:$C2766=C48))=1,filter('Previous Rank'!$A$2:$A2766,'Previous Rank'!$B$2:$B2766=B48,'Previous Rank'!$C$2:$C2766=C48),"""")"),47.0)</f>
        <v>47</v>
      </c>
      <c r="H48" s="8">
        <f t="shared" si="1"/>
        <v>0</v>
      </c>
    </row>
    <row r="49">
      <c r="A49" s="10">
        <v>48.0</v>
      </c>
      <c r="B49" s="11" t="s">
        <v>92</v>
      </c>
      <c r="C49" s="10" t="s">
        <v>48</v>
      </c>
      <c r="D49" s="10" t="s">
        <v>27</v>
      </c>
      <c r="E49" s="12">
        <v>57.1</v>
      </c>
      <c r="F49" s="12">
        <v>20.0</v>
      </c>
      <c r="G49" s="13">
        <f>IFERROR(__xludf.DUMMYFUNCTION("if(counta(filter('Previous Rank'!$A$2:$A2766,'Previous Rank'!$B$2:$B2766=B49,'Previous Rank'!$C$2:$C2766=C49))=1,filter('Previous Rank'!$A$2:$A2766,'Previous Rank'!$B$2:$B2766=B49,'Previous Rank'!$C$2:$C2766=C49),"""")"),54.0)</f>
        <v>54</v>
      </c>
      <c r="H49" s="8">
        <f t="shared" si="1"/>
        <v>6</v>
      </c>
    </row>
    <row r="50">
      <c r="A50" s="10">
        <v>49.0</v>
      </c>
      <c r="B50" s="11" t="s">
        <v>93</v>
      </c>
      <c r="C50" s="10" t="s">
        <v>39</v>
      </c>
      <c r="D50" s="10" t="s">
        <v>15</v>
      </c>
      <c r="E50" s="14">
        <v>61.3</v>
      </c>
      <c r="F50" s="14">
        <v>19.8</v>
      </c>
      <c r="G50" s="13">
        <f>IFERROR(__xludf.DUMMYFUNCTION("if(counta(filter('Previous Rank'!$A$2:$A2766,'Previous Rank'!$B$2:$B2766=B50,'Previous Rank'!$C$2:$C2766=C50))=1,filter('Previous Rank'!$A$2:$A2766,'Previous Rank'!$B$2:$B2766=B50,'Previous Rank'!$C$2:$C2766=C50),"""")"),58.0)</f>
        <v>58</v>
      </c>
      <c r="H50" s="8">
        <f t="shared" si="1"/>
        <v>9</v>
      </c>
    </row>
    <row r="51">
      <c r="A51" s="10">
        <v>50.0</v>
      </c>
      <c r="B51" s="11" t="s">
        <v>94</v>
      </c>
      <c r="C51" s="10" t="s">
        <v>22</v>
      </c>
      <c r="D51" s="10" t="s">
        <v>95</v>
      </c>
      <c r="E51" s="12">
        <v>53.3</v>
      </c>
      <c r="F51" s="12">
        <v>20.8</v>
      </c>
      <c r="G51" s="13" t="str">
        <f>IFERROR(__xludf.DUMMYFUNCTION("if(counta(filter('Previous Rank'!$A$2:$A2766,'Previous Rank'!$B$2:$B2766=B51,'Previous Rank'!$C$2:$C2766=C51))=1,filter('Previous Rank'!$A$2:$A2766,'Previous Rank'!$B$2:$B2766=B51,'Previous Rank'!$C$2:$C2766=C51),"""")"),"")</f>
        <v/>
      </c>
      <c r="H51" s="8" t="str">
        <f t="shared" si="1"/>
        <v/>
      </c>
    </row>
    <row r="52">
      <c r="A52" s="10">
        <v>51.0</v>
      </c>
      <c r="B52" s="11" t="s">
        <v>96</v>
      </c>
      <c r="C52" s="10" t="s">
        <v>89</v>
      </c>
      <c r="D52" s="10" t="s">
        <v>67</v>
      </c>
      <c r="E52" s="14">
        <v>69.9</v>
      </c>
      <c r="F52" s="14">
        <v>19.4</v>
      </c>
      <c r="G52" s="13">
        <f>IFERROR(__xludf.DUMMYFUNCTION("if(counta(filter('Previous Rank'!$A$2:$A2766,'Previous Rank'!$B$2:$B2766=B52,'Previous Rank'!$C$2:$C2766=C52))=1,filter('Previous Rank'!$A$2:$A2766,'Previous Rank'!$B$2:$B2766=B52,'Previous Rank'!$C$2:$C2766=C52),"""")"),70.0)</f>
        <v>70</v>
      </c>
      <c r="H52" s="8">
        <f t="shared" si="1"/>
        <v>19</v>
      </c>
    </row>
    <row r="53">
      <c r="A53" s="10">
        <v>52.0</v>
      </c>
      <c r="B53" s="11" t="s">
        <v>97</v>
      </c>
      <c r="C53" s="10" t="s">
        <v>55</v>
      </c>
      <c r="D53" s="10" t="s">
        <v>46</v>
      </c>
      <c r="E53" s="12">
        <v>51.3</v>
      </c>
      <c r="F53" s="12">
        <v>21.7</v>
      </c>
      <c r="G53" s="13">
        <f>IFERROR(__xludf.DUMMYFUNCTION("if(counta(filter('Previous Rank'!$A$2:$A2766,'Previous Rank'!$B$2:$B2766=B53,'Previous Rank'!$C$2:$C2766=C53))=1,filter('Previous Rank'!$A$2:$A2766,'Previous Rank'!$B$2:$B2766=B53,'Previous Rank'!$C$2:$C2766=C53),"""")"),46.0)</f>
        <v>46</v>
      </c>
      <c r="H53" s="8">
        <f t="shared" si="1"/>
        <v>-6</v>
      </c>
    </row>
    <row r="54">
      <c r="A54" s="10">
        <v>53.0</v>
      </c>
      <c r="B54" s="11" t="s">
        <v>98</v>
      </c>
      <c r="C54" s="10" t="s">
        <v>39</v>
      </c>
      <c r="D54" s="10" t="s">
        <v>99</v>
      </c>
      <c r="E54" s="14">
        <v>65.6</v>
      </c>
      <c r="F54" s="14">
        <v>20.3</v>
      </c>
      <c r="G54" s="13">
        <f>IFERROR(__xludf.DUMMYFUNCTION("if(counta(filter('Previous Rank'!$A$2:$A2766,'Previous Rank'!$B$2:$B2766=B54,'Previous Rank'!$C$2:$C2766=C54))=1,filter('Previous Rank'!$A$2:$A2766,'Previous Rank'!$B$2:$B2766=B54,'Previous Rank'!$C$2:$C2766=C54),"""")"),56.0)</f>
        <v>56</v>
      </c>
      <c r="H54" s="8">
        <f t="shared" si="1"/>
        <v>3</v>
      </c>
    </row>
    <row r="55">
      <c r="A55" s="10">
        <v>54.0</v>
      </c>
      <c r="B55" s="11" t="s">
        <v>100</v>
      </c>
      <c r="C55" s="10" t="s">
        <v>22</v>
      </c>
      <c r="D55" s="10" t="s">
        <v>25</v>
      </c>
      <c r="E55" s="12">
        <v>66.4</v>
      </c>
      <c r="F55" s="12">
        <v>19.8</v>
      </c>
      <c r="G55" s="13">
        <f>IFERROR(__xludf.DUMMYFUNCTION("if(counta(filter('Previous Rank'!$A$2:$A2766,'Previous Rank'!$B$2:$B2766=B55,'Previous Rank'!$C$2:$C2766=C55))=1,filter('Previous Rank'!$A$2:$A2766,'Previous Rank'!$B$2:$B2766=B55,'Previous Rank'!$C$2:$C2766=C55),"""")"),71.0)</f>
        <v>71</v>
      </c>
      <c r="H55" s="8">
        <f t="shared" si="1"/>
        <v>17</v>
      </c>
    </row>
    <row r="56">
      <c r="A56" s="10">
        <v>55.0</v>
      </c>
      <c r="B56" s="11" t="s">
        <v>101</v>
      </c>
      <c r="C56" s="10" t="s">
        <v>22</v>
      </c>
      <c r="D56" s="10" t="s">
        <v>31</v>
      </c>
      <c r="E56" s="14">
        <v>30.7</v>
      </c>
      <c r="F56" s="14">
        <v>28.0</v>
      </c>
      <c r="G56" s="13">
        <f>IFERROR(__xludf.DUMMYFUNCTION("if(counta(filter('Previous Rank'!$A$2:$A2766,'Previous Rank'!$B$2:$B2766=B56,'Previous Rank'!$C$2:$C2766=C56))=1,filter('Previous Rank'!$A$2:$A2766,'Previous Rank'!$B$2:$B2766=B56,'Previous Rank'!$C$2:$C2766=C56),"""")"),25.0)</f>
        <v>25</v>
      </c>
      <c r="H56" s="8">
        <f t="shared" si="1"/>
        <v>-30</v>
      </c>
    </row>
    <row r="57">
      <c r="A57" s="10">
        <v>56.0</v>
      </c>
      <c r="B57" s="11" t="s">
        <v>102</v>
      </c>
      <c r="C57" s="10" t="s">
        <v>20</v>
      </c>
      <c r="D57" s="10" t="s">
        <v>36</v>
      </c>
      <c r="E57" s="12">
        <v>56.2</v>
      </c>
      <c r="F57" s="12">
        <v>20.0</v>
      </c>
      <c r="G57" s="13">
        <f>IFERROR(__xludf.DUMMYFUNCTION("if(counta(filter('Previous Rank'!$A$2:$A2766,'Previous Rank'!$B$2:$B2766=B57,'Previous Rank'!$C$2:$C2766=C57))=1,filter('Previous Rank'!$A$2:$A2766,'Previous Rank'!$B$2:$B2766=B57,'Previous Rank'!$C$2:$C2766=C57),"""")"),67.0)</f>
        <v>67</v>
      </c>
      <c r="H57" s="8">
        <f t="shared" si="1"/>
        <v>11</v>
      </c>
    </row>
    <row r="58">
      <c r="A58" s="10">
        <v>57.0</v>
      </c>
      <c r="B58" s="11" t="s">
        <v>103</v>
      </c>
      <c r="C58" s="10" t="s">
        <v>104</v>
      </c>
      <c r="D58" s="10" t="s">
        <v>105</v>
      </c>
      <c r="E58" s="14">
        <v>76.1</v>
      </c>
      <c r="F58" s="14">
        <v>16.6</v>
      </c>
      <c r="G58" s="13">
        <f>IFERROR(__xludf.DUMMYFUNCTION("if(counta(filter('Previous Rank'!$A$2:$A2766,'Previous Rank'!$B$2:$B2766=B58,'Previous Rank'!$C$2:$C2766=C58))=1,filter('Previous Rank'!$A$2:$A2766,'Previous Rank'!$B$2:$B2766=B58,'Previous Rank'!$C$2:$C2766=C58),"""")"),82.0)</f>
        <v>82</v>
      </c>
      <c r="H58" s="8">
        <f t="shared" si="1"/>
        <v>25</v>
      </c>
    </row>
    <row r="59">
      <c r="A59" s="10">
        <v>58.0</v>
      </c>
      <c r="B59" s="11" t="s">
        <v>106</v>
      </c>
      <c r="C59" s="10" t="s">
        <v>20</v>
      </c>
      <c r="D59" s="10" t="s">
        <v>46</v>
      </c>
      <c r="E59" s="12">
        <v>60.0</v>
      </c>
      <c r="F59" s="12">
        <v>19.7</v>
      </c>
      <c r="G59" s="13">
        <f>IFERROR(__xludf.DUMMYFUNCTION("if(counta(filter('Previous Rank'!$A$2:$A2766,'Previous Rank'!$B$2:$B2766=B59,'Previous Rank'!$C$2:$C2766=C59))=1,filter('Previous Rank'!$A$2:$A2766,'Previous Rank'!$B$2:$B2766=B59,'Previous Rank'!$C$2:$C2766=C59),"""")"),63.0)</f>
        <v>63</v>
      </c>
      <c r="H59" s="8">
        <f t="shared" si="1"/>
        <v>5</v>
      </c>
    </row>
    <row r="60">
      <c r="A60" s="10">
        <v>59.0</v>
      </c>
      <c r="B60" s="11" t="s">
        <v>107</v>
      </c>
      <c r="C60" s="10" t="s">
        <v>22</v>
      </c>
      <c r="D60" s="10" t="s">
        <v>46</v>
      </c>
      <c r="E60" s="14">
        <v>54.5</v>
      </c>
      <c r="F60" s="14">
        <v>21.3</v>
      </c>
      <c r="G60" s="13">
        <f>IFERROR(__xludf.DUMMYFUNCTION("if(counta(filter('Previous Rank'!$A$2:$A2766,'Previous Rank'!$B$2:$B2766=B60,'Previous Rank'!$C$2:$C2766=C60))=1,filter('Previous Rank'!$A$2:$A2766,'Previous Rank'!$B$2:$B2766=B60,'Previous Rank'!$C$2:$C2766=C60),"""")"),49.0)</f>
        <v>49</v>
      </c>
      <c r="H60" s="8">
        <f t="shared" si="1"/>
        <v>-10</v>
      </c>
    </row>
    <row r="61">
      <c r="A61" s="10">
        <v>60.0</v>
      </c>
      <c r="B61" s="11" t="s">
        <v>108</v>
      </c>
      <c r="C61" s="10" t="s">
        <v>69</v>
      </c>
      <c r="D61" s="10" t="s">
        <v>42</v>
      </c>
      <c r="E61" s="12">
        <v>58.8</v>
      </c>
      <c r="F61" s="12">
        <v>20.1</v>
      </c>
      <c r="G61" s="13">
        <f>IFERROR(__xludf.DUMMYFUNCTION("if(counta(filter('Previous Rank'!$A$2:$A2766,'Previous Rank'!$B$2:$B2766=B61,'Previous Rank'!$C$2:$C2766=C61))=1,filter('Previous Rank'!$A$2:$A2766,'Previous Rank'!$B$2:$B2766=B61,'Previous Rank'!$C$2:$C2766=C61),"""")"),55.0)</f>
        <v>55</v>
      </c>
      <c r="H61" s="8">
        <f t="shared" si="1"/>
        <v>-5</v>
      </c>
    </row>
    <row r="62">
      <c r="A62" s="10">
        <v>61.0</v>
      </c>
      <c r="B62" s="11" t="s">
        <v>109</v>
      </c>
      <c r="C62" s="10" t="s">
        <v>55</v>
      </c>
      <c r="D62" s="10" t="s">
        <v>82</v>
      </c>
      <c r="E62" s="14">
        <v>77.5</v>
      </c>
      <c r="F62" s="14">
        <v>17.8</v>
      </c>
      <c r="G62" s="13">
        <f>IFERROR(__xludf.DUMMYFUNCTION("if(counta(filter('Previous Rank'!$A$2:$A2766,'Previous Rank'!$B$2:$B2766=B62,'Previous Rank'!$C$2:$C2766=C62))=1,filter('Previous Rank'!$A$2:$A2766,'Previous Rank'!$B$2:$B2766=B62,'Previous Rank'!$C$2:$C2766=C62),"""")"),66.0)</f>
        <v>66</v>
      </c>
      <c r="H62" s="8">
        <f t="shared" si="1"/>
        <v>5</v>
      </c>
    </row>
    <row r="63">
      <c r="A63" s="10">
        <v>62.0</v>
      </c>
      <c r="B63" s="11" t="s">
        <v>110</v>
      </c>
      <c r="C63" s="10" t="s">
        <v>22</v>
      </c>
      <c r="D63" s="10" t="s">
        <v>15</v>
      </c>
      <c r="E63" s="12">
        <v>64.8</v>
      </c>
      <c r="F63" s="12">
        <v>19.1</v>
      </c>
      <c r="G63" s="13">
        <f>IFERROR(__xludf.DUMMYFUNCTION("if(counta(filter('Previous Rank'!$A$2:$A2766,'Previous Rank'!$B$2:$B2766=B63,'Previous Rank'!$C$2:$C2766=C63))=1,filter('Previous Rank'!$A$2:$A2766,'Previous Rank'!$B$2:$B2766=B63,'Previous Rank'!$C$2:$C2766=C63),"""")"),57.0)</f>
        <v>57</v>
      </c>
      <c r="H63" s="8">
        <f t="shared" si="1"/>
        <v>-5</v>
      </c>
    </row>
    <row r="64">
      <c r="A64" s="10">
        <v>63.0</v>
      </c>
      <c r="B64" s="11" t="s">
        <v>111</v>
      </c>
      <c r="C64" s="10" t="s">
        <v>22</v>
      </c>
      <c r="D64" s="10" t="s">
        <v>15</v>
      </c>
      <c r="E64" s="14">
        <v>74.2</v>
      </c>
      <c r="F64" s="14">
        <v>17.6</v>
      </c>
      <c r="G64" s="13">
        <f>IFERROR(__xludf.DUMMYFUNCTION("if(counta(filter('Previous Rank'!$A$2:$A2766,'Previous Rank'!$B$2:$B2766=B64,'Previous Rank'!$C$2:$C2766=C64))=1,filter('Previous Rank'!$A$2:$A2766,'Previous Rank'!$B$2:$B2766=B64,'Previous Rank'!$C$2:$C2766=C64),"""")"),65.0)</f>
        <v>65</v>
      </c>
      <c r="H64" s="8">
        <f t="shared" si="1"/>
        <v>2</v>
      </c>
    </row>
    <row r="65">
      <c r="A65" s="10">
        <v>64.0</v>
      </c>
      <c r="B65" s="11" t="s">
        <v>112</v>
      </c>
      <c r="C65" s="10" t="s">
        <v>8</v>
      </c>
      <c r="D65" s="10" t="s">
        <v>113</v>
      </c>
      <c r="E65" s="12">
        <v>62.5</v>
      </c>
      <c r="F65" s="12">
        <v>19.3</v>
      </c>
      <c r="G65" s="13">
        <f>IFERROR(__xludf.DUMMYFUNCTION("if(counta(filter('Previous Rank'!$A$2:$A2766,'Previous Rank'!$B$2:$B2766=B65,'Previous Rank'!$C$2:$C2766=C65))=1,filter('Previous Rank'!$A$2:$A2766,'Previous Rank'!$B$2:$B2766=B65,'Previous Rank'!$C$2:$C2766=C65),"""")"),61.0)</f>
        <v>61</v>
      </c>
      <c r="H65" s="8">
        <f t="shared" si="1"/>
        <v>-3</v>
      </c>
    </row>
    <row r="66">
      <c r="A66" s="10">
        <v>65.0</v>
      </c>
      <c r="B66" s="11" t="s">
        <v>114</v>
      </c>
      <c r="C66" s="10" t="s">
        <v>22</v>
      </c>
      <c r="D66" s="10" t="s">
        <v>52</v>
      </c>
      <c r="E66" s="14">
        <v>91.8</v>
      </c>
      <c r="F66" s="14">
        <v>14.8</v>
      </c>
      <c r="G66" s="13">
        <f>IFERROR(__xludf.DUMMYFUNCTION("if(counta(filter('Previous Rank'!$A$2:$A2766,'Previous Rank'!$B$2:$B2766=B66,'Previous Rank'!$C$2:$C2766=C66))=1,filter('Previous Rank'!$A$2:$A2766,'Previous Rank'!$B$2:$B2766=B66,'Previous Rank'!$C$2:$C2766=C66),"""")"),81.0)</f>
        <v>81</v>
      </c>
      <c r="H66" s="8">
        <f t="shared" si="1"/>
        <v>16</v>
      </c>
    </row>
    <row r="67">
      <c r="A67" s="10">
        <v>66.0</v>
      </c>
      <c r="B67" s="11" t="s">
        <v>115</v>
      </c>
      <c r="C67" s="10" t="s">
        <v>11</v>
      </c>
      <c r="D67" s="10" t="s">
        <v>82</v>
      </c>
      <c r="E67" s="12">
        <v>49.1</v>
      </c>
      <c r="F67" s="12">
        <v>21.4</v>
      </c>
      <c r="G67" s="13">
        <f>IFERROR(__xludf.DUMMYFUNCTION("if(counta(filter('Previous Rank'!$A$2:$A2766,'Previous Rank'!$B$2:$B2766=B67,'Previous Rank'!$C$2:$C2766=C67))=1,filter('Previous Rank'!$A$2:$A2766,'Previous Rank'!$B$2:$B2766=B67,'Previous Rank'!$C$2:$C2766=C67),"""")"),52.0)</f>
        <v>52</v>
      </c>
      <c r="H67" s="8">
        <f t="shared" si="1"/>
        <v>-14</v>
      </c>
    </row>
    <row r="68">
      <c r="A68" s="10">
        <v>67.0</v>
      </c>
      <c r="B68" s="11" t="s">
        <v>116</v>
      </c>
      <c r="C68" s="10" t="s">
        <v>8</v>
      </c>
      <c r="D68" s="10" t="s">
        <v>85</v>
      </c>
      <c r="E68" s="14">
        <v>85.6</v>
      </c>
      <c r="F68" s="14">
        <v>15.2</v>
      </c>
      <c r="G68" s="13">
        <f>IFERROR(__xludf.DUMMYFUNCTION("if(counta(filter('Previous Rank'!$A$2:$A2766,'Previous Rank'!$B$2:$B2766=B68,'Previous Rank'!$C$2:$C2766=C68))=1,filter('Previous Rank'!$A$2:$A2766,'Previous Rank'!$B$2:$B2766=B68,'Previous Rank'!$C$2:$C2766=C68),"""")"),76.0)</f>
        <v>76</v>
      </c>
      <c r="H68" s="8">
        <f t="shared" si="1"/>
        <v>9</v>
      </c>
    </row>
    <row r="69">
      <c r="A69" s="10">
        <v>68.0</v>
      </c>
      <c r="B69" s="11" t="s">
        <v>117</v>
      </c>
      <c r="C69" s="10" t="s">
        <v>14</v>
      </c>
      <c r="D69" s="10" t="s">
        <v>71</v>
      </c>
      <c r="E69" s="12">
        <v>66.9</v>
      </c>
      <c r="F69" s="12">
        <v>18.3</v>
      </c>
      <c r="G69" s="13">
        <f>IFERROR(__xludf.DUMMYFUNCTION("if(counta(filter('Previous Rank'!$A$2:$A2766,'Previous Rank'!$B$2:$B2766=B69,'Previous Rank'!$C$2:$C2766=C69))=1,filter('Previous Rank'!$A$2:$A2766,'Previous Rank'!$B$2:$B2766=B69,'Previous Rank'!$C$2:$C2766=C69),"""")"),62.0)</f>
        <v>62</v>
      </c>
      <c r="H69" s="8">
        <f t="shared" si="1"/>
        <v>-6</v>
      </c>
    </row>
    <row r="70">
      <c r="A70" s="10">
        <v>69.0</v>
      </c>
      <c r="B70" s="11" t="s">
        <v>118</v>
      </c>
      <c r="C70" s="10" t="s">
        <v>22</v>
      </c>
      <c r="D70" s="10" t="s">
        <v>49</v>
      </c>
      <c r="E70" s="14">
        <v>88.6</v>
      </c>
      <c r="F70" s="14">
        <v>14.1</v>
      </c>
      <c r="G70" s="13">
        <f>IFERROR(__xludf.DUMMYFUNCTION("if(counta(filter('Previous Rank'!$A$2:$A2766,'Previous Rank'!$B$2:$B2766=B70,'Previous Rank'!$C$2:$C2766=C70))=1,filter('Previous Rank'!$A$2:$A2766,'Previous Rank'!$B$2:$B2766=B70,'Previous Rank'!$C$2:$C2766=C70),"""")"),75.0)</f>
        <v>75</v>
      </c>
      <c r="H70" s="8">
        <f t="shared" si="1"/>
        <v>6</v>
      </c>
    </row>
    <row r="71">
      <c r="A71" s="10">
        <v>70.0</v>
      </c>
      <c r="B71" s="11" t="s">
        <v>119</v>
      </c>
      <c r="C71" s="10" t="s">
        <v>22</v>
      </c>
      <c r="D71" s="10" t="s">
        <v>120</v>
      </c>
      <c r="E71" s="12">
        <v>91.3</v>
      </c>
      <c r="F71" s="12">
        <v>14.2</v>
      </c>
      <c r="G71" s="13">
        <f>IFERROR(__xludf.DUMMYFUNCTION("if(counta(filter('Previous Rank'!$A$2:$A2766,'Previous Rank'!$B$2:$B2766=B71,'Previous Rank'!$C$2:$C2766=C71))=1,filter('Previous Rank'!$A$2:$A2766,'Previous Rank'!$B$2:$B2766=B71,'Previous Rank'!$C$2:$C2766=C71),"""")"),79.0)</f>
        <v>79</v>
      </c>
      <c r="H71" s="8">
        <f t="shared" si="1"/>
        <v>9</v>
      </c>
    </row>
    <row r="72">
      <c r="A72" s="10">
        <v>71.0</v>
      </c>
      <c r="B72" s="11" t="s">
        <v>121</v>
      </c>
      <c r="C72" s="10" t="s">
        <v>22</v>
      </c>
      <c r="D72" s="10" t="s">
        <v>122</v>
      </c>
      <c r="E72" s="14">
        <v>99.9</v>
      </c>
      <c r="F72" s="14">
        <v>12.8</v>
      </c>
      <c r="G72" s="13">
        <f>IFERROR(__xludf.DUMMYFUNCTION("if(counta(filter('Previous Rank'!$A$2:$A2766,'Previous Rank'!$B$2:$B2766=B72,'Previous Rank'!$C$2:$C2766=C72))=1,filter('Previous Rank'!$A$2:$A2766,'Previous Rank'!$B$2:$B2766=B72,'Previous Rank'!$C$2:$C2766=C72),"""")"),85.0)</f>
        <v>85</v>
      </c>
      <c r="H72" s="8">
        <f t="shared" si="1"/>
        <v>14</v>
      </c>
    </row>
    <row r="73">
      <c r="A73" s="10">
        <v>72.0</v>
      </c>
      <c r="B73" s="11" t="s">
        <v>123</v>
      </c>
      <c r="C73" s="10" t="s">
        <v>69</v>
      </c>
      <c r="D73" s="10" t="s">
        <v>23</v>
      </c>
      <c r="E73" s="12">
        <v>71.5</v>
      </c>
      <c r="F73" s="12">
        <v>17.8</v>
      </c>
      <c r="G73" s="13">
        <f>IFERROR(__xludf.DUMMYFUNCTION("if(counta(filter('Previous Rank'!$A$2:$A2766,'Previous Rank'!$B$2:$B2766=B73,'Previous Rank'!$C$2:$C2766=C73))=1,filter('Previous Rank'!$A$2:$A2766,'Previous Rank'!$B$2:$B2766=B73,'Previous Rank'!$C$2:$C2766=C73),"""")"),69.0)</f>
        <v>69</v>
      </c>
      <c r="H73" s="8">
        <f t="shared" si="1"/>
        <v>-3</v>
      </c>
    </row>
    <row r="74">
      <c r="A74" s="10">
        <v>73.0</v>
      </c>
      <c r="B74" s="11" t="s">
        <v>124</v>
      </c>
      <c r="C74" s="10" t="s">
        <v>11</v>
      </c>
      <c r="D74" s="10" t="s">
        <v>27</v>
      </c>
      <c r="E74" s="14">
        <v>58.6</v>
      </c>
      <c r="F74" s="14">
        <v>20.1</v>
      </c>
      <c r="G74" s="13">
        <f>IFERROR(__xludf.DUMMYFUNCTION("if(counta(filter('Previous Rank'!$A$2:$A2766,'Previous Rank'!$B$2:$B2766=B74,'Previous Rank'!$C$2:$C2766=C74))=1,filter('Previous Rank'!$A$2:$A2766,'Previous Rank'!$B$2:$B2766=B74,'Previous Rank'!$C$2:$C2766=C74),"""")"),50.0)</f>
        <v>50</v>
      </c>
      <c r="H74" s="8">
        <f t="shared" si="1"/>
        <v>-23</v>
      </c>
    </row>
    <row r="75">
      <c r="A75" s="10">
        <v>74.0</v>
      </c>
      <c r="B75" s="11" t="s">
        <v>125</v>
      </c>
      <c r="C75" s="10" t="s">
        <v>126</v>
      </c>
      <c r="D75" s="10" t="s">
        <v>90</v>
      </c>
      <c r="E75" s="12">
        <v>76.6</v>
      </c>
      <c r="F75" s="12">
        <v>16.7</v>
      </c>
      <c r="G75" s="13">
        <f>IFERROR(__xludf.DUMMYFUNCTION("if(counta(filter('Previous Rank'!$A$2:$A2766,'Previous Rank'!$B$2:$B2766=B75,'Previous Rank'!$C$2:$C2766=C75))=1,filter('Previous Rank'!$A$2:$A2766,'Previous Rank'!$B$2:$B2766=B75,'Previous Rank'!$C$2:$C2766=C75),"""")"),78.0)</f>
        <v>78</v>
      </c>
      <c r="H75" s="8">
        <f t="shared" si="1"/>
        <v>4</v>
      </c>
    </row>
    <row r="76">
      <c r="A76" s="10">
        <v>75.0</v>
      </c>
      <c r="B76" s="11" t="s">
        <v>127</v>
      </c>
      <c r="C76" s="10" t="s">
        <v>22</v>
      </c>
      <c r="D76" s="10" t="s">
        <v>46</v>
      </c>
      <c r="E76" s="14">
        <v>112.4</v>
      </c>
      <c r="F76" s="14">
        <v>11.4</v>
      </c>
      <c r="G76" s="13">
        <f>IFERROR(__xludf.DUMMYFUNCTION("if(counta(filter('Previous Rank'!$A$2:$A2766,'Previous Rank'!$B$2:$B2766=B76,'Previous Rank'!$C$2:$C2766=C76))=1,filter('Previous Rank'!$A$2:$A2766,'Previous Rank'!$B$2:$B2766=B76,'Previous Rank'!$C$2:$C2766=C76),"""")"),100.0)</f>
        <v>100</v>
      </c>
      <c r="H76" s="8">
        <f t="shared" si="1"/>
        <v>25</v>
      </c>
    </row>
    <row r="77">
      <c r="A77" s="10">
        <v>76.0</v>
      </c>
      <c r="B77" s="11" t="s">
        <v>128</v>
      </c>
      <c r="C77" s="10" t="s">
        <v>48</v>
      </c>
      <c r="D77" s="10" t="s">
        <v>129</v>
      </c>
      <c r="E77" s="12">
        <v>89.3</v>
      </c>
      <c r="F77" s="12">
        <v>15.0</v>
      </c>
      <c r="G77" s="13">
        <f>IFERROR(__xludf.DUMMYFUNCTION("if(counta(filter('Previous Rank'!$A$2:$A2766,'Previous Rank'!$B$2:$B2766=B77,'Previous Rank'!$C$2:$C2766=C77))=1,filter('Previous Rank'!$A$2:$A2766,'Previous Rank'!$B$2:$B2766=B77,'Previous Rank'!$C$2:$C2766=C77),"""")"),80.0)</f>
        <v>80</v>
      </c>
      <c r="H77" s="8">
        <f t="shared" si="1"/>
        <v>4</v>
      </c>
    </row>
    <row r="78">
      <c r="A78" s="10">
        <v>77.0</v>
      </c>
      <c r="B78" s="11" t="s">
        <v>130</v>
      </c>
      <c r="C78" s="10" t="s">
        <v>77</v>
      </c>
      <c r="D78" s="10" t="s">
        <v>9</v>
      </c>
      <c r="E78" s="14">
        <v>80.4</v>
      </c>
      <c r="F78" s="14">
        <v>15.1</v>
      </c>
      <c r="G78" s="13">
        <f>IFERROR(__xludf.DUMMYFUNCTION("if(counta(filter('Previous Rank'!$A$2:$A2766,'Previous Rank'!$B$2:$B2766=B78,'Previous Rank'!$C$2:$C2766=C78))=1,filter('Previous Rank'!$A$2:$A2766,'Previous Rank'!$B$2:$B2766=B78,'Previous Rank'!$C$2:$C2766=C78),"""")"),84.0)</f>
        <v>84</v>
      </c>
      <c r="H78" s="8">
        <f t="shared" si="1"/>
        <v>7</v>
      </c>
    </row>
    <row r="79">
      <c r="A79" s="10">
        <v>78.0</v>
      </c>
      <c r="B79" s="11" t="s">
        <v>131</v>
      </c>
      <c r="C79" s="10" t="s">
        <v>22</v>
      </c>
      <c r="D79" s="10" t="s">
        <v>49</v>
      </c>
      <c r="E79" s="12">
        <v>67.6</v>
      </c>
      <c r="F79" s="12">
        <v>17.8</v>
      </c>
      <c r="G79" s="13">
        <f>IFERROR(__xludf.DUMMYFUNCTION("if(counta(filter('Previous Rank'!$A$2:$A2766,'Previous Rank'!$B$2:$B2766=B79,'Previous Rank'!$C$2:$C2766=C79))=1,filter('Previous Rank'!$A$2:$A2766,'Previous Rank'!$B$2:$B2766=B79,'Previous Rank'!$C$2:$C2766=C79),"""")"),73.0)</f>
        <v>73</v>
      </c>
      <c r="H79" s="8">
        <f t="shared" si="1"/>
        <v>-5</v>
      </c>
    </row>
    <row r="80">
      <c r="A80" s="10">
        <v>79.0</v>
      </c>
      <c r="B80" s="11" t="s">
        <v>132</v>
      </c>
      <c r="C80" s="10" t="s">
        <v>22</v>
      </c>
      <c r="D80" s="10" t="s">
        <v>52</v>
      </c>
      <c r="E80" s="14">
        <v>94.4</v>
      </c>
      <c r="F80" s="14">
        <v>13.8</v>
      </c>
      <c r="G80" s="13">
        <f>IFERROR(__xludf.DUMMYFUNCTION("if(counta(filter('Previous Rank'!$A$2:$A2766,'Previous Rank'!$B$2:$B2766=B80,'Previous Rank'!$C$2:$C2766=C80))=1,filter('Previous Rank'!$A$2:$A2766,'Previous Rank'!$B$2:$B2766=B80,'Previous Rank'!$C$2:$C2766=C80),"""")"),86.0)</f>
        <v>86</v>
      </c>
      <c r="H80" s="8">
        <f t="shared" si="1"/>
        <v>7</v>
      </c>
    </row>
    <row r="81">
      <c r="A81" s="10">
        <v>80.0</v>
      </c>
      <c r="B81" s="11" t="s">
        <v>133</v>
      </c>
      <c r="C81" s="10" t="s">
        <v>79</v>
      </c>
      <c r="D81" s="10" t="s">
        <v>34</v>
      </c>
      <c r="E81" s="12">
        <v>79.3</v>
      </c>
      <c r="F81" s="12">
        <v>15.0</v>
      </c>
      <c r="G81" s="13">
        <f>IFERROR(__xludf.DUMMYFUNCTION("if(counta(filter('Previous Rank'!$A$2:$A2766,'Previous Rank'!$B$2:$B2766=B81,'Previous Rank'!$C$2:$C2766=C81))=1,filter('Previous Rank'!$A$2:$A2766,'Previous Rank'!$B$2:$B2766=B81,'Previous Rank'!$C$2:$C2766=C81),"""")"),97.0)</f>
        <v>97</v>
      </c>
      <c r="H81" s="8">
        <f t="shared" si="1"/>
        <v>17</v>
      </c>
    </row>
    <row r="82">
      <c r="A82" s="10">
        <v>81.0</v>
      </c>
      <c r="B82" s="11" t="s">
        <v>134</v>
      </c>
      <c r="C82" s="10" t="s">
        <v>22</v>
      </c>
      <c r="D82" s="10" t="s">
        <v>122</v>
      </c>
      <c r="E82" s="14">
        <v>91.0</v>
      </c>
      <c r="F82" s="14">
        <v>14.3</v>
      </c>
      <c r="G82" s="13">
        <f>IFERROR(__xludf.DUMMYFUNCTION("if(counta(filter('Previous Rank'!$A$2:$A2766,'Previous Rank'!$B$2:$B2766=B82,'Previous Rank'!$C$2:$C2766=C82))=1,filter('Previous Rank'!$A$2:$A2766,'Previous Rank'!$B$2:$B2766=B82,'Previous Rank'!$C$2:$C2766=C82),"""")"),83.0)</f>
        <v>83</v>
      </c>
      <c r="H82" s="8">
        <f t="shared" si="1"/>
        <v>2</v>
      </c>
    </row>
    <row r="83">
      <c r="A83" s="10">
        <v>82.0</v>
      </c>
      <c r="B83" s="11" t="s">
        <v>135</v>
      </c>
      <c r="C83" s="10" t="s">
        <v>136</v>
      </c>
      <c r="D83" s="10" t="s">
        <v>137</v>
      </c>
      <c r="E83" s="12">
        <v>101.9</v>
      </c>
      <c r="F83" s="12">
        <v>11.7</v>
      </c>
      <c r="G83" s="13">
        <f>IFERROR(__xludf.DUMMYFUNCTION("if(counta(filter('Previous Rank'!$A$2:$A2766,'Previous Rank'!$B$2:$B2766=B83,'Previous Rank'!$C$2:$C2766=C83))=1,filter('Previous Rank'!$A$2:$A2766,'Previous Rank'!$B$2:$B2766=B83,'Previous Rank'!$C$2:$C2766=C83),"""")"),94.0)</f>
        <v>94</v>
      </c>
      <c r="H83" s="8">
        <f t="shared" si="1"/>
        <v>12</v>
      </c>
    </row>
    <row r="84">
      <c r="A84" s="10">
        <v>83.0</v>
      </c>
      <c r="B84" s="11" t="s">
        <v>138</v>
      </c>
      <c r="C84" s="10" t="s">
        <v>139</v>
      </c>
      <c r="D84" s="10" t="s">
        <v>140</v>
      </c>
      <c r="E84" s="14">
        <v>91.1</v>
      </c>
      <c r="F84" s="14">
        <v>13.9</v>
      </c>
      <c r="G84" s="13">
        <f>IFERROR(__xludf.DUMMYFUNCTION("if(counta(filter('Previous Rank'!$A$2:$A2766,'Previous Rank'!$B$2:$B2766=B84,'Previous Rank'!$C$2:$C2766=C84))=1,filter('Previous Rank'!$A$2:$A2766,'Previous Rank'!$B$2:$B2766=B84,'Previous Rank'!$C$2:$C2766=C84),"""")"),88.0)</f>
        <v>88</v>
      </c>
      <c r="H84" s="8">
        <f t="shared" si="1"/>
        <v>5</v>
      </c>
    </row>
    <row r="85">
      <c r="A85" s="10">
        <v>84.0</v>
      </c>
      <c r="B85" s="11" t="s">
        <v>141</v>
      </c>
      <c r="C85" s="10" t="s">
        <v>8</v>
      </c>
      <c r="D85" s="10" t="s">
        <v>99</v>
      </c>
      <c r="E85" s="12">
        <v>99.3</v>
      </c>
      <c r="F85" s="12">
        <v>12.6</v>
      </c>
      <c r="G85" s="13">
        <f>IFERROR(__xludf.DUMMYFUNCTION("if(counta(filter('Previous Rank'!$A$2:$A2766,'Previous Rank'!$B$2:$B2766=B85,'Previous Rank'!$C$2:$C2766=C85))=1,filter('Previous Rank'!$A$2:$A2766,'Previous Rank'!$B$2:$B2766=B85,'Previous Rank'!$C$2:$C2766=C85),"""")"),98.0)</f>
        <v>98</v>
      </c>
      <c r="H85" s="8">
        <f t="shared" si="1"/>
        <v>14</v>
      </c>
    </row>
    <row r="86">
      <c r="A86" s="10">
        <v>85.0</v>
      </c>
      <c r="B86" s="11" t="s">
        <v>142</v>
      </c>
      <c r="C86" s="10" t="s">
        <v>55</v>
      </c>
      <c r="D86" s="10" t="s">
        <v>25</v>
      </c>
      <c r="E86" s="14">
        <v>75.7</v>
      </c>
      <c r="F86" s="14">
        <v>17.2</v>
      </c>
      <c r="G86" s="13">
        <f>IFERROR(__xludf.DUMMYFUNCTION("if(counta(filter('Previous Rank'!$A$2:$A2766,'Previous Rank'!$B$2:$B2766=B86,'Previous Rank'!$C$2:$C2766=C86))=1,filter('Previous Rank'!$A$2:$A2766,'Previous Rank'!$B$2:$B2766=B86,'Previous Rank'!$C$2:$C2766=C86),"""")"),74.0)</f>
        <v>74</v>
      </c>
      <c r="H86" s="8">
        <f t="shared" si="1"/>
        <v>-11</v>
      </c>
    </row>
    <row r="87">
      <c r="A87" s="10">
        <v>86.0</v>
      </c>
      <c r="B87" s="11" t="s">
        <v>143</v>
      </c>
      <c r="C87" s="10" t="s">
        <v>22</v>
      </c>
      <c r="D87" s="10" t="s">
        <v>85</v>
      </c>
      <c r="E87" s="12">
        <v>107.4</v>
      </c>
      <c r="F87" s="12">
        <v>11.8</v>
      </c>
      <c r="G87" s="13">
        <f>IFERROR(__xludf.DUMMYFUNCTION("if(counta(filter('Previous Rank'!$A$2:$A2766,'Previous Rank'!$B$2:$B2766=B87,'Previous Rank'!$C$2:$C2766=C87))=1,filter('Previous Rank'!$A$2:$A2766,'Previous Rank'!$B$2:$B2766=B87,'Previous Rank'!$C$2:$C2766=C87),"""")"),93.0)</f>
        <v>93</v>
      </c>
      <c r="H87" s="8">
        <f t="shared" si="1"/>
        <v>7</v>
      </c>
    </row>
    <row r="88">
      <c r="A88" s="10">
        <v>87.0</v>
      </c>
      <c r="B88" s="11" t="s">
        <v>144</v>
      </c>
      <c r="C88" s="10" t="s">
        <v>22</v>
      </c>
      <c r="D88" s="10" t="s">
        <v>15</v>
      </c>
      <c r="E88" s="14">
        <v>96.6</v>
      </c>
      <c r="F88" s="14">
        <v>13.5</v>
      </c>
      <c r="G88" s="13">
        <f>IFERROR(__xludf.DUMMYFUNCTION("if(counta(filter('Previous Rank'!$A$2:$A2766,'Previous Rank'!$B$2:$B2766=B88,'Previous Rank'!$C$2:$C2766=C88))=1,filter('Previous Rank'!$A$2:$A2766,'Previous Rank'!$B$2:$B2766=B88,'Previous Rank'!$C$2:$C2766=C88),"""")"),89.0)</f>
        <v>89</v>
      </c>
      <c r="H88" s="8">
        <f t="shared" si="1"/>
        <v>2</v>
      </c>
    </row>
    <row r="89">
      <c r="A89" s="10">
        <v>88.0</v>
      </c>
      <c r="B89" s="11" t="s">
        <v>145</v>
      </c>
      <c r="C89" s="10" t="s">
        <v>17</v>
      </c>
      <c r="D89" s="10" t="s">
        <v>95</v>
      </c>
      <c r="E89" s="12">
        <v>97.1</v>
      </c>
      <c r="F89" s="12">
        <v>13.2</v>
      </c>
      <c r="G89" s="13">
        <f>IFERROR(__xludf.DUMMYFUNCTION("if(counta(filter('Previous Rank'!$A$2:$A2766,'Previous Rank'!$B$2:$B2766=B89,'Previous Rank'!$C$2:$C2766=C89))=1,filter('Previous Rank'!$A$2:$A2766,'Previous Rank'!$B$2:$B2766=B89,'Previous Rank'!$C$2:$C2766=C89),"""")"),92.0)</f>
        <v>92</v>
      </c>
      <c r="H89" s="8">
        <f t="shared" si="1"/>
        <v>4</v>
      </c>
    </row>
    <row r="90">
      <c r="A90" s="10">
        <v>89.0</v>
      </c>
      <c r="B90" s="11" t="s">
        <v>146</v>
      </c>
      <c r="C90" s="10" t="s">
        <v>11</v>
      </c>
      <c r="D90" s="10" t="s">
        <v>34</v>
      </c>
      <c r="E90" s="14">
        <v>80.6</v>
      </c>
      <c r="F90" s="14">
        <v>15.6</v>
      </c>
      <c r="G90" s="13">
        <f>IFERROR(__xludf.DUMMYFUNCTION("if(counta(filter('Previous Rank'!$A$2:$A2766,'Previous Rank'!$B$2:$B2766=B90,'Previous Rank'!$C$2:$C2766=C90))=1,filter('Previous Rank'!$A$2:$A2766,'Previous Rank'!$B$2:$B2766=B90,'Previous Rank'!$C$2:$C2766=C90),"""")"),77.0)</f>
        <v>77</v>
      </c>
      <c r="H90" s="8">
        <f t="shared" si="1"/>
        <v>-12</v>
      </c>
    </row>
    <row r="91">
      <c r="A91" s="10">
        <v>90.0</v>
      </c>
      <c r="B91" s="11" t="s">
        <v>147</v>
      </c>
      <c r="C91" s="10" t="s">
        <v>148</v>
      </c>
      <c r="D91" s="10" t="s">
        <v>31</v>
      </c>
      <c r="E91" s="12">
        <v>72.3</v>
      </c>
      <c r="F91" s="12">
        <v>16.1</v>
      </c>
      <c r="G91" s="13">
        <f>IFERROR(__xludf.DUMMYFUNCTION("if(counta(filter('Previous Rank'!$A$2:$A2766,'Previous Rank'!$B$2:$B2766=B91,'Previous Rank'!$C$2:$C2766=C91))=1,filter('Previous Rank'!$A$2:$A2766,'Previous Rank'!$B$2:$B2766=B91,'Previous Rank'!$C$2:$C2766=C91),"""")"),87.0)</f>
        <v>87</v>
      </c>
      <c r="H91" s="8">
        <f t="shared" si="1"/>
        <v>-3</v>
      </c>
    </row>
    <row r="92">
      <c r="A92" s="10">
        <v>91.0</v>
      </c>
      <c r="B92" s="11" t="s">
        <v>149</v>
      </c>
      <c r="C92" s="10" t="s">
        <v>150</v>
      </c>
      <c r="D92" s="10" t="s">
        <v>31</v>
      </c>
      <c r="E92" s="14">
        <v>120.7</v>
      </c>
      <c r="F92" s="14">
        <v>10.1</v>
      </c>
      <c r="G92" s="13">
        <f>IFERROR(__xludf.DUMMYFUNCTION("if(counta(filter('Previous Rank'!$A$2:$A2766,'Previous Rank'!$B$2:$B2766=B92,'Previous Rank'!$C$2:$C2766=C92))=1,filter('Previous Rank'!$A$2:$A2766,'Previous Rank'!$B$2:$B2766=B92,'Previous Rank'!$C$2:$C2766=C92),"""")"),115.0)</f>
        <v>115</v>
      </c>
      <c r="H92" s="8">
        <f t="shared" si="1"/>
        <v>24</v>
      </c>
    </row>
    <row r="93">
      <c r="A93" s="10">
        <v>92.0</v>
      </c>
      <c r="B93" s="11" t="s">
        <v>151</v>
      </c>
      <c r="C93" s="10" t="s">
        <v>39</v>
      </c>
      <c r="D93" s="10" t="s">
        <v>9</v>
      </c>
      <c r="E93" s="12">
        <v>87.7</v>
      </c>
      <c r="F93" s="12">
        <v>15.1</v>
      </c>
      <c r="G93" s="13">
        <f>IFERROR(__xludf.DUMMYFUNCTION("if(counta(filter('Previous Rank'!$A$2:$A2766,'Previous Rank'!$B$2:$B2766=B93,'Previous Rank'!$C$2:$C2766=C93))=1,filter('Previous Rank'!$A$2:$A2766,'Previous Rank'!$B$2:$B2766=B93,'Previous Rank'!$C$2:$C2766=C93),"""")"),90.0)</f>
        <v>90</v>
      </c>
      <c r="H93" s="8">
        <f t="shared" si="1"/>
        <v>-2</v>
      </c>
    </row>
    <row r="94">
      <c r="A94" s="10">
        <v>93.0</v>
      </c>
      <c r="B94" s="11" t="s">
        <v>152</v>
      </c>
      <c r="C94" s="10" t="s">
        <v>79</v>
      </c>
      <c r="D94" s="10" t="s">
        <v>12</v>
      </c>
      <c r="E94" s="14">
        <v>97.0</v>
      </c>
      <c r="F94" s="14">
        <v>12.5</v>
      </c>
      <c r="G94" s="13">
        <f>IFERROR(__xludf.DUMMYFUNCTION("if(counta(filter('Previous Rank'!$A$2:$A2766,'Previous Rank'!$B$2:$B2766=B94,'Previous Rank'!$C$2:$C2766=C94))=1,filter('Previous Rank'!$A$2:$A2766,'Previous Rank'!$B$2:$B2766=B94,'Previous Rank'!$C$2:$C2766=C94),"""")"),117.0)</f>
        <v>117</v>
      </c>
      <c r="H94" s="8">
        <f t="shared" si="1"/>
        <v>24</v>
      </c>
    </row>
    <row r="95">
      <c r="A95" s="10">
        <v>94.0</v>
      </c>
      <c r="B95" s="11" t="s">
        <v>153</v>
      </c>
      <c r="C95" s="10" t="s">
        <v>22</v>
      </c>
      <c r="D95" s="10" t="s">
        <v>27</v>
      </c>
      <c r="E95" s="12">
        <v>129.8</v>
      </c>
      <c r="F95" s="12">
        <v>6.5</v>
      </c>
      <c r="G95" s="13">
        <f>IFERROR(__xludf.DUMMYFUNCTION("if(counta(filter('Previous Rank'!$A$2:$A2766,'Previous Rank'!$B$2:$B2766=B95,'Previous Rank'!$C$2:$C2766=C95))=1,filter('Previous Rank'!$A$2:$A2766,'Previous Rank'!$B$2:$B2766=B95,'Previous Rank'!$C$2:$C2766=C95),"""")"),129.0)</f>
        <v>129</v>
      </c>
      <c r="H95" s="8">
        <f t="shared" si="1"/>
        <v>35</v>
      </c>
    </row>
    <row r="96">
      <c r="A96" s="10">
        <v>95.0</v>
      </c>
      <c r="B96" s="11" t="s">
        <v>154</v>
      </c>
      <c r="C96" s="10" t="s">
        <v>55</v>
      </c>
      <c r="D96" s="10" t="s">
        <v>95</v>
      </c>
      <c r="E96" s="14">
        <v>100.2</v>
      </c>
      <c r="F96" s="14">
        <v>13.1</v>
      </c>
      <c r="G96" s="13">
        <f>IFERROR(__xludf.DUMMYFUNCTION("if(counta(filter('Previous Rank'!$A$2:$A2766,'Previous Rank'!$B$2:$B2766=B96,'Previous Rank'!$C$2:$C2766=C96))=1,filter('Previous Rank'!$A$2:$A2766,'Previous Rank'!$B$2:$B2766=B96,'Previous Rank'!$C$2:$C2766=C96),"""")"),91.0)</f>
        <v>91</v>
      </c>
      <c r="H96" s="8">
        <f t="shared" si="1"/>
        <v>-4</v>
      </c>
    </row>
    <row r="97">
      <c r="A97" s="10">
        <v>96.0</v>
      </c>
      <c r="B97" s="11" t="s">
        <v>155</v>
      </c>
      <c r="C97" s="10" t="s">
        <v>14</v>
      </c>
      <c r="D97" s="10" t="s">
        <v>99</v>
      </c>
      <c r="E97" s="12">
        <v>72.9</v>
      </c>
      <c r="F97" s="12">
        <v>16.7</v>
      </c>
      <c r="G97" s="13">
        <f>IFERROR(__xludf.DUMMYFUNCTION("if(counta(filter('Previous Rank'!$A$2:$A2766,'Previous Rank'!$B$2:$B2766=B97,'Previous Rank'!$C$2:$C2766=C97))=1,filter('Previous Rank'!$A$2:$A2766,'Previous Rank'!$B$2:$B2766=B97,'Previous Rank'!$C$2:$C2766=C97),"""")"),72.0)</f>
        <v>72</v>
      </c>
      <c r="H97" s="8">
        <f t="shared" si="1"/>
        <v>-24</v>
      </c>
    </row>
    <row r="98">
      <c r="A98" s="10">
        <v>97.0</v>
      </c>
      <c r="B98" s="11" t="s">
        <v>156</v>
      </c>
      <c r="C98" s="10" t="s">
        <v>22</v>
      </c>
      <c r="D98" s="10" t="s">
        <v>34</v>
      </c>
      <c r="E98" s="14">
        <v>71.4</v>
      </c>
      <c r="F98" s="14">
        <v>21.4</v>
      </c>
      <c r="G98" s="13">
        <f>IFERROR(__xludf.DUMMYFUNCTION("if(counta(filter('Previous Rank'!$A$2:$A2766,'Previous Rank'!$B$2:$B2766=B98,'Previous Rank'!$C$2:$C2766=C98))=1,filter('Previous Rank'!$A$2:$A2766,'Previous Rank'!$B$2:$B2766=B98,'Previous Rank'!$C$2:$C2766=C98),"""")"),104.0)</f>
        <v>104</v>
      </c>
      <c r="H98" s="8">
        <f t="shared" si="1"/>
        <v>7</v>
      </c>
    </row>
    <row r="99">
      <c r="A99" s="10">
        <v>98.0</v>
      </c>
      <c r="B99" s="11" t="s">
        <v>157</v>
      </c>
      <c r="C99" s="10" t="s">
        <v>158</v>
      </c>
      <c r="D99" s="10" t="s">
        <v>34</v>
      </c>
      <c r="E99" s="12">
        <v>100.4</v>
      </c>
      <c r="F99" s="12">
        <v>13.0</v>
      </c>
      <c r="G99" s="13">
        <f>IFERROR(__xludf.DUMMYFUNCTION("if(counta(filter('Previous Rank'!$A$2:$A2766,'Previous Rank'!$B$2:$B2766=B99,'Previous Rank'!$C$2:$C2766=C99))=1,filter('Previous Rank'!$A$2:$A2766,'Previous Rank'!$B$2:$B2766=B99,'Previous Rank'!$C$2:$C2766=C99),"""")"),99.0)</f>
        <v>99</v>
      </c>
      <c r="H99" s="8">
        <f t="shared" si="1"/>
        <v>1</v>
      </c>
    </row>
    <row r="100">
      <c r="A100" s="10">
        <v>99.0</v>
      </c>
      <c r="B100" s="11" t="s">
        <v>159</v>
      </c>
      <c r="C100" s="10" t="s">
        <v>17</v>
      </c>
      <c r="D100" s="10" t="s">
        <v>12</v>
      </c>
      <c r="E100" s="14">
        <v>107.8</v>
      </c>
      <c r="F100" s="14">
        <v>11.3</v>
      </c>
      <c r="G100" s="13">
        <f>IFERROR(__xludf.DUMMYFUNCTION("if(counta(filter('Previous Rank'!$A$2:$A2766,'Previous Rank'!$B$2:$B2766=B100,'Previous Rank'!$C$2:$C2766=C100))=1,filter('Previous Rank'!$A$2:$A2766,'Previous Rank'!$B$2:$B2766=B100,'Previous Rank'!$C$2:$C2766=C100),"""")"),96.0)</f>
        <v>96</v>
      </c>
      <c r="H100" s="8">
        <f t="shared" si="1"/>
        <v>-3</v>
      </c>
    </row>
    <row r="101">
      <c r="A101" s="10">
        <v>100.0</v>
      </c>
      <c r="B101" s="11" t="s">
        <v>160</v>
      </c>
      <c r="C101" s="10" t="s">
        <v>22</v>
      </c>
      <c r="D101" s="10" t="s">
        <v>90</v>
      </c>
      <c r="E101" s="12">
        <v>114.1</v>
      </c>
      <c r="F101" s="12">
        <v>11.3</v>
      </c>
      <c r="G101" s="13">
        <f>IFERROR(__xludf.DUMMYFUNCTION("if(counta(filter('Previous Rank'!$A$2:$A2766,'Previous Rank'!$B$2:$B2766=B101,'Previous Rank'!$C$2:$C2766=C101))=1,filter('Previous Rank'!$A$2:$A2766,'Previous Rank'!$B$2:$B2766=B101,'Previous Rank'!$C$2:$C2766=C101),"""")"),106.0)</f>
        <v>106</v>
      </c>
      <c r="H101" s="8">
        <f t="shared" si="1"/>
        <v>6</v>
      </c>
    </row>
    <row r="102">
      <c r="A102" s="10">
        <v>101.0</v>
      </c>
      <c r="B102" s="11" t="s">
        <v>161</v>
      </c>
      <c r="C102" s="10" t="s">
        <v>79</v>
      </c>
      <c r="D102" s="10" t="s">
        <v>27</v>
      </c>
      <c r="E102" s="14">
        <v>97.0</v>
      </c>
      <c r="F102" s="14">
        <v>11.0</v>
      </c>
      <c r="G102" s="13">
        <f>IFERROR(__xludf.DUMMYFUNCTION("if(counta(filter('Previous Rank'!$A$2:$A2766,'Previous Rank'!$B$2:$B2766=B102,'Previous Rank'!$C$2:$C2766=C102))=1,filter('Previous Rank'!$A$2:$A2766,'Previous Rank'!$B$2:$B2766=B102,'Previous Rank'!$C$2:$C2766=C102),"""")"),147.0)</f>
        <v>147</v>
      </c>
      <c r="H102" s="8">
        <f t="shared" si="1"/>
        <v>46</v>
      </c>
    </row>
    <row r="103">
      <c r="A103" s="10">
        <v>102.0</v>
      </c>
      <c r="B103" s="11" t="s">
        <v>162</v>
      </c>
      <c r="C103" s="10" t="s">
        <v>163</v>
      </c>
      <c r="D103" s="10" t="s">
        <v>52</v>
      </c>
      <c r="E103" s="12">
        <v>4.2</v>
      </c>
      <c r="F103" s="12">
        <v>51.0</v>
      </c>
      <c r="G103" s="13">
        <f>IFERROR(__xludf.DUMMYFUNCTION("if(counta(filter('Previous Rank'!$A$2:$A2766,'Previous Rank'!$B$2:$B2766=B103,'Previous Rank'!$C$2:$C2766=C103))=1,filter('Previous Rank'!$A$2:$A2766,'Previous Rank'!$B$2:$B2766=B103,'Previous Rank'!$C$2:$C2766=C103),"""")"),2.0)</f>
        <v>2</v>
      </c>
      <c r="H103" s="8">
        <f t="shared" si="1"/>
        <v>-100</v>
      </c>
    </row>
    <row r="104">
      <c r="A104" s="10">
        <v>103.0</v>
      </c>
      <c r="B104" s="11" t="s">
        <v>164</v>
      </c>
      <c r="C104" s="10" t="s">
        <v>14</v>
      </c>
      <c r="D104" s="10" t="s">
        <v>67</v>
      </c>
      <c r="E104" s="14">
        <v>120.8</v>
      </c>
      <c r="F104" s="14">
        <v>8.9</v>
      </c>
      <c r="G104" s="13">
        <f>IFERROR(__xludf.DUMMYFUNCTION("if(counta(filter('Previous Rank'!$A$2:$A2766,'Previous Rank'!$B$2:$B2766=B104,'Previous Rank'!$C$2:$C2766=C104))=1,filter('Previous Rank'!$A$2:$A2766,'Previous Rank'!$B$2:$B2766=B104,'Previous Rank'!$C$2:$C2766=C104),"""")"),108.0)</f>
        <v>108</v>
      </c>
      <c r="H104" s="8">
        <f t="shared" si="1"/>
        <v>5</v>
      </c>
    </row>
    <row r="105">
      <c r="A105" s="10">
        <v>104.0</v>
      </c>
      <c r="B105" s="11" t="s">
        <v>165</v>
      </c>
      <c r="C105" s="10" t="s">
        <v>79</v>
      </c>
      <c r="D105" s="10" t="s">
        <v>23</v>
      </c>
      <c r="E105" s="12">
        <v>83.9</v>
      </c>
      <c r="F105" s="12">
        <v>14.5</v>
      </c>
      <c r="G105" s="13">
        <f>IFERROR(__xludf.DUMMYFUNCTION("if(counta(filter('Previous Rank'!$A$2:$A2766,'Previous Rank'!$B$2:$B2766=B105,'Previous Rank'!$C$2:$C2766=C105))=1,filter('Previous Rank'!$A$2:$A2766,'Previous Rank'!$B$2:$B2766=B105,'Previous Rank'!$C$2:$C2766=C105),"""")"),113.0)</f>
        <v>113</v>
      </c>
      <c r="H105" s="8">
        <f t="shared" si="1"/>
        <v>9</v>
      </c>
    </row>
    <row r="106">
      <c r="A106" s="10">
        <v>105.0</v>
      </c>
      <c r="B106" s="11" t="s">
        <v>166</v>
      </c>
      <c r="C106" s="10" t="s">
        <v>14</v>
      </c>
      <c r="D106" s="10" t="s">
        <v>49</v>
      </c>
      <c r="E106" s="14">
        <v>126.4</v>
      </c>
      <c r="F106" s="14">
        <v>8.2</v>
      </c>
      <c r="G106" s="13">
        <f>IFERROR(__xludf.DUMMYFUNCTION("if(counta(filter('Previous Rank'!$A$2:$A2766,'Previous Rank'!$B$2:$B2766=B106,'Previous Rank'!$C$2:$C2766=C106))=1,filter('Previous Rank'!$A$2:$A2766,'Previous Rank'!$B$2:$B2766=B106,'Previous Rank'!$C$2:$C2766=C106),"""")"),112.0)</f>
        <v>112</v>
      </c>
      <c r="H106" s="8">
        <f t="shared" si="1"/>
        <v>7</v>
      </c>
    </row>
    <row r="107">
      <c r="A107" s="10">
        <v>106.0</v>
      </c>
      <c r="B107" s="11" t="s">
        <v>167</v>
      </c>
      <c r="C107" s="10" t="s">
        <v>66</v>
      </c>
      <c r="D107" s="10" t="s">
        <v>82</v>
      </c>
      <c r="E107" s="12">
        <v>124.6</v>
      </c>
      <c r="F107" s="12">
        <v>9.9</v>
      </c>
      <c r="G107" s="13">
        <f>IFERROR(__xludf.DUMMYFUNCTION("if(counta(filter('Previous Rank'!$A$2:$A2766,'Previous Rank'!$B$2:$B2766=B107,'Previous Rank'!$C$2:$C2766=C107))=1,filter('Previous Rank'!$A$2:$A2766,'Previous Rank'!$B$2:$B2766=B107,'Previous Rank'!$C$2:$C2766=C107),"""")"),124.0)</f>
        <v>124</v>
      </c>
      <c r="H107" s="8">
        <f t="shared" si="1"/>
        <v>18</v>
      </c>
    </row>
    <row r="108">
      <c r="A108" s="10">
        <v>107.0</v>
      </c>
      <c r="B108" s="11" t="s">
        <v>168</v>
      </c>
      <c r="C108" s="10" t="s">
        <v>33</v>
      </c>
      <c r="D108" s="10" t="s">
        <v>18</v>
      </c>
      <c r="E108" s="14">
        <v>118.9</v>
      </c>
      <c r="F108" s="14">
        <v>10.9</v>
      </c>
      <c r="G108" s="13">
        <f>IFERROR(__xludf.DUMMYFUNCTION("if(counta(filter('Previous Rank'!$A$2:$A2766,'Previous Rank'!$B$2:$B2766=B108,'Previous Rank'!$C$2:$C2766=C108))=1,filter('Previous Rank'!$A$2:$A2766,'Previous Rank'!$B$2:$B2766=B108,'Previous Rank'!$C$2:$C2766=C108),"""")"),101.0)</f>
        <v>101</v>
      </c>
      <c r="H108" s="8">
        <f t="shared" si="1"/>
        <v>-6</v>
      </c>
    </row>
    <row r="109">
      <c r="A109" s="10">
        <v>108.0</v>
      </c>
      <c r="B109" s="11" t="s">
        <v>169</v>
      </c>
      <c r="C109" s="10" t="s">
        <v>20</v>
      </c>
      <c r="D109" s="10" t="s">
        <v>31</v>
      </c>
      <c r="E109" s="12">
        <v>147.6</v>
      </c>
      <c r="F109" s="12">
        <v>7.6</v>
      </c>
      <c r="G109" s="13">
        <f>IFERROR(__xludf.DUMMYFUNCTION("if(counta(filter('Previous Rank'!$A$2:$A2766,'Previous Rank'!$B$2:$B2766=B109,'Previous Rank'!$C$2:$C2766=C109))=1,filter('Previous Rank'!$A$2:$A2766,'Previous Rank'!$B$2:$B2766=B109,'Previous Rank'!$C$2:$C2766=C109),"""")"),116.0)</f>
        <v>116</v>
      </c>
      <c r="H109" s="8">
        <f t="shared" si="1"/>
        <v>8</v>
      </c>
    </row>
    <row r="110">
      <c r="A110" s="10">
        <v>109.0</v>
      </c>
      <c r="B110" s="11" t="s">
        <v>170</v>
      </c>
      <c r="C110" s="10" t="s">
        <v>22</v>
      </c>
      <c r="D110" s="10" t="s">
        <v>129</v>
      </c>
      <c r="E110" s="14">
        <v>77.8</v>
      </c>
      <c r="F110" s="14">
        <v>16.8</v>
      </c>
      <c r="G110" s="13">
        <f>IFERROR(__xludf.DUMMYFUNCTION("if(counta(filter('Previous Rank'!$A$2:$A2766,'Previous Rank'!$B$2:$B2766=B110,'Previous Rank'!$C$2:$C2766=C110))=1,filter('Previous Rank'!$A$2:$A2766,'Previous Rank'!$B$2:$B2766=B110,'Previous Rank'!$C$2:$C2766=C110),"""")"),64.0)</f>
        <v>64</v>
      </c>
      <c r="H110" s="8">
        <f t="shared" si="1"/>
        <v>-45</v>
      </c>
    </row>
    <row r="111">
      <c r="A111" s="10">
        <v>110.0</v>
      </c>
      <c r="B111" s="11" t="s">
        <v>171</v>
      </c>
      <c r="C111" s="10" t="s">
        <v>22</v>
      </c>
      <c r="D111" s="10" t="s">
        <v>129</v>
      </c>
      <c r="E111" s="12">
        <v>140.1</v>
      </c>
      <c r="F111" s="12">
        <v>7.1</v>
      </c>
      <c r="G111" s="13">
        <f>IFERROR(__xludf.DUMMYFUNCTION("if(counta(filter('Previous Rank'!$A$2:$A2766,'Previous Rank'!$B$2:$B2766=B111,'Previous Rank'!$C$2:$C2766=C111))=1,filter('Previous Rank'!$A$2:$A2766,'Previous Rank'!$B$2:$B2766=B111,'Previous Rank'!$C$2:$C2766=C111),"""")"),119.0)</f>
        <v>119</v>
      </c>
      <c r="H111" s="8">
        <f t="shared" si="1"/>
        <v>9</v>
      </c>
    </row>
    <row r="112">
      <c r="A112" s="10">
        <v>111.0</v>
      </c>
      <c r="B112" s="11" t="s">
        <v>172</v>
      </c>
      <c r="C112" s="10" t="s">
        <v>79</v>
      </c>
      <c r="D112" s="10" t="s">
        <v>36</v>
      </c>
      <c r="E112" s="14">
        <v>107.4</v>
      </c>
      <c r="F112" s="14">
        <v>10.8</v>
      </c>
      <c r="G112" s="13">
        <f>IFERROR(__xludf.DUMMYFUNCTION("if(counta(filter('Previous Rank'!$A$2:$A2766,'Previous Rank'!$B$2:$B2766=B112,'Previous Rank'!$C$2:$C2766=C112))=1,filter('Previous Rank'!$A$2:$A2766,'Previous Rank'!$B$2:$B2766=B112,'Previous Rank'!$C$2:$C2766=C112),"""")"),118.0)</f>
        <v>118</v>
      </c>
      <c r="H112" s="8">
        <f t="shared" si="1"/>
        <v>7</v>
      </c>
    </row>
    <row r="113">
      <c r="A113" s="10">
        <v>112.0</v>
      </c>
      <c r="B113" s="11" t="s">
        <v>173</v>
      </c>
      <c r="C113" s="10" t="s">
        <v>22</v>
      </c>
      <c r="D113" s="10" t="s">
        <v>36</v>
      </c>
      <c r="E113" s="12">
        <v>118.7</v>
      </c>
      <c r="F113" s="12">
        <v>7.4</v>
      </c>
      <c r="G113" s="13">
        <f>IFERROR(__xludf.DUMMYFUNCTION("if(counta(filter('Previous Rank'!$A$2:$A2766,'Previous Rank'!$B$2:$B2766=B113,'Previous Rank'!$C$2:$C2766=C113))=1,filter('Previous Rank'!$A$2:$A2766,'Previous Rank'!$B$2:$B2766=B113,'Previous Rank'!$C$2:$C2766=C113),"""")"),127.0)</f>
        <v>127</v>
      </c>
      <c r="H113" s="8">
        <f t="shared" si="1"/>
        <v>15</v>
      </c>
    </row>
    <row r="114">
      <c r="A114" s="10">
        <v>113.0</v>
      </c>
      <c r="B114" s="11" t="s">
        <v>174</v>
      </c>
      <c r="C114" s="10" t="s">
        <v>22</v>
      </c>
      <c r="D114" s="10" t="s">
        <v>27</v>
      </c>
      <c r="E114" s="14">
        <v>136.3</v>
      </c>
      <c r="F114" s="14">
        <v>6.4</v>
      </c>
      <c r="G114" s="13">
        <f>IFERROR(__xludf.DUMMYFUNCTION("if(counta(filter('Previous Rank'!$A$2:$A2766,'Previous Rank'!$B$2:$B2766=B114,'Previous Rank'!$C$2:$C2766=C114))=1,filter('Previous Rank'!$A$2:$A2766,'Previous Rank'!$B$2:$B2766=B114,'Previous Rank'!$C$2:$C2766=C114),"""")"),121.0)</f>
        <v>121</v>
      </c>
      <c r="H114" s="8">
        <f t="shared" si="1"/>
        <v>8</v>
      </c>
    </row>
    <row r="115">
      <c r="A115" s="10">
        <v>114.0</v>
      </c>
      <c r="B115" s="11" t="s">
        <v>175</v>
      </c>
      <c r="C115" s="10" t="s">
        <v>176</v>
      </c>
      <c r="D115" s="10" t="s">
        <v>9</v>
      </c>
      <c r="E115" s="12">
        <v>109.2</v>
      </c>
      <c r="F115" s="12">
        <v>10.4</v>
      </c>
      <c r="G115" s="13">
        <f>IFERROR(__xludf.DUMMYFUNCTION("if(counta(filter('Previous Rank'!$A$2:$A2766,'Previous Rank'!$B$2:$B2766=B115,'Previous Rank'!$C$2:$C2766=C115))=1,filter('Previous Rank'!$A$2:$A2766,'Previous Rank'!$B$2:$B2766=B115,'Previous Rank'!$C$2:$C2766=C115),"""")"),114.0)</f>
        <v>114</v>
      </c>
      <c r="H115" s="8">
        <f t="shared" si="1"/>
        <v>0</v>
      </c>
    </row>
    <row r="116">
      <c r="A116" s="10">
        <v>115.0</v>
      </c>
      <c r="B116" s="11" t="s">
        <v>177</v>
      </c>
      <c r="C116" s="10" t="s">
        <v>20</v>
      </c>
      <c r="D116" s="10" t="s">
        <v>105</v>
      </c>
      <c r="E116" s="14">
        <v>134.4</v>
      </c>
      <c r="F116" s="14">
        <v>8.4</v>
      </c>
      <c r="G116" s="13">
        <f>IFERROR(__xludf.DUMMYFUNCTION("if(counta(filter('Previous Rank'!$A$2:$A2766,'Previous Rank'!$B$2:$B2766=B116,'Previous Rank'!$C$2:$C2766=C116))=1,filter('Previous Rank'!$A$2:$A2766,'Previous Rank'!$B$2:$B2766=B116,'Previous Rank'!$C$2:$C2766=C116),"""")"),111.0)</f>
        <v>111</v>
      </c>
      <c r="H116" s="8">
        <f t="shared" si="1"/>
        <v>-4</v>
      </c>
    </row>
    <row r="117">
      <c r="A117" s="10">
        <v>116.0</v>
      </c>
      <c r="B117" s="11" t="s">
        <v>178</v>
      </c>
      <c r="C117" s="10" t="s">
        <v>55</v>
      </c>
      <c r="D117" s="10" t="s">
        <v>90</v>
      </c>
      <c r="E117" s="12">
        <v>123.2</v>
      </c>
      <c r="F117" s="12">
        <v>9.5</v>
      </c>
      <c r="G117" s="13">
        <f>IFERROR(__xludf.DUMMYFUNCTION("if(counta(filter('Previous Rank'!$A$2:$A2766,'Previous Rank'!$B$2:$B2766=B117,'Previous Rank'!$C$2:$C2766=C117))=1,filter('Previous Rank'!$A$2:$A2766,'Previous Rank'!$B$2:$B2766=B117,'Previous Rank'!$C$2:$C2766=C117),"""")"),109.0)</f>
        <v>109</v>
      </c>
      <c r="H117" s="8">
        <f t="shared" si="1"/>
        <v>-7</v>
      </c>
    </row>
    <row r="118">
      <c r="A118" s="10">
        <v>117.0</v>
      </c>
      <c r="B118" s="11" t="s">
        <v>179</v>
      </c>
      <c r="C118" s="10" t="s">
        <v>150</v>
      </c>
      <c r="D118" s="10" t="s">
        <v>73</v>
      </c>
      <c r="E118" s="14">
        <v>109.2</v>
      </c>
      <c r="F118" s="14">
        <v>11.5</v>
      </c>
      <c r="G118" s="13">
        <f>IFERROR(__xludf.DUMMYFUNCTION("if(counta(filter('Previous Rank'!$A$2:$A2766,'Previous Rank'!$B$2:$B2766=B118,'Previous Rank'!$C$2:$C2766=C118))=1,filter('Previous Rank'!$A$2:$A2766,'Previous Rank'!$B$2:$B2766=B118,'Previous Rank'!$C$2:$C2766=C118),"""")"),103.0)</f>
        <v>103</v>
      </c>
      <c r="H118" s="8">
        <f t="shared" si="1"/>
        <v>-14</v>
      </c>
    </row>
    <row r="119">
      <c r="A119" s="10">
        <v>118.0</v>
      </c>
      <c r="B119" s="11" t="s">
        <v>180</v>
      </c>
      <c r="C119" s="10" t="s">
        <v>39</v>
      </c>
      <c r="D119" s="10" t="s">
        <v>52</v>
      </c>
      <c r="E119" s="12">
        <v>128.9</v>
      </c>
      <c r="F119" s="12">
        <v>9.3</v>
      </c>
      <c r="G119" s="13">
        <f>IFERROR(__xludf.DUMMYFUNCTION("if(counta(filter('Previous Rank'!$A$2:$A2766,'Previous Rank'!$B$2:$B2766=B119,'Previous Rank'!$C$2:$C2766=C119))=1,filter('Previous Rank'!$A$2:$A2766,'Previous Rank'!$B$2:$B2766=B119,'Previous Rank'!$C$2:$C2766=C119),"""")"),105.0)</f>
        <v>105</v>
      </c>
      <c r="H119" s="8">
        <f t="shared" si="1"/>
        <v>-13</v>
      </c>
    </row>
    <row r="120">
      <c r="A120" s="10">
        <v>119.0</v>
      </c>
      <c r="B120" s="11" t="s">
        <v>181</v>
      </c>
      <c r="C120" s="10" t="s">
        <v>182</v>
      </c>
      <c r="D120" s="10" t="s">
        <v>52</v>
      </c>
      <c r="E120" s="14">
        <v>130.8</v>
      </c>
      <c r="F120" s="14">
        <v>7.9</v>
      </c>
      <c r="G120" s="13">
        <f>IFERROR(__xludf.DUMMYFUNCTION("if(counta(filter('Previous Rank'!$A$2:$A2766,'Previous Rank'!$B$2:$B2766=B120,'Previous Rank'!$C$2:$C2766=C120))=1,filter('Previous Rank'!$A$2:$A2766,'Previous Rank'!$B$2:$B2766=B120,'Previous Rank'!$C$2:$C2766=C120),"""")"),126.0)</f>
        <v>126</v>
      </c>
      <c r="H120" s="8">
        <f t="shared" si="1"/>
        <v>7</v>
      </c>
    </row>
    <row r="121">
      <c r="A121" s="10">
        <v>120.0</v>
      </c>
      <c r="B121" s="11" t="s">
        <v>183</v>
      </c>
      <c r="C121" s="10" t="s">
        <v>22</v>
      </c>
      <c r="D121" s="10" t="s">
        <v>52</v>
      </c>
      <c r="E121" s="12">
        <v>113.5</v>
      </c>
      <c r="F121" s="12">
        <v>11.5</v>
      </c>
      <c r="G121" s="13">
        <f>IFERROR(__xludf.DUMMYFUNCTION("if(counta(filter('Previous Rank'!$A$2:$A2766,'Previous Rank'!$B$2:$B2766=B121,'Previous Rank'!$C$2:$C2766=C121))=1,filter('Previous Rank'!$A$2:$A2766,'Previous Rank'!$B$2:$B2766=B121,'Previous Rank'!$C$2:$C2766=C121),"""")"),102.0)</f>
        <v>102</v>
      </c>
      <c r="H121" s="8">
        <f t="shared" si="1"/>
        <v>-18</v>
      </c>
    </row>
    <row r="122">
      <c r="A122" s="10">
        <v>121.0</v>
      </c>
      <c r="B122" s="11" t="s">
        <v>184</v>
      </c>
      <c r="C122" s="10" t="s">
        <v>22</v>
      </c>
      <c r="D122" s="10" t="s">
        <v>42</v>
      </c>
      <c r="E122" s="14">
        <v>156.1</v>
      </c>
      <c r="F122" s="14">
        <v>4.6</v>
      </c>
      <c r="G122" s="13">
        <f>IFERROR(__xludf.DUMMYFUNCTION("if(counta(filter('Previous Rank'!$A$2:$A2766,'Previous Rank'!$B$2:$B2766=B122,'Previous Rank'!$C$2:$C2766=C122))=1,filter('Previous Rank'!$A$2:$A2766,'Previous Rank'!$B$2:$B2766=B122,'Previous Rank'!$C$2:$C2766=C122),"""")"),139.0)</f>
        <v>139</v>
      </c>
      <c r="H122" s="8">
        <f t="shared" si="1"/>
        <v>18</v>
      </c>
    </row>
    <row r="123">
      <c r="A123" s="10">
        <v>122.0</v>
      </c>
      <c r="B123" s="11" t="s">
        <v>185</v>
      </c>
      <c r="C123" s="10" t="s">
        <v>22</v>
      </c>
      <c r="D123" s="10" t="s">
        <v>140</v>
      </c>
      <c r="E123" s="12">
        <v>138.2</v>
      </c>
      <c r="F123" s="12">
        <v>8.0</v>
      </c>
      <c r="G123" s="13">
        <f>IFERROR(__xludf.DUMMYFUNCTION("if(counta(filter('Previous Rank'!$A$2:$A2766,'Previous Rank'!$B$2:$B2766=B123,'Previous Rank'!$C$2:$C2766=C123))=1,filter('Previous Rank'!$A$2:$A2766,'Previous Rank'!$B$2:$B2766=B123,'Previous Rank'!$C$2:$C2766=C123),"""")"),110.0)</f>
        <v>110</v>
      </c>
      <c r="H123" s="8">
        <f t="shared" si="1"/>
        <v>-12</v>
      </c>
    </row>
    <row r="124">
      <c r="A124" s="10">
        <v>123.0</v>
      </c>
      <c r="B124" s="11" t="s">
        <v>186</v>
      </c>
      <c r="C124" s="10" t="s">
        <v>22</v>
      </c>
      <c r="D124" s="10" t="s">
        <v>120</v>
      </c>
      <c r="E124" s="14">
        <v>157.8</v>
      </c>
      <c r="F124" s="14">
        <v>3.7</v>
      </c>
      <c r="G124" s="13">
        <f>IFERROR(__xludf.DUMMYFUNCTION("if(counta(filter('Previous Rank'!$A$2:$A2766,'Previous Rank'!$B$2:$B2766=B124,'Previous Rank'!$C$2:$C2766=C124))=1,filter('Previous Rank'!$A$2:$A2766,'Previous Rank'!$B$2:$B2766=B124,'Previous Rank'!$C$2:$C2766=C124),"""")"),142.0)</f>
        <v>142</v>
      </c>
      <c r="H124" s="8">
        <f t="shared" si="1"/>
        <v>19</v>
      </c>
    </row>
    <row r="125">
      <c r="A125" s="10">
        <v>124.0</v>
      </c>
      <c r="B125" s="11" t="s">
        <v>187</v>
      </c>
      <c r="C125" s="10" t="s">
        <v>22</v>
      </c>
      <c r="D125" s="10" t="s">
        <v>85</v>
      </c>
      <c r="E125" s="12">
        <v>130.3</v>
      </c>
      <c r="F125" s="12">
        <v>8.7</v>
      </c>
      <c r="G125" s="13">
        <f>IFERROR(__xludf.DUMMYFUNCTION("if(counta(filter('Previous Rank'!$A$2:$A2766,'Previous Rank'!$B$2:$B2766=B125,'Previous Rank'!$C$2:$C2766=C125))=1,filter('Previous Rank'!$A$2:$A2766,'Previous Rank'!$B$2:$B2766=B125,'Previous Rank'!$C$2:$C2766=C125),"""")"),107.0)</f>
        <v>107</v>
      </c>
      <c r="H125" s="8">
        <f t="shared" si="1"/>
        <v>-17</v>
      </c>
    </row>
    <row r="126">
      <c r="A126" s="10">
        <v>125.0</v>
      </c>
      <c r="B126" s="11" t="s">
        <v>188</v>
      </c>
      <c r="C126" s="10" t="s">
        <v>189</v>
      </c>
      <c r="D126" s="10" t="s">
        <v>23</v>
      </c>
      <c r="E126" s="14">
        <v>91.4</v>
      </c>
      <c r="F126" s="14">
        <v>12.5</v>
      </c>
      <c r="G126" s="13">
        <f>IFERROR(__xludf.DUMMYFUNCTION("if(counta(filter('Previous Rank'!$A$2:$A2766,'Previous Rank'!$B$2:$B2766=B126,'Previous Rank'!$C$2:$C2766=C126))=1,filter('Previous Rank'!$A$2:$A2766,'Previous Rank'!$B$2:$B2766=B126,'Previous Rank'!$C$2:$C2766=C126),"""")"),95.0)</f>
        <v>95</v>
      </c>
      <c r="H126" s="8">
        <f t="shared" si="1"/>
        <v>-30</v>
      </c>
    </row>
    <row r="127">
      <c r="A127" s="10">
        <v>126.0</v>
      </c>
      <c r="B127" s="11" t="s">
        <v>190</v>
      </c>
      <c r="C127" s="10" t="s">
        <v>22</v>
      </c>
      <c r="D127" s="10" t="s">
        <v>99</v>
      </c>
      <c r="E127" s="12">
        <v>142.9</v>
      </c>
      <c r="F127" s="12">
        <v>5.3</v>
      </c>
      <c r="G127" s="13">
        <f>IFERROR(__xludf.DUMMYFUNCTION("if(counta(filter('Previous Rank'!$A$2:$A2766,'Previous Rank'!$B$2:$B2766=B127,'Previous Rank'!$C$2:$C2766=C127))=1,filter('Previous Rank'!$A$2:$A2766,'Previous Rank'!$B$2:$B2766=B127,'Previous Rank'!$C$2:$C2766=C127),"""")"),133.0)</f>
        <v>133</v>
      </c>
      <c r="H127" s="8">
        <f t="shared" si="1"/>
        <v>7</v>
      </c>
    </row>
    <row r="128">
      <c r="A128" s="10">
        <v>127.0</v>
      </c>
      <c r="B128" s="11" t="s">
        <v>191</v>
      </c>
      <c r="C128" s="10" t="s">
        <v>79</v>
      </c>
      <c r="D128" s="10" t="s">
        <v>49</v>
      </c>
      <c r="E128" s="14">
        <v>112.6</v>
      </c>
      <c r="F128" s="14">
        <v>7.1</v>
      </c>
      <c r="G128" s="13">
        <f>IFERROR(__xludf.DUMMYFUNCTION("if(counta(filter('Previous Rank'!$A$2:$A2766,'Previous Rank'!$B$2:$B2766=B128,'Previous Rank'!$C$2:$C2766=C128))=1,filter('Previous Rank'!$A$2:$A2766,'Previous Rank'!$B$2:$B2766=B128,'Previous Rank'!$C$2:$C2766=C128),"""")"),158.0)</f>
        <v>158</v>
      </c>
      <c r="H128" s="8">
        <f t="shared" si="1"/>
        <v>31</v>
      </c>
    </row>
    <row r="129">
      <c r="A129" s="10">
        <v>128.0</v>
      </c>
      <c r="B129" s="11" t="s">
        <v>192</v>
      </c>
      <c r="C129" s="10" t="s">
        <v>22</v>
      </c>
      <c r="D129" s="10" t="s">
        <v>49</v>
      </c>
      <c r="E129" s="12">
        <v>136.4</v>
      </c>
      <c r="F129" s="12">
        <v>7.5</v>
      </c>
      <c r="G129" s="13">
        <f>IFERROR(__xludf.DUMMYFUNCTION("if(counta(filter('Previous Rank'!$A$2:$A2766,'Previous Rank'!$B$2:$B2766=B129,'Previous Rank'!$C$2:$C2766=C129))=1,filter('Previous Rank'!$A$2:$A2766,'Previous Rank'!$B$2:$B2766=B129,'Previous Rank'!$C$2:$C2766=C129),"""")"),123.0)</f>
        <v>123</v>
      </c>
      <c r="H129" s="8">
        <f t="shared" si="1"/>
        <v>-5</v>
      </c>
    </row>
    <row r="130">
      <c r="A130" s="10">
        <v>129.0</v>
      </c>
      <c r="B130" s="11" t="s">
        <v>193</v>
      </c>
      <c r="C130" s="10" t="s">
        <v>150</v>
      </c>
      <c r="D130" s="10" t="s">
        <v>18</v>
      </c>
      <c r="E130" s="14">
        <v>137.2</v>
      </c>
      <c r="F130" s="14">
        <v>7.3</v>
      </c>
      <c r="G130" s="13">
        <f>IFERROR(__xludf.DUMMYFUNCTION("if(counta(filter('Previous Rank'!$A$2:$A2766,'Previous Rank'!$B$2:$B2766=B130,'Previous Rank'!$C$2:$C2766=C130))=1,filter('Previous Rank'!$A$2:$A2766,'Previous Rank'!$B$2:$B2766=B130,'Previous Rank'!$C$2:$C2766=C130),"""")"),125.0)</f>
        <v>125</v>
      </c>
      <c r="H130" s="8">
        <f t="shared" si="1"/>
        <v>-4</v>
      </c>
    </row>
    <row r="131">
      <c r="A131" s="10">
        <v>130.0</v>
      </c>
      <c r="B131" s="11" t="s">
        <v>194</v>
      </c>
      <c r="C131" s="10" t="s">
        <v>22</v>
      </c>
      <c r="D131" s="10" t="s">
        <v>113</v>
      </c>
      <c r="E131" s="12">
        <v>150.4</v>
      </c>
      <c r="F131" s="12">
        <v>6.0</v>
      </c>
      <c r="G131" s="13">
        <f>IFERROR(__xludf.DUMMYFUNCTION("if(counta(filter('Previous Rank'!$A$2:$A2766,'Previous Rank'!$B$2:$B2766=B131,'Previous Rank'!$C$2:$C2766=C131))=1,filter('Previous Rank'!$A$2:$A2766,'Previous Rank'!$B$2:$B2766=B131,'Previous Rank'!$C$2:$C2766=C131),"""")"),130.0)</f>
        <v>130</v>
      </c>
      <c r="H131" s="8">
        <f t="shared" si="1"/>
        <v>0</v>
      </c>
    </row>
    <row r="132">
      <c r="A132" s="10">
        <v>131.0</v>
      </c>
      <c r="B132" s="11" t="s">
        <v>195</v>
      </c>
      <c r="C132" s="10" t="s">
        <v>20</v>
      </c>
      <c r="D132" s="10" t="s">
        <v>23</v>
      </c>
      <c r="E132" s="14">
        <v>161.2</v>
      </c>
      <c r="F132" s="14">
        <v>5.7</v>
      </c>
      <c r="G132" s="13">
        <f>IFERROR(__xludf.DUMMYFUNCTION("if(counta(filter('Previous Rank'!$A$2:$A2766,'Previous Rank'!$B$2:$B2766=B132,'Previous Rank'!$C$2:$C2766=C132))=1,filter('Previous Rank'!$A$2:$A2766,'Previous Rank'!$B$2:$B2766=B132,'Previous Rank'!$C$2:$C2766=C132),"""")"),134.0)</f>
        <v>134</v>
      </c>
      <c r="H132" s="8">
        <f t="shared" si="1"/>
        <v>3</v>
      </c>
    </row>
    <row r="133">
      <c r="A133" s="10">
        <v>132.0</v>
      </c>
      <c r="B133" s="11" t="s">
        <v>196</v>
      </c>
      <c r="C133" s="10" t="s">
        <v>150</v>
      </c>
      <c r="D133" s="10" t="s">
        <v>15</v>
      </c>
      <c r="E133" s="12">
        <v>146.2</v>
      </c>
      <c r="F133" s="12">
        <v>5.7</v>
      </c>
      <c r="G133" s="13">
        <f>IFERROR(__xludf.DUMMYFUNCTION("if(counta(filter('Previous Rank'!$A$2:$A2766,'Previous Rank'!$B$2:$B2766=B133,'Previous Rank'!$C$2:$C2766=C133))=1,filter('Previous Rank'!$A$2:$A2766,'Previous Rank'!$B$2:$B2766=B133,'Previous Rank'!$C$2:$C2766=C133),"""")"),135.0)</f>
        <v>135</v>
      </c>
      <c r="H133" s="8">
        <f t="shared" si="1"/>
        <v>3</v>
      </c>
    </row>
    <row r="134">
      <c r="A134" s="10">
        <v>133.0</v>
      </c>
      <c r="B134" s="11" t="s">
        <v>197</v>
      </c>
      <c r="C134" s="10" t="s">
        <v>14</v>
      </c>
      <c r="D134" s="10" t="s">
        <v>25</v>
      </c>
      <c r="E134" s="14">
        <v>171.0</v>
      </c>
      <c r="F134" s="14">
        <v>3.5</v>
      </c>
      <c r="G134" s="13">
        <f>IFERROR(__xludf.DUMMYFUNCTION("if(counta(filter('Previous Rank'!$A$2:$A2766,'Previous Rank'!$B$2:$B2766=B134,'Previous Rank'!$C$2:$C2766=C134))=1,filter('Previous Rank'!$A$2:$A2766,'Previous Rank'!$B$2:$B2766=B134,'Previous Rank'!$C$2:$C2766=C134),"""")"),145.0)</f>
        <v>145</v>
      </c>
      <c r="H134" s="8">
        <f t="shared" si="1"/>
        <v>12</v>
      </c>
    </row>
    <row r="135">
      <c r="A135" s="10">
        <v>134.0</v>
      </c>
      <c r="B135" s="11" t="s">
        <v>198</v>
      </c>
      <c r="C135" s="10" t="s">
        <v>199</v>
      </c>
      <c r="D135" s="10" t="s">
        <v>9</v>
      </c>
      <c r="E135" s="12">
        <v>128.8</v>
      </c>
      <c r="F135" s="12">
        <v>8.1</v>
      </c>
      <c r="G135" s="13">
        <f>IFERROR(__xludf.DUMMYFUNCTION("if(counta(filter('Previous Rank'!$A$2:$A2766,'Previous Rank'!$B$2:$B2766=B135,'Previous Rank'!$C$2:$C2766=C135))=1,filter('Previous Rank'!$A$2:$A2766,'Previous Rank'!$B$2:$B2766=B135,'Previous Rank'!$C$2:$C2766=C135),"""")"),136.0)</f>
        <v>136</v>
      </c>
      <c r="H135" s="8">
        <f t="shared" si="1"/>
        <v>2</v>
      </c>
    </row>
    <row r="136">
      <c r="A136" s="10">
        <v>135.0</v>
      </c>
      <c r="B136" s="11" t="s">
        <v>200</v>
      </c>
      <c r="C136" s="10" t="s">
        <v>22</v>
      </c>
      <c r="D136" s="10" t="s">
        <v>9</v>
      </c>
      <c r="E136" s="14">
        <v>108.9</v>
      </c>
      <c r="F136" s="14">
        <v>10.0</v>
      </c>
      <c r="G136" s="13">
        <f>IFERROR(__xludf.DUMMYFUNCTION("if(counta(filter('Previous Rank'!$A$2:$A2766,'Previous Rank'!$B$2:$B2766=B136,'Previous Rank'!$C$2:$C2766=C136))=1,filter('Previous Rank'!$A$2:$A2766,'Previous Rank'!$B$2:$B2766=B136,'Previous Rank'!$C$2:$C2766=C136),"""")"),122.0)</f>
        <v>122</v>
      </c>
      <c r="H136" s="8">
        <f t="shared" si="1"/>
        <v>-13</v>
      </c>
    </row>
    <row r="137">
      <c r="A137" s="10">
        <v>136.0</v>
      </c>
      <c r="B137" s="11" t="s">
        <v>201</v>
      </c>
      <c r="C137" s="10" t="s">
        <v>17</v>
      </c>
      <c r="D137" s="10" t="s">
        <v>85</v>
      </c>
      <c r="E137" s="12">
        <v>179.1</v>
      </c>
      <c r="F137" s="12">
        <v>3.1</v>
      </c>
      <c r="G137" s="13">
        <f>IFERROR(__xludf.DUMMYFUNCTION("if(counta(filter('Previous Rank'!$A$2:$A2766,'Previous Rank'!$B$2:$B2766=B137,'Previous Rank'!$C$2:$C2766=C137))=1,filter('Previous Rank'!$A$2:$A2766,'Previous Rank'!$B$2:$B2766=B137,'Previous Rank'!$C$2:$C2766=C137),"""")"),152.0)</f>
        <v>152</v>
      </c>
      <c r="H137" s="8">
        <f t="shared" si="1"/>
        <v>16</v>
      </c>
    </row>
    <row r="138">
      <c r="A138" s="10">
        <v>137.0</v>
      </c>
      <c r="B138" s="11" t="s">
        <v>202</v>
      </c>
      <c r="C138" s="10" t="s">
        <v>22</v>
      </c>
      <c r="D138" s="10" t="s">
        <v>52</v>
      </c>
      <c r="E138" s="14">
        <v>159.1</v>
      </c>
      <c r="F138" s="14">
        <v>3.4</v>
      </c>
      <c r="G138" s="13">
        <f>IFERROR(__xludf.DUMMYFUNCTION("if(counta(filter('Previous Rank'!$A$2:$A2766,'Previous Rank'!$B$2:$B2766=B138,'Previous Rank'!$C$2:$C2766=C138))=1,filter('Previous Rank'!$A$2:$A2766,'Previous Rank'!$B$2:$B2766=B138,'Previous Rank'!$C$2:$C2766=C138),"""")"),149.0)</f>
        <v>149</v>
      </c>
      <c r="H138" s="8">
        <f t="shared" si="1"/>
        <v>12</v>
      </c>
    </row>
    <row r="139">
      <c r="A139" s="10">
        <v>138.0</v>
      </c>
      <c r="B139" s="11" t="s">
        <v>203</v>
      </c>
      <c r="C139" s="10" t="s">
        <v>17</v>
      </c>
      <c r="D139" s="10" t="s">
        <v>36</v>
      </c>
      <c r="E139" s="12">
        <v>158.3</v>
      </c>
      <c r="F139" s="12">
        <v>6.3</v>
      </c>
      <c r="G139" s="13">
        <f>IFERROR(__xludf.DUMMYFUNCTION("if(counta(filter('Previous Rank'!$A$2:$A2766,'Previous Rank'!$B$2:$B2766=B139,'Previous Rank'!$C$2:$C2766=C139))=1,filter('Previous Rank'!$A$2:$A2766,'Previous Rank'!$B$2:$B2766=B139,'Previous Rank'!$C$2:$C2766=C139),"""")"),128.0)</f>
        <v>128</v>
      </c>
      <c r="H139" s="8">
        <f t="shared" si="1"/>
        <v>-10</v>
      </c>
    </row>
    <row r="140">
      <c r="A140" s="10">
        <v>139.0</v>
      </c>
      <c r="B140" s="11" t="s">
        <v>204</v>
      </c>
      <c r="C140" s="10" t="s">
        <v>11</v>
      </c>
      <c r="D140" s="10" t="s">
        <v>46</v>
      </c>
      <c r="E140" s="14">
        <v>131.6</v>
      </c>
      <c r="F140" s="14">
        <v>8.4</v>
      </c>
      <c r="G140" s="13">
        <f>IFERROR(__xludf.DUMMYFUNCTION("if(counta(filter('Previous Rank'!$A$2:$A2766,'Previous Rank'!$B$2:$B2766=B140,'Previous Rank'!$C$2:$C2766=C140))=1,filter('Previous Rank'!$A$2:$A2766,'Previous Rank'!$B$2:$B2766=B140,'Previous Rank'!$C$2:$C2766=C140),"""")"),120.0)</f>
        <v>120</v>
      </c>
      <c r="H140" s="8">
        <f t="shared" si="1"/>
        <v>-19</v>
      </c>
    </row>
    <row r="141">
      <c r="A141" s="10">
        <v>140.0</v>
      </c>
      <c r="B141" s="11" t="s">
        <v>205</v>
      </c>
      <c r="C141" s="10" t="s">
        <v>77</v>
      </c>
      <c r="D141" s="10" t="s">
        <v>206</v>
      </c>
      <c r="E141" s="12">
        <v>132.8</v>
      </c>
      <c r="F141" s="12">
        <v>6.5</v>
      </c>
      <c r="G141" s="13">
        <f>IFERROR(__xludf.DUMMYFUNCTION("if(counta(filter('Previous Rank'!$A$2:$A2766,'Previous Rank'!$B$2:$B2766=B141,'Previous Rank'!$C$2:$C2766=C141))=1,filter('Previous Rank'!$A$2:$A2766,'Previous Rank'!$B$2:$B2766=B141,'Previous Rank'!$C$2:$C2766=C141),"""")"),131.0)</f>
        <v>131</v>
      </c>
      <c r="H141" s="8">
        <f t="shared" si="1"/>
        <v>-9</v>
      </c>
    </row>
    <row r="142">
      <c r="A142" s="10">
        <v>141.0</v>
      </c>
      <c r="B142" s="11" t="s">
        <v>207</v>
      </c>
      <c r="C142" s="10" t="s">
        <v>79</v>
      </c>
      <c r="D142" s="10" t="s">
        <v>82</v>
      </c>
      <c r="E142" s="14">
        <v>109.0</v>
      </c>
      <c r="F142" s="14">
        <v>7.5</v>
      </c>
      <c r="G142" s="13">
        <f>IFERROR(__xludf.DUMMYFUNCTION("if(counta(filter('Previous Rank'!$A$2:$A2766,'Previous Rank'!$B$2:$B2766=B142,'Previous Rank'!$C$2:$C2766=C142))=1,filter('Previous Rank'!$A$2:$A2766,'Previous Rank'!$B$2:$B2766=B142,'Previous Rank'!$C$2:$C2766=C142),"""")"),146.0)</f>
        <v>146</v>
      </c>
      <c r="H142" s="8">
        <f t="shared" si="1"/>
        <v>5</v>
      </c>
    </row>
    <row r="143">
      <c r="A143" s="10">
        <v>142.0</v>
      </c>
      <c r="B143" s="11" t="s">
        <v>208</v>
      </c>
      <c r="C143" s="10" t="s">
        <v>17</v>
      </c>
      <c r="D143" s="10" t="s">
        <v>85</v>
      </c>
      <c r="E143" s="12">
        <v>167.4</v>
      </c>
      <c r="F143" s="12">
        <v>4.9</v>
      </c>
      <c r="G143" s="13">
        <f>IFERROR(__xludf.DUMMYFUNCTION("if(counta(filter('Previous Rank'!$A$2:$A2766,'Previous Rank'!$B$2:$B2766=B143,'Previous Rank'!$C$2:$C2766=C143))=1,filter('Previous Rank'!$A$2:$A2766,'Previous Rank'!$B$2:$B2766=B143,'Previous Rank'!$C$2:$C2766=C143),"""")"),137.0)</f>
        <v>137</v>
      </c>
      <c r="H143" s="8">
        <f t="shared" si="1"/>
        <v>-5</v>
      </c>
    </row>
    <row r="144">
      <c r="A144" s="10">
        <v>143.0</v>
      </c>
      <c r="B144" s="11" t="s">
        <v>209</v>
      </c>
      <c r="C144" s="10" t="s">
        <v>11</v>
      </c>
      <c r="D144" s="10" t="s">
        <v>15</v>
      </c>
      <c r="E144" s="14">
        <v>130.2</v>
      </c>
      <c r="F144" s="14">
        <v>6.7</v>
      </c>
      <c r="G144" s="13">
        <f>IFERROR(__xludf.DUMMYFUNCTION("if(counta(filter('Previous Rank'!$A$2:$A2766,'Previous Rank'!$B$2:$B2766=B144,'Previous Rank'!$C$2:$C2766=C144))=1,filter('Previous Rank'!$A$2:$A2766,'Previous Rank'!$B$2:$B2766=B144,'Previous Rank'!$C$2:$C2766=C144),"""")"),132.0)</f>
        <v>132</v>
      </c>
      <c r="H144" s="8">
        <f t="shared" si="1"/>
        <v>-11</v>
      </c>
    </row>
    <row r="145">
      <c r="A145" s="10">
        <v>144.0</v>
      </c>
      <c r="B145" s="11" t="s">
        <v>210</v>
      </c>
      <c r="C145" s="10" t="s">
        <v>22</v>
      </c>
      <c r="D145" s="10" t="s">
        <v>95</v>
      </c>
      <c r="E145" s="12">
        <v>182.4</v>
      </c>
      <c r="F145" s="12">
        <v>2.2</v>
      </c>
      <c r="G145" s="13">
        <f>IFERROR(__xludf.DUMMYFUNCTION("if(counta(filter('Previous Rank'!$A$2:$A2766,'Previous Rank'!$B$2:$B2766=B145,'Previous Rank'!$C$2:$C2766=C145))=1,filter('Previous Rank'!$A$2:$A2766,'Previous Rank'!$B$2:$B2766=B145,'Previous Rank'!$C$2:$C2766=C145),"""")"),163.0)</f>
        <v>163</v>
      </c>
      <c r="H145" s="8">
        <f t="shared" si="1"/>
        <v>19</v>
      </c>
    </row>
    <row r="146">
      <c r="A146" s="10">
        <v>145.0</v>
      </c>
      <c r="B146" s="11" t="s">
        <v>211</v>
      </c>
      <c r="C146" s="10" t="s">
        <v>20</v>
      </c>
      <c r="D146" s="10" t="s">
        <v>129</v>
      </c>
      <c r="E146" s="14">
        <v>175.7</v>
      </c>
      <c r="F146" s="14">
        <v>4.5</v>
      </c>
      <c r="G146" s="13">
        <f>IFERROR(__xludf.DUMMYFUNCTION("if(counta(filter('Previous Rank'!$A$2:$A2766,'Previous Rank'!$B$2:$B2766=B146,'Previous Rank'!$C$2:$C2766=C146))=1,filter('Previous Rank'!$A$2:$A2766,'Previous Rank'!$B$2:$B2766=B146,'Previous Rank'!$C$2:$C2766=C146),"""")"),140.0)</f>
        <v>140</v>
      </c>
      <c r="H146" s="8">
        <f t="shared" si="1"/>
        <v>-5</v>
      </c>
    </row>
    <row r="147">
      <c r="A147" s="10">
        <v>146.0</v>
      </c>
      <c r="B147" s="11" t="s">
        <v>212</v>
      </c>
      <c r="C147" s="10" t="s">
        <v>136</v>
      </c>
      <c r="D147" s="10" t="s">
        <v>95</v>
      </c>
      <c r="E147" s="12">
        <v>172.0</v>
      </c>
      <c r="F147" s="12">
        <v>3.9</v>
      </c>
      <c r="G147" s="13">
        <f>IFERROR(__xludf.DUMMYFUNCTION("if(counta(filter('Previous Rank'!$A$2:$A2766,'Previous Rank'!$B$2:$B2766=B147,'Previous Rank'!$C$2:$C2766=C147))=1,filter('Previous Rank'!$A$2:$A2766,'Previous Rank'!$B$2:$B2766=B147,'Previous Rank'!$C$2:$C2766=C147),"""")"),148.0)</f>
        <v>148</v>
      </c>
      <c r="H147" s="8">
        <f t="shared" si="1"/>
        <v>2</v>
      </c>
    </row>
    <row r="148">
      <c r="A148" s="10">
        <v>147.0</v>
      </c>
      <c r="B148" s="11" t="s">
        <v>213</v>
      </c>
      <c r="C148" s="10" t="s">
        <v>79</v>
      </c>
      <c r="D148" s="10" t="s">
        <v>15</v>
      </c>
      <c r="E148" s="14">
        <v>104.2</v>
      </c>
      <c r="F148" s="14">
        <v>8.3</v>
      </c>
      <c r="G148" s="13">
        <f>IFERROR(__xludf.DUMMYFUNCTION("if(counta(filter('Previous Rank'!$A$2:$A2766,'Previous Rank'!$B$2:$B2766=B148,'Previous Rank'!$C$2:$C2766=C148))=1,filter('Previous Rank'!$A$2:$A2766,'Previous Rank'!$B$2:$B2766=B148,'Previous Rank'!$C$2:$C2766=C148),"""")"),179.0)</f>
        <v>179</v>
      </c>
      <c r="H148" s="8">
        <f t="shared" si="1"/>
        <v>32</v>
      </c>
    </row>
    <row r="149">
      <c r="A149" s="10">
        <v>148.0</v>
      </c>
      <c r="B149" s="11" t="s">
        <v>214</v>
      </c>
      <c r="C149" s="10" t="s">
        <v>189</v>
      </c>
      <c r="D149" s="10" t="s">
        <v>95</v>
      </c>
      <c r="E149" s="12">
        <v>169.4</v>
      </c>
      <c r="F149" s="12">
        <v>3.0</v>
      </c>
      <c r="G149" s="13">
        <f>IFERROR(__xludf.DUMMYFUNCTION("if(counta(filter('Previous Rank'!$A$2:$A2766,'Previous Rank'!$B$2:$B2766=B149,'Previous Rank'!$C$2:$C2766=C149))=1,filter('Previous Rank'!$A$2:$A2766,'Previous Rank'!$B$2:$B2766=B149,'Previous Rank'!$C$2:$C2766=C149),"""")"),166.0)</f>
        <v>166</v>
      </c>
      <c r="H149" s="8">
        <f t="shared" si="1"/>
        <v>18</v>
      </c>
    </row>
    <row r="150">
      <c r="A150" s="10">
        <v>149.0</v>
      </c>
      <c r="B150" s="11" t="s">
        <v>215</v>
      </c>
      <c r="C150" s="10" t="s">
        <v>69</v>
      </c>
      <c r="D150" s="10" t="s">
        <v>23</v>
      </c>
      <c r="E150" s="14">
        <v>149.7</v>
      </c>
      <c r="F150" s="14">
        <v>5.5</v>
      </c>
      <c r="G150" s="13">
        <f>IFERROR(__xludf.DUMMYFUNCTION("if(counta(filter('Previous Rank'!$A$2:$A2766,'Previous Rank'!$B$2:$B2766=B150,'Previous Rank'!$C$2:$C2766=C150))=1,filter('Previous Rank'!$A$2:$A2766,'Previous Rank'!$B$2:$B2766=B150,'Previous Rank'!$C$2:$C2766=C150),"""")"),141.0)</f>
        <v>141</v>
      </c>
      <c r="H150" s="8">
        <f t="shared" si="1"/>
        <v>-8</v>
      </c>
    </row>
    <row r="151">
      <c r="A151" s="10">
        <v>150.0</v>
      </c>
      <c r="B151" s="11" t="s">
        <v>216</v>
      </c>
      <c r="C151" s="10" t="s">
        <v>63</v>
      </c>
      <c r="D151" s="10" t="s">
        <v>25</v>
      </c>
      <c r="E151" s="12">
        <v>182.4</v>
      </c>
      <c r="F151" s="12">
        <v>3.3</v>
      </c>
      <c r="G151" s="13">
        <f>IFERROR(__xludf.DUMMYFUNCTION("if(counta(filter('Previous Rank'!$A$2:$A2766,'Previous Rank'!$B$2:$B2766=B151,'Previous Rank'!$C$2:$C2766=C151))=1,filter('Previous Rank'!$A$2:$A2766,'Previous Rank'!$B$2:$B2766=B151,'Previous Rank'!$C$2:$C2766=C151),"""")"),153.0)</f>
        <v>153</v>
      </c>
      <c r="H151" s="8">
        <f t="shared" si="1"/>
        <v>3</v>
      </c>
    </row>
    <row r="152">
      <c r="A152" s="10">
        <v>151.0</v>
      </c>
      <c r="B152" s="11" t="s">
        <v>217</v>
      </c>
      <c r="C152" s="10" t="s">
        <v>218</v>
      </c>
      <c r="D152" s="10" t="s">
        <v>42</v>
      </c>
      <c r="E152" s="14">
        <v>167.4</v>
      </c>
      <c r="F152" s="14">
        <v>2.8</v>
      </c>
      <c r="G152" s="13">
        <f>IFERROR(__xludf.DUMMYFUNCTION("if(counta(filter('Previous Rank'!$A$2:$A2766,'Previous Rank'!$B$2:$B2766=B152,'Previous Rank'!$C$2:$C2766=C152))=1,filter('Previous Rank'!$A$2:$A2766,'Previous Rank'!$B$2:$B2766=B152,'Previous Rank'!$C$2:$C2766=C152),"""")"),154.0)</f>
        <v>154</v>
      </c>
      <c r="H152" s="8">
        <f t="shared" si="1"/>
        <v>3</v>
      </c>
    </row>
    <row r="153">
      <c r="A153" s="10">
        <v>152.0</v>
      </c>
      <c r="B153" s="11" t="s">
        <v>219</v>
      </c>
      <c r="C153" s="10" t="s">
        <v>220</v>
      </c>
      <c r="D153" s="10" t="s">
        <v>46</v>
      </c>
      <c r="E153" s="12">
        <v>169.4</v>
      </c>
      <c r="F153" s="12">
        <v>3.6</v>
      </c>
      <c r="G153" s="13">
        <f>IFERROR(__xludf.DUMMYFUNCTION("if(counta(filter('Previous Rank'!$A$2:$A2766,'Previous Rank'!$B$2:$B2766=B153,'Previous Rank'!$C$2:$C2766=C153))=1,filter('Previous Rank'!$A$2:$A2766,'Previous Rank'!$B$2:$B2766=B153,'Previous Rank'!$C$2:$C2766=C153),"""")"),192.0)</f>
        <v>192</v>
      </c>
      <c r="H153" s="8">
        <f t="shared" si="1"/>
        <v>40</v>
      </c>
    </row>
    <row r="154">
      <c r="A154" s="10">
        <v>153.0</v>
      </c>
      <c r="B154" s="11" t="s">
        <v>221</v>
      </c>
      <c r="C154" s="10" t="s">
        <v>20</v>
      </c>
      <c r="D154" s="10" t="s">
        <v>27</v>
      </c>
      <c r="E154" s="14">
        <v>168.1</v>
      </c>
      <c r="F154" s="14">
        <v>3.0</v>
      </c>
      <c r="G154" s="13">
        <f>IFERROR(__xludf.DUMMYFUNCTION("if(counta(filter('Previous Rank'!$A$2:$A2766,'Previous Rank'!$B$2:$B2766=B154,'Previous Rank'!$C$2:$C2766=C154))=1,filter('Previous Rank'!$A$2:$A2766,'Previous Rank'!$B$2:$B2766=B154,'Previous Rank'!$C$2:$C2766=C154),"""")"),162.0)</f>
        <v>162</v>
      </c>
      <c r="H154" s="8">
        <f t="shared" si="1"/>
        <v>9</v>
      </c>
    </row>
    <row r="155">
      <c r="A155" s="10">
        <v>154.0</v>
      </c>
      <c r="B155" s="11" t="s">
        <v>222</v>
      </c>
      <c r="C155" s="10" t="s">
        <v>20</v>
      </c>
      <c r="D155" s="10" t="s">
        <v>73</v>
      </c>
      <c r="E155" s="12">
        <v>173.7</v>
      </c>
      <c r="F155" s="12">
        <v>4.9</v>
      </c>
      <c r="G155" s="13">
        <f>IFERROR(__xludf.DUMMYFUNCTION("if(counta(filter('Previous Rank'!$A$2:$A2766,'Previous Rank'!$B$2:$B2766=B155,'Previous Rank'!$C$2:$C2766=C155))=1,filter('Previous Rank'!$A$2:$A2766,'Previous Rank'!$B$2:$B2766=B155,'Previous Rank'!$C$2:$C2766=C155),"""")"),138.0)</f>
        <v>138</v>
      </c>
      <c r="H155" s="8">
        <f t="shared" si="1"/>
        <v>-16</v>
      </c>
    </row>
    <row r="156">
      <c r="A156" s="10">
        <v>155.0</v>
      </c>
      <c r="B156" s="11" t="s">
        <v>223</v>
      </c>
      <c r="C156" s="10" t="s">
        <v>22</v>
      </c>
      <c r="D156" s="10" t="s">
        <v>113</v>
      </c>
      <c r="E156" s="14">
        <v>188.8</v>
      </c>
      <c r="F156" s="14">
        <v>2.0</v>
      </c>
      <c r="G156" s="13">
        <f>IFERROR(__xludf.DUMMYFUNCTION("if(counta(filter('Previous Rank'!$A$2:$A2766,'Previous Rank'!$B$2:$B2766=B156,'Previous Rank'!$C$2:$C2766=C156))=1,filter('Previous Rank'!$A$2:$A2766,'Previous Rank'!$B$2:$B2766=B156,'Previous Rank'!$C$2:$C2766=C156),"""")"),168.0)</f>
        <v>168</v>
      </c>
      <c r="H156" s="8">
        <f t="shared" si="1"/>
        <v>13</v>
      </c>
    </row>
    <row r="157">
      <c r="A157" s="10">
        <v>156.0</v>
      </c>
      <c r="B157" s="11" t="s">
        <v>224</v>
      </c>
      <c r="C157" s="10" t="s">
        <v>11</v>
      </c>
      <c r="D157" s="10" t="s">
        <v>137</v>
      </c>
      <c r="E157" s="12">
        <v>180.8</v>
      </c>
      <c r="F157" s="12">
        <v>2.7</v>
      </c>
      <c r="G157" s="13">
        <f>IFERROR(__xludf.DUMMYFUNCTION("if(counta(filter('Previous Rank'!$A$2:$A2766,'Previous Rank'!$B$2:$B2766=B157,'Previous Rank'!$C$2:$C2766=C157))=1,filter('Previous Rank'!$A$2:$A2766,'Previous Rank'!$B$2:$B2766=B157,'Previous Rank'!$C$2:$C2766=C157),"""")"),169.0)</f>
        <v>169</v>
      </c>
      <c r="H157" s="8">
        <f t="shared" si="1"/>
        <v>13</v>
      </c>
    </row>
    <row r="158">
      <c r="A158" s="10">
        <v>157.0</v>
      </c>
      <c r="B158" s="11" t="s">
        <v>225</v>
      </c>
      <c r="C158" s="10" t="s">
        <v>11</v>
      </c>
      <c r="D158" s="10" t="s">
        <v>23</v>
      </c>
      <c r="E158" s="14">
        <v>197.1</v>
      </c>
      <c r="F158" s="14">
        <v>2.4</v>
      </c>
      <c r="G158" s="13">
        <f>IFERROR(__xludf.DUMMYFUNCTION("if(counta(filter('Previous Rank'!$A$2:$A2766,'Previous Rank'!$B$2:$B2766=B158,'Previous Rank'!$C$2:$C2766=C158))=1,filter('Previous Rank'!$A$2:$A2766,'Previous Rank'!$B$2:$B2766=B158,'Previous Rank'!$C$2:$C2766=C158),"""")"),190.0)</f>
        <v>190</v>
      </c>
      <c r="H158" s="8">
        <f t="shared" si="1"/>
        <v>33</v>
      </c>
    </row>
    <row r="159">
      <c r="A159" s="10">
        <v>158.0</v>
      </c>
      <c r="B159" s="11" t="s">
        <v>226</v>
      </c>
      <c r="C159" s="10" t="s">
        <v>55</v>
      </c>
      <c r="D159" s="10" t="s">
        <v>206</v>
      </c>
      <c r="E159" s="12">
        <v>190.7</v>
      </c>
      <c r="F159" s="12">
        <v>6.1</v>
      </c>
      <c r="G159" s="13">
        <f>IFERROR(__xludf.DUMMYFUNCTION("if(counta(filter('Previous Rank'!$A$2:$A2766,'Previous Rank'!$B$2:$B2766=B159,'Previous Rank'!$C$2:$C2766=C159))=1,filter('Previous Rank'!$A$2:$A2766,'Previous Rank'!$B$2:$B2766=B159,'Previous Rank'!$C$2:$C2766=C159),"""")"),2481.0)</f>
        <v>2481</v>
      </c>
      <c r="H159" s="8">
        <f t="shared" si="1"/>
        <v>2323</v>
      </c>
    </row>
    <row r="160">
      <c r="A160" s="10">
        <v>159.0</v>
      </c>
      <c r="B160" s="11" t="s">
        <v>227</v>
      </c>
      <c r="C160" s="10" t="s">
        <v>218</v>
      </c>
      <c r="D160" s="10" t="s">
        <v>82</v>
      </c>
      <c r="E160" s="14">
        <v>155.1</v>
      </c>
      <c r="F160" s="14">
        <v>3.4</v>
      </c>
      <c r="G160" s="13">
        <f>IFERROR(__xludf.DUMMYFUNCTION("if(counta(filter('Previous Rank'!$A$2:$A2766,'Previous Rank'!$B$2:$B2766=B160,'Previous Rank'!$C$2:$C2766=C160))=1,filter('Previous Rank'!$A$2:$A2766,'Previous Rank'!$B$2:$B2766=B160,'Previous Rank'!$C$2:$C2766=C160),"""")"),150.0)</f>
        <v>150</v>
      </c>
      <c r="H160" s="8">
        <f t="shared" si="1"/>
        <v>-9</v>
      </c>
    </row>
    <row r="161">
      <c r="A161" s="10">
        <v>160.0</v>
      </c>
      <c r="B161" s="11" t="s">
        <v>228</v>
      </c>
      <c r="C161" s="10" t="s">
        <v>69</v>
      </c>
      <c r="D161" s="10" t="s">
        <v>113</v>
      </c>
      <c r="E161" s="12">
        <v>227.9</v>
      </c>
      <c r="F161" s="12">
        <v>1.8</v>
      </c>
      <c r="G161" s="13">
        <f>IFERROR(__xludf.DUMMYFUNCTION("if(counta(filter('Previous Rank'!$A$2:$A2766,'Previous Rank'!$B$2:$B2766=B161,'Previous Rank'!$C$2:$C2766=C161))=1,filter('Previous Rank'!$A$2:$A2766,'Previous Rank'!$B$2:$B2766=B161,'Previous Rank'!$C$2:$C2766=C161),"""")"),177.0)</f>
        <v>177</v>
      </c>
      <c r="H161" s="8">
        <f t="shared" si="1"/>
        <v>17</v>
      </c>
    </row>
    <row r="162">
      <c r="A162" s="10">
        <v>161.0</v>
      </c>
      <c r="B162" s="11" t="s">
        <v>229</v>
      </c>
      <c r="C162" s="10" t="s">
        <v>22</v>
      </c>
      <c r="D162" s="10" t="s">
        <v>27</v>
      </c>
      <c r="E162" s="14">
        <v>174.9</v>
      </c>
      <c r="F162" s="14">
        <v>2.1</v>
      </c>
      <c r="G162" s="13">
        <f>IFERROR(__xludf.DUMMYFUNCTION("if(counta(filter('Previous Rank'!$A$2:$A2766,'Previous Rank'!$B$2:$B2766=B162,'Previous Rank'!$C$2:$C2766=C162))=1,filter('Previous Rank'!$A$2:$A2766,'Previous Rank'!$B$2:$B2766=B162,'Previous Rank'!$C$2:$C2766=C162),"""")"),156.0)</f>
        <v>156</v>
      </c>
      <c r="H162" s="8">
        <f t="shared" si="1"/>
        <v>-5</v>
      </c>
    </row>
    <row r="163">
      <c r="A163" s="10">
        <v>162.0</v>
      </c>
      <c r="B163" s="11" t="s">
        <v>230</v>
      </c>
      <c r="C163" s="10" t="s">
        <v>22</v>
      </c>
      <c r="D163" s="10" t="s">
        <v>73</v>
      </c>
      <c r="E163" s="12">
        <v>186.9</v>
      </c>
      <c r="F163" s="12">
        <v>2.0</v>
      </c>
      <c r="G163" s="13">
        <f>IFERROR(__xludf.DUMMYFUNCTION("if(counta(filter('Previous Rank'!$A$2:$A2766,'Previous Rank'!$B$2:$B2766=B163,'Previous Rank'!$C$2:$C2766=C163))=1,filter('Previous Rank'!$A$2:$A2766,'Previous Rank'!$B$2:$B2766=B163,'Previous Rank'!$C$2:$C2766=C163),"""")"),167.0)</f>
        <v>167</v>
      </c>
      <c r="H163" s="8">
        <f t="shared" si="1"/>
        <v>5</v>
      </c>
    </row>
    <row r="164">
      <c r="A164" s="10">
        <v>163.0</v>
      </c>
      <c r="B164" s="11" t="s">
        <v>231</v>
      </c>
      <c r="C164" s="10" t="s">
        <v>218</v>
      </c>
      <c r="D164" s="10" t="s">
        <v>206</v>
      </c>
      <c r="E164" s="14">
        <v>216.6</v>
      </c>
      <c r="F164" s="14">
        <v>2.6</v>
      </c>
      <c r="G164" s="13">
        <f>IFERROR(__xludf.DUMMYFUNCTION("if(counta(filter('Previous Rank'!$A$2:$A2766,'Previous Rank'!$B$2:$B2766=B164,'Previous Rank'!$C$2:$C2766=C164))=1,filter('Previous Rank'!$A$2:$A2766,'Previous Rank'!$B$2:$B2766=B164,'Previous Rank'!$C$2:$C2766=C164),"""")"),157.0)</f>
        <v>157</v>
      </c>
      <c r="H164" s="8">
        <f t="shared" si="1"/>
        <v>-6</v>
      </c>
    </row>
    <row r="165">
      <c r="A165" s="10">
        <v>164.0</v>
      </c>
      <c r="B165" s="11" t="s">
        <v>232</v>
      </c>
      <c r="C165" s="10" t="s">
        <v>148</v>
      </c>
      <c r="D165" s="10" t="s">
        <v>46</v>
      </c>
      <c r="E165" s="12">
        <v>128.4</v>
      </c>
      <c r="F165" s="12">
        <v>6.5</v>
      </c>
      <c r="G165" s="13">
        <f>IFERROR(__xludf.DUMMYFUNCTION("if(counta(filter('Previous Rank'!$A$2:$A2766,'Previous Rank'!$B$2:$B2766=B165,'Previous Rank'!$C$2:$C2766=C165))=1,filter('Previous Rank'!$A$2:$A2766,'Previous Rank'!$B$2:$B2766=B165,'Previous Rank'!$C$2:$C2766=C165),"""")"),143.0)</f>
        <v>143</v>
      </c>
      <c r="H165" s="8">
        <f t="shared" si="1"/>
        <v>-21</v>
      </c>
    </row>
    <row r="166">
      <c r="A166" s="10">
        <v>165.0</v>
      </c>
      <c r="B166" s="11" t="s">
        <v>233</v>
      </c>
      <c r="C166" s="10" t="s">
        <v>22</v>
      </c>
      <c r="D166" s="10" t="s">
        <v>27</v>
      </c>
      <c r="E166" s="14">
        <v>150.7</v>
      </c>
      <c r="F166" s="14">
        <v>3.5</v>
      </c>
      <c r="G166" s="13">
        <f>IFERROR(__xludf.DUMMYFUNCTION("if(counta(filter('Previous Rank'!$A$2:$A2766,'Previous Rank'!$B$2:$B2766=B166,'Previous Rank'!$C$2:$C2766=C166))=1,filter('Previous Rank'!$A$2:$A2766,'Previous Rank'!$B$2:$B2766=B166,'Previous Rank'!$C$2:$C2766=C166),"""")"),196.0)</f>
        <v>196</v>
      </c>
      <c r="H166" s="8">
        <f t="shared" si="1"/>
        <v>31</v>
      </c>
    </row>
    <row r="167">
      <c r="A167" s="10">
        <v>166.0</v>
      </c>
      <c r="B167" s="11" t="s">
        <v>234</v>
      </c>
      <c r="C167" s="10" t="s">
        <v>8</v>
      </c>
      <c r="D167" s="10" t="s">
        <v>23</v>
      </c>
      <c r="E167" s="12">
        <v>175.8</v>
      </c>
      <c r="F167" s="12">
        <v>3.4</v>
      </c>
      <c r="G167" s="13">
        <f>IFERROR(__xludf.DUMMYFUNCTION("if(counta(filter('Previous Rank'!$A$2:$A2766,'Previous Rank'!$B$2:$B2766=B167,'Previous Rank'!$C$2:$C2766=C167))=1,filter('Previous Rank'!$A$2:$A2766,'Previous Rank'!$B$2:$B2766=B167,'Previous Rank'!$C$2:$C2766=C167),"""")"),171.0)</f>
        <v>171</v>
      </c>
      <c r="H167" s="8">
        <f t="shared" si="1"/>
        <v>5</v>
      </c>
    </row>
    <row r="168">
      <c r="A168" s="10">
        <v>167.0</v>
      </c>
      <c r="B168" s="11" t="s">
        <v>235</v>
      </c>
      <c r="C168" s="10" t="s">
        <v>22</v>
      </c>
      <c r="D168" s="10" t="s">
        <v>42</v>
      </c>
      <c r="E168" s="14">
        <v>59.6</v>
      </c>
      <c r="F168" s="14">
        <v>19.6</v>
      </c>
      <c r="G168" s="13">
        <f>IFERROR(__xludf.DUMMYFUNCTION("if(counta(filter('Previous Rank'!$A$2:$A2766,'Previous Rank'!$B$2:$B2766=B168,'Previous Rank'!$C$2:$C2766=C168))=1,filter('Previous Rank'!$A$2:$A2766,'Previous Rank'!$B$2:$B2766=B168,'Previous Rank'!$C$2:$C2766=C168),"""")"),51.0)</f>
        <v>51</v>
      </c>
      <c r="H168" s="8">
        <f t="shared" si="1"/>
        <v>-116</v>
      </c>
    </row>
    <row r="169">
      <c r="A169" s="10">
        <v>168.0</v>
      </c>
      <c r="B169" s="11" t="s">
        <v>236</v>
      </c>
      <c r="C169" s="10" t="s">
        <v>55</v>
      </c>
      <c r="D169" s="10" t="s">
        <v>67</v>
      </c>
      <c r="E169" s="12">
        <v>211.8</v>
      </c>
      <c r="F169" s="12">
        <v>2.1</v>
      </c>
      <c r="G169" s="13">
        <f>IFERROR(__xludf.DUMMYFUNCTION("if(counta(filter('Previous Rank'!$A$2:$A2766,'Previous Rank'!$B$2:$B2766=B169,'Previous Rank'!$C$2:$C2766=C169))=1,filter('Previous Rank'!$A$2:$A2766,'Previous Rank'!$B$2:$B2766=B169,'Previous Rank'!$C$2:$C2766=C169),"""")"),173.0)</f>
        <v>173</v>
      </c>
      <c r="H169" s="8">
        <f t="shared" si="1"/>
        <v>5</v>
      </c>
    </row>
    <row r="170">
      <c r="A170" s="10">
        <v>169.0</v>
      </c>
      <c r="B170" s="11" t="s">
        <v>237</v>
      </c>
      <c r="C170" s="10" t="s">
        <v>48</v>
      </c>
      <c r="D170" s="10" t="s">
        <v>31</v>
      </c>
      <c r="E170" s="14">
        <v>201.4</v>
      </c>
      <c r="F170" s="14">
        <v>1.7</v>
      </c>
      <c r="G170" s="13">
        <f>IFERROR(__xludf.DUMMYFUNCTION("if(counta(filter('Previous Rank'!$A$2:$A2766,'Previous Rank'!$B$2:$B2766=B170,'Previous Rank'!$C$2:$C2766=C170))=1,filter('Previous Rank'!$A$2:$A2766,'Previous Rank'!$B$2:$B2766=B170,'Previous Rank'!$C$2:$C2766=C170),"""")"),170.0)</f>
        <v>170</v>
      </c>
      <c r="H170" s="8">
        <f t="shared" si="1"/>
        <v>1</v>
      </c>
    </row>
    <row r="171">
      <c r="A171" s="10">
        <v>170.0</v>
      </c>
      <c r="B171" s="11" t="s">
        <v>238</v>
      </c>
      <c r="C171" s="10" t="s">
        <v>22</v>
      </c>
      <c r="D171" s="10" t="s">
        <v>206</v>
      </c>
      <c r="E171" s="12">
        <v>184.9</v>
      </c>
      <c r="F171" s="12">
        <v>2.1</v>
      </c>
      <c r="G171" s="13">
        <f>IFERROR(__xludf.DUMMYFUNCTION("if(counta(filter('Previous Rank'!$A$2:$A2766,'Previous Rank'!$B$2:$B2766=B171,'Previous Rank'!$C$2:$C2766=C171))=1,filter('Previous Rank'!$A$2:$A2766,'Previous Rank'!$B$2:$B2766=B171,'Previous Rank'!$C$2:$C2766=C171),"""")"),178.0)</f>
        <v>178</v>
      </c>
      <c r="H171" s="8">
        <f t="shared" si="1"/>
        <v>8</v>
      </c>
    </row>
    <row r="172">
      <c r="A172" s="10">
        <v>171.0</v>
      </c>
      <c r="B172" s="11" t="s">
        <v>239</v>
      </c>
      <c r="C172" s="10" t="s">
        <v>240</v>
      </c>
      <c r="D172" s="10" t="s">
        <v>105</v>
      </c>
      <c r="E172" s="14">
        <v>166.8</v>
      </c>
      <c r="F172" s="14">
        <v>2.7</v>
      </c>
      <c r="G172" s="13">
        <f>IFERROR(__xludf.DUMMYFUNCTION("if(counta(filter('Previous Rank'!$A$2:$A2766,'Previous Rank'!$B$2:$B2766=B172,'Previous Rank'!$C$2:$C2766=C172))=1,filter('Previous Rank'!$A$2:$A2766,'Previous Rank'!$B$2:$B2766=B172,'Previous Rank'!$C$2:$C2766=C172),"""")"),165.0)</f>
        <v>165</v>
      </c>
      <c r="H172" s="8">
        <f t="shared" si="1"/>
        <v>-6</v>
      </c>
    </row>
    <row r="173">
      <c r="A173" s="10">
        <v>172.0</v>
      </c>
      <c r="B173" s="11" t="s">
        <v>241</v>
      </c>
      <c r="C173" s="10" t="s">
        <v>242</v>
      </c>
      <c r="D173" s="10" t="s">
        <v>140</v>
      </c>
      <c r="E173" s="12">
        <v>166.0</v>
      </c>
      <c r="F173" s="12">
        <v>4.2</v>
      </c>
      <c r="G173" s="13">
        <f>IFERROR(__xludf.DUMMYFUNCTION("if(counta(filter('Previous Rank'!$A$2:$A2766,'Previous Rank'!$B$2:$B2766=B173,'Previous Rank'!$C$2:$C2766=C173))=1,filter('Previous Rank'!$A$2:$A2766,'Previous Rank'!$B$2:$B2766=B173,'Previous Rank'!$C$2:$C2766=C173),"""")"),159.0)</f>
        <v>159</v>
      </c>
      <c r="H173" s="8">
        <f t="shared" si="1"/>
        <v>-13</v>
      </c>
    </row>
    <row r="174">
      <c r="A174" s="10">
        <v>173.0</v>
      </c>
      <c r="B174" s="11" t="s">
        <v>243</v>
      </c>
      <c r="C174" s="10" t="s">
        <v>79</v>
      </c>
      <c r="D174" s="10" t="s">
        <v>9</v>
      </c>
      <c r="E174" s="14">
        <v>132.4</v>
      </c>
      <c r="F174" s="14">
        <v>5.9</v>
      </c>
      <c r="G174" s="13">
        <f>IFERROR(__xludf.DUMMYFUNCTION("if(counta(filter('Previous Rank'!$A$2:$A2766,'Previous Rank'!$B$2:$B2766=B174,'Previous Rank'!$C$2:$C2766=C174))=1,filter('Previous Rank'!$A$2:$A2766,'Previous Rank'!$B$2:$B2766=B174,'Previous Rank'!$C$2:$C2766=C174),"""")"),212.0)</f>
        <v>212</v>
      </c>
      <c r="H174" s="8">
        <f t="shared" si="1"/>
        <v>39</v>
      </c>
    </row>
    <row r="175">
      <c r="A175" s="10">
        <v>174.0</v>
      </c>
      <c r="B175" s="11" t="s">
        <v>244</v>
      </c>
      <c r="C175" s="10" t="s">
        <v>218</v>
      </c>
      <c r="D175" s="10" t="s">
        <v>71</v>
      </c>
      <c r="E175" s="12">
        <v>184.3</v>
      </c>
      <c r="F175" s="12">
        <v>2.6</v>
      </c>
      <c r="G175" s="13">
        <f>IFERROR(__xludf.DUMMYFUNCTION("if(counta(filter('Previous Rank'!$A$2:$A2766,'Previous Rank'!$B$2:$B2766=B175,'Previous Rank'!$C$2:$C2766=C175))=1,filter('Previous Rank'!$A$2:$A2766,'Previous Rank'!$B$2:$B2766=B175,'Previous Rank'!$C$2:$C2766=C175),"""")"),164.0)</f>
        <v>164</v>
      </c>
      <c r="H175" s="8">
        <f t="shared" si="1"/>
        <v>-10</v>
      </c>
    </row>
    <row r="176">
      <c r="A176" s="10">
        <v>175.0</v>
      </c>
      <c r="B176" s="11" t="s">
        <v>245</v>
      </c>
      <c r="C176" s="10" t="s">
        <v>22</v>
      </c>
      <c r="D176" s="10" t="s">
        <v>122</v>
      </c>
      <c r="E176" s="14">
        <v>196.9</v>
      </c>
      <c r="F176" s="14">
        <v>1.8</v>
      </c>
      <c r="G176" s="13">
        <f>IFERROR(__xludf.DUMMYFUNCTION("if(counta(filter('Previous Rank'!$A$2:$A2766,'Previous Rank'!$B$2:$B2766=B176,'Previous Rank'!$C$2:$C2766=C176))=1,filter('Previous Rank'!$A$2:$A2766,'Previous Rank'!$B$2:$B2766=B176,'Previous Rank'!$C$2:$C2766=C176),"""")"),180.0)</f>
        <v>180</v>
      </c>
      <c r="H176" s="8">
        <f t="shared" si="1"/>
        <v>5</v>
      </c>
    </row>
    <row r="177">
      <c r="A177" s="10">
        <v>176.0</v>
      </c>
      <c r="B177" s="11" t="s">
        <v>246</v>
      </c>
      <c r="C177" s="10" t="s">
        <v>11</v>
      </c>
      <c r="D177" s="10" t="s">
        <v>9</v>
      </c>
      <c r="E177" s="12">
        <v>141.9</v>
      </c>
      <c r="F177" s="12">
        <v>4.9</v>
      </c>
      <c r="G177" s="13">
        <f>IFERROR(__xludf.DUMMYFUNCTION("if(counta(filter('Previous Rank'!$A$2:$A2766,'Previous Rank'!$B$2:$B2766=B177,'Previous Rank'!$C$2:$C2766=C177))=1,filter('Previous Rank'!$A$2:$A2766,'Previous Rank'!$B$2:$B2766=B177,'Previous Rank'!$C$2:$C2766=C177),"""")"),144.0)</f>
        <v>144</v>
      </c>
      <c r="H177" s="8">
        <f t="shared" si="1"/>
        <v>-32</v>
      </c>
    </row>
    <row r="178">
      <c r="A178" s="10">
        <v>177.0</v>
      </c>
      <c r="B178" s="11" t="s">
        <v>247</v>
      </c>
      <c r="C178" s="10" t="s">
        <v>69</v>
      </c>
      <c r="D178" s="10" t="s">
        <v>73</v>
      </c>
      <c r="E178" s="14">
        <v>215.1</v>
      </c>
      <c r="F178" s="14">
        <v>2.4</v>
      </c>
      <c r="G178" s="13">
        <f>IFERROR(__xludf.DUMMYFUNCTION("if(counta(filter('Previous Rank'!$A$2:$A2766,'Previous Rank'!$B$2:$B2766=B178,'Previous Rank'!$C$2:$C2766=C178))=1,filter('Previous Rank'!$A$2:$A2766,'Previous Rank'!$B$2:$B2766=B178,'Previous Rank'!$C$2:$C2766=C178),"""")"),160.0)</f>
        <v>160</v>
      </c>
      <c r="H178" s="8">
        <f t="shared" si="1"/>
        <v>-17</v>
      </c>
    </row>
    <row r="179">
      <c r="A179" s="10">
        <v>178.0</v>
      </c>
      <c r="B179" s="11" t="s">
        <v>248</v>
      </c>
      <c r="C179" s="10" t="s">
        <v>63</v>
      </c>
      <c r="D179" s="10" t="s">
        <v>120</v>
      </c>
      <c r="E179" s="12">
        <v>234.4</v>
      </c>
      <c r="F179" s="12">
        <v>2.2</v>
      </c>
      <c r="G179" s="13">
        <f>IFERROR(__xludf.DUMMYFUNCTION("if(counta(filter('Previous Rank'!$A$2:$A2766,'Previous Rank'!$B$2:$B2766=B179,'Previous Rank'!$C$2:$C2766=C179))=1,filter('Previous Rank'!$A$2:$A2766,'Previous Rank'!$B$2:$B2766=B179,'Previous Rank'!$C$2:$C2766=C179),"""")"),182.0)</f>
        <v>182</v>
      </c>
      <c r="H179" s="8">
        <f t="shared" si="1"/>
        <v>4</v>
      </c>
    </row>
    <row r="180">
      <c r="A180" s="10">
        <v>179.0</v>
      </c>
      <c r="B180" s="11" t="s">
        <v>249</v>
      </c>
      <c r="C180" s="10" t="s">
        <v>220</v>
      </c>
      <c r="D180" s="10" t="s">
        <v>31</v>
      </c>
      <c r="E180" s="14">
        <v>179.3</v>
      </c>
      <c r="F180" s="14">
        <v>3.1</v>
      </c>
      <c r="G180" s="13">
        <f>IFERROR(__xludf.DUMMYFUNCTION("if(counta(filter('Previous Rank'!$A$2:$A2766,'Previous Rank'!$B$2:$B2766=B180,'Previous Rank'!$C$2:$C2766=C180))=1,filter('Previous Rank'!$A$2:$A2766,'Previous Rank'!$B$2:$B2766=B180,'Previous Rank'!$C$2:$C2766=C180),"""")"),257.0)</f>
        <v>257</v>
      </c>
      <c r="H180" s="8">
        <f t="shared" si="1"/>
        <v>78</v>
      </c>
    </row>
    <row r="181">
      <c r="A181" s="10">
        <v>180.0</v>
      </c>
      <c r="B181" s="11" t="s">
        <v>250</v>
      </c>
      <c r="C181" s="10" t="s">
        <v>69</v>
      </c>
      <c r="D181" s="10" t="s">
        <v>27</v>
      </c>
      <c r="E181" s="12">
        <v>162.5</v>
      </c>
      <c r="F181" s="12">
        <v>3.8</v>
      </c>
      <c r="G181" s="13">
        <f>IFERROR(__xludf.DUMMYFUNCTION("if(counta(filter('Previous Rank'!$A$2:$A2766,'Previous Rank'!$B$2:$B2766=B181,'Previous Rank'!$C$2:$C2766=C181))=1,filter('Previous Rank'!$A$2:$A2766,'Previous Rank'!$B$2:$B2766=B181,'Previous Rank'!$C$2:$C2766=C181),"""")"),151.0)</f>
        <v>151</v>
      </c>
      <c r="H181" s="8">
        <f t="shared" si="1"/>
        <v>-29</v>
      </c>
    </row>
    <row r="182">
      <c r="A182" s="10">
        <v>181.0</v>
      </c>
      <c r="B182" s="11" t="s">
        <v>251</v>
      </c>
      <c r="C182" s="10" t="s">
        <v>20</v>
      </c>
      <c r="D182" s="10" t="s">
        <v>122</v>
      </c>
      <c r="E182" s="14">
        <v>248.1</v>
      </c>
      <c r="F182" s="14">
        <v>1.4</v>
      </c>
      <c r="G182" s="13">
        <f>IFERROR(__xludf.DUMMYFUNCTION("if(counta(filter('Previous Rank'!$A$2:$A2766,'Previous Rank'!$B$2:$B2766=B182,'Previous Rank'!$C$2:$C2766=C182))=1,filter('Previous Rank'!$A$2:$A2766,'Previous Rank'!$B$2:$B2766=B182,'Previous Rank'!$C$2:$C2766=C182),"""")"),209.0)</f>
        <v>209</v>
      </c>
      <c r="H182" s="8">
        <f t="shared" si="1"/>
        <v>28</v>
      </c>
    </row>
    <row r="183">
      <c r="A183" s="10">
        <v>182.0</v>
      </c>
      <c r="B183" s="11" t="s">
        <v>252</v>
      </c>
      <c r="C183" s="10" t="s">
        <v>20</v>
      </c>
      <c r="D183" s="10" t="s">
        <v>52</v>
      </c>
      <c r="E183" s="12">
        <v>223.5</v>
      </c>
      <c r="F183" s="12">
        <v>2.1</v>
      </c>
      <c r="G183" s="13">
        <f>IFERROR(__xludf.DUMMYFUNCTION("if(counta(filter('Previous Rank'!$A$2:$A2766,'Previous Rank'!$B$2:$B2766=B183,'Previous Rank'!$C$2:$C2766=C183))=1,filter('Previous Rank'!$A$2:$A2766,'Previous Rank'!$B$2:$B2766=B183,'Previous Rank'!$C$2:$C2766=C183),"""")"),187.0)</f>
        <v>187</v>
      </c>
      <c r="H183" s="8">
        <f t="shared" si="1"/>
        <v>5</v>
      </c>
    </row>
    <row r="184">
      <c r="A184" s="10">
        <v>183.0</v>
      </c>
      <c r="B184" s="11" t="s">
        <v>253</v>
      </c>
      <c r="C184" s="10" t="s">
        <v>218</v>
      </c>
      <c r="D184" s="10" t="s">
        <v>49</v>
      </c>
      <c r="E184" s="14">
        <v>178.9</v>
      </c>
      <c r="F184" s="14">
        <v>2.9</v>
      </c>
      <c r="G184" s="13">
        <f>IFERROR(__xludf.DUMMYFUNCTION("if(counta(filter('Previous Rank'!$A$2:$A2766,'Previous Rank'!$B$2:$B2766=B184,'Previous Rank'!$C$2:$C2766=C184))=1,filter('Previous Rank'!$A$2:$A2766,'Previous Rank'!$B$2:$B2766=B184,'Previous Rank'!$C$2:$C2766=C184),"""")"),175.0)</f>
        <v>175</v>
      </c>
      <c r="H184" s="8">
        <f t="shared" si="1"/>
        <v>-8</v>
      </c>
    </row>
    <row r="185">
      <c r="A185" s="10">
        <v>184.0</v>
      </c>
      <c r="B185" s="11" t="s">
        <v>254</v>
      </c>
      <c r="C185" s="10" t="s">
        <v>55</v>
      </c>
      <c r="D185" s="10" t="s">
        <v>49</v>
      </c>
      <c r="E185" s="12">
        <v>222.0</v>
      </c>
      <c r="F185" s="12">
        <v>1.5</v>
      </c>
      <c r="G185" s="13">
        <f>IFERROR(__xludf.DUMMYFUNCTION("if(counta(filter('Previous Rank'!$A$2:$A2766,'Previous Rank'!$B$2:$B2766=B185,'Previous Rank'!$C$2:$C2766=C185))=1,filter('Previous Rank'!$A$2:$A2766,'Previous Rank'!$B$2:$B2766=B185,'Previous Rank'!$C$2:$C2766=C185),"""")"),204.0)</f>
        <v>204</v>
      </c>
      <c r="H185" s="8">
        <f t="shared" si="1"/>
        <v>20</v>
      </c>
    </row>
    <row r="186">
      <c r="A186" s="10">
        <v>185.0</v>
      </c>
      <c r="B186" s="11" t="s">
        <v>255</v>
      </c>
      <c r="C186" s="10" t="s">
        <v>8</v>
      </c>
      <c r="D186" s="10" t="s">
        <v>105</v>
      </c>
      <c r="E186" s="14">
        <v>219.7</v>
      </c>
      <c r="F186" s="14">
        <v>1.7</v>
      </c>
      <c r="G186" s="13">
        <f>IFERROR(__xludf.DUMMYFUNCTION("if(counta(filter('Previous Rank'!$A$2:$A2766,'Previous Rank'!$B$2:$B2766=B186,'Previous Rank'!$C$2:$C2766=C186))=1,filter('Previous Rank'!$A$2:$A2766,'Previous Rank'!$B$2:$B2766=B186,'Previous Rank'!$C$2:$C2766=C186),"""")"),207.0)</f>
        <v>207</v>
      </c>
      <c r="H186" s="8">
        <f t="shared" si="1"/>
        <v>22</v>
      </c>
    </row>
    <row r="187">
      <c r="A187" s="10">
        <v>186.0</v>
      </c>
      <c r="B187" s="11" t="s">
        <v>256</v>
      </c>
      <c r="C187" s="10" t="s">
        <v>79</v>
      </c>
      <c r="D187" s="10" t="s">
        <v>140</v>
      </c>
      <c r="E187" s="12">
        <v>143.1</v>
      </c>
      <c r="F187" s="12">
        <v>4.0</v>
      </c>
      <c r="G187" s="13">
        <f>IFERROR(__xludf.DUMMYFUNCTION("if(counta(filter('Previous Rank'!$A$2:$A2766,'Previous Rank'!$B$2:$B2766=B187,'Previous Rank'!$C$2:$C2766=C187))=1,filter('Previous Rank'!$A$2:$A2766,'Previous Rank'!$B$2:$B2766=B187,'Previous Rank'!$C$2:$C2766=C187),"""")"),176.0)</f>
        <v>176</v>
      </c>
      <c r="H187" s="8">
        <f t="shared" si="1"/>
        <v>-10</v>
      </c>
    </row>
    <row r="188">
      <c r="A188" s="10">
        <v>187.0</v>
      </c>
      <c r="B188" s="11" t="s">
        <v>257</v>
      </c>
      <c r="C188" s="10" t="s">
        <v>89</v>
      </c>
      <c r="D188" s="10" t="s">
        <v>95</v>
      </c>
      <c r="E188" s="14">
        <v>177.4</v>
      </c>
      <c r="F188" s="14">
        <v>3.2</v>
      </c>
      <c r="G188" s="13">
        <f>IFERROR(__xludf.DUMMYFUNCTION("if(counta(filter('Previous Rank'!$A$2:$A2766,'Previous Rank'!$B$2:$B2766=B188,'Previous Rank'!$C$2:$C2766=C188))=1,filter('Previous Rank'!$A$2:$A2766,'Previous Rank'!$B$2:$B2766=B188,'Previous Rank'!$C$2:$C2766=C188),"""")"),172.0)</f>
        <v>172</v>
      </c>
      <c r="H188" s="8">
        <f t="shared" si="1"/>
        <v>-15</v>
      </c>
    </row>
    <row r="189">
      <c r="A189" s="10">
        <v>188.0</v>
      </c>
      <c r="B189" s="11" t="s">
        <v>258</v>
      </c>
      <c r="C189" s="10" t="s">
        <v>218</v>
      </c>
      <c r="D189" s="10" t="s">
        <v>36</v>
      </c>
      <c r="E189" s="12">
        <v>223.2</v>
      </c>
      <c r="F189" s="12">
        <v>2.4</v>
      </c>
      <c r="G189" s="13">
        <f>IFERROR(__xludf.DUMMYFUNCTION("if(counta(filter('Previous Rank'!$A$2:$A2766,'Previous Rank'!$B$2:$B2766=B189,'Previous Rank'!$C$2:$C2766=C189))=1,filter('Previous Rank'!$A$2:$A2766,'Previous Rank'!$B$2:$B2766=B189,'Previous Rank'!$C$2:$C2766=C189),"""")"),174.0)</f>
        <v>174</v>
      </c>
      <c r="H189" s="8">
        <f t="shared" si="1"/>
        <v>-14</v>
      </c>
    </row>
    <row r="190">
      <c r="A190" s="10">
        <v>189.0</v>
      </c>
      <c r="B190" s="11" t="s">
        <v>259</v>
      </c>
      <c r="C190" s="10" t="s">
        <v>22</v>
      </c>
      <c r="D190" s="10" t="s">
        <v>34</v>
      </c>
      <c r="E190" s="14">
        <v>220.8</v>
      </c>
      <c r="F190" s="14">
        <v>1.5</v>
      </c>
      <c r="G190" s="13">
        <f>IFERROR(__xludf.DUMMYFUNCTION("if(counta(filter('Previous Rank'!$A$2:$A2766,'Previous Rank'!$B$2:$B2766=B190,'Previous Rank'!$C$2:$C2766=C190))=1,filter('Previous Rank'!$A$2:$A2766,'Previous Rank'!$B$2:$B2766=B190,'Previous Rank'!$C$2:$C2766=C190),"""")"),188.0)</f>
        <v>188</v>
      </c>
      <c r="H190" s="8">
        <f t="shared" si="1"/>
        <v>-1</v>
      </c>
    </row>
    <row r="191">
      <c r="A191" s="10">
        <v>190.0</v>
      </c>
      <c r="B191" s="11" t="s">
        <v>260</v>
      </c>
      <c r="C191" s="10" t="s">
        <v>48</v>
      </c>
      <c r="D191" s="10" t="s">
        <v>25</v>
      </c>
      <c r="E191" s="12">
        <v>250.3</v>
      </c>
      <c r="F191" s="12">
        <v>1.3</v>
      </c>
      <c r="G191" s="13">
        <f>IFERROR(__xludf.DUMMYFUNCTION("if(counta(filter('Previous Rank'!$A$2:$A2766,'Previous Rank'!$B$2:$B2766=B191,'Previous Rank'!$C$2:$C2766=C191))=1,filter('Previous Rank'!$A$2:$A2766,'Previous Rank'!$B$2:$B2766=B191,'Previous Rank'!$C$2:$C2766=C191),"""")"),218.0)</f>
        <v>218</v>
      </c>
      <c r="H191" s="8">
        <f t="shared" si="1"/>
        <v>28</v>
      </c>
    </row>
    <row r="192">
      <c r="A192" s="10">
        <v>191.0</v>
      </c>
      <c r="B192" s="11" t="s">
        <v>261</v>
      </c>
      <c r="C192" s="10" t="s">
        <v>262</v>
      </c>
      <c r="D192" s="10" t="s">
        <v>99</v>
      </c>
      <c r="E192" s="14">
        <v>230.1</v>
      </c>
      <c r="F192" s="14">
        <v>1.5</v>
      </c>
      <c r="G192" s="13">
        <f>IFERROR(__xludf.DUMMYFUNCTION("if(counta(filter('Previous Rank'!$A$2:$A2766,'Previous Rank'!$B$2:$B2766=B192,'Previous Rank'!$C$2:$C2766=C192))=1,filter('Previous Rank'!$A$2:$A2766,'Previous Rank'!$B$2:$B2766=B192,'Previous Rank'!$C$2:$C2766=C192),"""")"),191.0)</f>
        <v>191</v>
      </c>
      <c r="H192" s="8">
        <f t="shared" si="1"/>
        <v>0</v>
      </c>
    </row>
    <row r="193">
      <c r="A193" s="10">
        <v>192.0</v>
      </c>
      <c r="B193" s="11" t="s">
        <v>263</v>
      </c>
      <c r="C193" s="10" t="s">
        <v>20</v>
      </c>
      <c r="D193" s="10" t="s">
        <v>206</v>
      </c>
      <c r="E193" s="12">
        <v>177.6</v>
      </c>
      <c r="F193" s="12">
        <v>2.2</v>
      </c>
      <c r="G193" s="13">
        <f>IFERROR(__xludf.DUMMYFUNCTION("if(counta(filter('Previous Rank'!$A$2:$A2766,'Previous Rank'!$B$2:$B2766=B193,'Previous Rank'!$C$2:$C2766=C193))=1,filter('Previous Rank'!$A$2:$A2766,'Previous Rank'!$B$2:$B2766=B193,'Previous Rank'!$C$2:$C2766=C193),"""")"),189.0)</f>
        <v>189</v>
      </c>
      <c r="H193" s="8">
        <f t="shared" si="1"/>
        <v>-3</v>
      </c>
    </row>
    <row r="194">
      <c r="A194" s="10">
        <v>193.0</v>
      </c>
      <c r="B194" s="11" t="s">
        <v>264</v>
      </c>
      <c r="C194" s="10" t="s">
        <v>14</v>
      </c>
      <c r="D194" s="10" t="s">
        <v>122</v>
      </c>
      <c r="E194" s="14">
        <v>219.3</v>
      </c>
      <c r="F194" s="14">
        <v>1.4</v>
      </c>
      <c r="G194" s="13">
        <f>IFERROR(__xludf.DUMMYFUNCTION("if(counta(filter('Previous Rank'!$A$2:$A2766,'Previous Rank'!$B$2:$B2766=B194,'Previous Rank'!$C$2:$C2766=C194))=1,filter('Previous Rank'!$A$2:$A2766,'Previous Rank'!$B$2:$B2766=B194,'Previous Rank'!$C$2:$C2766=C194),"""")"),211.0)</f>
        <v>211</v>
      </c>
      <c r="H194" s="8">
        <f t="shared" si="1"/>
        <v>18</v>
      </c>
    </row>
    <row r="195">
      <c r="A195" s="10">
        <v>194.0</v>
      </c>
      <c r="B195" s="11" t="s">
        <v>265</v>
      </c>
      <c r="C195" s="10" t="s">
        <v>22</v>
      </c>
      <c r="D195" s="10" t="s">
        <v>206</v>
      </c>
      <c r="E195" s="12">
        <v>219.7</v>
      </c>
      <c r="F195" s="12">
        <v>1.5</v>
      </c>
      <c r="G195" s="13">
        <f>IFERROR(__xludf.DUMMYFUNCTION("if(counta(filter('Previous Rank'!$A$2:$A2766,'Previous Rank'!$B$2:$B2766=B195,'Previous Rank'!$C$2:$C2766=C195))=1,filter('Previous Rank'!$A$2:$A2766,'Previous Rank'!$B$2:$B2766=B195,'Previous Rank'!$C$2:$C2766=C195),"""")"),198.0)</f>
        <v>198</v>
      </c>
      <c r="H195" s="8">
        <f t="shared" si="1"/>
        <v>4</v>
      </c>
    </row>
    <row r="196">
      <c r="A196" s="10">
        <v>195.0</v>
      </c>
      <c r="B196" s="11" t="s">
        <v>266</v>
      </c>
      <c r="C196" s="10" t="s">
        <v>22</v>
      </c>
      <c r="D196" s="10" t="s">
        <v>122</v>
      </c>
      <c r="E196" s="14">
        <v>233.2</v>
      </c>
      <c r="F196" s="14">
        <v>1.4</v>
      </c>
      <c r="G196" s="13">
        <f>IFERROR(__xludf.DUMMYFUNCTION("if(counta(filter('Previous Rank'!$A$2:$A2766,'Previous Rank'!$B$2:$B2766=B196,'Previous Rank'!$C$2:$C2766=C196))=1,filter('Previous Rank'!$A$2:$A2766,'Previous Rank'!$B$2:$B2766=B196,'Previous Rank'!$C$2:$C2766=C196),"""")"),202.0)</f>
        <v>202</v>
      </c>
      <c r="H196" s="8">
        <f t="shared" si="1"/>
        <v>7</v>
      </c>
    </row>
    <row r="197">
      <c r="A197" s="10">
        <v>196.0</v>
      </c>
      <c r="B197" s="11" t="s">
        <v>267</v>
      </c>
      <c r="C197" s="10" t="s">
        <v>22</v>
      </c>
      <c r="D197" s="10" t="s">
        <v>12</v>
      </c>
      <c r="E197" s="12">
        <v>224.2</v>
      </c>
      <c r="F197" s="12">
        <v>1.5</v>
      </c>
      <c r="G197" s="13">
        <f>IFERROR(__xludf.DUMMYFUNCTION("if(counta(filter('Previous Rank'!$A$2:$A2766,'Previous Rank'!$B$2:$B2766=B197,'Previous Rank'!$C$2:$C2766=C197))=1,filter('Previous Rank'!$A$2:$A2766,'Previous Rank'!$B$2:$B2766=B197,'Previous Rank'!$C$2:$C2766=C197),"""")"),194.0)</f>
        <v>194</v>
      </c>
      <c r="H197" s="8">
        <f t="shared" si="1"/>
        <v>-2</v>
      </c>
    </row>
    <row r="198">
      <c r="A198" s="10">
        <v>197.0</v>
      </c>
      <c r="B198" s="11" t="s">
        <v>268</v>
      </c>
      <c r="C198" s="10" t="s">
        <v>22</v>
      </c>
      <c r="D198" s="10" t="s">
        <v>105</v>
      </c>
      <c r="E198" s="14">
        <v>222.8</v>
      </c>
      <c r="F198" s="14">
        <v>1.5</v>
      </c>
      <c r="G198" s="13">
        <f>IFERROR(__xludf.DUMMYFUNCTION("if(counta(filter('Previous Rank'!$A$2:$A2766,'Previous Rank'!$B$2:$B2766=B198,'Previous Rank'!$C$2:$C2766=C198))=1,filter('Previous Rank'!$A$2:$A2766,'Previous Rank'!$B$2:$B2766=B198,'Previous Rank'!$C$2:$C2766=C198),"""")"),193.0)</f>
        <v>193</v>
      </c>
      <c r="H198" s="8">
        <f t="shared" si="1"/>
        <v>-4</v>
      </c>
    </row>
    <row r="199">
      <c r="A199" s="10">
        <v>198.0</v>
      </c>
      <c r="B199" s="11" t="s">
        <v>269</v>
      </c>
      <c r="C199" s="10" t="s">
        <v>79</v>
      </c>
      <c r="D199" s="10" t="s">
        <v>137</v>
      </c>
      <c r="E199" s="12">
        <v>178.6</v>
      </c>
      <c r="F199" s="12">
        <v>2.5</v>
      </c>
      <c r="G199" s="13">
        <f>IFERROR(__xludf.DUMMYFUNCTION("if(counta(filter('Previous Rank'!$A$2:$A2766,'Previous Rank'!$B$2:$B2766=B199,'Previous Rank'!$C$2:$C2766=C199))=1,filter('Previous Rank'!$A$2:$A2766,'Previous Rank'!$B$2:$B2766=B199,'Previous Rank'!$C$2:$C2766=C199),"""")"),233.0)</f>
        <v>233</v>
      </c>
      <c r="H199" s="8">
        <f t="shared" si="1"/>
        <v>35</v>
      </c>
    </row>
    <row r="200">
      <c r="A200" s="10">
        <v>199.0</v>
      </c>
      <c r="B200" s="11" t="s">
        <v>270</v>
      </c>
      <c r="C200" s="10" t="s">
        <v>136</v>
      </c>
      <c r="D200" s="10" t="s">
        <v>9</v>
      </c>
      <c r="E200" s="14">
        <v>219.7</v>
      </c>
      <c r="F200" s="14">
        <v>1.5</v>
      </c>
      <c r="G200" s="13">
        <f>IFERROR(__xludf.DUMMYFUNCTION("if(counta(filter('Previous Rank'!$A$2:$A2766,'Previous Rank'!$B$2:$B2766=B200,'Previous Rank'!$C$2:$C2766=C200))=1,filter('Previous Rank'!$A$2:$A2766,'Previous Rank'!$B$2:$B2766=B200,'Previous Rank'!$C$2:$C2766=C200),"""")"),201.0)</f>
        <v>201</v>
      </c>
      <c r="H200" s="8">
        <f t="shared" si="1"/>
        <v>2</v>
      </c>
    </row>
    <row r="201">
      <c r="A201" s="10">
        <v>200.0</v>
      </c>
      <c r="B201" s="11" t="s">
        <v>271</v>
      </c>
      <c r="C201" s="10" t="s">
        <v>79</v>
      </c>
      <c r="D201" s="10" t="s">
        <v>122</v>
      </c>
      <c r="E201" s="12">
        <v>177.9</v>
      </c>
      <c r="F201" s="12">
        <v>2.3</v>
      </c>
      <c r="G201" s="13">
        <f>IFERROR(__xludf.DUMMYFUNCTION("if(counta(filter('Previous Rank'!$A$2:$A2766,'Previous Rank'!$B$2:$B2766=B201,'Previous Rank'!$C$2:$C2766=C201))=1,filter('Previous Rank'!$A$2:$A2766,'Previous Rank'!$B$2:$B2766=B201,'Previous Rank'!$C$2:$C2766=C201),"""")"),184.0)</f>
        <v>184</v>
      </c>
      <c r="H201" s="8">
        <f t="shared" si="1"/>
        <v>-16</v>
      </c>
    </row>
    <row r="202">
      <c r="A202" s="10">
        <v>201.0</v>
      </c>
      <c r="B202" s="11" t="s">
        <v>272</v>
      </c>
      <c r="C202" s="10" t="s">
        <v>17</v>
      </c>
      <c r="D202" s="10" t="s">
        <v>105</v>
      </c>
      <c r="E202" s="14">
        <v>202.4</v>
      </c>
      <c r="F202" s="14">
        <v>1.7</v>
      </c>
      <c r="G202" s="13">
        <f>IFERROR(__xludf.DUMMYFUNCTION("if(counta(filter('Previous Rank'!$A$2:$A2766,'Previous Rank'!$B$2:$B2766=B202,'Previous Rank'!$C$2:$C2766=C202))=1,filter('Previous Rank'!$A$2:$A2766,'Previous Rank'!$B$2:$B2766=B202,'Previous Rank'!$C$2:$C2766=C202),"""")"),195.0)</f>
        <v>195</v>
      </c>
      <c r="H202" s="8">
        <f t="shared" si="1"/>
        <v>-6</v>
      </c>
    </row>
    <row r="203">
      <c r="A203" s="10">
        <v>202.0</v>
      </c>
      <c r="B203" s="11" t="s">
        <v>273</v>
      </c>
      <c r="C203" s="10" t="s">
        <v>22</v>
      </c>
      <c r="D203" s="10" t="s">
        <v>12</v>
      </c>
      <c r="E203" s="12">
        <v>191.4</v>
      </c>
      <c r="F203" s="12">
        <v>2.1</v>
      </c>
      <c r="G203" s="13">
        <f>IFERROR(__xludf.DUMMYFUNCTION("if(counta(filter('Previous Rank'!$A$2:$A2766,'Previous Rank'!$B$2:$B2766=B203,'Previous Rank'!$C$2:$C2766=C203))=1,filter('Previous Rank'!$A$2:$A2766,'Previous Rank'!$B$2:$B2766=B203,'Previous Rank'!$C$2:$C2766=C203),"""")"),183.0)</f>
        <v>183</v>
      </c>
      <c r="H203" s="8">
        <f t="shared" si="1"/>
        <v>-19</v>
      </c>
    </row>
    <row r="204">
      <c r="A204" s="10">
        <v>203.0</v>
      </c>
      <c r="B204" s="11" t="s">
        <v>274</v>
      </c>
      <c r="C204" s="10" t="s">
        <v>22</v>
      </c>
      <c r="D204" s="10" t="s">
        <v>113</v>
      </c>
      <c r="E204" s="14">
        <v>233.2</v>
      </c>
      <c r="F204" s="14">
        <v>1.4</v>
      </c>
      <c r="G204" s="13">
        <f>IFERROR(__xludf.DUMMYFUNCTION("if(counta(filter('Previous Rank'!$A$2:$A2766,'Previous Rank'!$B$2:$B2766=B204,'Previous Rank'!$C$2:$C2766=C204))=1,filter('Previous Rank'!$A$2:$A2766,'Previous Rank'!$B$2:$B2766=B204,'Previous Rank'!$C$2:$C2766=C204),"""")"),200.0)</f>
        <v>200</v>
      </c>
      <c r="H204" s="8">
        <f t="shared" si="1"/>
        <v>-3</v>
      </c>
    </row>
    <row r="205">
      <c r="A205" s="10">
        <v>204.0</v>
      </c>
      <c r="B205" s="11" t="s">
        <v>275</v>
      </c>
      <c r="C205" s="10" t="s">
        <v>20</v>
      </c>
      <c r="D205" s="10" t="s">
        <v>85</v>
      </c>
      <c r="E205" s="12">
        <v>249.9</v>
      </c>
      <c r="F205" s="12">
        <v>1.2</v>
      </c>
      <c r="G205" s="13">
        <f>IFERROR(__xludf.DUMMYFUNCTION("if(counta(filter('Previous Rank'!$A$2:$A2766,'Previous Rank'!$B$2:$B2766=B205,'Previous Rank'!$C$2:$C2766=C205))=1,filter('Previous Rank'!$A$2:$A2766,'Previous Rank'!$B$2:$B2766=B205,'Previous Rank'!$C$2:$C2766=C205),"""")"),206.0)</f>
        <v>206</v>
      </c>
      <c r="H205" s="8">
        <f t="shared" si="1"/>
        <v>2</v>
      </c>
    </row>
    <row r="206">
      <c r="A206" s="10">
        <v>205.0</v>
      </c>
      <c r="B206" s="11" t="s">
        <v>276</v>
      </c>
      <c r="C206" s="10" t="s">
        <v>55</v>
      </c>
      <c r="D206" s="10" t="s">
        <v>105</v>
      </c>
      <c r="E206" s="14">
        <v>240.5</v>
      </c>
      <c r="F206" s="14">
        <v>1.5</v>
      </c>
      <c r="G206" s="13">
        <f>IFERROR(__xludf.DUMMYFUNCTION("if(counta(filter('Previous Rank'!$A$2:$A2766,'Previous Rank'!$B$2:$B2766=B206,'Previous Rank'!$C$2:$C2766=C206))=1,filter('Previous Rank'!$A$2:$A2766,'Previous Rank'!$B$2:$B2766=B206,'Previous Rank'!$C$2:$C2766=C206),"""")"),199.0)</f>
        <v>199</v>
      </c>
      <c r="H206" s="8">
        <f t="shared" si="1"/>
        <v>-6</v>
      </c>
    </row>
    <row r="207">
      <c r="A207" s="10">
        <v>206.0</v>
      </c>
      <c r="B207" s="11" t="s">
        <v>277</v>
      </c>
      <c r="C207" s="10" t="s">
        <v>22</v>
      </c>
      <c r="D207" s="10" t="s">
        <v>15</v>
      </c>
      <c r="E207" s="12">
        <v>177.8</v>
      </c>
      <c r="F207" s="12">
        <v>2.4</v>
      </c>
      <c r="G207" s="13">
        <f>IFERROR(__xludf.DUMMYFUNCTION("if(counta(filter('Previous Rank'!$A$2:$A2766,'Previous Rank'!$B$2:$B2766=B207,'Previous Rank'!$C$2:$C2766=C207))=1,filter('Previous Rank'!$A$2:$A2766,'Previous Rank'!$B$2:$B2766=B207,'Previous Rank'!$C$2:$C2766=C207),"""")"),203.0)</f>
        <v>203</v>
      </c>
      <c r="H207" s="8">
        <f t="shared" si="1"/>
        <v>-3</v>
      </c>
    </row>
    <row r="208">
      <c r="A208" s="10">
        <v>207.0</v>
      </c>
      <c r="B208" s="11" t="s">
        <v>278</v>
      </c>
      <c r="C208" s="10" t="s">
        <v>39</v>
      </c>
      <c r="D208" s="10" t="s">
        <v>12</v>
      </c>
      <c r="E208" s="14">
        <v>231.8</v>
      </c>
      <c r="F208" s="14">
        <v>2.2</v>
      </c>
      <c r="G208" s="13">
        <f>IFERROR(__xludf.DUMMYFUNCTION("if(counta(filter('Previous Rank'!$A$2:$A2766,'Previous Rank'!$B$2:$B2766=B208,'Previous Rank'!$C$2:$C2766=C208))=1,filter('Previous Rank'!$A$2:$A2766,'Previous Rank'!$B$2:$B2766=B208,'Previous Rank'!$C$2:$C2766=C208),"""")"),237.0)</f>
        <v>237</v>
      </c>
      <c r="H208" s="8">
        <f t="shared" si="1"/>
        <v>30</v>
      </c>
    </row>
    <row r="209">
      <c r="A209" s="10">
        <v>208.0</v>
      </c>
      <c r="B209" s="11" t="s">
        <v>279</v>
      </c>
      <c r="C209" s="10" t="s">
        <v>22</v>
      </c>
      <c r="D209" s="10" t="s">
        <v>82</v>
      </c>
      <c r="E209" s="12">
        <v>160.6</v>
      </c>
      <c r="F209" s="12">
        <v>2.9</v>
      </c>
      <c r="G209" s="13">
        <f>IFERROR(__xludf.DUMMYFUNCTION("if(counta(filter('Previous Rank'!$A$2:$A2766,'Previous Rank'!$B$2:$B2766=B209,'Previous Rank'!$C$2:$C2766=C209))=1,filter('Previous Rank'!$A$2:$A2766,'Previous Rank'!$B$2:$B2766=B209,'Previous Rank'!$C$2:$C2766=C209),"""")"),214.0)</f>
        <v>214</v>
      </c>
      <c r="H209" s="8">
        <f t="shared" si="1"/>
        <v>6</v>
      </c>
    </row>
    <row r="210">
      <c r="A210" s="10">
        <v>209.0</v>
      </c>
      <c r="B210" s="11" t="s">
        <v>280</v>
      </c>
      <c r="C210" s="10" t="s">
        <v>39</v>
      </c>
      <c r="D210" s="10" t="s">
        <v>82</v>
      </c>
      <c r="E210" s="14">
        <v>253.5</v>
      </c>
      <c r="F210" s="14">
        <v>1.2</v>
      </c>
      <c r="G210" s="13">
        <f>IFERROR(__xludf.DUMMYFUNCTION("if(counta(filter('Previous Rank'!$A$2:$A2766,'Previous Rank'!$B$2:$B2766=B210,'Previous Rank'!$C$2:$C2766=C210))=1,filter('Previous Rank'!$A$2:$A2766,'Previous Rank'!$B$2:$B2766=B210,'Previous Rank'!$C$2:$C2766=C210),"""")"),223.0)</f>
        <v>223</v>
      </c>
      <c r="H210" s="8">
        <f t="shared" si="1"/>
        <v>14</v>
      </c>
    </row>
    <row r="211">
      <c r="A211" s="10">
        <v>210.0</v>
      </c>
      <c r="B211" s="11" t="s">
        <v>281</v>
      </c>
      <c r="C211" s="10" t="s">
        <v>79</v>
      </c>
      <c r="D211" s="10" t="s">
        <v>99</v>
      </c>
      <c r="E211" s="12">
        <v>187.2</v>
      </c>
      <c r="F211" s="12">
        <v>2.4</v>
      </c>
      <c r="G211" s="13">
        <f>IFERROR(__xludf.DUMMYFUNCTION("if(counta(filter('Previous Rank'!$A$2:$A2766,'Previous Rank'!$B$2:$B2766=B211,'Previous Rank'!$C$2:$C2766=C211))=1,filter('Previous Rank'!$A$2:$A2766,'Previous Rank'!$B$2:$B2766=B211,'Previous Rank'!$C$2:$C2766=C211),"""")"),244.0)</f>
        <v>244</v>
      </c>
      <c r="H211" s="8">
        <f t="shared" si="1"/>
        <v>34</v>
      </c>
    </row>
    <row r="212">
      <c r="A212" s="10">
        <v>211.0</v>
      </c>
      <c r="B212" s="11" t="s">
        <v>282</v>
      </c>
      <c r="C212" s="10" t="s">
        <v>283</v>
      </c>
      <c r="D212" s="10" t="s">
        <v>25</v>
      </c>
      <c r="E212" s="14">
        <v>244.6</v>
      </c>
      <c r="F212" s="14">
        <v>1.4</v>
      </c>
      <c r="G212" s="13">
        <f>IFERROR(__xludf.DUMMYFUNCTION("if(counta(filter('Previous Rank'!$A$2:$A2766,'Previous Rank'!$B$2:$B2766=B212,'Previous Rank'!$C$2:$C2766=C212))=1,filter('Previous Rank'!$A$2:$A2766,'Previous Rank'!$B$2:$B2766=B212,'Previous Rank'!$C$2:$C2766=C212),"""")"),227.0)</f>
        <v>227</v>
      </c>
      <c r="H212" s="8">
        <f t="shared" si="1"/>
        <v>16</v>
      </c>
    </row>
    <row r="213">
      <c r="A213" s="10">
        <v>212.0</v>
      </c>
      <c r="B213" s="11" t="s">
        <v>284</v>
      </c>
      <c r="C213" s="10" t="s">
        <v>220</v>
      </c>
      <c r="D213" s="10" t="s">
        <v>31</v>
      </c>
      <c r="E213" s="12">
        <v>196.8</v>
      </c>
      <c r="F213" s="12">
        <v>3.0</v>
      </c>
      <c r="G213" s="13">
        <f>IFERROR(__xludf.DUMMYFUNCTION("if(counta(filter('Previous Rank'!$A$2:$A2766,'Previous Rank'!$B$2:$B2766=B213,'Previous Rank'!$C$2:$C2766=C213))=1,filter('Previous Rank'!$A$2:$A2766,'Previous Rank'!$B$2:$B2766=B213,'Previous Rank'!$C$2:$C2766=C213),"""")"),241.0)</f>
        <v>241</v>
      </c>
      <c r="H213" s="8">
        <f t="shared" si="1"/>
        <v>29</v>
      </c>
    </row>
    <row r="214">
      <c r="A214" s="10">
        <v>213.0</v>
      </c>
      <c r="B214" s="11" t="s">
        <v>285</v>
      </c>
      <c r="C214" s="10" t="s">
        <v>286</v>
      </c>
      <c r="D214" s="10" t="s">
        <v>12</v>
      </c>
      <c r="E214" s="14">
        <v>239.5</v>
      </c>
      <c r="F214" s="14">
        <v>1.4</v>
      </c>
      <c r="G214" s="13">
        <f>IFERROR(__xludf.DUMMYFUNCTION("if(counta(filter('Previous Rank'!$A$2:$A2766,'Previous Rank'!$B$2:$B2766=B214,'Previous Rank'!$C$2:$C2766=C214))=1,filter('Previous Rank'!$A$2:$A2766,'Previous Rank'!$B$2:$B2766=B214,'Previous Rank'!$C$2:$C2766=C214),"""")"),234.0)</f>
        <v>234</v>
      </c>
      <c r="H214" s="8">
        <f t="shared" si="1"/>
        <v>21</v>
      </c>
    </row>
    <row r="215">
      <c r="A215" s="10">
        <v>214.0</v>
      </c>
      <c r="B215" s="11" t="s">
        <v>287</v>
      </c>
      <c r="C215" s="10" t="s">
        <v>22</v>
      </c>
      <c r="D215" s="10" t="s">
        <v>90</v>
      </c>
      <c r="E215" s="12">
        <v>167.6</v>
      </c>
      <c r="F215" s="12">
        <v>3.2</v>
      </c>
      <c r="G215" s="13">
        <f>IFERROR(__xludf.DUMMYFUNCTION("if(counta(filter('Previous Rank'!$A$2:$A2766,'Previous Rank'!$B$2:$B2766=B215,'Previous Rank'!$C$2:$C2766=C215))=1,filter('Previous Rank'!$A$2:$A2766,'Previous Rank'!$B$2:$B2766=B215,'Previous Rank'!$C$2:$C2766=C215),"""")"),155.0)</f>
        <v>155</v>
      </c>
      <c r="H215" s="8">
        <f t="shared" si="1"/>
        <v>-59</v>
      </c>
    </row>
    <row r="216">
      <c r="A216" s="10">
        <v>215.0</v>
      </c>
      <c r="B216" s="11" t="s">
        <v>288</v>
      </c>
      <c r="C216" s="10" t="s">
        <v>22</v>
      </c>
      <c r="D216" s="10" t="s">
        <v>12</v>
      </c>
      <c r="E216" s="14">
        <v>225.4</v>
      </c>
      <c r="F216" s="14">
        <v>1.5</v>
      </c>
      <c r="G216" s="13">
        <f>IFERROR(__xludf.DUMMYFUNCTION("if(counta(filter('Previous Rank'!$A$2:$A2766,'Previous Rank'!$B$2:$B2766=B216,'Previous Rank'!$C$2:$C2766=C216))=1,filter('Previous Rank'!$A$2:$A2766,'Previous Rank'!$B$2:$B2766=B216,'Previous Rank'!$C$2:$C2766=C216),"""")"),197.0)</f>
        <v>197</v>
      </c>
      <c r="H216" s="8">
        <f t="shared" si="1"/>
        <v>-18</v>
      </c>
    </row>
    <row r="217">
      <c r="A217" s="10">
        <v>216.0</v>
      </c>
      <c r="B217" s="11" t="s">
        <v>289</v>
      </c>
      <c r="C217" s="10" t="s">
        <v>79</v>
      </c>
      <c r="D217" s="10" t="s">
        <v>67</v>
      </c>
      <c r="E217" s="12">
        <v>163.2</v>
      </c>
      <c r="F217" s="12">
        <v>3.6</v>
      </c>
      <c r="G217" s="13">
        <f>IFERROR(__xludf.DUMMYFUNCTION("if(counta(filter('Previous Rank'!$A$2:$A2766,'Previous Rank'!$B$2:$B2766=B217,'Previous Rank'!$C$2:$C2766=C217))=1,filter('Previous Rank'!$A$2:$A2766,'Previous Rank'!$B$2:$B2766=B217,'Previous Rank'!$C$2:$C2766=C217),"""")"),256.0)</f>
        <v>256</v>
      </c>
      <c r="H217" s="8">
        <f t="shared" si="1"/>
        <v>40</v>
      </c>
    </row>
    <row r="218">
      <c r="A218" s="10">
        <v>217.0</v>
      </c>
      <c r="B218" s="11" t="s">
        <v>290</v>
      </c>
      <c r="C218" s="10" t="s">
        <v>262</v>
      </c>
      <c r="D218" s="10" t="s">
        <v>46</v>
      </c>
      <c r="E218" s="14">
        <v>229.8</v>
      </c>
      <c r="F218" s="14">
        <v>1.7</v>
      </c>
      <c r="G218" s="13">
        <f>IFERROR(__xludf.DUMMYFUNCTION("if(counta(filter('Previous Rank'!$A$2:$A2766,'Previous Rank'!$B$2:$B2766=B218,'Previous Rank'!$C$2:$C2766=C218))=1,filter('Previous Rank'!$A$2:$A2766,'Previous Rank'!$B$2:$B2766=B218,'Previous Rank'!$C$2:$C2766=C218),"""")"),185.0)</f>
        <v>185</v>
      </c>
      <c r="H218" s="8">
        <f t="shared" si="1"/>
        <v>-32</v>
      </c>
    </row>
    <row r="219">
      <c r="A219" s="10">
        <v>218.0</v>
      </c>
      <c r="B219" s="11" t="s">
        <v>291</v>
      </c>
      <c r="C219" s="10" t="s">
        <v>22</v>
      </c>
      <c r="D219" s="10" t="s">
        <v>27</v>
      </c>
      <c r="E219" s="12">
        <v>164.4</v>
      </c>
      <c r="F219" s="12">
        <v>5.7</v>
      </c>
      <c r="G219" s="13">
        <f>IFERROR(__xludf.DUMMYFUNCTION("if(counta(filter('Previous Rank'!$A$2:$A2766,'Previous Rank'!$B$2:$B2766=B219,'Previous Rank'!$C$2:$C2766=C219))=1,filter('Previous Rank'!$A$2:$A2766,'Previous Rank'!$B$2:$B2766=B219,'Previous Rank'!$C$2:$C2766=C219),"""")"),161.0)</f>
        <v>161</v>
      </c>
      <c r="H219" s="8">
        <f t="shared" si="1"/>
        <v>-57</v>
      </c>
    </row>
    <row r="220">
      <c r="A220" s="10">
        <v>219.0</v>
      </c>
      <c r="B220" s="11" t="s">
        <v>292</v>
      </c>
      <c r="C220" s="10" t="s">
        <v>69</v>
      </c>
      <c r="D220" s="10" t="s">
        <v>34</v>
      </c>
      <c r="E220" s="14">
        <v>233.5</v>
      </c>
      <c r="F220" s="14">
        <v>1.5</v>
      </c>
      <c r="G220" s="13">
        <f>IFERROR(__xludf.DUMMYFUNCTION("if(counta(filter('Previous Rank'!$A$2:$A2766,'Previous Rank'!$B$2:$B2766=B220,'Previous Rank'!$C$2:$C2766=C220))=1,filter('Previous Rank'!$A$2:$A2766,'Previous Rank'!$B$2:$B2766=B220,'Previous Rank'!$C$2:$C2766=C220),"""")"),186.0)</f>
        <v>186</v>
      </c>
      <c r="H220" s="8">
        <f t="shared" si="1"/>
        <v>-33</v>
      </c>
    </row>
    <row r="221">
      <c r="A221" s="10">
        <v>220.0</v>
      </c>
      <c r="B221" s="11" t="s">
        <v>293</v>
      </c>
      <c r="C221" s="10" t="s">
        <v>77</v>
      </c>
      <c r="D221" s="10" t="s">
        <v>18</v>
      </c>
      <c r="E221" s="12">
        <v>199.3</v>
      </c>
      <c r="F221" s="12">
        <v>2.0</v>
      </c>
      <c r="G221" s="13">
        <f>IFERROR(__xludf.DUMMYFUNCTION("if(counta(filter('Previous Rank'!$A$2:$A2766,'Previous Rank'!$B$2:$B2766=B221,'Previous Rank'!$C$2:$C2766=C221))=1,filter('Previous Rank'!$A$2:$A2766,'Previous Rank'!$B$2:$B2766=B221,'Previous Rank'!$C$2:$C2766=C221),"""")"),274.0)</f>
        <v>274</v>
      </c>
      <c r="H221" s="8">
        <f t="shared" si="1"/>
        <v>54</v>
      </c>
    </row>
    <row r="222">
      <c r="A222" s="10">
        <v>221.0</v>
      </c>
      <c r="B222" s="11" t="s">
        <v>294</v>
      </c>
      <c r="C222" s="10" t="s">
        <v>17</v>
      </c>
      <c r="D222" s="10" t="s">
        <v>73</v>
      </c>
      <c r="E222" s="14">
        <v>250.6</v>
      </c>
      <c r="F222" s="14">
        <v>1.2</v>
      </c>
      <c r="G222" s="13">
        <f>IFERROR(__xludf.DUMMYFUNCTION("if(counta(filter('Previous Rank'!$A$2:$A2766,'Previous Rank'!$B$2:$B2766=B222,'Previous Rank'!$C$2:$C2766=C222))=1,filter('Previous Rank'!$A$2:$A2766,'Previous Rank'!$B$2:$B2766=B222,'Previous Rank'!$C$2:$C2766=C222),"""")"),221.0)</f>
        <v>221</v>
      </c>
      <c r="H222" s="8">
        <f t="shared" si="1"/>
        <v>0</v>
      </c>
    </row>
    <row r="223">
      <c r="A223" s="10">
        <v>222.0</v>
      </c>
      <c r="B223" s="11" t="s">
        <v>295</v>
      </c>
      <c r="C223" s="10" t="s">
        <v>220</v>
      </c>
      <c r="D223" s="10" t="s">
        <v>42</v>
      </c>
      <c r="E223" s="12">
        <v>215.1</v>
      </c>
      <c r="F223" s="12">
        <v>1.2</v>
      </c>
      <c r="G223" s="13">
        <f>IFERROR(__xludf.DUMMYFUNCTION("if(counta(filter('Previous Rank'!$A$2:$A2766,'Previous Rank'!$B$2:$B2766=B223,'Previous Rank'!$C$2:$C2766=C223))=1,filter('Previous Rank'!$A$2:$A2766,'Previous Rank'!$B$2:$B2766=B223,'Previous Rank'!$C$2:$C2766=C223),"""")"),252.0)</f>
        <v>252</v>
      </c>
      <c r="H223" s="8">
        <f t="shared" si="1"/>
        <v>30</v>
      </c>
    </row>
    <row r="224">
      <c r="A224" s="10">
        <v>223.0</v>
      </c>
      <c r="B224" s="11" t="s">
        <v>296</v>
      </c>
      <c r="C224" s="10" t="s">
        <v>22</v>
      </c>
      <c r="D224" s="10" t="s">
        <v>82</v>
      </c>
      <c r="E224" s="14">
        <v>72.2</v>
      </c>
      <c r="F224" s="14">
        <v>18.2</v>
      </c>
      <c r="G224" s="13">
        <f>IFERROR(__xludf.DUMMYFUNCTION("if(counta(filter('Previous Rank'!$A$2:$A2766,'Previous Rank'!$B$2:$B2766=B224,'Previous Rank'!$C$2:$C2766=C224))=1,filter('Previous Rank'!$A$2:$A2766,'Previous Rank'!$B$2:$B2766=B224,'Previous Rank'!$C$2:$C2766=C224),"""")"),59.0)</f>
        <v>59</v>
      </c>
      <c r="H224" s="8">
        <f t="shared" si="1"/>
        <v>-164</v>
      </c>
    </row>
    <row r="225">
      <c r="A225" s="10">
        <v>224.0</v>
      </c>
      <c r="B225" s="11" t="s">
        <v>297</v>
      </c>
      <c r="C225" s="10" t="s">
        <v>22</v>
      </c>
      <c r="D225" s="10" t="s">
        <v>23</v>
      </c>
      <c r="E225" s="12">
        <v>245.9</v>
      </c>
      <c r="F225" s="12">
        <v>1.4</v>
      </c>
      <c r="G225" s="13">
        <f>IFERROR(__xludf.DUMMYFUNCTION("if(counta(filter('Previous Rank'!$A$2:$A2766,'Previous Rank'!$B$2:$B2766=B225,'Previous Rank'!$C$2:$C2766=C225))=1,filter('Previous Rank'!$A$2:$A2766,'Previous Rank'!$B$2:$B2766=B225,'Previous Rank'!$C$2:$C2766=C225),"""")"),242.0)</f>
        <v>242</v>
      </c>
      <c r="H225" s="8">
        <f t="shared" si="1"/>
        <v>18</v>
      </c>
    </row>
    <row r="226">
      <c r="A226" s="10">
        <v>225.0</v>
      </c>
      <c r="B226" s="11" t="s">
        <v>298</v>
      </c>
      <c r="C226" s="10" t="s">
        <v>22</v>
      </c>
      <c r="D226" s="10" t="s">
        <v>99</v>
      </c>
      <c r="E226" s="14">
        <v>231.8</v>
      </c>
      <c r="F226" s="14">
        <v>1.7</v>
      </c>
      <c r="G226" s="13">
        <f>IFERROR(__xludf.DUMMYFUNCTION("if(counta(filter('Previous Rank'!$A$2:$A2766,'Previous Rank'!$B$2:$B2766=B226,'Previous Rank'!$C$2:$C2766=C226))=1,filter('Previous Rank'!$A$2:$A2766,'Previous Rank'!$B$2:$B2766=B226,'Previous Rank'!$C$2:$C2766=C226),"""")"),287.0)</f>
        <v>287</v>
      </c>
      <c r="H226" s="8">
        <f t="shared" si="1"/>
        <v>62</v>
      </c>
    </row>
    <row r="227">
      <c r="A227" s="10">
        <v>226.0</v>
      </c>
      <c r="B227" s="11" t="s">
        <v>299</v>
      </c>
      <c r="C227" s="10" t="s">
        <v>63</v>
      </c>
      <c r="D227" s="10" t="s">
        <v>122</v>
      </c>
      <c r="E227" s="12">
        <v>235.4</v>
      </c>
      <c r="F227" s="12">
        <v>1.2</v>
      </c>
      <c r="G227" s="13">
        <f>IFERROR(__xludf.DUMMYFUNCTION("if(counta(filter('Previous Rank'!$A$2:$A2766,'Previous Rank'!$B$2:$B2766=B227,'Previous Rank'!$C$2:$C2766=C227))=1,filter('Previous Rank'!$A$2:$A2766,'Previous Rank'!$B$2:$B2766=B227,'Previous Rank'!$C$2:$C2766=C227),"""")"),215.0)</f>
        <v>215</v>
      </c>
      <c r="H227" s="8">
        <f t="shared" si="1"/>
        <v>-11</v>
      </c>
    </row>
    <row r="228">
      <c r="A228" s="10">
        <v>227.0</v>
      </c>
      <c r="B228" s="11" t="s">
        <v>300</v>
      </c>
      <c r="C228" s="10" t="s">
        <v>20</v>
      </c>
      <c r="D228" s="10" t="s">
        <v>71</v>
      </c>
      <c r="E228" s="14">
        <v>250.2</v>
      </c>
      <c r="F228" s="14">
        <v>1.4</v>
      </c>
      <c r="G228" s="13">
        <f>IFERROR(__xludf.DUMMYFUNCTION("if(counta(filter('Previous Rank'!$A$2:$A2766,'Previous Rank'!$B$2:$B2766=B228,'Previous Rank'!$C$2:$C2766=C228))=1,filter('Previous Rank'!$A$2:$A2766,'Previous Rank'!$B$2:$B2766=B228,'Previous Rank'!$C$2:$C2766=C228),"""")"),213.0)</f>
        <v>213</v>
      </c>
      <c r="H228" s="8">
        <f t="shared" si="1"/>
        <v>-14</v>
      </c>
    </row>
    <row r="229">
      <c r="A229" s="10">
        <v>228.0</v>
      </c>
      <c r="B229" s="11" t="s">
        <v>301</v>
      </c>
      <c r="C229" s="10" t="s">
        <v>22</v>
      </c>
      <c r="D229" s="10" t="s">
        <v>34</v>
      </c>
      <c r="E229" s="12">
        <v>192.8</v>
      </c>
      <c r="F229" s="12">
        <v>2.3</v>
      </c>
      <c r="G229" s="13">
        <f>IFERROR(__xludf.DUMMYFUNCTION("if(counta(filter('Previous Rank'!$A$2:$A2766,'Previous Rank'!$B$2:$B2766=B229,'Previous Rank'!$C$2:$C2766=C229))=1,filter('Previous Rank'!$A$2:$A2766,'Previous Rank'!$B$2:$B2766=B229,'Previous Rank'!$C$2:$C2766=C229),"""")"),210.0)</f>
        <v>210</v>
      </c>
      <c r="H229" s="8">
        <f t="shared" si="1"/>
        <v>-18</v>
      </c>
    </row>
    <row r="230">
      <c r="A230" s="10">
        <v>229.0</v>
      </c>
      <c r="B230" s="11" t="s">
        <v>302</v>
      </c>
      <c r="C230" s="10" t="s">
        <v>136</v>
      </c>
      <c r="D230" s="10" t="s">
        <v>113</v>
      </c>
      <c r="E230" s="14">
        <v>246.7</v>
      </c>
      <c r="F230" s="14">
        <v>1.2</v>
      </c>
      <c r="G230" s="13">
        <f>IFERROR(__xludf.DUMMYFUNCTION("if(counta(filter('Previous Rank'!$A$2:$A2766,'Previous Rank'!$B$2:$B2766=B230,'Previous Rank'!$C$2:$C2766=C230))=1,filter('Previous Rank'!$A$2:$A2766,'Previous Rank'!$B$2:$B2766=B230,'Previous Rank'!$C$2:$C2766=C230),"""")"),260.0)</f>
        <v>260</v>
      </c>
      <c r="H230" s="8">
        <f t="shared" si="1"/>
        <v>31</v>
      </c>
    </row>
    <row r="231">
      <c r="A231" s="10">
        <v>230.0</v>
      </c>
      <c r="B231" s="11" t="s">
        <v>303</v>
      </c>
      <c r="C231" s="10" t="s">
        <v>176</v>
      </c>
      <c r="D231" s="10" t="s">
        <v>113</v>
      </c>
      <c r="E231" s="12">
        <v>232.1</v>
      </c>
      <c r="F231" s="12">
        <v>1.4</v>
      </c>
      <c r="G231" s="13">
        <f>IFERROR(__xludf.DUMMYFUNCTION("if(counta(filter('Previous Rank'!$A$2:$A2766,'Previous Rank'!$B$2:$B2766=B231,'Previous Rank'!$C$2:$C2766=C231))=1,filter('Previous Rank'!$A$2:$A2766,'Previous Rank'!$B$2:$B2766=B231,'Previous Rank'!$C$2:$C2766=C231),"""")"),251.0)</f>
        <v>251</v>
      </c>
      <c r="H231" s="8">
        <f t="shared" si="1"/>
        <v>21</v>
      </c>
    </row>
    <row r="232">
      <c r="A232" s="10">
        <v>231.0</v>
      </c>
      <c r="B232" s="11" t="s">
        <v>304</v>
      </c>
      <c r="C232" s="10" t="s">
        <v>22</v>
      </c>
      <c r="D232" s="10" t="s">
        <v>67</v>
      </c>
      <c r="E232" s="14">
        <v>238.9</v>
      </c>
      <c r="F232" s="14">
        <v>1.2</v>
      </c>
      <c r="G232" s="13">
        <f>IFERROR(__xludf.DUMMYFUNCTION("if(counta(filter('Previous Rank'!$A$2:$A2766,'Previous Rank'!$B$2:$B2766=B232,'Previous Rank'!$C$2:$C2766=C232))=1,filter('Previous Rank'!$A$2:$A2766,'Previous Rank'!$B$2:$B2766=B232,'Previous Rank'!$C$2:$C2766=C232),"""")"),216.0)</f>
        <v>216</v>
      </c>
      <c r="H232" s="8">
        <f t="shared" si="1"/>
        <v>-15</v>
      </c>
    </row>
    <row r="233">
      <c r="A233" s="10">
        <v>232.0</v>
      </c>
      <c r="B233" s="11" t="s">
        <v>305</v>
      </c>
      <c r="C233" s="10" t="s">
        <v>77</v>
      </c>
      <c r="D233" s="10" t="s">
        <v>71</v>
      </c>
      <c r="E233" s="12">
        <v>211.2</v>
      </c>
      <c r="F233" s="12">
        <v>1.5</v>
      </c>
      <c r="G233" s="13">
        <f>IFERROR(__xludf.DUMMYFUNCTION("if(counta(filter('Previous Rank'!$A$2:$A2766,'Previous Rank'!$B$2:$B2766=B233,'Previous Rank'!$C$2:$C2766=C233))=1,filter('Previous Rank'!$A$2:$A2766,'Previous Rank'!$B$2:$B2766=B233,'Previous Rank'!$C$2:$C2766=C233),"""")"),277.0)</f>
        <v>277</v>
      </c>
      <c r="H233" s="8">
        <f t="shared" si="1"/>
        <v>45</v>
      </c>
    </row>
    <row r="234">
      <c r="A234" s="10">
        <v>233.0</v>
      </c>
      <c r="B234" s="11" t="s">
        <v>306</v>
      </c>
      <c r="C234" s="10" t="s">
        <v>22</v>
      </c>
      <c r="D234" s="10" t="s">
        <v>49</v>
      </c>
      <c r="E234" s="14">
        <v>257.5</v>
      </c>
      <c r="F234" s="14">
        <v>1.2</v>
      </c>
      <c r="G234" s="13">
        <f>IFERROR(__xludf.DUMMYFUNCTION("if(counta(filter('Previous Rank'!$A$2:$A2766,'Previous Rank'!$B$2:$B2766=B234,'Previous Rank'!$C$2:$C2766=C234))=1,filter('Previous Rank'!$A$2:$A2766,'Previous Rank'!$B$2:$B2766=B234,'Previous Rank'!$C$2:$C2766=C234),"""")"),243.0)</f>
        <v>243</v>
      </c>
      <c r="H234" s="8">
        <f t="shared" si="1"/>
        <v>10</v>
      </c>
    </row>
    <row r="235">
      <c r="A235" s="10">
        <v>234.0</v>
      </c>
      <c r="B235" s="11" t="s">
        <v>307</v>
      </c>
      <c r="C235" s="10" t="s">
        <v>22</v>
      </c>
      <c r="D235" s="10" t="s">
        <v>122</v>
      </c>
      <c r="E235" s="12">
        <v>257.0</v>
      </c>
      <c r="F235" s="12">
        <v>1.2</v>
      </c>
      <c r="G235" s="13">
        <f>IFERROR(__xludf.DUMMYFUNCTION("if(counta(filter('Previous Rank'!$A$2:$A2766,'Previous Rank'!$B$2:$B2766=B235,'Previous Rank'!$C$2:$C2766=C235))=1,filter('Previous Rank'!$A$2:$A2766,'Previous Rank'!$B$2:$B2766=B235,'Previous Rank'!$C$2:$C2766=C235),"""")"),247.0)</f>
        <v>247</v>
      </c>
      <c r="H235" s="8">
        <f t="shared" si="1"/>
        <v>13</v>
      </c>
    </row>
    <row r="236">
      <c r="A236" s="10">
        <v>235.0</v>
      </c>
      <c r="B236" s="11" t="s">
        <v>308</v>
      </c>
      <c r="C236" s="10" t="s">
        <v>136</v>
      </c>
      <c r="D236" s="10" t="s">
        <v>129</v>
      </c>
      <c r="E236" s="14">
        <v>247.9</v>
      </c>
      <c r="F236" s="14">
        <v>1.8</v>
      </c>
      <c r="G236" s="13">
        <f>IFERROR(__xludf.DUMMYFUNCTION("if(counta(filter('Previous Rank'!$A$2:$A2766,'Previous Rank'!$B$2:$B2766=B236,'Previous Rank'!$C$2:$C2766=C236))=1,filter('Previous Rank'!$A$2:$A2766,'Previous Rank'!$B$2:$B2766=B236,'Previous Rank'!$C$2:$C2766=C236),"""")"),205.0)</f>
        <v>205</v>
      </c>
      <c r="H236" s="8">
        <f t="shared" si="1"/>
        <v>-30</v>
      </c>
    </row>
    <row r="237">
      <c r="A237" s="10">
        <v>236.0</v>
      </c>
      <c r="B237" s="11" t="s">
        <v>309</v>
      </c>
      <c r="C237" s="10" t="s">
        <v>69</v>
      </c>
      <c r="D237" s="10" t="s">
        <v>52</v>
      </c>
      <c r="E237" s="12">
        <v>249.0</v>
      </c>
      <c r="F237" s="12">
        <v>1.4</v>
      </c>
      <c r="G237" s="13">
        <f>IFERROR(__xludf.DUMMYFUNCTION("if(counta(filter('Previous Rank'!$A$2:$A2766,'Previous Rank'!$B$2:$B2766=B237,'Previous Rank'!$C$2:$C2766=C237))=1,filter('Previous Rank'!$A$2:$A2766,'Previous Rank'!$B$2:$B2766=B237,'Previous Rank'!$C$2:$C2766=C237),"""")"),208.0)</f>
        <v>208</v>
      </c>
      <c r="H237" s="8">
        <f t="shared" si="1"/>
        <v>-28</v>
      </c>
    </row>
    <row r="238">
      <c r="A238" s="10">
        <v>237.0</v>
      </c>
      <c r="B238" s="11" t="s">
        <v>310</v>
      </c>
      <c r="C238" s="10" t="s">
        <v>22</v>
      </c>
      <c r="D238" s="10" t="s">
        <v>15</v>
      </c>
      <c r="E238" s="14">
        <v>249.2</v>
      </c>
      <c r="F238" s="14">
        <v>1.3</v>
      </c>
      <c r="G238" s="13">
        <f>IFERROR(__xludf.DUMMYFUNCTION("if(counta(filter('Previous Rank'!$A$2:$A2766,'Previous Rank'!$B$2:$B2766=B238,'Previous Rank'!$C$2:$C2766=C238))=1,filter('Previous Rank'!$A$2:$A2766,'Previous Rank'!$B$2:$B2766=B238,'Previous Rank'!$C$2:$C2766=C238),"""")"),217.0)</f>
        <v>217</v>
      </c>
      <c r="H238" s="8">
        <f t="shared" si="1"/>
        <v>-20</v>
      </c>
    </row>
    <row r="239">
      <c r="A239" s="10">
        <v>238.0</v>
      </c>
      <c r="B239" s="11" t="s">
        <v>311</v>
      </c>
      <c r="C239" s="10" t="s">
        <v>55</v>
      </c>
      <c r="D239" s="10" t="s">
        <v>49</v>
      </c>
      <c r="E239" s="12">
        <v>187.6</v>
      </c>
      <c r="F239" s="12">
        <v>3.2</v>
      </c>
      <c r="G239" s="13">
        <f>IFERROR(__xludf.DUMMYFUNCTION("if(counta(filter('Previous Rank'!$A$2:$A2766,'Previous Rank'!$B$2:$B2766=B239,'Previous Rank'!$C$2:$C2766=C239))=1,filter('Previous Rank'!$A$2:$A2766,'Previous Rank'!$B$2:$B2766=B239,'Previous Rank'!$C$2:$C2766=C239),"""")"),298.0)</f>
        <v>298</v>
      </c>
      <c r="H239" s="8">
        <f t="shared" si="1"/>
        <v>60</v>
      </c>
    </row>
    <row r="240">
      <c r="A240" s="10">
        <v>239.0</v>
      </c>
      <c r="B240" s="11" t="s">
        <v>312</v>
      </c>
      <c r="C240" s="10" t="s">
        <v>77</v>
      </c>
      <c r="D240" s="10" t="s">
        <v>42</v>
      </c>
      <c r="E240" s="14">
        <v>202.4</v>
      </c>
      <c r="F240" s="14">
        <v>1.4</v>
      </c>
      <c r="G240" s="13">
        <f>IFERROR(__xludf.DUMMYFUNCTION("if(counta(filter('Previous Rank'!$A$2:$A2766,'Previous Rank'!$B$2:$B2766=B240,'Previous Rank'!$C$2:$C2766=C240))=1,filter('Previous Rank'!$A$2:$A2766,'Previous Rank'!$B$2:$B2766=B240,'Previous Rank'!$C$2:$C2766=C240),"""")"),270.0)</f>
        <v>270</v>
      </c>
      <c r="H240" s="8">
        <f t="shared" si="1"/>
        <v>31</v>
      </c>
    </row>
    <row r="241">
      <c r="A241" s="10">
        <v>240.0</v>
      </c>
      <c r="B241" s="11" t="s">
        <v>313</v>
      </c>
      <c r="C241" s="10" t="s">
        <v>148</v>
      </c>
      <c r="D241" s="10" t="s">
        <v>129</v>
      </c>
      <c r="E241" s="12">
        <v>192.6</v>
      </c>
      <c r="F241" s="12">
        <v>1.8</v>
      </c>
      <c r="G241" s="13">
        <f>IFERROR(__xludf.DUMMYFUNCTION("if(counta(filter('Previous Rank'!$A$2:$A2766,'Previous Rank'!$B$2:$B2766=B241,'Previous Rank'!$C$2:$C2766=C241))=1,filter('Previous Rank'!$A$2:$A2766,'Previous Rank'!$B$2:$B2766=B241,'Previous Rank'!$C$2:$C2766=C241),"""")"),264.0)</f>
        <v>264</v>
      </c>
      <c r="H241" s="8">
        <f t="shared" si="1"/>
        <v>24</v>
      </c>
    </row>
    <row r="242">
      <c r="A242" s="10">
        <v>241.0</v>
      </c>
      <c r="B242" s="11" t="s">
        <v>314</v>
      </c>
      <c r="C242" s="10" t="s">
        <v>22</v>
      </c>
      <c r="D242" s="10" t="s">
        <v>82</v>
      </c>
      <c r="E242" s="14">
        <v>238.3</v>
      </c>
      <c r="F242" s="14">
        <v>1.4</v>
      </c>
      <c r="G242" s="13">
        <f>IFERROR(__xludf.DUMMYFUNCTION("if(counta(filter('Previous Rank'!$A$2:$A2766,'Previous Rank'!$B$2:$B2766=B242,'Previous Rank'!$C$2:$C2766=C242))=1,filter('Previous Rank'!$A$2:$A2766,'Previous Rank'!$B$2:$B2766=B242,'Previous Rank'!$C$2:$C2766=C242),"""")"),249.0)</f>
        <v>249</v>
      </c>
      <c r="H242" s="8">
        <f t="shared" si="1"/>
        <v>8</v>
      </c>
    </row>
    <row r="243">
      <c r="A243" s="10">
        <v>242.0</v>
      </c>
      <c r="B243" s="11" t="s">
        <v>315</v>
      </c>
      <c r="C243" s="10" t="s">
        <v>79</v>
      </c>
      <c r="D243" s="10" t="s">
        <v>46</v>
      </c>
      <c r="E243" s="12">
        <v>179.8</v>
      </c>
      <c r="F243" s="12">
        <v>2.3</v>
      </c>
      <c r="G243" s="13">
        <f>IFERROR(__xludf.DUMMYFUNCTION("if(counta(filter('Previous Rank'!$A$2:$A2766,'Previous Rank'!$B$2:$B2766=B243,'Previous Rank'!$C$2:$C2766=C243))=1,filter('Previous Rank'!$A$2:$A2766,'Previous Rank'!$B$2:$B2766=B243,'Previous Rank'!$C$2:$C2766=C243),"""")"),230.0)</f>
        <v>230</v>
      </c>
      <c r="H243" s="8">
        <f t="shared" si="1"/>
        <v>-12</v>
      </c>
    </row>
    <row r="244">
      <c r="A244" s="10">
        <v>243.0</v>
      </c>
      <c r="B244" s="11" t="s">
        <v>316</v>
      </c>
      <c r="C244" s="10" t="s">
        <v>20</v>
      </c>
      <c r="D244" s="10" t="s">
        <v>99</v>
      </c>
      <c r="E244" s="14">
        <v>243.0</v>
      </c>
      <c r="F244" s="14">
        <v>1.3</v>
      </c>
      <c r="G244" s="13">
        <f>IFERROR(__xludf.DUMMYFUNCTION("if(counta(filter('Previous Rank'!$A$2:$A2766,'Previous Rank'!$B$2:$B2766=B244,'Previous Rank'!$C$2:$C2766=C244))=1,filter('Previous Rank'!$A$2:$A2766,'Previous Rank'!$B$2:$B2766=B244,'Previous Rank'!$C$2:$C2766=C244),"""")"),219.0)</f>
        <v>219</v>
      </c>
      <c r="H244" s="8">
        <f t="shared" si="1"/>
        <v>-24</v>
      </c>
    </row>
    <row r="245">
      <c r="A245" s="10">
        <v>244.0</v>
      </c>
      <c r="B245" s="11" t="s">
        <v>317</v>
      </c>
      <c r="C245" s="10" t="s">
        <v>22</v>
      </c>
      <c r="D245" s="10" t="s">
        <v>52</v>
      </c>
      <c r="E245" s="12">
        <v>256.7</v>
      </c>
      <c r="F245" s="12">
        <v>1.3</v>
      </c>
      <c r="G245" s="13">
        <f>IFERROR(__xludf.DUMMYFUNCTION("if(counta(filter('Previous Rank'!$A$2:$A2766,'Previous Rank'!$B$2:$B2766=B245,'Previous Rank'!$C$2:$C2766=C245))=1,filter('Previous Rank'!$A$2:$A2766,'Previous Rank'!$B$2:$B2766=B245,'Previous Rank'!$C$2:$C2766=C245),"""")"),224.0)</f>
        <v>224</v>
      </c>
      <c r="H245" s="8">
        <f t="shared" si="1"/>
        <v>-20</v>
      </c>
    </row>
    <row r="246">
      <c r="A246" s="10">
        <v>245.0</v>
      </c>
      <c r="B246" s="11" t="s">
        <v>318</v>
      </c>
      <c r="C246" s="10" t="s">
        <v>189</v>
      </c>
      <c r="D246" s="10" t="s">
        <v>36</v>
      </c>
      <c r="E246" s="14">
        <v>205.3</v>
      </c>
      <c r="F246" s="14">
        <v>2.0</v>
      </c>
      <c r="G246" s="13">
        <f>IFERROR(__xludf.DUMMYFUNCTION("if(counta(filter('Previous Rank'!$A$2:$A2766,'Previous Rank'!$B$2:$B2766=B246,'Previous Rank'!$C$2:$C2766=C246))=1,filter('Previous Rank'!$A$2:$A2766,'Previous Rank'!$B$2:$B2766=B246,'Previous Rank'!$C$2:$C2766=C246),"""")"),255.0)</f>
        <v>255</v>
      </c>
      <c r="H246" s="8">
        <f t="shared" si="1"/>
        <v>10</v>
      </c>
    </row>
    <row r="247">
      <c r="A247" s="10">
        <v>246.0</v>
      </c>
      <c r="B247" s="11" t="s">
        <v>319</v>
      </c>
      <c r="C247" s="10" t="s">
        <v>79</v>
      </c>
      <c r="D247" s="10" t="s">
        <v>23</v>
      </c>
      <c r="E247" s="12">
        <v>196.5</v>
      </c>
      <c r="F247" s="12">
        <v>3.1</v>
      </c>
      <c r="G247" s="13">
        <f>IFERROR(__xludf.DUMMYFUNCTION("if(counta(filter('Previous Rank'!$A$2:$A2766,'Previous Rank'!$B$2:$B2766=B247,'Previous Rank'!$C$2:$C2766=C247))=1,filter('Previous Rank'!$A$2:$A2766,'Previous Rank'!$B$2:$B2766=B247,'Previous Rank'!$C$2:$C2766=C247),"""")"),266.0)</f>
        <v>266</v>
      </c>
      <c r="H247" s="8">
        <f t="shared" si="1"/>
        <v>20</v>
      </c>
    </row>
    <row r="248">
      <c r="A248" s="10">
        <v>247.0</v>
      </c>
      <c r="B248" s="11" t="s">
        <v>320</v>
      </c>
      <c r="C248" s="10" t="s">
        <v>11</v>
      </c>
      <c r="D248" s="10" t="s">
        <v>31</v>
      </c>
      <c r="E248" s="14">
        <v>248.1</v>
      </c>
      <c r="F248" s="14">
        <v>1.3</v>
      </c>
      <c r="G248" s="13">
        <f>IFERROR(__xludf.DUMMYFUNCTION("if(counta(filter('Previous Rank'!$A$2:$A2766,'Previous Rank'!$B$2:$B2766=B248,'Previous Rank'!$C$2:$C2766=C248))=1,filter('Previous Rank'!$A$2:$A2766,'Previous Rank'!$B$2:$B2766=B248,'Previous Rank'!$C$2:$C2766=C248),"""")"),220.0)</f>
        <v>220</v>
      </c>
      <c r="H248" s="8">
        <f t="shared" si="1"/>
        <v>-27</v>
      </c>
    </row>
    <row r="249">
      <c r="A249" s="10">
        <v>248.0</v>
      </c>
      <c r="B249" s="11" t="s">
        <v>321</v>
      </c>
      <c r="C249" s="10" t="s">
        <v>79</v>
      </c>
      <c r="D249" s="10" t="s">
        <v>25</v>
      </c>
      <c r="E249" s="12">
        <v>192.8</v>
      </c>
      <c r="F249" s="12">
        <v>1.6</v>
      </c>
      <c r="G249" s="13">
        <f>IFERROR(__xludf.DUMMYFUNCTION("if(counta(filter('Previous Rank'!$A$2:$A2766,'Previous Rank'!$B$2:$B2766=B249,'Previous Rank'!$C$2:$C2766=C249))=1,filter('Previous Rank'!$A$2:$A2766,'Previous Rank'!$B$2:$B2766=B249,'Previous Rank'!$C$2:$C2766=C249),"""")"),258.0)</f>
        <v>258</v>
      </c>
      <c r="H249" s="8">
        <f t="shared" si="1"/>
        <v>10</v>
      </c>
    </row>
    <row r="250">
      <c r="A250" s="10">
        <v>249.0</v>
      </c>
      <c r="B250" s="11" t="s">
        <v>322</v>
      </c>
      <c r="C250" s="10" t="s">
        <v>22</v>
      </c>
      <c r="D250" s="10" t="s">
        <v>23</v>
      </c>
      <c r="E250" s="14">
        <v>259.0</v>
      </c>
      <c r="F250" s="14">
        <v>1.1</v>
      </c>
      <c r="G250" s="13">
        <f>IFERROR(__xludf.DUMMYFUNCTION("if(counta(filter('Previous Rank'!$A$2:$A2766,'Previous Rank'!$B$2:$B2766=B250,'Previous Rank'!$C$2:$C2766=C250))=1,filter('Previous Rank'!$A$2:$A2766,'Previous Rank'!$B$2:$B2766=B250,'Previous Rank'!$C$2:$C2766=C250),"""")"),226.0)</f>
        <v>226</v>
      </c>
      <c r="H250" s="8">
        <f t="shared" si="1"/>
        <v>-23</v>
      </c>
    </row>
    <row r="251">
      <c r="A251" s="10">
        <v>250.0</v>
      </c>
      <c r="B251" s="11" t="s">
        <v>323</v>
      </c>
      <c r="C251" s="10" t="s">
        <v>39</v>
      </c>
      <c r="D251" s="10" t="s">
        <v>95</v>
      </c>
      <c r="E251" s="12">
        <v>252.2</v>
      </c>
      <c r="F251" s="12">
        <v>1.3</v>
      </c>
      <c r="G251" s="13">
        <f>IFERROR(__xludf.DUMMYFUNCTION("if(counta(filter('Previous Rank'!$A$2:$A2766,'Previous Rank'!$B$2:$B2766=B251,'Previous Rank'!$C$2:$C2766=C251))=1,filter('Previous Rank'!$A$2:$A2766,'Previous Rank'!$B$2:$B2766=B251,'Previous Rank'!$C$2:$C2766=C251),"""")"),222.0)</f>
        <v>222</v>
      </c>
      <c r="H251" s="8">
        <f t="shared" si="1"/>
        <v>-28</v>
      </c>
    </row>
    <row r="252">
      <c r="A252" s="10">
        <v>251.0</v>
      </c>
      <c r="B252" s="11" t="s">
        <v>324</v>
      </c>
      <c r="C252" s="10" t="s">
        <v>87</v>
      </c>
      <c r="D252" s="10" t="s">
        <v>42</v>
      </c>
      <c r="E252" s="14">
        <v>234.6</v>
      </c>
      <c r="F252" s="14">
        <v>1.4</v>
      </c>
      <c r="G252" s="13">
        <f>IFERROR(__xludf.DUMMYFUNCTION("if(counta(filter('Previous Rank'!$A$2:$A2766,'Previous Rank'!$B$2:$B2766=B252,'Previous Rank'!$C$2:$C2766=C252))=1,filter('Previous Rank'!$A$2:$A2766,'Previous Rank'!$B$2:$B2766=B252,'Previous Rank'!$C$2:$C2766=C252),"""")"),228.0)</f>
        <v>228</v>
      </c>
      <c r="H252" s="8">
        <f t="shared" si="1"/>
        <v>-23</v>
      </c>
    </row>
    <row r="253">
      <c r="A253" s="10">
        <v>252.0</v>
      </c>
      <c r="B253" s="11" t="s">
        <v>325</v>
      </c>
      <c r="C253" s="10" t="s">
        <v>77</v>
      </c>
      <c r="D253" s="10" t="s">
        <v>49</v>
      </c>
      <c r="E253" s="12">
        <v>185.8</v>
      </c>
      <c r="F253" s="12">
        <v>1.9</v>
      </c>
      <c r="G253" s="13">
        <f>IFERROR(__xludf.DUMMYFUNCTION("if(counta(filter('Previous Rank'!$A$2:$A2766,'Previous Rank'!$B$2:$B2766=B253,'Previous Rank'!$C$2:$C2766=C253))=1,filter('Previous Rank'!$A$2:$A2766,'Previous Rank'!$B$2:$B2766=B253,'Previous Rank'!$C$2:$C2766=C253),"""")"),229.0)</f>
        <v>229</v>
      </c>
      <c r="H253" s="8">
        <f t="shared" si="1"/>
        <v>-23</v>
      </c>
    </row>
    <row r="254">
      <c r="A254" s="10">
        <v>253.0</v>
      </c>
      <c r="B254" s="11" t="s">
        <v>326</v>
      </c>
      <c r="C254" s="10" t="s">
        <v>327</v>
      </c>
      <c r="D254" s="10" t="s">
        <v>9</v>
      </c>
      <c r="E254" s="14">
        <v>246.9</v>
      </c>
      <c r="F254" s="14">
        <v>1.2</v>
      </c>
      <c r="G254" s="13">
        <f>IFERROR(__xludf.DUMMYFUNCTION("if(counta(filter('Previous Rank'!$A$2:$A2766,'Previous Rank'!$B$2:$B2766=B254,'Previous Rank'!$C$2:$C2766=C254))=1,filter('Previous Rank'!$A$2:$A2766,'Previous Rank'!$B$2:$B2766=B254,'Previous Rank'!$C$2:$C2766=C254),"""")"),250.0)</f>
        <v>250</v>
      </c>
      <c r="H254" s="8">
        <f t="shared" si="1"/>
        <v>-3</v>
      </c>
    </row>
    <row r="255">
      <c r="A255" s="10">
        <v>254.0</v>
      </c>
      <c r="B255" s="11" t="s">
        <v>328</v>
      </c>
      <c r="C255" s="10" t="s">
        <v>329</v>
      </c>
      <c r="D255" s="10" t="s">
        <v>140</v>
      </c>
      <c r="E255" s="12">
        <v>250.0</v>
      </c>
      <c r="F255" s="12">
        <v>1.3</v>
      </c>
      <c r="G255" s="13">
        <f>IFERROR(__xludf.DUMMYFUNCTION("if(counta(filter('Previous Rank'!$A$2:$A2766,'Previous Rank'!$B$2:$B2766=B255,'Previous Rank'!$C$2:$C2766=C255))=1,filter('Previous Rank'!$A$2:$A2766,'Previous Rank'!$B$2:$B2766=B255,'Previous Rank'!$C$2:$C2766=C255),"""")"),240.0)</f>
        <v>240</v>
      </c>
      <c r="H255" s="8">
        <f t="shared" si="1"/>
        <v>-14</v>
      </c>
    </row>
    <row r="256">
      <c r="A256" s="10">
        <v>255.0</v>
      </c>
      <c r="B256" s="11" t="s">
        <v>330</v>
      </c>
      <c r="C256" s="10" t="s">
        <v>22</v>
      </c>
      <c r="D256" s="10" t="s">
        <v>36</v>
      </c>
      <c r="E256" s="14">
        <v>256.8</v>
      </c>
      <c r="F256" s="14">
        <v>1.3</v>
      </c>
      <c r="G256" s="13">
        <f>IFERROR(__xludf.DUMMYFUNCTION("if(counta(filter('Previous Rank'!$A$2:$A2766,'Previous Rank'!$B$2:$B2766=B256,'Previous Rank'!$C$2:$C2766=C256))=1,filter('Previous Rank'!$A$2:$A2766,'Previous Rank'!$B$2:$B2766=B256,'Previous Rank'!$C$2:$C2766=C256),"""")"),225.0)</f>
        <v>225</v>
      </c>
      <c r="H256" s="8">
        <f t="shared" si="1"/>
        <v>-30</v>
      </c>
    </row>
    <row r="257">
      <c r="A257" s="10">
        <v>256.0</v>
      </c>
      <c r="B257" s="11" t="s">
        <v>331</v>
      </c>
      <c r="C257" s="10" t="s">
        <v>139</v>
      </c>
      <c r="D257" s="10" t="s">
        <v>42</v>
      </c>
      <c r="E257" s="12">
        <v>237.2</v>
      </c>
      <c r="F257" s="12">
        <v>1.3</v>
      </c>
      <c r="G257" s="13">
        <f>IFERROR(__xludf.DUMMYFUNCTION("if(counta(filter('Previous Rank'!$A$2:$A2766,'Previous Rank'!$B$2:$B2766=B257,'Previous Rank'!$C$2:$C2766=C257))=1,filter('Previous Rank'!$A$2:$A2766,'Previous Rank'!$B$2:$B2766=B257,'Previous Rank'!$C$2:$C2766=C257),"""")"),273.0)</f>
        <v>273</v>
      </c>
      <c r="H257" s="8">
        <f t="shared" si="1"/>
        <v>17</v>
      </c>
    </row>
    <row r="258">
      <c r="A258" s="10">
        <v>257.0</v>
      </c>
      <c r="B258" s="11" t="s">
        <v>332</v>
      </c>
      <c r="C258" s="10" t="s">
        <v>22</v>
      </c>
      <c r="D258" s="10" t="s">
        <v>36</v>
      </c>
      <c r="E258" s="14">
        <v>256.2</v>
      </c>
      <c r="F258" s="14">
        <v>1.2</v>
      </c>
      <c r="G258" s="13">
        <f>IFERROR(__xludf.DUMMYFUNCTION("if(counta(filter('Previous Rank'!$A$2:$A2766,'Previous Rank'!$B$2:$B2766=B258,'Previous Rank'!$C$2:$C2766=C258))=1,filter('Previous Rank'!$A$2:$A2766,'Previous Rank'!$B$2:$B2766=B258,'Previous Rank'!$C$2:$C2766=C258),"""")"),232.0)</f>
        <v>232</v>
      </c>
      <c r="H258" s="8">
        <f t="shared" si="1"/>
        <v>-25</v>
      </c>
    </row>
    <row r="259">
      <c r="A259" s="10">
        <v>258.0</v>
      </c>
      <c r="B259" s="11" t="s">
        <v>333</v>
      </c>
      <c r="C259" s="10" t="s">
        <v>79</v>
      </c>
      <c r="D259" s="10" t="s">
        <v>42</v>
      </c>
      <c r="E259" s="12">
        <v>184.0</v>
      </c>
      <c r="F259" s="12">
        <v>2.2</v>
      </c>
      <c r="G259" s="13">
        <f>IFERROR(__xludf.DUMMYFUNCTION("if(counta(filter('Previous Rank'!$A$2:$A2766,'Previous Rank'!$B$2:$B2766=B259,'Previous Rank'!$C$2:$C2766=C259))=1,filter('Previous Rank'!$A$2:$A2766,'Previous Rank'!$B$2:$B2766=B259,'Previous Rank'!$C$2:$C2766=C259),"""")"),253.0)</f>
        <v>253</v>
      </c>
      <c r="H259" s="8">
        <f t="shared" si="1"/>
        <v>-5</v>
      </c>
    </row>
    <row r="260">
      <c r="A260" s="10">
        <v>259.0</v>
      </c>
      <c r="B260" s="11" t="s">
        <v>334</v>
      </c>
      <c r="C260" s="10" t="s">
        <v>20</v>
      </c>
      <c r="D260" s="10" t="s">
        <v>52</v>
      </c>
      <c r="E260" s="14">
        <v>255.8</v>
      </c>
      <c r="F260" s="14">
        <v>1.4</v>
      </c>
      <c r="G260" s="13">
        <f>IFERROR(__xludf.DUMMYFUNCTION("if(counta(filter('Previous Rank'!$A$2:$A2766,'Previous Rank'!$B$2:$B2766=B260,'Previous Rank'!$C$2:$C2766=C260))=1,filter('Previous Rank'!$A$2:$A2766,'Previous Rank'!$B$2:$B2766=B260,'Previous Rank'!$C$2:$C2766=C260),"""")"),235.0)</f>
        <v>235</v>
      </c>
      <c r="H260" s="8">
        <f t="shared" si="1"/>
        <v>-24</v>
      </c>
    </row>
    <row r="261">
      <c r="A261" s="10">
        <v>260.0</v>
      </c>
      <c r="B261" s="11" t="s">
        <v>335</v>
      </c>
      <c r="C261" s="10" t="s">
        <v>11</v>
      </c>
      <c r="D261" s="10" t="s">
        <v>113</v>
      </c>
      <c r="E261" s="12">
        <v>256.2</v>
      </c>
      <c r="F261" s="12">
        <v>1.1</v>
      </c>
      <c r="G261" s="13">
        <f>IFERROR(__xludf.DUMMYFUNCTION("if(counta(filter('Previous Rank'!$A$2:$A2766,'Previous Rank'!$B$2:$B2766=B261,'Previous Rank'!$C$2:$C2766=C261))=1,filter('Previous Rank'!$A$2:$A2766,'Previous Rank'!$B$2:$B2766=B261,'Previous Rank'!$C$2:$C2766=C261),"""")"),263.0)</f>
        <v>263</v>
      </c>
      <c r="H261" s="8">
        <f t="shared" si="1"/>
        <v>3</v>
      </c>
    </row>
    <row r="262">
      <c r="A262" s="10">
        <v>261.0</v>
      </c>
      <c r="B262" s="11" t="s">
        <v>336</v>
      </c>
      <c r="C262" s="10" t="s">
        <v>89</v>
      </c>
      <c r="D262" s="10" t="s">
        <v>99</v>
      </c>
      <c r="E262" s="14">
        <v>242.9</v>
      </c>
      <c r="F262" s="14">
        <v>1.4</v>
      </c>
      <c r="G262" s="13">
        <f>IFERROR(__xludf.DUMMYFUNCTION("if(counta(filter('Previous Rank'!$A$2:$A2766,'Previous Rank'!$B$2:$B2766=B262,'Previous Rank'!$C$2:$C2766=C262))=1,filter('Previous Rank'!$A$2:$A2766,'Previous Rank'!$B$2:$B2766=B262,'Previous Rank'!$C$2:$C2766=C262),"""")"),246.0)</f>
        <v>246</v>
      </c>
      <c r="H262" s="8">
        <f t="shared" si="1"/>
        <v>-15</v>
      </c>
    </row>
    <row r="263">
      <c r="A263" s="10">
        <v>262.0</v>
      </c>
      <c r="B263" s="11" t="s">
        <v>337</v>
      </c>
      <c r="C263" s="10" t="s">
        <v>22</v>
      </c>
      <c r="D263" s="10" t="s">
        <v>18</v>
      </c>
      <c r="E263" s="12">
        <v>217.6</v>
      </c>
      <c r="F263" s="12">
        <v>1.5</v>
      </c>
      <c r="G263" s="13">
        <f>IFERROR(__xludf.DUMMYFUNCTION("if(counta(filter('Previous Rank'!$A$2:$A2766,'Previous Rank'!$B$2:$B2766=B263,'Previous Rank'!$C$2:$C2766=C263))=1,filter('Previous Rank'!$A$2:$A2766,'Previous Rank'!$B$2:$B2766=B263,'Previous Rank'!$C$2:$C2766=C263),"""")"),239.0)</f>
        <v>239</v>
      </c>
      <c r="H263" s="8">
        <f t="shared" si="1"/>
        <v>-23</v>
      </c>
    </row>
    <row r="264">
      <c r="A264" s="10">
        <v>263.0</v>
      </c>
      <c r="B264" s="11" t="s">
        <v>338</v>
      </c>
      <c r="C264" s="10" t="s">
        <v>22</v>
      </c>
      <c r="D264" s="10" t="s">
        <v>9</v>
      </c>
      <c r="E264" s="14">
        <v>250.6</v>
      </c>
      <c r="F264" s="14">
        <v>1.2</v>
      </c>
      <c r="G264" s="13">
        <f>IFERROR(__xludf.DUMMYFUNCTION("if(counta(filter('Previous Rank'!$A$2:$A2766,'Previous Rank'!$B$2:$B2766=B264,'Previous Rank'!$C$2:$C2766=C264))=1,filter('Previous Rank'!$A$2:$A2766,'Previous Rank'!$B$2:$B2766=B264,'Previous Rank'!$C$2:$C2766=C264),"""")"),231.0)</f>
        <v>231</v>
      </c>
      <c r="H264" s="8">
        <f t="shared" si="1"/>
        <v>-32</v>
      </c>
    </row>
    <row r="265">
      <c r="A265" s="10">
        <v>264.0</v>
      </c>
      <c r="B265" s="11" t="s">
        <v>339</v>
      </c>
      <c r="C265" s="10" t="s">
        <v>22</v>
      </c>
      <c r="D265" s="10" t="s">
        <v>67</v>
      </c>
      <c r="E265" s="12">
        <v>263.8</v>
      </c>
      <c r="F265" s="12">
        <v>1.1</v>
      </c>
      <c r="G265" s="13">
        <f>IFERROR(__xludf.DUMMYFUNCTION("if(counta(filter('Previous Rank'!$A$2:$A2766,'Previous Rank'!$B$2:$B2766=B265,'Previous Rank'!$C$2:$C2766=C265))=1,filter('Previous Rank'!$A$2:$A2766,'Previous Rank'!$B$2:$B2766=B265,'Previous Rank'!$C$2:$C2766=C265),"""")"),236.0)</f>
        <v>236</v>
      </c>
      <c r="H265" s="8">
        <f t="shared" si="1"/>
        <v>-28</v>
      </c>
    </row>
    <row r="266">
      <c r="A266" s="10">
        <v>265.0</v>
      </c>
      <c r="B266" s="11" t="s">
        <v>340</v>
      </c>
      <c r="C266" s="10" t="s">
        <v>79</v>
      </c>
      <c r="D266" s="10" t="s">
        <v>113</v>
      </c>
      <c r="E266" s="14">
        <v>208.2</v>
      </c>
      <c r="F266" s="14">
        <v>1.4</v>
      </c>
      <c r="G266" s="13">
        <f>IFERROR(__xludf.DUMMYFUNCTION("if(counta(filter('Previous Rank'!$A$2:$A2766,'Previous Rank'!$B$2:$B2766=B266,'Previous Rank'!$C$2:$C2766=C266))=1,filter('Previous Rank'!$A$2:$A2766,'Previous Rank'!$B$2:$B2766=B266,'Previous Rank'!$C$2:$C2766=C266),"""")"),248.0)</f>
        <v>248</v>
      </c>
      <c r="H266" s="8">
        <f t="shared" si="1"/>
        <v>-17</v>
      </c>
    </row>
    <row r="267">
      <c r="A267" s="10">
        <v>266.0</v>
      </c>
      <c r="B267" s="11" t="s">
        <v>341</v>
      </c>
      <c r="C267" s="10" t="s">
        <v>63</v>
      </c>
      <c r="D267" s="10" t="s">
        <v>99</v>
      </c>
      <c r="E267" s="12">
        <v>257.0</v>
      </c>
      <c r="F267" s="12">
        <v>1.3</v>
      </c>
      <c r="G267" s="13">
        <f>IFERROR(__xludf.DUMMYFUNCTION("if(counta(filter('Previous Rank'!$A$2:$A2766,'Previous Rank'!$B$2:$B2766=B267,'Previous Rank'!$C$2:$C2766=C267))=1,filter('Previous Rank'!$A$2:$A2766,'Previous Rank'!$B$2:$B2766=B267,'Previous Rank'!$C$2:$C2766=C267),"""")"),245.0)</f>
        <v>245</v>
      </c>
      <c r="H267" s="8">
        <f t="shared" si="1"/>
        <v>-21</v>
      </c>
    </row>
    <row r="268">
      <c r="A268" s="10">
        <v>267.0</v>
      </c>
      <c r="B268" s="11" t="s">
        <v>342</v>
      </c>
      <c r="C268" s="10" t="s">
        <v>220</v>
      </c>
      <c r="D268" s="10" t="s">
        <v>12</v>
      </c>
      <c r="E268" s="14">
        <v>223.2</v>
      </c>
      <c r="F268" s="14">
        <v>1.2</v>
      </c>
      <c r="G268" s="13">
        <f>IFERROR(__xludf.DUMMYFUNCTION("if(counta(filter('Previous Rank'!$A$2:$A2766,'Previous Rank'!$B$2:$B2766=B268,'Previous Rank'!$C$2:$C2766=C268))=1,filter('Previous Rank'!$A$2:$A2766,'Previous Rank'!$B$2:$B2766=B268,'Previous Rank'!$C$2:$C2766=C268),"""")"),259.0)</f>
        <v>259</v>
      </c>
      <c r="H268" s="8">
        <f t="shared" si="1"/>
        <v>-8</v>
      </c>
    </row>
    <row r="269">
      <c r="A269" s="10">
        <v>268.0</v>
      </c>
      <c r="B269" s="11" t="s">
        <v>343</v>
      </c>
      <c r="C269" s="10" t="s">
        <v>79</v>
      </c>
      <c r="D269" s="10" t="s">
        <v>42</v>
      </c>
      <c r="E269" s="15">
        <v>224.8</v>
      </c>
      <c r="F269" s="15">
        <v>1.4</v>
      </c>
      <c r="G269" s="13">
        <f>IFERROR(__xludf.DUMMYFUNCTION("if(counta(filter('Previous Rank'!$A$2:$A2766,'Previous Rank'!$B$2:$B2766=B269,'Previous Rank'!$C$2:$C2766=C269))=1,filter('Previous Rank'!$A$2:$A2766,'Previous Rank'!$B$2:$B2766=B269,'Previous Rank'!$C$2:$C2766=C269),"""")"),262.0)</f>
        <v>262</v>
      </c>
      <c r="H269" s="8">
        <f t="shared" si="1"/>
        <v>-6</v>
      </c>
    </row>
    <row r="270">
      <c r="A270" s="10">
        <v>269.0</v>
      </c>
      <c r="B270" s="11" t="s">
        <v>344</v>
      </c>
      <c r="C270" s="10" t="s">
        <v>22</v>
      </c>
      <c r="D270" s="10" t="s">
        <v>71</v>
      </c>
      <c r="E270" s="14">
        <v>236.0</v>
      </c>
      <c r="F270" s="14">
        <v>1.4</v>
      </c>
      <c r="G270" s="13">
        <f>IFERROR(__xludf.DUMMYFUNCTION("if(counta(filter('Previous Rank'!$A$2:$A2766,'Previous Rank'!$B$2:$B2766=B270,'Previous Rank'!$C$2:$C2766=C270))=1,filter('Previous Rank'!$A$2:$A2766,'Previous Rank'!$B$2:$B2766=B270,'Previous Rank'!$C$2:$C2766=C270),"""")"),271.0)</f>
        <v>271</v>
      </c>
      <c r="H270" s="8">
        <f t="shared" si="1"/>
        <v>2</v>
      </c>
    </row>
    <row r="271">
      <c r="A271" s="10">
        <v>270.0</v>
      </c>
      <c r="B271" s="11" t="s">
        <v>345</v>
      </c>
      <c r="C271" s="10" t="s">
        <v>346</v>
      </c>
      <c r="D271" s="10" t="s">
        <v>36</v>
      </c>
      <c r="E271" s="12">
        <v>241.2</v>
      </c>
      <c r="F271" s="12">
        <v>1.4</v>
      </c>
      <c r="G271" s="13">
        <f>IFERROR(__xludf.DUMMYFUNCTION("if(counta(filter('Previous Rank'!$A$2:$A2766,'Previous Rank'!$B$2:$B2766=B271,'Previous Rank'!$C$2:$C2766=C271))=1,filter('Previous Rank'!$A$2:$A2766,'Previous Rank'!$B$2:$B2766=B271,'Previous Rank'!$C$2:$C2766=C271),"""")"),289.0)</f>
        <v>289</v>
      </c>
      <c r="H271" s="8">
        <f t="shared" si="1"/>
        <v>19</v>
      </c>
    </row>
    <row r="272">
      <c r="A272" s="10">
        <v>271.0</v>
      </c>
      <c r="B272" s="11" t="s">
        <v>347</v>
      </c>
      <c r="C272" s="10" t="s">
        <v>22</v>
      </c>
      <c r="D272" s="10" t="s">
        <v>99</v>
      </c>
      <c r="E272" s="14">
        <v>244.2</v>
      </c>
      <c r="F272" s="14">
        <v>1.2</v>
      </c>
      <c r="G272" s="13">
        <f>IFERROR(__xludf.DUMMYFUNCTION("if(counta(filter('Previous Rank'!$A$2:$A2766,'Previous Rank'!$B$2:$B2766=B272,'Previous Rank'!$C$2:$C2766=C272))=1,filter('Previous Rank'!$A$2:$A2766,'Previous Rank'!$B$2:$B2766=B272,'Previous Rank'!$C$2:$C2766=C272),"""")"),534.0)</f>
        <v>534</v>
      </c>
      <c r="H272" s="8">
        <f t="shared" si="1"/>
        <v>263</v>
      </c>
    </row>
    <row r="273">
      <c r="A273" s="10">
        <v>272.0</v>
      </c>
      <c r="B273" s="11" t="s">
        <v>348</v>
      </c>
      <c r="C273" s="10" t="s">
        <v>77</v>
      </c>
      <c r="D273" s="10" t="s">
        <v>140</v>
      </c>
      <c r="E273" s="12">
        <v>230.7</v>
      </c>
      <c r="F273" s="12">
        <v>1.0</v>
      </c>
      <c r="G273" s="13">
        <f>IFERROR(__xludf.DUMMYFUNCTION("if(counta(filter('Previous Rank'!$A$2:$A2766,'Previous Rank'!$B$2:$B2766=B273,'Previous Rank'!$C$2:$C2766=C273))=1,filter('Previous Rank'!$A$2:$A2766,'Previous Rank'!$B$2:$B2766=B273,'Previous Rank'!$C$2:$C2766=C273),"""")"),285.0)</f>
        <v>285</v>
      </c>
      <c r="H273" s="8">
        <f t="shared" si="1"/>
        <v>13</v>
      </c>
    </row>
    <row r="274">
      <c r="A274" s="10">
        <v>273.0</v>
      </c>
      <c r="B274" s="11" t="s">
        <v>349</v>
      </c>
      <c r="C274" s="10" t="s">
        <v>22</v>
      </c>
      <c r="D274" s="10" t="s">
        <v>95</v>
      </c>
      <c r="E274" s="14">
        <v>241.6</v>
      </c>
      <c r="F274" s="14">
        <v>1.6</v>
      </c>
      <c r="G274" s="13">
        <f>IFERROR(__xludf.DUMMYFUNCTION("if(counta(filter('Previous Rank'!$A$2:$A2766,'Previous Rank'!$B$2:$B2766=B274,'Previous Rank'!$C$2:$C2766=C274))=1,filter('Previous Rank'!$A$2:$A2766,'Previous Rank'!$B$2:$B2766=B274,'Previous Rank'!$C$2:$C2766=C274),"""")"),372.0)</f>
        <v>372</v>
      </c>
      <c r="H274" s="8">
        <f t="shared" si="1"/>
        <v>99</v>
      </c>
    </row>
    <row r="275">
      <c r="A275" s="10">
        <v>274.0</v>
      </c>
      <c r="B275" s="11" t="s">
        <v>130</v>
      </c>
      <c r="C275" s="10" t="s">
        <v>79</v>
      </c>
      <c r="D275" s="10" t="s">
        <v>49</v>
      </c>
      <c r="E275" s="12">
        <v>128.4</v>
      </c>
      <c r="F275" s="12">
        <v>6.3</v>
      </c>
      <c r="G275" s="13">
        <f>IFERROR(__xludf.DUMMYFUNCTION("if(counta(filter('Previous Rank'!$A$2:$A2766,'Previous Rank'!$B$2:$B2766=B275,'Previous Rank'!$C$2:$C2766=C275))=1,filter('Previous Rank'!$A$2:$A2766,'Previous Rank'!$B$2:$B2766=B275,'Previous Rank'!$C$2:$C2766=C275),"""")"),181.0)</f>
        <v>181</v>
      </c>
      <c r="H275" s="8">
        <f t="shared" si="1"/>
        <v>-93</v>
      </c>
    </row>
    <row r="276">
      <c r="A276" s="10">
        <v>275.0</v>
      </c>
      <c r="B276" s="11" t="s">
        <v>350</v>
      </c>
      <c r="C276" s="10" t="s">
        <v>22</v>
      </c>
      <c r="D276" s="10" t="s">
        <v>31</v>
      </c>
      <c r="E276" s="14">
        <v>261.6</v>
      </c>
      <c r="F276" s="14">
        <v>1.0</v>
      </c>
      <c r="G276" s="13">
        <f>IFERROR(__xludf.DUMMYFUNCTION("if(counta(filter('Previous Rank'!$A$2:$A2766,'Previous Rank'!$B$2:$B2766=B276,'Previous Rank'!$C$2:$C2766=C276))=1,filter('Previous Rank'!$A$2:$A2766,'Previous Rank'!$B$2:$B2766=B276,'Previous Rank'!$C$2:$C2766=C276),"""")"),265.0)</f>
        <v>265</v>
      </c>
      <c r="H276" s="8">
        <f t="shared" si="1"/>
        <v>-10</v>
      </c>
    </row>
    <row r="277">
      <c r="A277" s="10">
        <v>276.0</v>
      </c>
      <c r="B277" s="11" t="s">
        <v>351</v>
      </c>
      <c r="C277" s="10" t="s">
        <v>136</v>
      </c>
      <c r="D277" s="10" t="s">
        <v>36</v>
      </c>
      <c r="E277" s="12">
        <v>254.1</v>
      </c>
      <c r="F277" s="12">
        <v>1.1</v>
      </c>
      <c r="G277" s="13">
        <f>IFERROR(__xludf.DUMMYFUNCTION("if(counta(filter('Previous Rank'!$A$2:$A2766,'Previous Rank'!$B$2:$B2766=B277,'Previous Rank'!$C$2:$C2766=C277))=1,filter('Previous Rank'!$A$2:$A2766,'Previous Rank'!$B$2:$B2766=B277,'Previous Rank'!$C$2:$C2766=C277),"""")"),254.0)</f>
        <v>254</v>
      </c>
      <c r="H277" s="8">
        <f t="shared" si="1"/>
        <v>-22</v>
      </c>
    </row>
    <row r="278">
      <c r="A278" s="10">
        <v>277.0</v>
      </c>
      <c r="B278" s="11" t="s">
        <v>352</v>
      </c>
      <c r="C278" s="10" t="s">
        <v>220</v>
      </c>
      <c r="D278" s="10" t="s">
        <v>27</v>
      </c>
      <c r="E278" s="14">
        <v>213.6</v>
      </c>
      <c r="F278" s="14">
        <v>1.4</v>
      </c>
      <c r="G278" s="13">
        <f>IFERROR(__xludf.DUMMYFUNCTION("if(counta(filter('Previous Rank'!$A$2:$A2766,'Previous Rank'!$B$2:$B2766=B278,'Previous Rank'!$C$2:$C2766=C278))=1,filter('Previous Rank'!$A$2:$A2766,'Previous Rank'!$B$2:$B2766=B278,'Previous Rank'!$C$2:$C2766=C278),"""")"),282.0)</f>
        <v>282</v>
      </c>
      <c r="H278" s="8">
        <f t="shared" si="1"/>
        <v>5</v>
      </c>
    </row>
    <row r="279">
      <c r="A279" s="10">
        <v>278.0</v>
      </c>
      <c r="B279" s="11" t="s">
        <v>353</v>
      </c>
      <c r="C279" s="10" t="s">
        <v>69</v>
      </c>
      <c r="D279" s="10" t="s">
        <v>85</v>
      </c>
      <c r="E279" s="12">
        <v>252.0</v>
      </c>
      <c r="F279" s="12">
        <v>1.1</v>
      </c>
      <c r="G279" s="13">
        <f>IFERROR(__xludf.DUMMYFUNCTION("if(counta(filter('Previous Rank'!$A$2:$A2766,'Previous Rank'!$B$2:$B2766=B279,'Previous Rank'!$C$2:$C2766=C279))=1,filter('Previous Rank'!$A$2:$A2766,'Previous Rank'!$B$2:$B2766=B279,'Previous Rank'!$C$2:$C2766=C279),"""")"),320.0)</f>
        <v>320</v>
      </c>
      <c r="H279" s="8">
        <f t="shared" si="1"/>
        <v>42</v>
      </c>
    </row>
    <row r="280">
      <c r="A280" s="10">
        <v>279.0</v>
      </c>
      <c r="B280" s="11" t="s">
        <v>354</v>
      </c>
      <c r="C280" s="10" t="s">
        <v>355</v>
      </c>
      <c r="D280" s="10" t="s">
        <v>15</v>
      </c>
      <c r="E280" s="14">
        <v>243.0</v>
      </c>
      <c r="F280" s="14">
        <v>1.3</v>
      </c>
      <c r="G280" s="13">
        <f>IFERROR(__xludf.DUMMYFUNCTION("if(counta(filter('Previous Rank'!$A$2:$A2766,'Previous Rank'!$B$2:$B2766=B280,'Previous Rank'!$C$2:$C2766=C280))=1,filter('Previous Rank'!$A$2:$A2766,'Previous Rank'!$B$2:$B2766=B280,'Previous Rank'!$C$2:$C2766=C280),"""")"),268.0)</f>
        <v>268</v>
      </c>
      <c r="H280" s="8">
        <f t="shared" si="1"/>
        <v>-11</v>
      </c>
    </row>
    <row r="281">
      <c r="A281" s="10">
        <v>280.0</v>
      </c>
      <c r="B281" s="11" t="s">
        <v>356</v>
      </c>
      <c r="C281" s="10" t="s">
        <v>79</v>
      </c>
      <c r="D281" s="10" t="s">
        <v>95</v>
      </c>
      <c r="E281" s="12">
        <v>219.9</v>
      </c>
      <c r="F281" s="12">
        <v>1.7</v>
      </c>
      <c r="G281" s="13">
        <f>IFERROR(__xludf.DUMMYFUNCTION("if(counta(filter('Previous Rank'!$A$2:$A2766,'Previous Rank'!$B$2:$B2766=B281,'Previous Rank'!$C$2:$C2766=C281))=1,filter('Previous Rank'!$A$2:$A2766,'Previous Rank'!$B$2:$B2766=B281,'Previous Rank'!$C$2:$C2766=C281),"""")"),280.0)</f>
        <v>280</v>
      </c>
      <c r="H281" s="8">
        <f t="shared" si="1"/>
        <v>0</v>
      </c>
    </row>
    <row r="282">
      <c r="A282" s="10">
        <v>281.0</v>
      </c>
      <c r="B282" s="11" t="s">
        <v>357</v>
      </c>
      <c r="C282" s="10" t="s">
        <v>55</v>
      </c>
      <c r="D282" s="10" t="s">
        <v>25</v>
      </c>
      <c r="E282" s="16">
        <v>245.0</v>
      </c>
      <c r="F282" s="16">
        <v>1.4</v>
      </c>
      <c r="G282" s="13">
        <f>IFERROR(__xludf.DUMMYFUNCTION("if(counta(filter('Previous Rank'!$A$2:$A2766,'Previous Rank'!$B$2:$B2766=B282,'Previous Rank'!$C$2:$C2766=C282))=1,filter('Previous Rank'!$A$2:$A2766,'Previous Rank'!$B$2:$B2766=B282,'Previous Rank'!$C$2:$C2766=C282),"""")"),290.0)</f>
        <v>290</v>
      </c>
      <c r="H282" s="8">
        <f t="shared" si="1"/>
        <v>9</v>
      </c>
    </row>
    <row r="283">
      <c r="A283" s="10">
        <v>282.0</v>
      </c>
      <c r="B283" s="11" t="s">
        <v>358</v>
      </c>
      <c r="C283" s="10" t="s">
        <v>283</v>
      </c>
      <c r="D283" s="10" t="s">
        <v>206</v>
      </c>
      <c r="E283" s="12">
        <v>233.7</v>
      </c>
      <c r="F283" s="12">
        <v>1.6</v>
      </c>
      <c r="G283" s="13">
        <f>IFERROR(__xludf.DUMMYFUNCTION("if(counta(filter('Previous Rank'!$A$2:$A2766,'Previous Rank'!$B$2:$B2766=B283,'Previous Rank'!$C$2:$C2766=C283))=1,filter('Previous Rank'!$A$2:$A2766,'Previous Rank'!$B$2:$B2766=B283,'Previous Rank'!$C$2:$C2766=C283),"""")"),269.0)</f>
        <v>269</v>
      </c>
      <c r="H283" s="8">
        <f t="shared" si="1"/>
        <v>-13</v>
      </c>
    </row>
    <row r="284">
      <c r="A284" s="10">
        <v>283.0</v>
      </c>
      <c r="B284" s="11" t="s">
        <v>359</v>
      </c>
      <c r="C284" s="10" t="s">
        <v>220</v>
      </c>
      <c r="D284" s="10" t="s">
        <v>23</v>
      </c>
      <c r="E284" s="14">
        <v>243.6</v>
      </c>
      <c r="F284" s="14">
        <v>1.3</v>
      </c>
      <c r="G284" s="13">
        <f>IFERROR(__xludf.DUMMYFUNCTION("if(counta(filter('Previous Rank'!$A$2:$A2766,'Previous Rank'!$B$2:$B2766=B284,'Previous Rank'!$C$2:$C2766=C284))=1,filter('Previous Rank'!$A$2:$A2766,'Previous Rank'!$B$2:$B2766=B284,'Previous Rank'!$C$2:$C2766=C284),"""")"),443.0)</f>
        <v>443</v>
      </c>
      <c r="H284" s="8">
        <f t="shared" si="1"/>
        <v>160</v>
      </c>
    </row>
    <row r="285">
      <c r="A285" s="10">
        <v>284.0</v>
      </c>
      <c r="B285" s="11" t="s">
        <v>360</v>
      </c>
      <c r="C285" s="10" t="s">
        <v>77</v>
      </c>
      <c r="D285" s="10" t="s">
        <v>105</v>
      </c>
      <c r="E285" s="12">
        <v>241.8</v>
      </c>
      <c r="F285" s="12">
        <v>1.0</v>
      </c>
      <c r="G285" s="13">
        <f>IFERROR(__xludf.DUMMYFUNCTION("if(counta(filter('Previous Rank'!$A$2:$A2766,'Previous Rank'!$B$2:$B2766=B285,'Previous Rank'!$C$2:$C2766=C285))=1,filter('Previous Rank'!$A$2:$A2766,'Previous Rank'!$B$2:$B2766=B285,'Previous Rank'!$C$2:$C2766=C285),"""")"),1311.0)</f>
        <v>1311</v>
      </c>
      <c r="H285" s="8">
        <f t="shared" si="1"/>
        <v>1027</v>
      </c>
    </row>
    <row r="286">
      <c r="A286" s="10">
        <v>285.0</v>
      </c>
      <c r="B286" s="11" t="s">
        <v>361</v>
      </c>
      <c r="C286" s="10" t="s">
        <v>77</v>
      </c>
      <c r="D286" s="10" t="s">
        <v>99</v>
      </c>
      <c r="E286" s="14">
        <v>209.2</v>
      </c>
      <c r="F286" s="14">
        <v>1.8</v>
      </c>
      <c r="G286" s="13">
        <f>IFERROR(__xludf.DUMMYFUNCTION("if(counta(filter('Previous Rank'!$A$2:$A2766,'Previous Rank'!$B$2:$B2766=B286,'Previous Rank'!$C$2:$C2766=C286))=1,filter('Previous Rank'!$A$2:$A2766,'Previous Rank'!$B$2:$B2766=B286,'Previous Rank'!$C$2:$C2766=C286),"""")"),295.0)</f>
        <v>295</v>
      </c>
      <c r="H286" s="8">
        <f t="shared" si="1"/>
        <v>10</v>
      </c>
    </row>
    <row r="287">
      <c r="A287" s="10">
        <v>286.0</v>
      </c>
      <c r="B287" s="11" t="s">
        <v>362</v>
      </c>
      <c r="C287" s="10" t="s">
        <v>14</v>
      </c>
      <c r="D287" s="10" t="s">
        <v>137</v>
      </c>
      <c r="E287" s="12">
        <v>243.1</v>
      </c>
      <c r="F287" s="12">
        <v>1.7</v>
      </c>
      <c r="G287" s="13">
        <f>IFERROR(__xludf.DUMMYFUNCTION("if(counta(filter('Previous Rank'!$A$2:$A2766,'Previous Rank'!$B$2:$B2766=B287,'Previous Rank'!$C$2:$C2766=C287))=1,filter('Previous Rank'!$A$2:$A2766,'Previous Rank'!$B$2:$B2766=B287,'Previous Rank'!$C$2:$C2766=C287),"""")"),1965.0)</f>
        <v>1965</v>
      </c>
      <c r="H287" s="8">
        <f t="shared" si="1"/>
        <v>1679</v>
      </c>
    </row>
    <row r="288">
      <c r="A288" s="10">
        <v>287.0</v>
      </c>
      <c r="B288" s="11" t="s">
        <v>363</v>
      </c>
      <c r="C288" s="10" t="s">
        <v>14</v>
      </c>
      <c r="D288" s="10" t="s">
        <v>67</v>
      </c>
      <c r="E288" s="14">
        <v>239.8</v>
      </c>
      <c r="F288" s="14">
        <v>1.4</v>
      </c>
      <c r="G288" s="13">
        <f>IFERROR(__xludf.DUMMYFUNCTION("if(counta(filter('Previous Rank'!$A$2:$A2766,'Previous Rank'!$B$2:$B2766=B288,'Previous Rank'!$C$2:$C2766=C288))=1,filter('Previous Rank'!$A$2:$A2766,'Previous Rank'!$B$2:$B2766=B288,'Previous Rank'!$C$2:$C2766=C288),"""")"),279.0)</f>
        <v>279</v>
      </c>
      <c r="H288" s="8">
        <f t="shared" si="1"/>
        <v>-8</v>
      </c>
    </row>
    <row r="289">
      <c r="A289" s="10">
        <v>288.0</v>
      </c>
      <c r="B289" s="11" t="s">
        <v>364</v>
      </c>
      <c r="C289" s="10" t="s">
        <v>22</v>
      </c>
      <c r="D289" s="10" t="s">
        <v>71</v>
      </c>
      <c r="E289" s="12">
        <v>264.9</v>
      </c>
      <c r="F289" s="12">
        <v>1.0</v>
      </c>
      <c r="G289" s="13">
        <f>IFERROR(__xludf.DUMMYFUNCTION("if(counta(filter('Previous Rank'!$A$2:$A2766,'Previous Rank'!$B$2:$B2766=B289,'Previous Rank'!$C$2:$C2766=C289))=1,filter('Previous Rank'!$A$2:$A2766,'Previous Rank'!$B$2:$B2766=B289,'Previous Rank'!$C$2:$C2766=C289),"""")"),261.0)</f>
        <v>261</v>
      </c>
      <c r="H289" s="8">
        <f t="shared" si="1"/>
        <v>-27</v>
      </c>
    </row>
    <row r="290">
      <c r="A290" s="10">
        <v>289.0</v>
      </c>
      <c r="B290" s="11" t="s">
        <v>365</v>
      </c>
      <c r="C290" s="10" t="s">
        <v>220</v>
      </c>
      <c r="D290" s="10" t="s">
        <v>9</v>
      </c>
      <c r="E290" s="14">
        <v>243.5</v>
      </c>
      <c r="F290" s="14">
        <v>1.0</v>
      </c>
      <c r="G290" s="13">
        <f>IFERROR(__xludf.DUMMYFUNCTION("if(counta(filter('Previous Rank'!$A$2:$A2766,'Previous Rank'!$B$2:$B2766=B290,'Previous Rank'!$C$2:$C2766=C290))=1,filter('Previous Rank'!$A$2:$A2766,'Previous Rank'!$B$2:$B2766=B290,'Previous Rank'!$C$2:$C2766=C290),"""")"),300.0)</f>
        <v>300</v>
      </c>
      <c r="H290" s="8">
        <f t="shared" si="1"/>
        <v>11</v>
      </c>
    </row>
    <row r="291">
      <c r="A291" s="10">
        <v>290.0</v>
      </c>
      <c r="B291" s="11" t="s">
        <v>366</v>
      </c>
      <c r="C291" s="10" t="s">
        <v>22</v>
      </c>
      <c r="D291" s="10" t="s">
        <v>18</v>
      </c>
      <c r="E291" s="12">
        <v>253.3</v>
      </c>
      <c r="F291" s="12">
        <v>1.1</v>
      </c>
      <c r="G291" s="13">
        <f>IFERROR(__xludf.DUMMYFUNCTION("if(counta(filter('Previous Rank'!$A$2:$A2766,'Previous Rank'!$B$2:$B2766=B291,'Previous Rank'!$C$2:$C2766=C291))=1,filter('Previous Rank'!$A$2:$A2766,'Previous Rank'!$B$2:$B2766=B291,'Previous Rank'!$C$2:$C2766=C291),"""")"),288.0)</f>
        <v>288</v>
      </c>
      <c r="H291" s="8">
        <f t="shared" si="1"/>
        <v>-2</v>
      </c>
    </row>
    <row r="292">
      <c r="A292" s="10">
        <v>291.0</v>
      </c>
      <c r="B292" s="11" t="s">
        <v>367</v>
      </c>
      <c r="C292" s="10" t="s">
        <v>346</v>
      </c>
      <c r="D292" s="10" t="s">
        <v>95</v>
      </c>
      <c r="E292" s="14">
        <v>240.7</v>
      </c>
      <c r="F292" s="14">
        <v>1.5</v>
      </c>
      <c r="G292" s="13">
        <f>IFERROR(__xludf.DUMMYFUNCTION("if(counta(filter('Previous Rank'!$A$2:$A2766,'Previous Rank'!$B$2:$B2766=B292,'Previous Rank'!$C$2:$C2766=C292))=1,filter('Previous Rank'!$A$2:$A2766,'Previous Rank'!$B$2:$B2766=B292,'Previous Rank'!$C$2:$C2766=C292),"""")"),275.0)</f>
        <v>275</v>
      </c>
      <c r="H292" s="8">
        <f t="shared" si="1"/>
        <v>-16</v>
      </c>
    </row>
    <row r="293">
      <c r="A293" s="10">
        <v>292.0</v>
      </c>
      <c r="B293" s="11" t="s">
        <v>368</v>
      </c>
      <c r="C293" s="10" t="s">
        <v>220</v>
      </c>
      <c r="D293" s="10" t="s">
        <v>25</v>
      </c>
      <c r="E293" s="12">
        <v>243.4</v>
      </c>
      <c r="F293" s="12">
        <v>1.3</v>
      </c>
      <c r="G293" s="13">
        <f>IFERROR(__xludf.DUMMYFUNCTION("if(counta(filter('Previous Rank'!$A$2:$A2766,'Previous Rank'!$B$2:$B2766=B293,'Previous Rank'!$C$2:$C2766=C293))=1,filter('Previous Rank'!$A$2:$A2766,'Previous Rank'!$B$2:$B2766=B293,'Previous Rank'!$C$2:$C2766=C293),"""")"),357.0)</f>
        <v>357</v>
      </c>
      <c r="H293" s="8">
        <f t="shared" si="1"/>
        <v>65</v>
      </c>
    </row>
    <row r="294">
      <c r="A294" s="10">
        <v>293.0</v>
      </c>
      <c r="B294" s="11" t="s">
        <v>369</v>
      </c>
      <c r="C294" s="10" t="s">
        <v>220</v>
      </c>
      <c r="D294" s="10" t="s">
        <v>90</v>
      </c>
      <c r="E294" s="14">
        <v>235.7</v>
      </c>
      <c r="F294" s="14">
        <v>2.2</v>
      </c>
      <c r="G294" s="13">
        <f>IFERROR(__xludf.DUMMYFUNCTION("if(counta(filter('Previous Rank'!$A$2:$A2766,'Previous Rank'!$B$2:$B2766=B294,'Previous Rank'!$C$2:$C2766=C294))=1,filter('Previous Rank'!$A$2:$A2766,'Previous Rank'!$B$2:$B2766=B294,'Previous Rank'!$C$2:$C2766=C294),"""")"),349.0)</f>
        <v>349</v>
      </c>
      <c r="H294" s="8">
        <f t="shared" si="1"/>
        <v>56</v>
      </c>
    </row>
    <row r="295">
      <c r="A295" s="10">
        <v>294.0</v>
      </c>
      <c r="B295" s="11" t="s">
        <v>370</v>
      </c>
      <c r="C295" s="10" t="s">
        <v>22</v>
      </c>
      <c r="D295" s="10" t="s">
        <v>9</v>
      </c>
      <c r="E295" s="12">
        <v>191.6</v>
      </c>
      <c r="F295" s="12">
        <v>4.8</v>
      </c>
      <c r="G295" s="13">
        <f>IFERROR(__xludf.DUMMYFUNCTION("if(counta(filter('Previous Rank'!$A$2:$A2766,'Previous Rank'!$B$2:$B2766=B295,'Previous Rank'!$C$2:$C2766=C295))=1,filter('Previous Rank'!$A$2:$A2766,'Previous Rank'!$B$2:$B2766=B295,'Previous Rank'!$C$2:$C2766=C295),"""")"),276.0)</f>
        <v>276</v>
      </c>
      <c r="H295" s="8">
        <f t="shared" si="1"/>
        <v>-18</v>
      </c>
    </row>
    <row r="296">
      <c r="A296" s="10">
        <v>295.0</v>
      </c>
      <c r="B296" s="11" t="s">
        <v>371</v>
      </c>
      <c r="C296" s="10" t="s">
        <v>77</v>
      </c>
      <c r="D296" s="10" t="s">
        <v>120</v>
      </c>
      <c r="E296" s="14">
        <v>243.5</v>
      </c>
      <c r="F296" s="14">
        <v>1.3</v>
      </c>
      <c r="G296" s="13">
        <f>IFERROR(__xludf.DUMMYFUNCTION("if(counta(filter('Previous Rank'!$A$2:$A2766,'Previous Rank'!$B$2:$B2766=B296,'Previous Rank'!$C$2:$C2766=C296))=1,filter('Previous Rank'!$A$2:$A2766,'Previous Rank'!$B$2:$B2766=B296,'Previous Rank'!$C$2:$C2766=C296),"""")"),297.0)</f>
        <v>297</v>
      </c>
      <c r="H296" s="8">
        <f t="shared" si="1"/>
        <v>2</v>
      </c>
    </row>
    <row r="297">
      <c r="A297" s="10">
        <v>296.0</v>
      </c>
      <c r="B297" s="11" t="s">
        <v>372</v>
      </c>
      <c r="C297" s="10" t="s">
        <v>17</v>
      </c>
      <c r="D297" s="10" t="s">
        <v>95</v>
      </c>
      <c r="E297" s="12">
        <v>238.3</v>
      </c>
      <c r="F297" s="12">
        <v>3.1</v>
      </c>
      <c r="G297" s="13">
        <f>IFERROR(__xludf.DUMMYFUNCTION("if(counta(filter('Previous Rank'!$A$2:$A2766,'Previous Rank'!$B$2:$B2766=B297,'Previous Rank'!$C$2:$C2766=C297))=1,filter('Previous Rank'!$A$2:$A2766,'Previous Rank'!$B$2:$B2766=B297,'Previous Rank'!$C$2:$C2766=C297),"""")"),2579.0)</f>
        <v>2579</v>
      </c>
      <c r="H297" s="8">
        <f t="shared" si="1"/>
        <v>2283</v>
      </c>
    </row>
    <row r="298">
      <c r="A298" s="10">
        <v>297.0</v>
      </c>
      <c r="B298" s="11" t="s">
        <v>373</v>
      </c>
      <c r="C298" s="10" t="s">
        <v>139</v>
      </c>
      <c r="D298" s="10" t="s">
        <v>105</v>
      </c>
      <c r="E298" s="14">
        <v>249.1</v>
      </c>
      <c r="F298" s="14">
        <v>1.2</v>
      </c>
      <c r="G298" s="13">
        <f>IFERROR(__xludf.DUMMYFUNCTION("if(counta(filter('Previous Rank'!$A$2:$A2766,'Previous Rank'!$B$2:$B2766=B298,'Previous Rank'!$C$2:$C2766=C298))=1,filter('Previous Rank'!$A$2:$A2766,'Previous Rank'!$B$2:$B2766=B298,'Previous Rank'!$C$2:$C2766=C298),"""")"),278.0)</f>
        <v>278</v>
      </c>
      <c r="H298" s="8">
        <f t="shared" si="1"/>
        <v>-19</v>
      </c>
    </row>
    <row r="299">
      <c r="A299" s="10">
        <v>298.0</v>
      </c>
      <c r="B299" s="11" t="s">
        <v>374</v>
      </c>
      <c r="C299" s="10" t="s">
        <v>375</v>
      </c>
      <c r="D299" s="10" t="s">
        <v>46</v>
      </c>
      <c r="E299" s="12">
        <v>242.5</v>
      </c>
      <c r="F299" s="12">
        <v>1.2</v>
      </c>
      <c r="G299" s="13">
        <f>IFERROR(__xludf.DUMMYFUNCTION("if(counta(filter('Previous Rank'!$A$2:$A2766,'Previous Rank'!$B$2:$B2766=B299,'Previous Rank'!$C$2:$C2766=C299))=1,filter('Previous Rank'!$A$2:$A2766,'Previous Rank'!$B$2:$B2766=B299,'Previous Rank'!$C$2:$C2766=C299),"""")"),412.0)</f>
        <v>412</v>
      </c>
      <c r="H299" s="8">
        <f t="shared" si="1"/>
        <v>114</v>
      </c>
    </row>
    <row r="300">
      <c r="A300" s="10">
        <v>299.0</v>
      </c>
      <c r="B300" s="11" t="s">
        <v>376</v>
      </c>
      <c r="C300" s="10" t="s">
        <v>22</v>
      </c>
      <c r="D300" s="10" t="s">
        <v>31</v>
      </c>
      <c r="E300" s="14">
        <v>245.2</v>
      </c>
      <c r="F300" s="14">
        <v>1.1</v>
      </c>
      <c r="G300" s="13">
        <f>IFERROR(__xludf.DUMMYFUNCTION("if(counta(filter('Previous Rank'!$A$2:$A2766,'Previous Rank'!$B$2:$B2766=B300,'Previous Rank'!$C$2:$C2766=C300))=1,filter('Previous Rank'!$A$2:$A2766,'Previous Rank'!$B$2:$B2766=B300,'Previous Rank'!$C$2:$C2766=C300),"""")"),311.0)</f>
        <v>311</v>
      </c>
      <c r="H300" s="8">
        <f t="shared" si="1"/>
        <v>12</v>
      </c>
    </row>
    <row r="301">
      <c r="A301" s="10">
        <v>300.0</v>
      </c>
      <c r="B301" s="11" t="s">
        <v>377</v>
      </c>
      <c r="C301" s="10" t="s">
        <v>218</v>
      </c>
      <c r="D301" s="10" t="s">
        <v>122</v>
      </c>
      <c r="E301" s="12">
        <v>241.3</v>
      </c>
      <c r="F301" s="12">
        <v>1.0</v>
      </c>
      <c r="G301" s="13">
        <f>IFERROR(__xludf.DUMMYFUNCTION("if(counta(filter('Previous Rank'!$A$2:$A2766,'Previous Rank'!$B$2:$B2766=B301,'Previous Rank'!$C$2:$C2766=C301))=1,filter('Previous Rank'!$A$2:$A2766,'Previous Rank'!$B$2:$B2766=B301,'Previous Rank'!$C$2:$C2766=C301),"""")"),281.0)</f>
        <v>281</v>
      </c>
      <c r="H301" s="8">
        <f t="shared" si="1"/>
        <v>-19</v>
      </c>
    </row>
    <row r="302">
      <c r="A302" s="10">
        <v>301.0</v>
      </c>
      <c r="B302" s="11" t="s">
        <v>378</v>
      </c>
      <c r="C302" s="10" t="s">
        <v>11</v>
      </c>
      <c r="D302" s="10" t="s">
        <v>113</v>
      </c>
      <c r="E302" s="14">
        <v>238.4</v>
      </c>
      <c r="F302" s="14">
        <v>1.8</v>
      </c>
      <c r="G302" s="13">
        <f>IFERROR(__xludf.DUMMYFUNCTION("if(counta(filter('Previous Rank'!$A$2:$A2766,'Previous Rank'!$B$2:$B2766=B302,'Previous Rank'!$C$2:$C2766=C302))=1,filter('Previous Rank'!$A$2:$A2766,'Previous Rank'!$B$2:$B2766=B302,'Previous Rank'!$C$2:$C2766=C302),"""")"),344.0)</f>
        <v>344</v>
      </c>
      <c r="H302" s="8">
        <f t="shared" si="1"/>
        <v>43</v>
      </c>
    </row>
    <row r="303">
      <c r="A303" s="10">
        <v>302.0</v>
      </c>
      <c r="B303" s="11" t="s">
        <v>379</v>
      </c>
      <c r="C303" s="10" t="s">
        <v>48</v>
      </c>
      <c r="D303" s="10" t="s">
        <v>18</v>
      </c>
      <c r="E303" s="12">
        <v>246.1</v>
      </c>
      <c r="F303" s="12">
        <v>1.0</v>
      </c>
      <c r="G303" s="13">
        <f>IFERROR(__xludf.DUMMYFUNCTION("if(counta(filter('Previous Rank'!$A$2:$A2766,'Previous Rank'!$B$2:$B2766=B303,'Previous Rank'!$C$2:$C2766=C303))=1,filter('Previous Rank'!$A$2:$A2766,'Previous Rank'!$B$2:$B2766=B303,'Previous Rank'!$C$2:$C2766=C303),"""")"),337.0)</f>
        <v>337</v>
      </c>
      <c r="H303" s="8">
        <f t="shared" si="1"/>
        <v>35</v>
      </c>
    </row>
    <row r="304">
      <c r="A304" s="10">
        <v>303.0</v>
      </c>
      <c r="B304" s="11" t="s">
        <v>380</v>
      </c>
      <c r="C304" s="10" t="s">
        <v>77</v>
      </c>
      <c r="D304" s="10" t="s">
        <v>90</v>
      </c>
      <c r="E304" s="16">
        <v>220.0</v>
      </c>
      <c r="F304" s="16">
        <v>1.2</v>
      </c>
      <c r="G304" s="13">
        <f>IFERROR(__xludf.DUMMYFUNCTION("if(counta(filter('Previous Rank'!$A$2:$A2766,'Previous Rank'!$B$2:$B2766=B304,'Previous Rank'!$C$2:$C2766=C304))=1,filter('Previous Rank'!$A$2:$A2766,'Previous Rank'!$B$2:$B2766=B304,'Previous Rank'!$C$2:$C2766=C304),"""")"),286.0)</f>
        <v>286</v>
      </c>
      <c r="H304" s="8">
        <f t="shared" si="1"/>
        <v>-17</v>
      </c>
    </row>
    <row r="305">
      <c r="A305" s="10">
        <v>304.0</v>
      </c>
      <c r="B305" s="11" t="s">
        <v>381</v>
      </c>
      <c r="C305" s="10" t="s">
        <v>22</v>
      </c>
      <c r="D305" s="10" t="s">
        <v>85</v>
      </c>
      <c r="E305" s="12"/>
      <c r="F305" s="12" t="s">
        <v>382</v>
      </c>
      <c r="G305" s="13">
        <f>IFERROR(__xludf.DUMMYFUNCTION("if(counta(filter('Previous Rank'!$A$2:$A2766,'Previous Rank'!$B$2:$B2766=B305,'Previous Rank'!$C$2:$C2766=C305))=1,filter('Previous Rank'!$A$2:$A2766,'Previous Rank'!$B$2:$B2766=B305,'Previous Rank'!$C$2:$C2766=C305),"""")"),316.0)</f>
        <v>316</v>
      </c>
      <c r="H305" s="8">
        <f t="shared" si="1"/>
        <v>12</v>
      </c>
    </row>
    <row r="306">
      <c r="A306" s="10">
        <v>305.0</v>
      </c>
      <c r="B306" s="11" t="s">
        <v>383</v>
      </c>
      <c r="C306" s="10" t="s">
        <v>22</v>
      </c>
      <c r="D306" s="10" t="s">
        <v>90</v>
      </c>
      <c r="E306" s="14">
        <v>240.4</v>
      </c>
      <c r="F306" s="14">
        <v>1.8</v>
      </c>
      <c r="G306" s="13">
        <f>IFERROR(__xludf.DUMMYFUNCTION("if(counta(filter('Previous Rank'!$A$2:$A2766,'Previous Rank'!$B$2:$B2766=B306,'Previous Rank'!$C$2:$C2766=C306))=1,filter('Previous Rank'!$A$2:$A2766,'Previous Rank'!$B$2:$B2766=B306,'Previous Rank'!$C$2:$C2766=C306),"""")"),283.0)</f>
        <v>283</v>
      </c>
      <c r="H306" s="8">
        <f t="shared" si="1"/>
        <v>-22</v>
      </c>
    </row>
    <row r="307">
      <c r="A307" s="10">
        <v>306.0</v>
      </c>
      <c r="B307" s="11" t="s">
        <v>384</v>
      </c>
      <c r="C307" s="10" t="s">
        <v>262</v>
      </c>
      <c r="D307" s="10" t="s">
        <v>122</v>
      </c>
      <c r="E307" s="12">
        <v>249.7</v>
      </c>
      <c r="F307" s="12">
        <v>1.1</v>
      </c>
      <c r="G307" s="13">
        <f>IFERROR(__xludf.DUMMYFUNCTION("if(counta(filter('Previous Rank'!$A$2:$A2766,'Previous Rank'!$B$2:$B2766=B307,'Previous Rank'!$C$2:$C2766=C307))=1,filter('Previous Rank'!$A$2:$A2766,'Previous Rank'!$B$2:$B2766=B307,'Previous Rank'!$C$2:$C2766=C307),"""")"),291.0)</f>
        <v>291</v>
      </c>
      <c r="H307" s="8">
        <f t="shared" si="1"/>
        <v>-15</v>
      </c>
    </row>
    <row r="308">
      <c r="A308" s="10">
        <v>307.0</v>
      </c>
      <c r="B308" s="11" t="s">
        <v>385</v>
      </c>
      <c r="C308" s="10" t="s">
        <v>48</v>
      </c>
      <c r="D308" s="10" t="s">
        <v>71</v>
      </c>
      <c r="E308" s="14"/>
      <c r="F308" s="14" t="s">
        <v>382</v>
      </c>
      <c r="G308" s="13">
        <f>IFERROR(__xludf.DUMMYFUNCTION("if(counta(filter('Previous Rank'!$A$2:$A2766,'Previous Rank'!$B$2:$B2766=B308,'Previous Rank'!$C$2:$C2766=C308))=1,filter('Previous Rank'!$A$2:$A2766,'Previous Rank'!$B$2:$B2766=B308,'Previous Rank'!$C$2:$C2766=C308),"""")"),293.0)</f>
        <v>293</v>
      </c>
      <c r="H308" s="8">
        <f t="shared" si="1"/>
        <v>-14</v>
      </c>
    </row>
    <row r="309">
      <c r="A309" s="10">
        <v>308.0</v>
      </c>
      <c r="B309" s="11" t="s">
        <v>386</v>
      </c>
      <c r="C309" s="10" t="s">
        <v>77</v>
      </c>
      <c r="D309" s="10" t="s">
        <v>15</v>
      </c>
      <c r="E309" s="15">
        <v>236.0</v>
      </c>
      <c r="F309" s="15">
        <v>1.6</v>
      </c>
      <c r="G309" s="13">
        <f>IFERROR(__xludf.DUMMYFUNCTION("if(counta(filter('Previous Rank'!$A$2:$A2766,'Previous Rank'!$B$2:$B2766=B309,'Previous Rank'!$C$2:$C2766=C309))=1,filter('Previous Rank'!$A$2:$A2766,'Previous Rank'!$B$2:$B2766=B309,'Previous Rank'!$C$2:$C2766=C309),"""")"),351.0)</f>
        <v>351</v>
      </c>
      <c r="H309" s="8">
        <f t="shared" si="1"/>
        <v>43</v>
      </c>
    </row>
    <row r="310">
      <c r="A310" s="10">
        <v>309.0</v>
      </c>
      <c r="B310" s="11" t="s">
        <v>387</v>
      </c>
      <c r="C310" s="10" t="s">
        <v>79</v>
      </c>
      <c r="D310" s="10" t="s">
        <v>122</v>
      </c>
      <c r="E310" s="14">
        <v>156.8</v>
      </c>
      <c r="F310" s="14">
        <v>3.3</v>
      </c>
      <c r="G310" s="13">
        <f>IFERROR(__xludf.DUMMYFUNCTION("if(counta(filter('Previous Rank'!$A$2:$A2766,'Previous Rank'!$B$2:$B2766=B310,'Previous Rank'!$C$2:$C2766=C310))=1,filter('Previous Rank'!$A$2:$A2766,'Previous Rank'!$B$2:$B2766=B310,'Previous Rank'!$C$2:$C2766=C310),"""")"),296.0)</f>
        <v>296</v>
      </c>
      <c r="H310" s="8">
        <f t="shared" si="1"/>
        <v>-13</v>
      </c>
    </row>
    <row r="311">
      <c r="A311" s="10">
        <v>310.0</v>
      </c>
      <c r="B311" s="11" t="s">
        <v>388</v>
      </c>
      <c r="C311" s="10" t="s">
        <v>20</v>
      </c>
      <c r="D311" s="10" t="s">
        <v>25</v>
      </c>
      <c r="E311" s="12">
        <v>239.9</v>
      </c>
      <c r="F311" s="12">
        <v>1.0</v>
      </c>
      <c r="G311" s="13">
        <f>IFERROR(__xludf.DUMMYFUNCTION("if(counta(filter('Previous Rank'!$A$2:$A2766,'Previous Rank'!$B$2:$B2766=B311,'Previous Rank'!$C$2:$C2766=C311))=1,filter('Previous Rank'!$A$2:$A2766,'Previous Rank'!$B$2:$B2766=B311,'Previous Rank'!$C$2:$C2766=C311),"""")"),294.0)</f>
        <v>294</v>
      </c>
      <c r="H311" s="8">
        <f t="shared" si="1"/>
        <v>-16</v>
      </c>
    </row>
    <row r="312">
      <c r="A312" s="10">
        <v>311.0</v>
      </c>
      <c r="B312" s="11" t="s">
        <v>389</v>
      </c>
      <c r="C312" s="10" t="s">
        <v>79</v>
      </c>
      <c r="D312" s="10" t="s">
        <v>85</v>
      </c>
      <c r="E312" s="16">
        <v>236.2</v>
      </c>
      <c r="F312" s="16">
        <v>1.9</v>
      </c>
      <c r="G312" s="13">
        <f>IFERROR(__xludf.DUMMYFUNCTION("if(counta(filter('Previous Rank'!$A$2:$A2766,'Previous Rank'!$B$2:$B2766=B312,'Previous Rank'!$C$2:$C2766=C312))=1,filter('Previous Rank'!$A$2:$A2766,'Previous Rank'!$B$2:$B2766=B312,'Previous Rank'!$C$2:$C2766=C312),"""")"),343.0)</f>
        <v>343</v>
      </c>
      <c r="H312" s="8">
        <f t="shared" si="1"/>
        <v>32</v>
      </c>
    </row>
    <row r="313">
      <c r="A313" s="10">
        <v>312.0</v>
      </c>
      <c r="B313" s="11" t="s">
        <v>390</v>
      </c>
      <c r="C313" s="10" t="s">
        <v>11</v>
      </c>
      <c r="D313" s="10" t="s">
        <v>122</v>
      </c>
      <c r="E313" s="12">
        <v>237.2</v>
      </c>
      <c r="F313" s="12">
        <v>1.0</v>
      </c>
      <c r="G313" s="13">
        <f>IFERROR(__xludf.DUMMYFUNCTION("if(counta(filter('Previous Rank'!$A$2:$A2766,'Previous Rank'!$B$2:$B2766=B313,'Previous Rank'!$C$2:$C2766=C313))=1,filter('Previous Rank'!$A$2:$A2766,'Previous Rank'!$B$2:$B2766=B313,'Previous Rank'!$C$2:$C2766=C313),"""")"),284.0)</f>
        <v>284</v>
      </c>
      <c r="H313" s="8">
        <f t="shared" si="1"/>
        <v>-28</v>
      </c>
    </row>
    <row r="314">
      <c r="A314" s="10">
        <v>313.0</v>
      </c>
      <c r="B314" s="11" t="s">
        <v>391</v>
      </c>
      <c r="C314" s="10" t="s">
        <v>20</v>
      </c>
      <c r="D314" s="10" t="s">
        <v>140</v>
      </c>
      <c r="E314" s="14"/>
      <c r="F314" s="14" t="s">
        <v>382</v>
      </c>
      <c r="G314" s="13">
        <f>IFERROR(__xludf.DUMMYFUNCTION("if(counta(filter('Previous Rank'!$A$2:$A2766,'Previous Rank'!$B$2:$B2766=B314,'Previous Rank'!$C$2:$C2766=C314))=1,filter('Previous Rank'!$A$2:$A2766,'Previous Rank'!$B$2:$B2766=B314,'Previous Rank'!$C$2:$C2766=C314),"""")"),299.0)</f>
        <v>299</v>
      </c>
      <c r="H314" s="8">
        <f t="shared" si="1"/>
        <v>-14</v>
      </c>
    </row>
    <row r="315">
      <c r="A315" s="10">
        <v>314.0</v>
      </c>
      <c r="B315" s="11" t="s">
        <v>392</v>
      </c>
      <c r="C315" s="10" t="s">
        <v>79</v>
      </c>
      <c r="D315" s="10" t="s">
        <v>23</v>
      </c>
      <c r="E315" s="12">
        <v>234.1</v>
      </c>
      <c r="F315" s="12">
        <v>1.2</v>
      </c>
      <c r="G315" s="13">
        <f>IFERROR(__xludf.DUMMYFUNCTION("if(counta(filter('Previous Rank'!$A$2:$A2766,'Previous Rank'!$B$2:$B2766=B315,'Previous Rank'!$C$2:$C2766=C315))=1,filter('Previous Rank'!$A$2:$A2766,'Previous Rank'!$B$2:$B2766=B315,'Previous Rank'!$C$2:$C2766=C315),"""")"),364.0)</f>
        <v>364</v>
      </c>
      <c r="H315" s="8">
        <f t="shared" si="1"/>
        <v>50</v>
      </c>
    </row>
    <row r="316">
      <c r="A316" s="10">
        <v>315.0</v>
      </c>
      <c r="B316" s="11" t="s">
        <v>393</v>
      </c>
      <c r="C316" s="10" t="s">
        <v>39</v>
      </c>
      <c r="D316" s="10" t="s">
        <v>25</v>
      </c>
      <c r="E316" s="14">
        <v>240.4</v>
      </c>
      <c r="F316" s="14">
        <v>1.1</v>
      </c>
      <c r="G316" s="13">
        <f>IFERROR(__xludf.DUMMYFUNCTION("if(counta(filter('Previous Rank'!$A$2:$A2766,'Previous Rank'!$B$2:$B2766=B316,'Previous Rank'!$C$2:$C2766=C316))=1,filter('Previous Rank'!$A$2:$A2766,'Previous Rank'!$B$2:$B2766=B316,'Previous Rank'!$C$2:$C2766=C316),"""")"),1333.0)</f>
        <v>1333</v>
      </c>
      <c r="H316" s="8">
        <f t="shared" si="1"/>
        <v>1018</v>
      </c>
    </row>
    <row r="317">
      <c r="A317" s="10">
        <v>316.0</v>
      </c>
      <c r="B317" s="11" t="s">
        <v>394</v>
      </c>
      <c r="C317" s="10" t="s">
        <v>77</v>
      </c>
      <c r="D317" s="10" t="s">
        <v>25</v>
      </c>
      <c r="E317" s="15">
        <v>245.1</v>
      </c>
      <c r="F317" s="15">
        <v>1.2</v>
      </c>
      <c r="G317" s="13">
        <f>IFERROR(__xludf.DUMMYFUNCTION("if(counta(filter('Previous Rank'!$A$2:$A2766,'Previous Rank'!$B$2:$B2766=B317,'Previous Rank'!$C$2:$C2766=C317))=1,filter('Previous Rank'!$A$2:$A2766,'Previous Rank'!$B$2:$B2766=B317,'Previous Rank'!$C$2:$C2766=C317),"""")"),318.0)</f>
        <v>318</v>
      </c>
      <c r="H317" s="8">
        <f t="shared" si="1"/>
        <v>2</v>
      </c>
    </row>
    <row r="318">
      <c r="A318" s="10">
        <v>317.0</v>
      </c>
      <c r="B318" s="11" t="s">
        <v>395</v>
      </c>
      <c r="C318" s="10" t="s">
        <v>20</v>
      </c>
      <c r="D318" s="10" t="s">
        <v>12</v>
      </c>
      <c r="E318" s="14"/>
      <c r="F318" s="14" t="s">
        <v>382</v>
      </c>
      <c r="G318" s="13">
        <f>IFERROR(__xludf.DUMMYFUNCTION("if(counta(filter('Previous Rank'!$A$2:$A2766,'Previous Rank'!$B$2:$B2766=B318,'Previous Rank'!$C$2:$C2766=C318))=1,filter('Previous Rank'!$A$2:$A2766,'Previous Rank'!$B$2:$B2766=B318,'Previous Rank'!$C$2:$C2766=C318),"""")"),302.0)</f>
        <v>302</v>
      </c>
      <c r="H318" s="8">
        <f t="shared" si="1"/>
        <v>-15</v>
      </c>
    </row>
    <row r="319">
      <c r="A319" s="10">
        <v>318.0</v>
      </c>
      <c r="B319" s="11" t="s">
        <v>396</v>
      </c>
      <c r="C319" s="10" t="s">
        <v>79</v>
      </c>
      <c r="D319" s="10" t="s">
        <v>120</v>
      </c>
      <c r="E319" s="15">
        <v>200.9</v>
      </c>
      <c r="F319" s="15">
        <v>2.9</v>
      </c>
      <c r="G319" s="13">
        <f>IFERROR(__xludf.DUMMYFUNCTION("if(counta(filter('Previous Rank'!$A$2:$A2766,'Previous Rank'!$B$2:$B2766=B319,'Previous Rank'!$C$2:$C2766=C319))=1,filter('Previous Rank'!$A$2:$A2766,'Previous Rank'!$B$2:$B2766=B319,'Previous Rank'!$C$2:$C2766=C319),"""")"),348.0)</f>
        <v>348</v>
      </c>
      <c r="H319" s="8">
        <f t="shared" si="1"/>
        <v>30</v>
      </c>
    </row>
    <row r="320">
      <c r="A320" s="10">
        <v>319.0</v>
      </c>
      <c r="B320" s="11" t="s">
        <v>397</v>
      </c>
      <c r="C320" s="10" t="s">
        <v>14</v>
      </c>
      <c r="D320" s="10" t="s">
        <v>23</v>
      </c>
      <c r="E320" s="14">
        <v>243.0</v>
      </c>
      <c r="F320" s="14">
        <v>1.4</v>
      </c>
      <c r="G320" s="13">
        <f>IFERROR(__xludf.DUMMYFUNCTION("if(counta(filter('Previous Rank'!$A$2:$A2766,'Previous Rank'!$B$2:$B2766=B320,'Previous Rank'!$C$2:$C2766=C320))=1,filter('Previous Rank'!$A$2:$A2766,'Previous Rank'!$B$2:$B2766=B320,'Previous Rank'!$C$2:$C2766=C320),"""")"),238.0)</f>
        <v>238</v>
      </c>
      <c r="H320" s="8">
        <f t="shared" si="1"/>
        <v>-81</v>
      </c>
    </row>
    <row r="321">
      <c r="A321" s="10">
        <v>320.0</v>
      </c>
      <c r="B321" s="11" t="s">
        <v>398</v>
      </c>
      <c r="C321" s="10" t="s">
        <v>283</v>
      </c>
      <c r="D321" s="10" t="s">
        <v>85</v>
      </c>
      <c r="E321" s="12">
        <v>246.6</v>
      </c>
      <c r="F321" s="12">
        <v>1.3</v>
      </c>
      <c r="G321" s="13">
        <f>IFERROR(__xludf.DUMMYFUNCTION("if(counta(filter('Previous Rank'!$A$2:$A2766,'Previous Rank'!$B$2:$B2766=B321,'Previous Rank'!$C$2:$C2766=C321))=1,filter('Previous Rank'!$A$2:$A2766,'Previous Rank'!$B$2:$B2766=B321,'Previous Rank'!$C$2:$C2766=C321),"""")"),307.0)</f>
        <v>307</v>
      </c>
      <c r="H321" s="8">
        <f t="shared" si="1"/>
        <v>-13</v>
      </c>
    </row>
    <row r="322">
      <c r="A322" s="10">
        <v>321.0</v>
      </c>
      <c r="B322" s="11" t="s">
        <v>399</v>
      </c>
      <c r="C322" s="10" t="s">
        <v>22</v>
      </c>
      <c r="D322" s="10" t="s">
        <v>25</v>
      </c>
      <c r="E322" s="16">
        <v>246.9</v>
      </c>
      <c r="F322" s="16">
        <v>1.1</v>
      </c>
      <c r="G322" s="13">
        <f>IFERROR(__xludf.DUMMYFUNCTION("if(counta(filter('Previous Rank'!$A$2:$A2766,'Previous Rank'!$B$2:$B2766=B322,'Previous Rank'!$C$2:$C2766=C322))=1,filter('Previous Rank'!$A$2:$A2766,'Previous Rank'!$B$2:$B2766=B322,'Previous Rank'!$C$2:$C2766=C322),"""")"),417.0)</f>
        <v>417</v>
      </c>
      <c r="H322" s="8">
        <f t="shared" si="1"/>
        <v>96</v>
      </c>
    </row>
    <row r="323">
      <c r="A323" s="10">
        <v>322.0</v>
      </c>
      <c r="B323" s="11" t="s">
        <v>400</v>
      </c>
      <c r="C323" s="10" t="s">
        <v>79</v>
      </c>
      <c r="D323" s="10" t="s">
        <v>31</v>
      </c>
      <c r="E323" s="15">
        <v>239.2</v>
      </c>
      <c r="F323" s="15">
        <v>1.0</v>
      </c>
      <c r="G323" s="13">
        <f>IFERROR(__xludf.DUMMYFUNCTION("if(counta(filter('Previous Rank'!$A$2:$A2766,'Previous Rank'!$B$2:$B2766=B323,'Previous Rank'!$C$2:$C2766=C323))=1,filter('Previous Rank'!$A$2:$A2766,'Previous Rank'!$B$2:$B2766=B323,'Previous Rank'!$C$2:$C2766=C323),"""")"),304.0)</f>
        <v>304</v>
      </c>
      <c r="H323" s="8">
        <f t="shared" si="1"/>
        <v>-18</v>
      </c>
    </row>
    <row r="324">
      <c r="A324" s="10">
        <v>323.0</v>
      </c>
      <c r="B324" s="11" t="s">
        <v>401</v>
      </c>
      <c r="C324" s="10" t="s">
        <v>262</v>
      </c>
      <c r="D324" s="10" t="s">
        <v>137</v>
      </c>
      <c r="E324" s="14"/>
      <c r="F324" s="14" t="s">
        <v>382</v>
      </c>
      <c r="G324" s="13">
        <f>IFERROR(__xludf.DUMMYFUNCTION("if(counta(filter('Previous Rank'!$A$2:$A2766,'Previous Rank'!$B$2:$B2766=B324,'Previous Rank'!$C$2:$C2766=C324))=1,filter('Previous Rank'!$A$2:$A2766,'Previous Rank'!$B$2:$B2766=B324,'Previous Rank'!$C$2:$C2766=C324),"""")"),1697.0)</f>
        <v>1697</v>
      </c>
      <c r="H324" s="8">
        <f t="shared" si="1"/>
        <v>1374</v>
      </c>
    </row>
    <row r="325">
      <c r="A325" s="10">
        <v>324.0</v>
      </c>
      <c r="B325" s="11" t="s">
        <v>402</v>
      </c>
      <c r="C325" s="10" t="s">
        <v>22</v>
      </c>
      <c r="D325" s="10" t="s">
        <v>42</v>
      </c>
      <c r="E325" s="12">
        <v>244.0</v>
      </c>
      <c r="F325" s="12">
        <v>1.3</v>
      </c>
      <c r="G325" s="13">
        <f>IFERROR(__xludf.DUMMYFUNCTION("if(counta(filter('Previous Rank'!$A$2:$A2766,'Previous Rank'!$B$2:$B2766=B325,'Previous Rank'!$C$2:$C2766=C325))=1,filter('Previous Rank'!$A$2:$A2766,'Previous Rank'!$B$2:$B2766=B325,'Previous Rank'!$C$2:$C2766=C325),"""")"),533.0)</f>
        <v>533</v>
      </c>
      <c r="H325" s="8">
        <f t="shared" si="1"/>
        <v>209</v>
      </c>
    </row>
    <row r="326">
      <c r="A326" s="10">
        <v>325.0</v>
      </c>
      <c r="B326" s="11" t="s">
        <v>403</v>
      </c>
      <c r="C326" s="10" t="s">
        <v>150</v>
      </c>
      <c r="D326" s="10" t="s">
        <v>36</v>
      </c>
      <c r="E326" s="14">
        <v>241.7</v>
      </c>
      <c r="F326" s="14">
        <v>1.0</v>
      </c>
      <c r="G326" s="13">
        <f>IFERROR(__xludf.DUMMYFUNCTION("if(counta(filter('Previous Rank'!$A$2:$A2766,'Previous Rank'!$B$2:$B2766=B326,'Previous Rank'!$C$2:$C2766=C326))=1,filter('Previous Rank'!$A$2:$A2766,'Previous Rank'!$B$2:$B2766=B326,'Previous Rank'!$C$2:$C2766=C326),"""")"),306.0)</f>
        <v>306</v>
      </c>
      <c r="H326" s="8">
        <f t="shared" si="1"/>
        <v>-19</v>
      </c>
    </row>
    <row r="327">
      <c r="A327" s="10">
        <v>326.0</v>
      </c>
      <c r="B327" s="11" t="s">
        <v>404</v>
      </c>
      <c r="C327" s="10" t="s">
        <v>8</v>
      </c>
      <c r="D327" s="10" t="s">
        <v>34</v>
      </c>
      <c r="E327" s="12">
        <v>239.0</v>
      </c>
      <c r="F327" s="12">
        <v>1.3</v>
      </c>
      <c r="G327" s="13">
        <f>IFERROR(__xludf.DUMMYFUNCTION("if(counta(filter('Previous Rank'!$A$2:$A2766,'Previous Rank'!$B$2:$B2766=B327,'Previous Rank'!$C$2:$C2766=C327))=1,filter('Previous Rank'!$A$2:$A2766,'Previous Rank'!$B$2:$B2766=B327,'Previous Rank'!$C$2:$C2766=C327),"""")"),312.0)</f>
        <v>312</v>
      </c>
      <c r="H327" s="8">
        <f t="shared" si="1"/>
        <v>-14</v>
      </c>
    </row>
    <row r="328">
      <c r="A328" s="10">
        <v>327.0</v>
      </c>
      <c r="B328" s="11" t="s">
        <v>405</v>
      </c>
      <c r="C328" s="10" t="s">
        <v>63</v>
      </c>
      <c r="D328" s="10" t="s">
        <v>15</v>
      </c>
      <c r="E328" s="14">
        <v>246.1</v>
      </c>
      <c r="F328" s="14">
        <v>2.8</v>
      </c>
      <c r="G328" s="13">
        <f>IFERROR(__xludf.DUMMYFUNCTION("if(counta(filter('Previous Rank'!$A$2:$A2766,'Previous Rank'!$B$2:$B2766=B328,'Previous Rank'!$C$2:$C2766=C328))=1,filter('Previous Rank'!$A$2:$A2766,'Previous Rank'!$B$2:$B2766=B328,'Previous Rank'!$C$2:$C2766=C328),"""")"),303.0)</f>
        <v>303</v>
      </c>
      <c r="H328" s="8">
        <f t="shared" si="1"/>
        <v>-24</v>
      </c>
    </row>
    <row r="329">
      <c r="A329" s="10">
        <v>328.0</v>
      </c>
      <c r="B329" s="11" t="s">
        <v>406</v>
      </c>
      <c r="C329" s="10" t="s">
        <v>8</v>
      </c>
      <c r="D329" s="10" t="s">
        <v>12</v>
      </c>
      <c r="E329" s="12">
        <v>245.5</v>
      </c>
      <c r="F329" s="12">
        <v>1.1</v>
      </c>
      <c r="G329" s="13">
        <f>IFERROR(__xludf.DUMMYFUNCTION("if(counta(filter('Previous Rank'!$A$2:$A2766,'Previous Rank'!$B$2:$B2766=B329,'Previous Rank'!$C$2:$C2766=C329))=1,filter('Previous Rank'!$A$2:$A2766,'Previous Rank'!$B$2:$B2766=B329,'Previous Rank'!$C$2:$C2766=C329),"""")"),1650.0)</f>
        <v>1650</v>
      </c>
      <c r="H329" s="8">
        <f t="shared" si="1"/>
        <v>1322</v>
      </c>
    </row>
    <row r="330">
      <c r="A330" s="10">
        <v>329.0</v>
      </c>
      <c r="B330" s="11" t="s">
        <v>407</v>
      </c>
      <c r="C330" s="10" t="s">
        <v>240</v>
      </c>
      <c r="D330" s="10" t="s">
        <v>95</v>
      </c>
      <c r="E330" s="16">
        <v>241.5</v>
      </c>
      <c r="F330" s="16">
        <v>2.0</v>
      </c>
      <c r="G330" s="13">
        <f>IFERROR(__xludf.DUMMYFUNCTION("if(counta(filter('Previous Rank'!$A$2:$A2766,'Previous Rank'!$B$2:$B2766=B330,'Previous Rank'!$C$2:$C2766=C330))=1,filter('Previous Rank'!$A$2:$A2766,'Previous Rank'!$B$2:$B2766=B330,'Previous Rank'!$C$2:$C2766=C330),"""")"),355.0)</f>
        <v>355</v>
      </c>
      <c r="H330" s="8">
        <f t="shared" si="1"/>
        <v>26</v>
      </c>
    </row>
    <row r="331">
      <c r="A331" s="10">
        <v>330.0</v>
      </c>
      <c r="B331" s="11" t="s">
        <v>408</v>
      </c>
      <c r="C331" s="10" t="s">
        <v>48</v>
      </c>
      <c r="D331" s="10" t="s">
        <v>206</v>
      </c>
      <c r="E331" s="12">
        <v>241.5</v>
      </c>
      <c r="F331" s="12">
        <v>1.0</v>
      </c>
      <c r="G331" s="13">
        <f>IFERROR(__xludf.DUMMYFUNCTION("if(counta(filter('Previous Rank'!$A$2:$A2766,'Previous Rank'!$B$2:$B2766=B331,'Previous Rank'!$C$2:$C2766=C331))=1,filter('Previous Rank'!$A$2:$A2766,'Previous Rank'!$B$2:$B2766=B331,'Previous Rank'!$C$2:$C2766=C331),"""")"),317.0)</f>
        <v>317</v>
      </c>
      <c r="H331" s="8">
        <f t="shared" si="1"/>
        <v>-13</v>
      </c>
    </row>
    <row r="332">
      <c r="A332" s="10">
        <v>331.0</v>
      </c>
      <c r="B332" s="11" t="s">
        <v>409</v>
      </c>
      <c r="C332" s="10" t="s">
        <v>79</v>
      </c>
      <c r="D332" s="10" t="s">
        <v>95</v>
      </c>
      <c r="E332" s="14">
        <v>240.0</v>
      </c>
      <c r="F332" s="14">
        <v>1.4</v>
      </c>
      <c r="G332" s="13">
        <f>IFERROR(__xludf.DUMMYFUNCTION("if(counta(filter('Previous Rank'!$A$2:$A2766,'Previous Rank'!$B$2:$B2766=B332,'Previous Rank'!$C$2:$C2766=C332))=1,filter('Previous Rank'!$A$2:$A2766,'Previous Rank'!$B$2:$B2766=B332,'Previous Rank'!$C$2:$C2766=C332),"""")"),329.0)</f>
        <v>329</v>
      </c>
      <c r="H332" s="8">
        <f t="shared" si="1"/>
        <v>-2</v>
      </c>
    </row>
    <row r="333">
      <c r="A333" s="10">
        <v>332.0</v>
      </c>
      <c r="B333" s="11" t="s">
        <v>410</v>
      </c>
      <c r="C333" s="10" t="s">
        <v>55</v>
      </c>
      <c r="D333" s="10" t="s">
        <v>140</v>
      </c>
      <c r="E333" s="15"/>
      <c r="F333" s="15" t="s">
        <v>382</v>
      </c>
      <c r="G333" s="13">
        <f>IFERROR(__xludf.DUMMYFUNCTION("if(counta(filter('Previous Rank'!$A$2:$A2766,'Previous Rank'!$B$2:$B2766=B333,'Previous Rank'!$C$2:$C2766=C333))=1,filter('Previous Rank'!$A$2:$A2766,'Previous Rank'!$B$2:$B2766=B333,'Previous Rank'!$C$2:$C2766=C333),"""")"),310.0)</f>
        <v>310</v>
      </c>
      <c r="H333" s="8">
        <f t="shared" si="1"/>
        <v>-22</v>
      </c>
    </row>
    <row r="334">
      <c r="A334" s="10">
        <v>333.0</v>
      </c>
      <c r="B334" s="11" t="s">
        <v>411</v>
      </c>
      <c r="C334" s="10" t="s">
        <v>150</v>
      </c>
      <c r="D334" s="10" t="s">
        <v>105</v>
      </c>
      <c r="E334" s="14">
        <v>252.3</v>
      </c>
      <c r="F334" s="14">
        <v>1.2</v>
      </c>
      <c r="G334" s="13">
        <f>IFERROR(__xludf.DUMMYFUNCTION("if(counta(filter('Previous Rank'!$A$2:$A2766,'Previous Rank'!$B$2:$B2766=B334,'Previous Rank'!$C$2:$C2766=C334))=1,filter('Previous Rank'!$A$2:$A2766,'Previous Rank'!$B$2:$B2766=B334,'Previous Rank'!$C$2:$C2766=C334),"""")"),1696.0)</f>
        <v>1696</v>
      </c>
      <c r="H334" s="8">
        <f t="shared" si="1"/>
        <v>1363</v>
      </c>
    </row>
    <row r="335">
      <c r="A335" s="10">
        <v>334.0</v>
      </c>
      <c r="B335" s="11" t="s">
        <v>412</v>
      </c>
      <c r="C335" s="10" t="s">
        <v>22</v>
      </c>
      <c r="D335" s="10" t="s">
        <v>137</v>
      </c>
      <c r="E335" s="15">
        <v>251.2</v>
      </c>
      <c r="F335" s="15">
        <v>1.0</v>
      </c>
      <c r="G335" s="13">
        <f>IFERROR(__xludf.DUMMYFUNCTION("if(counta(filter('Previous Rank'!$A$2:$A2766,'Previous Rank'!$B$2:$B2766=B335,'Previous Rank'!$C$2:$C2766=C335))=1,filter('Previous Rank'!$A$2:$A2766,'Previous Rank'!$B$2:$B2766=B335,'Previous Rank'!$C$2:$C2766=C335),"""")"),323.0)</f>
        <v>323</v>
      </c>
      <c r="H335" s="8">
        <f t="shared" si="1"/>
        <v>-11</v>
      </c>
    </row>
    <row r="336">
      <c r="A336" s="10">
        <v>335.0</v>
      </c>
      <c r="B336" s="11" t="s">
        <v>413</v>
      </c>
      <c r="C336" s="10" t="s">
        <v>22</v>
      </c>
      <c r="D336" s="10" t="s">
        <v>120</v>
      </c>
      <c r="E336" s="16">
        <v>244.5</v>
      </c>
      <c r="F336" s="16">
        <v>1.2</v>
      </c>
      <c r="G336" s="13">
        <f>IFERROR(__xludf.DUMMYFUNCTION("if(counta(filter('Previous Rank'!$A$2:$A2766,'Previous Rank'!$B$2:$B2766=B336,'Previous Rank'!$C$2:$C2766=C336))=1,filter('Previous Rank'!$A$2:$A2766,'Previous Rank'!$B$2:$B2766=B336,'Previous Rank'!$C$2:$C2766=C336),"""")"),334.0)</f>
        <v>334</v>
      </c>
      <c r="H336" s="8">
        <f t="shared" si="1"/>
        <v>-1</v>
      </c>
    </row>
    <row r="337">
      <c r="A337" s="10">
        <v>336.0</v>
      </c>
      <c r="B337" s="11" t="s">
        <v>414</v>
      </c>
      <c r="C337" s="10" t="s">
        <v>55</v>
      </c>
      <c r="D337" s="10" t="s">
        <v>71</v>
      </c>
      <c r="E337" s="15"/>
      <c r="F337" s="15" t="s">
        <v>382</v>
      </c>
      <c r="G337" s="13">
        <f>IFERROR(__xludf.DUMMYFUNCTION("if(counta(filter('Previous Rank'!$A$2:$A2766,'Previous Rank'!$B$2:$B2766=B337,'Previous Rank'!$C$2:$C2766=C337))=1,filter('Previous Rank'!$A$2:$A2766,'Previous Rank'!$B$2:$B2766=B337,'Previous Rank'!$C$2:$C2766=C337),"""")"),313.0)</f>
        <v>313</v>
      </c>
      <c r="H337" s="8">
        <f t="shared" si="1"/>
        <v>-23</v>
      </c>
    </row>
    <row r="338">
      <c r="A338" s="10">
        <v>337.0</v>
      </c>
      <c r="B338" s="11" t="s">
        <v>415</v>
      </c>
      <c r="C338" s="10" t="s">
        <v>218</v>
      </c>
      <c r="D338" s="10" t="s">
        <v>18</v>
      </c>
      <c r="E338" s="14"/>
      <c r="F338" s="14" t="s">
        <v>382</v>
      </c>
      <c r="G338" s="13">
        <f>IFERROR(__xludf.DUMMYFUNCTION("if(counta(filter('Previous Rank'!$A$2:$A2766,'Previous Rank'!$B$2:$B2766=B338,'Previous Rank'!$C$2:$C2766=C338))=1,filter('Previous Rank'!$A$2:$A2766,'Previous Rank'!$B$2:$B2766=B338,'Previous Rank'!$C$2:$C2766=C338),"""")"),1703.0)</f>
        <v>1703</v>
      </c>
      <c r="H338" s="8">
        <f t="shared" si="1"/>
        <v>1366</v>
      </c>
    </row>
    <row r="339">
      <c r="A339" s="10">
        <v>338.0</v>
      </c>
      <c r="B339" s="11" t="s">
        <v>416</v>
      </c>
      <c r="C339" s="10" t="s">
        <v>22</v>
      </c>
      <c r="D339" s="10" t="s">
        <v>52</v>
      </c>
      <c r="E339" s="12"/>
      <c r="F339" s="12" t="s">
        <v>382</v>
      </c>
      <c r="G339" s="13">
        <f>IFERROR(__xludf.DUMMYFUNCTION("if(counta(filter('Previous Rank'!$A$2:$A2766,'Previous Rank'!$B$2:$B2766=B339,'Previous Rank'!$C$2:$C2766=C339))=1,filter('Previous Rank'!$A$2:$A2766,'Previous Rank'!$B$2:$B2766=B339,'Previous Rank'!$C$2:$C2766=C339),"""")"),1063.0)</f>
        <v>1063</v>
      </c>
      <c r="H339" s="8">
        <f t="shared" si="1"/>
        <v>725</v>
      </c>
    </row>
    <row r="340">
      <c r="A340" s="10">
        <v>339.0</v>
      </c>
      <c r="B340" s="11" t="s">
        <v>417</v>
      </c>
      <c r="C340" s="10" t="s">
        <v>79</v>
      </c>
      <c r="D340" s="10" t="s">
        <v>90</v>
      </c>
      <c r="E340" s="14">
        <v>241.8</v>
      </c>
      <c r="F340" s="14">
        <v>1.0</v>
      </c>
      <c r="G340" s="13">
        <f>IFERROR(__xludf.DUMMYFUNCTION("if(counta(filter('Previous Rank'!$A$2:$A2766,'Previous Rank'!$B$2:$B2766=B340,'Previous Rank'!$C$2:$C2766=C340))=1,filter('Previous Rank'!$A$2:$A2766,'Previous Rank'!$B$2:$B2766=B340,'Previous Rank'!$C$2:$C2766=C340),"""")"),326.0)</f>
        <v>326</v>
      </c>
      <c r="H340" s="8">
        <f t="shared" si="1"/>
        <v>-13</v>
      </c>
    </row>
    <row r="341">
      <c r="A341" s="10">
        <v>340.0</v>
      </c>
      <c r="B341" s="11" t="s">
        <v>418</v>
      </c>
      <c r="C341" s="10" t="s">
        <v>419</v>
      </c>
      <c r="D341" s="10" t="s">
        <v>206</v>
      </c>
      <c r="E341" s="12">
        <v>233.0</v>
      </c>
      <c r="F341" s="12">
        <v>1.6</v>
      </c>
      <c r="G341" s="13">
        <f>IFERROR(__xludf.DUMMYFUNCTION("if(counta(filter('Previous Rank'!$A$2:$A2766,'Previous Rank'!$B$2:$B2766=B341,'Previous Rank'!$C$2:$C2766=C341))=1,filter('Previous Rank'!$A$2:$A2766,'Previous Rank'!$B$2:$B2766=B341,'Previous Rank'!$C$2:$C2766=C341),"""")"),308.0)</f>
        <v>308</v>
      </c>
      <c r="H341" s="8">
        <f t="shared" si="1"/>
        <v>-32</v>
      </c>
    </row>
    <row r="342">
      <c r="A342" s="10">
        <v>341.0</v>
      </c>
      <c r="B342" s="11" t="s">
        <v>420</v>
      </c>
      <c r="C342" s="10" t="s">
        <v>14</v>
      </c>
      <c r="D342" s="10" t="s">
        <v>31</v>
      </c>
      <c r="E342" s="14">
        <v>237.7</v>
      </c>
      <c r="F342" s="14">
        <v>1.0</v>
      </c>
      <c r="G342" s="13">
        <f>IFERROR(__xludf.DUMMYFUNCTION("if(counta(filter('Previous Rank'!$A$2:$A2766,'Previous Rank'!$B$2:$B2766=B342,'Previous Rank'!$C$2:$C2766=C342))=1,filter('Previous Rank'!$A$2:$A2766,'Previous Rank'!$B$2:$B2766=B342,'Previous Rank'!$C$2:$C2766=C342),"""")"),322.0)</f>
        <v>322</v>
      </c>
      <c r="H342" s="8">
        <f t="shared" si="1"/>
        <v>-19</v>
      </c>
    </row>
    <row r="343">
      <c r="A343" s="10">
        <v>342.0</v>
      </c>
      <c r="B343" s="11" t="s">
        <v>421</v>
      </c>
      <c r="C343" s="10" t="s">
        <v>22</v>
      </c>
      <c r="D343" s="10" t="s">
        <v>85</v>
      </c>
      <c r="E343" s="15"/>
      <c r="F343" s="15" t="s">
        <v>382</v>
      </c>
      <c r="G343" s="13">
        <f>IFERROR(__xludf.DUMMYFUNCTION("if(counta(filter('Previous Rank'!$A$2:$A2766,'Previous Rank'!$B$2:$B2766=B343,'Previous Rank'!$C$2:$C2766=C343))=1,filter('Previous Rank'!$A$2:$A2766,'Previous Rank'!$B$2:$B2766=B343,'Previous Rank'!$C$2:$C2766=C343),"""")"),1565.0)</f>
        <v>1565</v>
      </c>
      <c r="H343" s="8">
        <f t="shared" si="1"/>
        <v>1223</v>
      </c>
    </row>
    <row r="344">
      <c r="A344" s="10">
        <v>343.0</v>
      </c>
      <c r="B344" s="11" t="s">
        <v>422</v>
      </c>
      <c r="C344" s="10" t="s">
        <v>139</v>
      </c>
      <c r="D344" s="10" t="s">
        <v>129</v>
      </c>
      <c r="E344" s="14">
        <v>249.0</v>
      </c>
      <c r="F344" s="14">
        <v>1.0</v>
      </c>
      <c r="G344" s="13">
        <f>IFERROR(__xludf.DUMMYFUNCTION("if(counta(filter('Previous Rank'!$A$2:$A2766,'Previous Rank'!$B$2:$B2766=B344,'Previous Rank'!$C$2:$C2766=C344))=1,filter('Previous Rank'!$A$2:$A2766,'Previous Rank'!$B$2:$B2766=B344,'Previous Rank'!$C$2:$C2766=C344),"""")"),325.0)</f>
        <v>325</v>
      </c>
      <c r="H344" s="8">
        <f t="shared" si="1"/>
        <v>-18</v>
      </c>
    </row>
    <row r="345">
      <c r="A345" s="10">
        <v>344.0</v>
      </c>
      <c r="B345" s="11" t="s">
        <v>423</v>
      </c>
      <c r="C345" s="10" t="s">
        <v>220</v>
      </c>
      <c r="D345" s="10" t="s">
        <v>90</v>
      </c>
      <c r="E345" s="15">
        <v>242.4</v>
      </c>
      <c r="F345" s="15">
        <v>1.2</v>
      </c>
      <c r="G345" s="13">
        <f>IFERROR(__xludf.DUMMYFUNCTION("if(counta(filter('Previous Rank'!$A$2:$A2766,'Previous Rank'!$B$2:$B2766=B345,'Previous Rank'!$C$2:$C2766=C345))=1,filter('Previous Rank'!$A$2:$A2766,'Previous Rank'!$B$2:$B2766=B345,'Previous Rank'!$C$2:$C2766=C345),"""")"),410.0)</f>
        <v>410</v>
      </c>
      <c r="H345" s="8">
        <f t="shared" si="1"/>
        <v>66</v>
      </c>
    </row>
    <row r="346">
      <c r="A346" s="10">
        <v>345.0</v>
      </c>
      <c r="B346" s="11" t="s">
        <v>424</v>
      </c>
      <c r="C346" s="10" t="s">
        <v>220</v>
      </c>
      <c r="D346" s="10" t="s">
        <v>113</v>
      </c>
      <c r="E346" s="14">
        <v>228.9</v>
      </c>
      <c r="F346" s="14">
        <v>1.9</v>
      </c>
      <c r="G346" s="13">
        <f>IFERROR(__xludf.DUMMYFUNCTION("if(counta(filter('Previous Rank'!$A$2:$A2766,'Previous Rank'!$B$2:$B2766=B346,'Previous Rank'!$C$2:$C2766=C346))=1,filter('Previous Rank'!$A$2:$A2766,'Previous Rank'!$B$2:$B2766=B346,'Previous Rank'!$C$2:$C2766=C346),"""")"),478.0)</f>
        <v>478</v>
      </c>
      <c r="H346" s="8">
        <f t="shared" si="1"/>
        <v>133</v>
      </c>
    </row>
    <row r="347">
      <c r="A347" s="10">
        <v>346.0</v>
      </c>
      <c r="B347" s="11" t="s">
        <v>425</v>
      </c>
      <c r="C347" s="10" t="s">
        <v>14</v>
      </c>
      <c r="D347" s="10" t="s">
        <v>85</v>
      </c>
      <c r="E347" s="12"/>
      <c r="F347" s="12" t="s">
        <v>382</v>
      </c>
      <c r="G347" s="13">
        <f>IFERROR(__xludf.DUMMYFUNCTION("if(counta(filter('Previous Rank'!$A$2:$A2766,'Previous Rank'!$B$2:$B2766=B347,'Previous Rank'!$C$2:$C2766=C347))=1,filter('Previous Rank'!$A$2:$A2766,'Previous Rank'!$B$2:$B2766=B347,'Previous Rank'!$C$2:$C2766=C347),"""")"),384.0)</f>
        <v>384</v>
      </c>
      <c r="H347" s="8">
        <f t="shared" si="1"/>
        <v>38</v>
      </c>
    </row>
    <row r="348">
      <c r="A348" s="10">
        <v>347.0</v>
      </c>
      <c r="B348" s="11" t="s">
        <v>426</v>
      </c>
      <c r="C348" s="10" t="s">
        <v>14</v>
      </c>
      <c r="D348" s="10" t="s">
        <v>82</v>
      </c>
      <c r="E348" s="14">
        <v>239.8</v>
      </c>
      <c r="F348" s="14">
        <v>1.4</v>
      </c>
      <c r="G348" s="13">
        <f>IFERROR(__xludf.DUMMYFUNCTION("if(counta(filter('Previous Rank'!$A$2:$A2766,'Previous Rank'!$B$2:$B2766=B348,'Previous Rank'!$C$2:$C2766=C348))=1,filter('Previous Rank'!$A$2:$A2766,'Previous Rank'!$B$2:$B2766=B348,'Previous Rank'!$C$2:$C2766=C348),"""")"),327.0)</f>
        <v>327</v>
      </c>
      <c r="H348" s="8">
        <f t="shared" si="1"/>
        <v>-20</v>
      </c>
    </row>
    <row r="349">
      <c r="A349" s="10">
        <v>348.0</v>
      </c>
      <c r="B349" s="11" t="s">
        <v>427</v>
      </c>
      <c r="C349" s="10" t="s">
        <v>77</v>
      </c>
      <c r="D349" s="10" t="s">
        <v>73</v>
      </c>
      <c r="E349" s="12">
        <v>223.8</v>
      </c>
      <c r="F349" s="12">
        <v>2.1</v>
      </c>
      <c r="G349" s="13">
        <f>IFERROR(__xludf.DUMMYFUNCTION("if(counta(filter('Previous Rank'!$A$2:$A2766,'Previous Rank'!$B$2:$B2766=B349,'Previous Rank'!$C$2:$C2766=C349))=1,filter('Previous Rank'!$A$2:$A2766,'Previous Rank'!$B$2:$B2766=B349,'Previous Rank'!$C$2:$C2766=C349),"""")"),301.0)</f>
        <v>301</v>
      </c>
      <c r="H349" s="8">
        <f t="shared" si="1"/>
        <v>-47</v>
      </c>
    </row>
    <row r="350">
      <c r="A350" s="10">
        <v>349.0</v>
      </c>
      <c r="B350" s="11" t="s">
        <v>428</v>
      </c>
      <c r="C350" s="10" t="s">
        <v>14</v>
      </c>
      <c r="D350" s="10" t="s">
        <v>95</v>
      </c>
      <c r="E350" s="14">
        <v>239.0</v>
      </c>
      <c r="F350" s="14">
        <v>1.4</v>
      </c>
      <c r="G350" s="13">
        <f>IFERROR(__xludf.DUMMYFUNCTION("if(counta(filter('Previous Rank'!$A$2:$A2766,'Previous Rank'!$B$2:$B2766=B350,'Previous Rank'!$C$2:$C2766=C350))=1,filter('Previous Rank'!$A$2:$A2766,'Previous Rank'!$B$2:$B2766=B350,'Previous Rank'!$C$2:$C2766=C350),"""")"),374.0)</f>
        <v>374</v>
      </c>
      <c r="H350" s="8">
        <f t="shared" si="1"/>
        <v>25</v>
      </c>
    </row>
    <row r="351">
      <c r="A351" s="10">
        <v>350.0</v>
      </c>
      <c r="B351" s="11" t="s">
        <v>429</v>
      </c>
      <c r="C351" s="10" t="s">
        <v>79</v>
      </c>
      <c r="D351" s="10" t="s">
        <v>129</v>
      </c>
      <c r="E351" s="12">
        <v>240.3</v>
      </c>
      <c r="F351" s="12">
        <v>1.6</v>
      </c>
      <c r="G351" s="13">
        <f>IFERROR(__xludf.DUMMYFUNCTION("if(counta(filter('Previous Rank'!$A$2:$A2766,'Previous Rank'!$B$2:$B2766=B351,'Previous Rank'!$C$2:$C2766=C351))=1,filter('Previous Rank'!$A$2:$A2766,'Previous Rank'!$B$2:$B2766=B351,'Previous Rank'!$C$2:$C2766=C351),"""")"),338.0)</f>
        <v>338</v>
      </c>
      <c r="H351" s="8">
        <f t="shared" si="1"/>
        <v>-12</v>
      </c>
    </row>
    <row r="352">
      <c r="A352" s="10">
        <v>351.0</v>
      </c>
      <c r="B352" s="11" t="s">
        <v>430</v>
      </c>
      <c r="C352" s="10" t="s">
        <v>220</v>
      </c>
      <c r="D352" s="10" t="s">
        <v>49</v>
      </c>
      <c r="E352" s="14">
        <v>237.1</v>
      </c>
      <c r="F352" s="14">
        <v>1.1</v>
      </c>
      <c r="G352" s="13">
        <f>IFERROR(__xludf.DUMMYFUNCTION("if(counta(filter('Previous Rank'!$A$2:$A2766,'Previous Rank'!$B$2:$B2766=B352,'Previous Rank'!$C$2:$C2766=C352))=1,filter('Previous Rank'!$A$2:$A2766,'Previous Rank'!$B$2:$B2766=B352,'Previous Rank'!$C$2:$C2766=C352),"""")"),369.0)</f>
        <v>369</v>
      </c>
      <c r="H352" s="8">
        <f t="shared" si="1"/>
        <v>18</v>
      </c>
    </row>
    <row r="353">
      <c r="A353" s="10">
        <v>352.0</v>
      </c>
      <c r="B353" s="11" t="s">
        <v>431</v>
      </c>
      <c r="C353" s="10" t="s">
        <v>79</v>
      </c>
      <c r="D353" s="10" t="s">
        <v>12</v>
      </c>
      <c r="E353" s="12">
        <v>241.7</v>
      </c>
      <c r="F353" s="12">
        <v>1.3</v>
      </c>
      <c r="G353" s="13">
        <f>IFERROR(__xludf.DUMMYFUNCTION("if(counta(filter('Previous Rank'!$A$2:$A2766,'Previous Rank'!$B$2:$B2766=B353,'Previous Rank'!$C$2:$C2766=C353))=1,filter('Previous Rank'!$A$2:$A2766,'Previous Rank'!$B$2:$B2766=B353,'Previous Rank'!$C$2:$C2766=C353),"""")"),331.0)</f>
        <v>331</v>
      </c>
      <c r="H353" s="8">
        <f t="shared" si="1"/>
        <v>-21</v>
      </c>
    </row>
    <row r="354">
      <c r="A354" s="10">
        <v>353.0</v>
      </c>
      <c r="B354" s="11" t="s">
        <v>432</v>
      </c>
      <c r="C354" s="10" t="s">
        <v>220</v>
      </c>
      <c r="D354" s="10" t="s">
        <v>85</v>
      </c>
      <c r="E354" s="14">
        <v>246.8</v>
      </c>
      <c r="F354" s="14">
        <v>1.1</v>
      </c>
      <c r="G354" s="13">
        <f>IFERROR(__xludf.DUMMYFUNCTION("if(counta(filter('Previous Rank'!$A$2:$A2766,'Previous Rank'!$B$2:$B2766=B354,'Previous Rank'!$C$2:$C2766=C354))=1,filter('Previous Rank'!$A$2:$A2766,'Previous Rank'!$B$2:$B2766=B354,'Previous Rank'!$C$2:$C2766=C354),"""")"),360.0)</f>
        <v>360</v>
      </c>
      <c r="H354" s="8">
        <f t="shared" si="1"/>
        <v>7</v>
      </c>
    </row>
    <row r="355">
      <c r="A355" s="10">
        <v>354.0</v>
      </c>
      <c r="B355" s="11" t="s">
        <v>433</v>
      </c>
      <c r="C355" s="10" t="s">
        <v>434</v>
      </c>
      <c r="D355" s="10" t="s">
        <v>99</v>
      </c>
      <c r="E355" s="12">
        <v>236.0</v>
      </c>
      <c r="F355" s="12">
        <v>1.2</v>
      </c>
      <c r="G355" s="13">
        <f>IFERROR(__xludf.DUMMYFUNCTION("if(counta(filter('Previous Rank'!$A$2:$A2766,'Previous Rank'!$B$2:$B2766=B355,'Previous Rank'!$C$2:$C2766=C355))=1,filter('Previous Rank'!$A$2:$A2766,'Previous Rank'!$B$2:$B2766=B355,'Previous Rank'!$C$2:$C2766=C355),"""")"),314.0)</f>
        <v>314</v>
      </c>
      <c r="H355" s="8">
        <f t="shared" si="1"/>
        <v>-40</v>
      </c>
    </row>
    <row r="356">
      <c r="A356" s="10">
        <v>355.0</v>
      </c>
      <c r="B356" s="11" t="s">
        <v>435</v>
      </c>
      <c r="C356" s="10" t="s">
        <v>79</v>
      </c>
      <c r="D356" s="10" t="s">
        <v>27</v>
      </c>
      <c r="E356" s="16">
        <v>242.6</v>
      </c>
      <c r="F356" s="16">
        <v>1.2</v>
      </c>
      <c r="G356" s="13">
        <f>IFERROR(__xludf.DUMMYFUNCTION("if(counta(filter('Previous Rank'!$A$2:$A2766,'Previous Rank'!$B$2:$B2766=B356,'Previous Rank'!$C$2:$C2766=C356))=1,filter('Previous Rank'!$A$2:$A2766,'Previous Rank'!$B$2:$B2766=B356,'Previous Rank'!$C$2:$C2766=C356),"""")"),332.0)</f>
        <v>332</v>
      </c>
      <c r="H356" s="8">
        <f t="shared" si="1"/>
        <v>-23</v>
      </c>
    </row>
    <row r="357">
      <c r="A357" s="10">
        <v>356.0</v>
      </c>
      <c r="B357" s="11" t="s">
        <v>436</v>
      </c>
      <c r="C357" s="10" t="s">
        <v>20</v>
      </c>
      <c r="D357" s="10" t="s">
        <v>67</v>
      </c>
      <c r="E357" s="12">
        <v>248.6</v>
      </c>
      <c r="F357" s="12">
        <v>1.2</v>
      </c>
      <c r="G357" s="13">
        <f>IFERROR(__xludf.DUMMYFUNCTION("if(counta(filter('Previous Rank'!$A$2:$A2766,'Previous Rank'!$B$2:$B2766=B357,'Previous Rank'!$C$2:$C2766=C357))=1,filter('Previous Rank'!$A$2:$A2766,'Previous Rank'!$B$2:$B2766=B357,'Previous Rank'!$C$2:$C2766=C357),"""")"),333.0)</f>
        <v>333</v>
      </c>
      <c r="H357" s="8">
        <f t="shared" si="1"/>
        <v>-23</v>
      </c>
    </row>
    <row r="358">
      <c r="A358" s="10">
        <v>357.0</v>
      </c>
      <c r="B358" s="11" t="s">
        <v>437</v>
      </c>
      <c r="C358" s="10" t="s">
        <v>22</v>
      </c>
      <c r="D358" s="10" t="s">
        <v>90</v>
      </c>
      <c r="E358" s="16">
        <v>249.8</v>
      </c>
      <c r="F358" s="16">
        <v>1.4</v>
      </c>
      <c r="G358" s="13">
        <f>IFERROR(__xludf.DUMMYFUNCTION("if(counta(filter('Previous Rank'!$A$2:$A2766,'Previous Rank'!$B$2:$B2766=B358,'Previous Rank'!$C$2:$C2766=C358))=1,filter('Previous Rank'!$A$2:$A2766,'Previous Rank'!$B$2:$B2766=B358,'Previous Rank'!$C$2:$C2766=C358),"""")"),593.0)</f>
        <v>593</v>
      </c>
      <c r="H358" s="8">
        <f t="shared" si="1"/>
        <v>236</v>
      </c>
    </row>
    <row r="359">
      <c r="A359" s="10">
        <v>358.0</v>
      </c>
      <c r="B359" s="11" t="s">
        <v>438</v>
      </c>
      <c r="C359" s="10" t="s">
        <v>439</v>
      </c>
      <c r="D359" s="10" t="s">
        <v>140</v>
      </c>
      <c r="E359" s="15">
        <v>236.6</v>
      </c>
      <c r="F359" s="15">
        <v>1.0</v>
      </c>
      <c r="G359" s="13">
        <f>IFERROR(__xludf.DUMMYFUNCTION("if(counta(filter('Previous Rank'!$A$2:$A2766,'Previous Rank'!$B$2:$B2766=B359,'Previous Rank'!$C$2:$C2766=C359))=1,filter('Previous Rank'!$A$2:$A2766,'Previous Rank'!$B$2:$B2766=B359,'Previous Rank'!$C$2:$C2766=C359),"""")"),336.0)</f>
        <v>336</v>
      </c>
      <c r="H359" s="8">
        <f t="shared" si="1"/>
        <v>-22</v>
      </c>
    </row>
    <row r="360">
      <c r="A360" s="10">
        <v>359.0</v>
      </c>
      <c r="B360" s="11" t="s">
        <v>440</v>
      </c>
      <c r="C360" s="10" t="s">
        <v>189</v>
      </c>
      <c r="D360" s="10" t="s">
        <v>122</v>
      </c>
      <c r="E360" s="14">
        <v>247.3</v>
      </c>
      <c r="F360" s="14">
        <v>1.1</v>
      </c>
      <c r="G360" s="13">
        <f>IFERROR(__xludf.DUMMYFUNCTION("if(counta(filter('Previous Rank'!$A$2:$A2766,'Previous Rank'!$B$2:$B2766=B360,'Previous Rank'!$C$2:$C2766=C360))=1,filter('Previous Rank'!$A$2:$A2766,'Previous Rank'!$B$2:$B2766=B360,'Previous Rank'!$C$2:$C2766=C360),"""")"),392.0)</f>
        <v>392</v>
      </c>
      <c r="H360" s="8">
        <f t="shared" si="1"/>
        <v>33</v>
      </c>
    </row>
    <row r="361">
      <c r="A361" s="10">
        <v>360.0</v>
      </c>
      <c r="B361" s="11" t="s">
        <v>441</v>
      </c>
      <c r="C361" s="10" t="s">
        <v>39</v>
      </c>
      <c r="D361" s="10" t="s">
        <v>18</v>
      </c>
      <c r="E361" s="12"/>
      <c r="F361" s="12" t="s">
        <v>382</v>
      </c>
      <c r="G361" s="13">
        <f>IFERROR(__xludf.DUMMYFUNCTION("if(counta(filter('Previous Rank'!$A$2:$A2766,'Previous Rank'!$B$2:$B2766=B361,'Previous Rank'!$C$2:$C2766=C361))=1,filter('Previous Rank'!$A$2:$A2766,'Previous Rank'!$B$2:$B2766=B361,'Previous Rank'!$C$2:$C2766=C361),"""")"),340.0)</f>
        <v>340</v>
      </c>
      <c r="H361" s="8">
        <f t="shared" si="1"/>
        <v>-20</v>
      </c>
    </row>
    <row r="362">
      <c r="A362" s="10">
        <v>361.0</v>
      </c>
      <c r="B362" s="11" t="s">
        <v>442</v>
      </c>
      <c r="C362" s="10" t="s">
        <v>218</v>
      </c>
      <c r="D362" s="10" t="s">
        <v>90</v>
      </c>
      <c r="E362" s="16"/>
      <c r="F362" s="16" t="s">
        <v>382</v>
      </c>
      <c r="G362" s="13">
        <f>IFERROR(__xludf.DUMMYFUNCTION("if(counta(filter('Previous Rank'!$A$2:$A2766,'Previous Rank'!$B$2:$B2766=B362,'Previous Rank'!$C$2:$C2766=C362))=1,filter('Previous Rank'!$A$2:$A2766,'Previous Rank'!$B$2:$B2766=B362,'Previous Rank'!$C$2:$C2766=C362),"""")"),335.0)</f>
        <v>335</v>
      </c>
      <c r="H362" s="8">
        <f t="shared" si="1"/>
        <v>-26</v>
      </c>
    </row>
    <row r="363">
      <c r="A363" s="10">
        <v>362.0</v>
      </c>
      <c r="B363" s="11" t="s">
        <v>443</v>
      </c>
      <c r="C363" s="10" t="s">
        <v>33</v>
      </c>
      <c r="D363" s="10" t="s">
        <v>90</v>
      </c>
      <c r="E363" s="12"/>
      <c r="F363" s="12" t="s">
        <v>382</v>
      </c>
      <c r="G363" s="13">
        <f>IFERROR(__xludf.DUMMYFUNCTION("if(counta(filter('Previous Rank'!$A$2:$A2766,'Previous Rank'!$B$2:$B2766=B363,'Previous Rank'!$C$2:$C2766=C363))=1,filter('Previous Rank'!$A$2:$A2766,'Previous Rank'!$B$2:$B2766=B363,'Previous Rank'!$C$2:$C2766=C363),"""")"),341.0)</f>
        <v>341</v>
      </c>
      <c r="H363" s="8">
        <f t="shared" si="1"/>
        <v>-21</v>
      </c>
    </row>
    <row r="364">
      <c r="A364" s="10">
        <v>363.0</v>
      </c>
      <c r="B364" s="11" t="s">
        <v>444</v>
      </c>
      <c r="C364" s="10" t="s">
        <v>48</v>
      </c>
      <c r="D364" s="10" t="s">
        <v>90</v>
      </c>
      <c r="E364" s="14">
        <v>245.6</v>
      </c>
      <c r="F364" s="14">
        <v>1.3</v>
      </c>
      <c r="G364" s="13">
        <f>IFERROR(__xludf.DUMMYFUNCTION("if(counta(filter('Previous Rank'!$A$2:$A2766,'Previous Rank'!$B$2:$B2766=B364,'Previous Rank'!$C$2:$C2766=C364))=1,filter('Previous Rank'!$A$2:$A2766,'Previous Rank'!$B$2:$B2766=B364,'Previous Rank'!$C$2:$C2766=C364),"""")"),342.0)</f>
        <v>342</v>
      </c>
      <c r="H364" s="8">
        <f t="shared" si="1"/>
        <v>-21</v>
      </c>
    </row>
    <row r="365">
      <c r="A365" s="10">
        <v>364.0</v>
      </c>
      <c r="B365" s="11" t="s">
        <v>445</v>
      </c>
      <c r="C365" s="10" t="s">
        <v>79</v>
      </c>
      <c r="D365" s="10" t="s">
        <v>82</v>
      </c>
      <c r="E365" s="12">
        <v>220.4</v>
      </c>
      <c r="F365" s="12">
        <v>1.4</v>
      </c>
      <c r="G365" s="13">
        <f>IFERROR(__xludf.DUMMYFUNCTION("if(counta(filter('Previous Rank'!$A$2:$A2766,'Previous Rank'!$B$2:$B2766=B365,'Previous Rank'!$C$2:$C2766=C365))=1,filter('Previous Rank'!$A$2:$A2766,'Previous Rank'!$B$2:$B2766=B365,'Previous Rank'!$C$2:$C2766=C365),"""")"),305.0)</f>
        <v>305</v>
      </c>
      <c r="H365" s="8">
        <f t="shared" si="1"/>
        <v>-59</v>
      </c>
    </row>
    <row r="366">
      <c r="A366" s="10">
        <v>365.0</v>
      </c>
      <c r="B366" s="11" t="s">
        <v>446</v>
      </c>
      <c r="C366" s="10" t="s">
        <v>11</v>
      </c>
      <c r="D366" s="10" t="s">
        <v>71</v>
      </c>
      <c r="E366" s="14"/>
      <c r="F366" s="14" t="s">
        <v>382</v>
      </c>
      <c r="G366" s="13">
        <f>IFERROR(__xludf.DUMMYFUNCTION("if(counta(filter('Previous Rank'!$A$2:$A2766,'Previous Rank'!$B$2:$B2766=B366,'Previous Rank'!$C$2:$C2766=C366))=1,filter('Previous Rank'!$A$2:$A2766,'Previous Rank'!$B$2:$B2766=B366,'Previous Rank'!$C$2:$C2766=C366),"""")"),347.0)</f>
        <v>347</v>
      </c>
      <c r="H366" s="8">
        <f t="shared" si="1"/>
        <v>-18</v>
      </c>
    </row>
    <row r="367">
      <c r="A367" s="10">
        <v>366.0</v>
      </c>
      <c r="B367" s="11" t="s">
        <v>447</v>
      </c>
      <c r="C367" s="10" t="s">
        <v>79</v>
      </c>
      <c r="D367" s="10" t="s">
        <v>71</v>
      </c>
      <c r="E367" s="12">
        <v>185.2</v>
      </c>
      <c r="F367" s="12">
        <v>3.6</v>
      </c>
      <c r="G367" s="13">
        <f>IFERROR(__xludf.DUMMYFUNCTION("if(counta(filter('Previous Rank'!$A$2:$A2766,'Previous Rank'!$B$2:$B2766=B367,'Previous Rank'!$C$2:$C2766=C367))=1,filter('Previous Rank'!$A$2:$A2766,'Previous Rank'!$B$2:$B2766=B367,'Previous Rank'!$C$2:$C2766=C367),"""")"),339.0)</f>
        <v>339</v>
      </c>
      <c r="H367" s="8">
        <f t="shared" si="1"/>
        <v>-27</v>
      </c>
    </row>
    <row r="368">
      <c r="A368" s="10">
        <v>367.0</v>
      </c>
      <c r="B368" s="11" t="s">
        <v>448</v>
      </c>
      <c r="C368" s="10" t="s">
        <v>22</v>
      </c>
      <c r="D368" s="10" t="s">
        <v>36</v>
      </c>
      <c r="E368" s="16">
        <v>248.1</v>
      </c>
      <c r="F368" s="16">
        <v>1.0</v>
      </c>
      <c r="G368" s="13">
        <f>IFERROR(__xludf.DUMMYFUNCTION("if(counta(filter('Previous Rank'!$A$2:$A2766,'Previous Rank'!$B$2:$B2766=B368,'Previous Rank'!$C$2:$C2766=C368))=1,filter('Previous Rank'!$A$2:$A2766,'Previous Rank'!$B$2:$B2766=B368,'Previous Rank'!$C$2:$C2766=C368),"""")"),603.0)</f>
        <v>603</v>
      </c>
      <c r="H368" s="8">
        <f t="shared" si="1"/>
        <v>236</v>
      </c>
    </row>
    <row r="369">
      <c r="A369" s="10">
        <v>368.0</v>
      </c>
      <c r="B369" s="11" t="s">
        <v>449</v>
      </c>
      <c r="C369" s="10" t="s">
        <v>79</v>
      </c>
      <c r="D369" s="10" t="s">
        <v>206</v>
      </c>
      <c r="E369" s="12">
        <v>243.8</v>
      </c>
      <c r="F369" s="12">
        <v>1.3</v>
      </c>
      <c r="G369" s="13">
        <f>IFERROR(__xludf.DUMMYFUNCTION("if(counta(filter('Previous Rank'!$A$2:$A2766,'Previous Rank'!$B$2:$B2766=B369,'Previous Rank'!$C$2:$C2766=C369))=1,filter('Previous Rank'!$A$2:$A2766,'Previous Rank'!$B$2:$B2766=B369,'Previous Rank'!$C$2:$C2766=C369),"""")"),358.0)</f>
        <v>358</v>
      </c>
      <c r="H369" s="8">
        <f t="shared" si="1"/>
        <v>-10</v>
      </c>
    </row>
    <row r="370">
      <c r="A370" s="10">
        <v>369.0</v>
      </c>
      <c r="B370" s="11" t="s">
        <v>450</v>
      </c>
      <c r="C370" s="10" t="s">
        <v>77</v>
      </c>
      <c r="D370" s="10" t="s">
        <v>82</v>
      </c>
      <c r="E370" s="16">
        <v>227.5</v>
      </c>
      <c r="F370" s="16">
        <v>1.1</v>
      </c>
      <c r="G370" s="13">
        <f>IFERROR(__xludf.DUMMYFUNCTION("if(counta(filter('Previous Rank'!$A$2:$A2766,'Previous Rank'!$B$2:$B2766=B370,'Previous Rank'!$C$2:$C2766=C370))=1,filter('Previous Rank'!$A$2:$A2766,'Previous Rank'!$B$2:$B2766=B370,'Previous Rank'!$C$2:$C2766=C370),"""")"),350.0)</f>
        <v>350</v>
      </c>
      <c r="H370" s="8">
        <f t="shared" si="1"/>
        <v>-19</v>
      </c>
    </row>
    <row r="371">
      <c r="A371" s="10">
        <v>370.0</v>
      </c>
      <c r="B371" s="11" t="s">
        <v>451</v>
      </c>
      <c r="C371" s="10" t="s">
        <v>8</v>
      </c>
      <c r="D371" s="10" t="s">
        <v>206</v>
      </c>
      <c r="E371" s="12">
        <v>241.2</v>
      </c>
      <c r="F371" s="12">
        <v>1.0</v>
      </c>
      <c r="G371" s="13">
        <f>IFERROR(__xludf.DUMMYFUNCTION("if(counta(filter('Previous Rank'!$A$2:$A2766,'Previous Rank'!$B$2:$B2766=B371,'Previous Rank'!$C$2:$C2766=C371))=1,filter('Previous Rank'!$A$2:$A2766,'Previous Rank'!$B$2:$B2766=B371,'Previous Rank'!$C$2:$C2766=C371),"""")"),319.0)</f>
        <v>319</v>
      </c>
      <c r="H371" s="8">
        <f t="shared" si="1"/>
        <v>-51</v>
      </c>
    </row>
    <row r="372">
      <c r="A372" s="10">
        <v>371.0</v>
      </c>
      <c r="B372" s="11" t="s">
        <v>452</v>
      </c>
      <c r="C372" s="10" t="s">
        <v>79</v>
      </c>
      <c r="D372" s="10" t="s">
        <v>105</v>
      </c>
      <c r="E372" s="14">
        <v>238.1</v>
      </c>
      <c r="F372" s="14">
        <v>1.6</v>
      </c>
      <c r="G372" s="13">
        <f>IFERROR(__xludf.DUMMYFUNCTION("if(counta(filter('Previous Rank'!$A$2:$A2766,'Previous Rank'!$B$2:$B2766=B372,'Previous Rank'!$C$2:$C2766=C372))=1,filter('Previous Rank'!$A$2:$A2766,'Previous Rank'!$B$2:$B2766=B372,'Previous Rank'!$C$2:$C2766=C372),"""")"),385.0)</f>
        <v>385</v>
      </c>
      <c r="H372" s="8">
        <f t="shared" si="1"/>
        <v>14</v>
      </c>
    </row>
    <row r="373">
      <c r="A373" s="10">
        <v>372.0</v>
      </c>
      <c r="B373" s="11" t="s">
        <v>453</v>
      </c>
      <c r="C373" s="10" t="s">
        <v>79</v>
      </c>
      <c r="D373" s="10" t="s">
        <v>73</v>
      </c>
      <c r="E373" s="12">
        <v>239.0</v>
      </c>
      <c r="F373" s="12">
        <v>1.6</v>
      </c>
      <c r="G373" s="13">
        <f>IFERROR(__xludf.DUMMYFUNCTION("if(counta(filter('Previous Rank'!$A$2:$A2766,'Previous Rank'!$B$2:$B2766=B373,'Previous Rank'!$C$2:$C2766=C373))=1,filter('Previous Rank'!$A$2:$A2766,'Previous Rank'!$B$2:$B2766=B373,'Previous Rank'!$C$2:$C2766=C373),"""")"),378.0)</f>
        <v>378</v>
      </c>
      <c r="H373" s="8">
        <f t="shared" si="1"/>
        <v>6</v>
      </c>
    </row>
    <row r="374">
      <c r="A374" s="10">
        <v>373.0</v>
      </c>
      <c r="B374" s="11" t="s">
        <v>454</v>
      </c>
      <c r="C374" s="10" t="s">
        <v>39</v>
      </c>
      <c r="D374" s="10" t="s">
        <v>42</v>
      </c>
      <c r="E374" s="14">
        <v>242.4</v>
      </c>
      <c r="F374" s="14">
        <v>1.4</v>
      </c>
      <c r="G374" s="13">
        <f>IFERROR(__xludf.DUMMYFUNCTION("if(counta(filter('Previous Rank'!$A$2:$A2766,'Previous Rank'!$B$2:$B2766=B374,'Previous Rank'!$C$2:$C2766=C374))=1,filter('Previous Rank'!$A$2:$A2766,'Previous Rank'!$B$2:$B2766=B374,'Previous Rank'!$C$2:$C2766=C374),"""")"),346.0)</f>
        <v>346</v>
      </c>
      <c r="H374" s="8">
        <f t="shared" si="1"/>
        <v>-27</v>
      </c>
    </row>
    <row r="375">
      <c r="A375" s="10">
        <v>374.0</v>
      </c>
      <c r="B375" s="11" t="s">
        <v>455</v>
      </c>
      <c r="C375" s="10" t="s">
        <v>33</v>
      </c>
      <c r="D375" s="10" t="s">
        <v>140</v>
      </c>
      <c r="E375" s="12"/>
      <c r="F375" s="12" t="s">
        <v>382</v>
      </c>
      <c r="G375" s="13">
        <f>IFERROR(__xludf.DUMMYFUNCTION("if(counta(filter('Previous Rank'!$A$2:$A2766,'Previous Rank'!$B$2:$B2766=B375,'Previous Rank'!$C$2:$C2766=C375))=1,filter('Previous Rank'!$A$2:$A2766,'Previous Rank'!$B$2:$B2766=B375,'Previous Rank'!$C$2:$C2766=C375),"""")"),352.0)</f>
        <v>352</v>
      </c>
      <c r="H375" s="8">
        <f t="shared" si="1"/>
        <v>-22</v>
      </c>
    </row>
    <row r="376">
      <c r="A376" s="10">
        <v>375.0</v>
      </c>
      <c r="B376" s="11" t="s">
        <v>456</v>
      </c>
      <c r="C376" s="10" t="s">
        <v>22</v>
      </c>
      <c r="D376" s="10" t="s">
        <v>95</v>
      </c>
      <c r="E376" s="14">
        <v>240.0</v>
      </c>
      <c r="F376" s="14">
        <v>1.8</v>
      </c>
      <c r="G376" s="13">
        <f>IFERROR(__xludf.DUMMYFUNCTION("if(counta(filter('Previous Rank'!$A$2:$A2766,'Previous Rank'!$B$2:$B2766=B376,'Previous Rank'!$C$2:$C2766=C376))=1,filter('Previous Rank'!$A$2:$A2766,'Previous Rank'!$B$2:$B2766=B376,'Previous Rank'!$C$2:$C2766=C376),"""")"),387.0)</f>
        <v>387</v>
      </c>
      <c r="H376" s="8">
        <f t="shared" si="1"/>
        <v>12</v>
      </c>
    </row>
    <row r="377">
      <c r="A377" s="10">
        <v>376.0</v>
      </c>
      <c r="B377" s="11" t="s">
        <v>457</v>
      </c>
      <c r="C377" s="10" t="s">
        <v>87</v>
      </c>
      <c r="D377" s="10" t="s">
        <v>129</v>
      </c>
      <c r="E377" s="15">
        <v>249.5</v>
      </c>
      <c r="F377" s="15">
        <v>1.5</v>
      </c>
      <c r="G377" s="13">
        <f>IFERROR(__xludf.DUMMYFUNCTION("if(counta(filter('Previous Rank'!$A$2:$A2766,'Previous Rank'!$B$2:$B2766=B377,'Previous Rank'!$C$2:$C2766=C377))=1,filter('Previous Rank'!$A$2:$A2766,'Previous Rank'!$B$2:$B2766=B377,'Previous Rank'!$C$2:$C2766=C377),"""")"),1763.0)</f>
        <v>1763</v>
      </c>
      <c r="H377" s="8">
        <f t="shared" si="1"/>
        <v>1387</v>
      </c>
    </row>
    <row r="378">
      <c r="A378" s="10">
        <v>377.0</v>
      </c>
      <c r="B378" s="11" t="s">
        <v>458</v>
      </c>
      <c r="C378" s="10" t="s">
        <v>77</v>
      </c>
      <c r="D378" s="10" t="s">
        <v>52</v>
      </c>
      <c r="E378" s="16">
        <v>245.1</v>
      </c>
      <c r="F378" s="16">
        <v>1.0</v>
      </c>
      <c r="G378" s="13">
        <f>IFERROR(__xludf.DUMMYFUNCTION("if(counta(filter('Previous Rank'!$A$2:$A2766,'Previous Rank'!$B$2:$B2766=B378,'Previous Rank'!$C$2:$C2766=C378))=1,filter('Previous Rank'!$A$2:$A2766,'Previous Rank'!$B$2:$B2766=B378,'Previous Rank'!$C$2:$C2766=C378),"""")"),1670.0)</f>
        <v>1670</v>
      </c>
      <c r="H378" s="8">
        <f t="shared" si="1"/>
        <v>1293</v>
      </c>
    </row>
    <row r="379">
      <c r="A379" s="10">
        <v>378.0</v>
      </c>
      <c r="B379" s="11" t="s">
        <v>459</v>
      </c>
      <c r="C379" s="10" t="s">
        <v>77</v>
      </c>
      <c r="D379" s="10" t="s">
        <v>113</v>
      </c>
      <c r="E379" s="15">
        <v>233.5</v>
      </c>
      <c r="F379" s="15">
        <v>1.0</v>
      </c>
      <c r="G379" s="13">
        <f>IFERROR(__xludf.DUMMYFUNCTION("if(counta(filter('Previous Rank'!$A$2:$A2766,'Previous Rank'!$B$2:$B2766=B379,'Previous Rank'!$C$2:$C2766=C379))=1,filter('Previous Rank'!$A$2:$A2766,'Previous Rank'!$B$2:$B2766=B379,'Previous Rank'!$C$2:$C2766=C379),"""")"),354.0)</f>
        <v>354</v>
      </c>
      <c r="H379" s="8">
        <f t="shared" si="1"/>
        <v>-24</v>
      </c>
    </row>
    <row r="380">
      <c r="A380" s="10">
        <v>379.0</v>
      </c>
      <c r="B380" s="11" t="s">
        <v>460</v>
      </c>
      <c r="C380" s="10" t="s">
        <v>79</v>
      </c>
      <c r="D380" s="10" t="s">
        <v>85</v>
      </c>
      <c r="E380" s="16">
        <v>243.5</v>
      </c>
      <c r="F380" s="16">
        <v>1.4</v>
      </c>
      <c r="G380" s="13">
        <f>IFERROR(__xludf.DUMMYFUNCTION("if(counta(filter('Previous Rank'!$A$2:$A2766,'Previous Rank'!$B$2:$B2766=B380,'Previous Rank'!$C$2:$C2766=C380))=1,filter('Previous Rank'!$A$2:$A2766,'Previous Rank'!$B$2:$B2766=B380,'Previous Rank'!$C$2:$C2766=C380),"""")"),397.0)</f>
        <v>397</v>
      </c>
      <c r="H380" s="8">
        <f t="shared" si="1"/>
        <v>18</v>
      </c>
    </row>
    <row r="381">
      <c r="A381" s="10">
        <v>380.0</v>
      </c>
      <c r="B381" s="11" t="s">
        <v>461</v>
      </c>
      <c r="C381" s="10" t="s">
        <v>218</v>
      </c>
      <c r="D381" s="10" t="s">
        <v>206</v>
      </c>
      <c r="E381" s="12">
        <v>247.0</v>
      </c>
      <c r="F381" s="12">
        <v>1.0</v>
      </c>
      <c r="G381" s="13">
        <f>IFERROR(__xludf.DUMMYFUNCTION("if(counta(filter('Previous Rank'!$A$2:$A2766,'Previous Rank'!$B$2:$B2766=B381,'Previous Rank'!$C$2:$C2766=C381))=1,filter('Previous Rank'!$A$2:$A2766,'Previous Rank'!$B$2:$B2766=B381,'Previous Rank'!$C$2:$C2766=C381),"""")"),562.0)</f>
        <v>562</v>
      </c>
      <c r="H381" s="8">
        <f t="shared" si="1"/>
        <v>182</v>
      </c>
    </row>
    <row r="382">
      <c r="A382" s="10">
        <v>381.0</v>
      </c>
      <c r="B382" s="11" t="s">
        <v>462</v>
      </c>
      <c r="C382" s="10" t="s">
        <v>218</v>
      </c>
      <c r="D382" s="10" t="s">
        <v>206</v>
      </c>
      <c r="E382" s="14"/>
      <c r="F382" s="14" t="s">
        <v>382</v>
      </c>
      <c r="G382" s="13">
        <f>IFERROR(__xludf.DUMMYFUNCTION("if(counta(filter('Previous Rank'!$A$2:$A2766,'Previous Rank'!$B$2:$B2766=B382,'Previous Rank'!$C$2:$C2766=C382))=1,filter('Previous Rank'!$A$2:$A2766,'Previous Rank'!$B$2:$B2766=B382,'Previous Rank'!$C$2:$C2766=C382),"""")"),356.0)</f>
        <v>356</v>
      </c>
      <c r="H382" s="8">
        <f t="shared" si="1"/>
        <v>-25</v>
      </c>
    </row>
    <row r="383">
      <c r="A383" s="10">
        <v>382.0</v>
      </c>
      <c r="B383" s="11" t="s">
        <v>463</v>
      </c>
      <c r="C383" s="10" t="s">
        <v>148</v>
      </c>
      <c r="D383" s="10" t="s">
        <v>36</v>
      </c>
      <c r="E383" s="12">
        <v>241.9</v>
      </c>
      <c r="F383" s="12">
        <v>1.3</v>
      </c>
      <c r="G383" s="13">
        <f>IFERROR(__xludf.DUMMYFUNCTION("if(counta(filter('Previous Rank'!$A$2:$A2766,'Previous Rank'!$B$2:$B2766=B383,'Previous Rank'!$C$2:$C2766=C383))=1,filter('Previous Rank'!$A$2:$A2766,'Previous Rank'!$B$2:$B2766=B383,'Previous Rank'!$C$2:$C2766=C383),"""")"),1595.0)</f>
        <v>1595</v>
      </c>
      <c r="H383" s="8">
        <f t="shared" si="1"/>
        <v>1213</v>
      </c>
    </row>
    <row r="384">
      <c r="A384" s="10">
        <v>383.0</v>
      </c>
      <c r="B384" s="11" t="s">
        <v>464</v>
      </c>
      <c r="C384" s="10" t="s">
        <v>22</v>
      </c>
      <c r="D384" s="10" t="s">
        <v>23</v>
      </c>
      <c r="E384" s="16">
        <v>240.9</v>
      </c>
      <c r="F384" s="16">
        <v>1.0</v>
      </c>
      <c r="G384" s="13">
        <f>IFERROR(__xludf.DUMMYFUNCTION("if(counta(filter('Previous Rank'!$A$2:$A2766,'Previous Rank'!$B$2:$B2766=B384,'Previous Rank'!$C$2:$C2766=C384))=1,filter('Previous Rank'!$A$2:$A2766,'Previous Rank'!$B$2:$B2766=B384,'Previous Rank'!$C$2:$C2766=C384),"""")"),552.0)</f>
        <v>552</v>
      </c>
      <c r="H384" s="8">
        <f t="shared" si="1"/>
        <v>169</v>
      </c>
    </row>
    <row r="385">
      <c r="A385" s="10">
        <v>384.0</v>
      </c>
      <c r="B385" s="11" t="s">
        <v>465</v>
      </c>
      <c r="C385" s="10" t="s">
        <v>79</v>
      </c>
      <c r="D385" s="10" t="s">
        <v>23</v>
      </c>
      <c r="E385" s="15">
        <v>232.8</v>
      </c>
      <c r="F385" s="15">
        <v>1.3</v>
      </c>
      <c r="G385" s="13">
        <f>IFERROR(__xludf.DUMMYFUNCTION("if(counta(filter('Previous Rank'!$A$2:$A2766,'Previous Rank'!$B$2:$B2766=B385,'Previous Rank'!$C$2:$C2766=C385))=1,filter('Previous Rank'!$A$2:$A2766,'Previous Rank'!$B$2:$B2766=B385,'Previous Rank'!$C$2:$C2766=C385),"""")"),365.0)</f>
        <v>365</v>
      </c>
      <c r="H385" s="8">
        <f t="shared" si="1"/>
        <v>-19</v>
      </c>
    </row>
    <row r="386">
      <c r="A386" s="10">
        <v>385.0</v>
      </c>
      <c r="B386" s="11" t="s">
        <v>466</v>
      </c>
      <c r="C386" s="10" t="s">
        <v>22</v>
      </c>
      <c r="D386" s="10" t="s">
        <v>129</v>
      </c>
      <c r="E386" s="16"/>
      <c r="F386" s="16" t="s">
        <v>382</v>
      </c>
      <c r="G386" s="13">
        <f>IFERROR(__xludf.DUMMYFUNCTION("if(counta(filter('Previous Rank'!$A$2:$A2766,'Previous Rank'!$B$2:$B2766=B386,'Previous Rank'!$C$2:$C2766=C386))=1,filter('Previous Rank'!$A$2:$A2766,'Previous Rank'!$B$2:$B2766=B386,'Previous Rank'!$C$2:$C2766=C386),"""")"),789.0)</f>
        <v>789</v>
      </c>
      <c r="H386" s="8">
        <f t="shared" si="1"/>
        <v>404</v>
      </c>
    </row>
    <row r="387">
      <c r="A387" s="10">
        <v>386.0</v>
      </c>
      <c r="B387" s="11" t="s">
        <v>467</v>
      </c>
      <c r="C387" s="10" t="s">
        <v>22</v>
      </c>
      <c r="D387" s="10" t="s">
        <v>137</v>
      </c>
      <c r="E387" s="15"/>
      <c r="F387" s="15" t="s">
        <v>382</v>
      </c>
      <c r="G387" s="13">
        <f>IFERROR(__xludf.DUMMYFUNCTION("if(counta(filter('Previous Rank'!$A$2:$A2766,'Previous Rank'!$B$2:$B2766=B387,'Previous Rank'!$C$2:$C2766=C387))=1,filter('Previous Rank'!$A$2:$A2766,'Previous Rank'!$B$2:$B2766=B387,'Previous Rank'!$C$2:$C2766=C387),"""")"),1633.0)</f>
        <v>1633</v>
      </c>
      <c r="H387" s="8">
        <f t="shared" si="1"/>
        <v>1247</v>
      </c>
    </row>
    <row r="388">
      <c r="A388" s="10">
        <v>387.0</v>
      </c>
      <c r="B388" s="11" t="s">
        <v>468</v>
      </c>
      <c r="C388" s="10" t="s">
        <v>79</v>
      </c>
      <c r="D388" s="10" t="s">
        <v>15</v>
      </c>
      <c r="E388" s="14">
        <v>237.7</v>
      </c>
      <c r="F388" s="14">
        <v>1.3</v>
      </c>
      <c r="G388" s="13">
        <f>IFERROR(__xludf.DUMMYFUNCTION("if(counta(filter('Previous Rank'!$A$2:$A2766,'Previous Rank'!$B$2:$B2766=B388,'Previous Rank'!$C$2:$C2766=C388))=1,filter('Previous Rank'!$A$2:$A2766,'Previous Rank'!$B$2:$B2766=B388,'Previous Rank'!$C$2:$C2766=C388),"""")"),362.0)</f>
        <v>362</v>
      </c>
      <c r="H388" s="8">
        <f t="shared" si="1"/>
        <v>-25</v>
      </c>
    </row>
    <row r="389">
      <c r="A389" s="10">
        <v>388.0</v>
      </c>
      <c r="B389" s="11" t="s">
        <v>469</v>
      </c>
      <c r="C389" s="10" t="s">
        <v>470</v>
      </c>
      <c r="D389" s="10" t="s">
        <v>113</v>
      </c>
      <c r="E389" s="12">
        <v>242.7</v>
      </c>
      <c r="F389" s="12">
        <v>1.4</v>
      </c>
      <c r="G389" s="13">
        <f>IFERROR(__xludf.DUMMYFUNCTION("if(counta(filter('Previous Rank'!$A$2:$A2766,'Previous Rank'!$B$2:$B2766=B389,'Previous Rank'!$C$2:$C2766=C389))=1,filter('Previous Rank'!$A$2:$A2766,'Previous Rank'!$B$2:$B2766=B389,'Previous Rank'!$C$2:$C2766=C389),"""")"),669.0)</f>
        <v>669</v>
      </c>
      <c r="H389" s="8">
        <f t="shared" si="1"/>
        <v>281</v>
      </c>
    </row>
    <row r="390">
      <c r="A390" s="10">
        <v>389.0</v>
      </c>
      <c r="B390" s="11" t="s">
        <v>471</v>
      </c>
      <c r="C390" s="10" t="s">
        <v>22</v>
      </c>
      <c r="D390" s="10" t="s">
        <v>85</v>
      </c>
      <c r="E390" s="14">
        <v>247.2</v>
      </c>
      <c r="F390" s="14">
        <v>1.1</v>
      </c>
      <c r="G390" s="13">
        <f>IFERROR(__xludf.DUMMYFUNCTION("if(counta(filter('Previous Rank'!$A$2:$A2766,'Previous Rank'!$B$2:$B2766=B390,'Previous Rank'!$C$2:$C2766=C390))=1,filter('Previous Rank'!$A$2:$A2766,'Previous Rank'!$B$2:$B2766=B390,'Previous Rank'!$C$2:$C2766=C390),"""")"),272.0)</f>
        <v>272</v>
      </c>
      <c r="H390" s="8">
        <f t="shared" si="1"/>
        <v>-117</v>
      </c>
    </row>
    <row r="391">
      <c r="A391" s="10">
        <v>390.0</v>
      </c>
      <c r="B391" s="11" t="s">
        <v>472</v>
      </c>
      <c r="C391" s="10" t="s">
        <v>22</v>
      </c>
      <c r="D391" s="10" t="s">
        <v>113</v>
      </c>
      <c r="E391" s="15">
        <v>236.8</v>
      </c>
      <c r="F391" s="15">
        <v>1.0</v>
      </c>
      <c r="G391" s="13">
        <f>IFERROR(__xludf.DUMMYFUNCTION("if(counta(filter('Previous Rank'!$A$2:$A2766,'Previous Rank'!$B$2:$B2766=B391,'Previous Rank'!$C$2:$C2766=C391))=1,filter('Previous Rank'!$A$2:$A2766,'Previous Rank'!$B$2:$B2766=B391,'Previous Rank'!$C$2:$C2766=C391),"""")"),401.0)</f>
        <v>401</v>
      </c>
      <c r="H391" s="8">
        <f t="shared" si="1"/>
        <v>11</v>
      </c>
    </row>
    <row r="392">
      <c r="A392" s="10">
        <v>391.0</v>
      </c>
      <c r="B392" s="11" t="s">
        <v>473</v>
      </c>
      <c r="C392" s="10" t="s">
        <v>77</v>
      </c>
      <c r="D392" s="10" t="s">
        <v>206</v>
      </c>
      <c r="E392" s="14">
        <v>242.7</v>
      </c>
      <c r="F392" s="14">
        <v>1.0</v>
      </c>
      <c r="G392" s="13">
        <f>IFERROR(__xludf.DUMMYFUNCTION("if(counta(filter('Previous Rank'!$A$2:$A2766,'Previous Rank'!$B$2:$B2766=B392,'Previous Rank'!$C$2:$C2766=C392))=1,filter('Previous Rank'!$A$2:$A2766,'Previous Rank'!$B$2:$B2766=B392,'Previous Rank'!$C$2:$C2766=C392),"""")"),363.0)</f>
        <v>363</v>
      </c>
      <c r="H392" s="8">
        <f t="shared" si="1"/>
        <v>-28</v>
      </c>
    </row>
    <row r="393">
      <c r="A393" s="10">
        <v>392.0</v>
      </c>
      <c r="B393" s="11" t="s">
        <v>474</v>
      </c>
      <c r="C393" s="10" t="s">
        <v>22</v>
      </c>
      <c r="D393" s="10" t="s">
        <v>140</v>
      </c>
      <c r="E393" s="15">
        <v>239.3</v>
      </c>
      <c r="F393" s="15">
        <v>1.1</v>
      </c>
      <c r="G393" s="13">
        <f>IFERROR(__xludf.DUMMYFUNCTION("if(counta(filter('Previous Rank'!$A$2:$A2766,'Previous Rank'!$B$2:$B2766=B393,'Previous Rank'!$C$2:$C2766=C393))=1,filter('Previous Rank'!$A$2:$A2766,'Previous Rank'!$B$2:$B2766=B393,'Previous Rank'!$C$2:$C2766=C393),"""")"),315.0)</f>
        <v>315</v>
      </c>
      <c r="H393" s="8">
        <f t="shared" si="1"/>
        <v>-77</v>
      </c>
    </row>
    <row r="394">
      <c r="A394" s="10">
        <v>393.0</v>
      </c>
      <c r="B394" s="11" t="s">
        <v>475</v>
      </c>
      <c r="C394" s="10" t="s">
        <v>218</v>
      </c>
      <c r="D394" s="10" t="s">
        <v>129</v>
      </c>
      <c r="E394" s="16"/>
      <c r="F394" s="16" t="s">
        <v>382</v>
      </c>
      <c r="G394" s="13">
        <f>IFERROR(__xludf.DUMMYFUNCTION("if(counta(filter('Previous Rank'!$A$2:$A2766,'Previous Rank'!$B$2:$B2766=B394,'Previous Rank'!$C$2:$C2766=C394))=1,filter('Previous Rank'!$A$2:$A2766,'Previous Rank'!$B$2:$B2766=B394,'Previous Rank'!$C$2:$C2766=C394),"""")"),399.0)</f>
        <v>399</v>
      </c>
      <c r="H394" s="8">
        <f t="shared" si="1"/>
        <v>6</v>
      </c>
    </row>
    <row r="395">
      <c r="A395" s="10">
        <v>394.0</v>
      </c>
      <c r="B395" s="11" t="s">
        <v>476</v>
      </c>
      <c r="C395" s="10" t="s">
        <v>87</v>
      </c>
      <c r="D395" s="10" t="s">
        <v>90</v>
      </c>
      <c r="E395" s="15"/>
      <c r="F395" s="15" t="s">
        <v>382</v>
      </c>
      <c r="G395" s="13">
        <f>IFERROR(__xludf.DUMMYFUNCTION("if(counta(filter('Previous Rank'!$A$2:$A2766,'Previous Rank'!$B$2:$B2766=B395,'Previous Rank'!$C$2:$C2766=C395))=1,filter('Previous Rank'!$A$2:$A2766,'Previous Rank'!$B$2:$B2766=B395,'Previous Rank'!$C$2:$C2766=C395),"""")"),471.0)</f>
        <v>471</v>
      </c>
      <c r="H395" s="8">
        <f t="shared" si="1"/>
        <v>77</v>
      </c>
    </row>
    <row r="396">
      <c r="A396" s="10">
        <v>395.0</v>
      </c>
      <c r="B396" s="11" t="s">
        <v>477</v>
      </c>
      <c r="C396" s="10" t="s">
        <v>478</v>
      </c>
      <c r="D396" s="10" t="s">
        <v>52</v>
      </c>
      <c r="E396" s="16"/>
      <c r="F396" s="16" t="s">
        <v>382</v>
      </c>
      <c r="G396" s="13">
        <f>IFERROR(__xludf.DUMMYFUNCTION("if(counta(filter('Previous Rank'!$A$2:$A2766,'Previous Rank'!$B$2:$B2766=B396,'Previous Rank'!$C$2:$C2766=C396))=1,filter('Previous Rank'!$A$2:$A2766,'Previous Rank'!$B$2:$B2766=B396,'Previous Rank'!$C$2:$C2766=C396),"""")"),642.0)</f>
        <v>642</v>
      </c>
      <c r="H396" s="8">
        <f t="shared" si="1"/>
        <v>247</v>
      </c>
    </row>
    <row r="397">
      <c r="A397" s="10">
        <v>396.0</v>
      </c>
      <c r="B397" s="11" t="s">
        <v>479</v>
      </c>
      <c r="C397" s="10" t="s">
        <v>79</v>
      </c>
      <c r="D397" s="10" t="s">
        <v>18</v>
      </c>
      <c r="E397" s="15"/>
      <c r="F397" s="15" t="s">
        <v>382</v>
      </c>
      <c r="G397" s="13">
        <f>IFERROR(__xludf.DUMMYFUNCTION("if(counta(filter('Previous Rank'!$A$2:$A2766,'Previous Rank'!$B$2:$B2766=B397,'Previous Rank'!$C$2:$C2766=C397))=1,filter('Previous Rank'!$A$2:$A2766,'Previous Rank'!$B$2:$B2766=B397,'Previous Rank'!$C$2:$C2766=C397),"""")"),1474.0)</f>
        <v>1474</v>
      </c>
      <c r="H397" s="8">
        <f t="shared" si="1"/>
        <v>1078</v>
      </c>
    </row>
    <row r="398">
      <c r="A398" s="10">
        <v>397.0</v>
      </c>
      <c r="B398" s="11" t="s">
        <v>480</v>
      </c>
      <c r="C398" s="10" t="s">
        <v>22</v>
      </c>
      <c r="D398" s="10" t="s">
        <v>27</v>
      </c>
      <c r="E398" s="16"/>
      <c r="F398" s="16" t="s">
        <v>382</v>
      </c>
      <c r="G398" s="13">
        <f>IFERROR(__xludf.DUMMYFUNCTION("if(counta(filter('Previous Rank'!$A$2:$A2766,'Previous Rank'!$B$2:$B2766=B398,'Previous Rank'!$C$2:$C2766=C398))=1,filter('Previous Rank'!$A$2:$A2766,'Previous Rank'!$B$2:$B2766=B398,'Previous Rank'!$C$2:$C2766=C398),"""")"),569.0)</f>
        <v>569</v>
      </c>
      <c r="H398" s="8">
        <f t="shared" si="1"/>
        <v>172</v>
      </c>
    </row>
    <row r="399">
      <c r="A399" s="10">
        <v>398.0</v>
      </c>
      <c r="B399" s="11" t="s">
        <v>481</v>
      </c>
      <c r="C399" s="10" t="s">
        <v>22</v>
      </c>
      <c r="D399" s="10" t="s">
        <v>140</v>
      </c>
      <c r="E399" s="12">
        <v>252.2</v>
      </c>
      <c r="F399" s="12">
        <v>1.5</v>
      </c>
      <c r="G399" s="13">
        <f>IFERROR(__xludf.DUMMYFUNCTION("if(counta(filter('Previous Rank'!$A$2:$A2766,'Previous Rank'!$B$2:$B2766=B399,'Previous Rank'!$C$2:$C2766=C399))=1,filter('Previous Rank'!$A$2:$A2766,'Previous Rank'!$B$2:$B2766=B399,'Previous Rank'!$C$2:$C2766=C399),"""")"),549.0)</f>
        <v>549</v>
      </c>
      <c r="H399" s="8">
        <f t="shared" si="1"/>
        <v>151</v>
      </c>
    </row>
    <row r="400">
      <c r="A400" s="10">
        <v>399.0</v>
      </c>
      <c r="B400" s="11" t="s">
        <v>482</v>
      </c>
      <c r="C400" s="10" t="s">
        <v>22</v>
      </c>
      <c r="D400" s="10" t="s">
        <v>23</v>
      </c>
      <c r="E400" s="16"/>
      <c r="F400" s="16" t="s">
        <v>382</v>
      </c>
      <c r="G400" s="13">
        <f>IFERROR(__xludf.DUMMYFUNCTION("if(counta(filter('Previous Rank'!$A$2:$A2766,'Previous Rank'!$B$2:$B2766=B400,'Previous Rank'!$C$2:$C2766=C400))=1,filter('Previous Rank'!$A$2:$A2766,'Previous Rank'!$B$2:$B2766=B400,'Previous Rank'!$C$2:$C2766=C400),"""")"),567.0)</f>
        <v>567</v>
      </c>
      <c r="H400" s="8">
        <f t="shared" si="1"/>
        <v>168</v>
      </c>
    </row>
    <row r="401">
      <c r="A401" s="10">
        <v>400.0</v>
      </c>
      <c r="B401" s="11" t="s">
        <v>483</v>
      </c>
      <c r="C401" s="10" t="s">
        <v>218</v>
      </c>
      <c r="D401" s="10" t="s">
        <v>105</v>
      </c>
      <c r="E401" s="12"/>
      <c r="F401" s="12" t="s">
        <v>382</v>
      </c>
      <c r="G401" s="13">
        <f>IFERROR(__xludf.DUMMYFUNCTION("if(counta(filter('Previous Rank'!$A$2:$A2766,'Previous Rank'!$B$2:$B2766=B401,'Previous Rank'!$C$2:$C2766=C401))=1,filter('Previous Rank'!$A$2:$A2766,'Previous Rank'!$B$2:$B2766=B401,'Previous Rank'!$C$2:$C2766=C401),"""")"),1578.0)</f>
        <v>1578</v>
      </c>
      <c r="H401" s="8">
        <f t="shared" si="1"/>
        <v>1178</v>
      </c>
    </row>
    <row r="402">
      <c r="A402" s="10">
        <v>401.0</v>
      </c>
      <c r="B402" s="11" t="s">
        <v>484</v>
      </c>
      <c r="C402" s="10" t="s">
        <v>22</v>
      </c>
      <c r="D402" s="10" t="s">
        <v>90</v>
      </c>
      <c r="E402" s="16">
        <v>239.7</v>
      </c>
      <c r="F402" s="16">
        <v>1.1</v>
      </c>
      <c r="G402" s="13">
        <f>IFERROR(__xludf.DUMMYFUNCTION("if(counta(filter('Previous Rank'!$A$2:$A2766,'Previous Rank'!$B$2:$B2766=B402,'Previous Rank'!$C$2:$C2766=C402))=1,filter('Previous Rank'!$A$2:$A2766,'Previous Rank'!$B$2:$B2766=B402,'Previous Rank'!$C$2:$C2766=C402),"""")"),309.0)</f>
        <v>309</v>
      </c>
      <c r="H402" s="8">
        <f t="shared" si="1"/>
        <v>-92</v>
      </c>
    </row>
    <row r="403">
      <c r="A403" s="10">
        <v>402.0</v>
      </c>
      <c r="B403" s="11" t="s">
        <v>485</v>
      </c>
      <c r="C403" s="10" t="s">
        <v>79</v>
      </c>
      <c r="D403" s="10" t="s">
        <v>34</v>
      </c>
      <c r="E403" s="12"/>
      <c r="F403" s="12" t="s">
        <v>382</v>
      </c>
      <c r="G403" s="13">
        <f>IFERROR(__xludf.DUMMYFUNCTION("if(counta(filter('Previous Rank'!$A$2:$A2766,'Previous Rank'!$B$2:$B2766=B403,'Previous Rank'!$C$2:$C2766=C403))=1,filter('Previous Rank'!$A$2:$A2766,'Previous Rank'!$B$2:$B2766=B403,'Previous Rank'!$C$2:$C2766=C403),"""")"),366.0)</f>
        <v>366</v>
      </c>
      <c r="H403" s="8">
        <f t="shared" si="1"/>
        <v>-36</v>
      </c>
    </row>
    <row r="404">
      <c r="A404" s="10">
        <v>403.0</v>
      </c>
      <c r="B404" s="11" t="s">
        <v>486</v>
      </c>
      <c r="C404" s="10" t="s">
        <v>79</v>
      </c>
      <c r="D404" s="10" t="s">
        <v>49</v>
      </c>
      <c r="E404" s="14"/>
      <c r="F404" s="14" t="s">
        <v>382</v>
      </c>
      <c r="G404" s="13">
        <f>IFERROR(__xludf.DUMMYFUNCTION("if(counta(filter('Previous Rank'!$A$2:$A2766,'Previous Rank'!$B$2:$B2766=B404,'Previous Rank'!$C$2:$C2766=C404))=1,filter('Previous Rank'!$A$2:$A2766,'Previous Rank'!$B$2:$B2766=B404,'Previous Rank'!$C$2:$C2766=C404),"""")"),345.0)</f>
        <v>345</v>
      </c>
      <c r="H404" s="8">
        <f t="shared" si="1"/>
        <v>-58</v>
      </c>
    </row>
    <row r="405">
      <c r="A405" s="10">
        <v>404.0</v>
      </c>
      <c r="B405" s="11" t="s">
        <v>487</v>
      </c>
      <c r="C405" s="10" t="s">
        <v>79</v>
      </c>
      <c r="D405" s="10" t="s">
        <v>122</v>
      </c>
      <c r="E405" s="15">
        <v>234.7</v>
      </c>
      <c r="F405" s="15">
        <v>1.1</v>
      </c>
      <c r="G405" s="13">
        <f>IFERROR(__xludf.DUMMYFUNCTION("if(counta(filter('Previous Rank'!$A$2:$A2766,'Previous Rank'!$B$2:$B2766=B405,'Previous Rank'!$C$2:$C2766=C405))=1,filter('Previous Rank'!$A$2:$A2766,'Previous Rank'!$B$2:$B2766=B405,'Previous Rank'!$C$2:$C2766=C405),"""")"),367.0)</f>
        <v>367</v>
      </c>
      <c r="H405" s="8">
        <f t="shared" si="1"/>
        <v>-37</v>
      </c>
    </row>
    <row r="406">
      <c r="A406" s="10">
        <v>405.0</v>
      </c>
      <c r="B406" s="11" t="s">
        <v>488</v>
      </c>
      <c r="C406" s="10" t="s">
        <v>79</v>
      </c>
      <c r="D406" s="10" t="s">
        <v>95</v>
      </c>
      <c r="E406" s="16">
        <v>239.9</v>
      </c>
      <c r="F406" s="16">
        <v>1.7</v>
      </c>
      <c r="G406" s="13">
        <f>IFERROR(__xludf.DUMMYFUNCTION("if(counta(filter('Previous Rank'!$A$2:$A2766,'Previous Rank'!$B$2:$B2766=B406,'Previous Rank'!$C$2:$C2766=C406))=1,filter('Previous Rank'!$A$2:$A2766,'Previous Rank'!$B$2:$B2766=B406,'Previous Rank'!$C$2:$C2766=C406),"""")"),368.0)</f>
        <v>368</v>
      </c>
      <c r="H406" s="8">
        <f t="shared" si="1"/>
        <v>-37</v>
      </c>
    </row>
    <row r="407">
      <c r="A407" s="10">
        <v>406.0</v>
      </c>
      <c r="B407" s="11" t="s">
        <v>489</v>
      </c>
      <c r="C407" s="10" t="s">
        <v>79</v>
      </c>
      <c r="D407" s="10" t="s">
        <v>122</v>
      </c>
      <c r="E407" s="15"/>
      <c r="F407" s="15" t="s">
        <v>382</v>
      </c>
      <c r="G407" s="13">
        <f>IFERROR(__xludf.DUMMYFUNCTION("if(counta(filter('Previous Rank'!$A$2:$A2766,'Previous Rank'!$B$2:$B2766=B407,'Previous Rank'!$C$2:$C2766=C407))=1,filter('Previous Rank'!$A$2:$A2766,'Previous Rank'!$B$2:$B2766=B407,'Previous Rank'!$C$2:$C2766=C407),"""")"),370.0)</f>
        <v>370</v>
      </c>
      <c r="H407" s="8">
        <f t="shared" si="1"/>
        <v>-36</v>
      </c>
    </row>
    <row r="408">
      <c r="A408" s="10">
        <v>407.0</v>
      </c>
      <c r="B408" s="11" t="s">
        <v>490</v>
      </c>
      <c r="C408" s="10" t="s">
        <v>79</v>
      </c>
      <c r="D408" s="10" t="s">
        <v>46</v>
      </c>
      <c r="E408" s="14">
        <v>233.4</v>
      </c>
      <c r="F408" s="14">
        <v>1.2</v>
      </c>
      <c r="G408" s="13">
        <f>IFERROR(__xludf.DUMMYFUNCTION("if(counta(filter('Previous Rank'!$A$2:$A2766,'Previous Rank'!$B$2:$B2766=B408,'Previous Rank'!$C$2:$C2766=C408))=1,filter('Previous Rank'!$A$2:$A2766,'Previous Rank'!$B$2:$B2766=B408,'Previous Rank'!$C$2:$C2766=C408),"""")"),371.0)</f>
        <v>371</v>
      </c>
      <c r="H408" s="8">
        <f t="shared" si="1"/>
        <v>-36</v>
      </c>
    </row>
    <row r="409">
      <c r="A409" s="10">
        <v>408.0</v>
      </c>
      <c r="B409" s="11" t="s">
        <v>491</v>
      </c>
      <c r="C409" s="10" t="s">
        <v>79</v>
      </c>
      <c r="D409" s="10" t="s">
        <v>25</v>
      </c>
      <c r="E409" s="15"/>
      <c r="F409" s="15" t="s">
        <v>382</v>
      </c>
      <c r="G409" s="13">
        <f>IFERROR(__xludf.DUMMYFUNCTION("if(counta(filter('Previous Rank'!$A$2:$A2766,'Previous Rank'!$B$2:$B2766=B409,'Previous Rank'!$C$2:$C2766=C409))=1,filter('Previous Rank'!$A$2:$A2766,'Previous Rank'!$B$2:$B2766=B409,'Previous Rank'!$C$2:$C2766=C409),"""")"),373.0)</f>
        <v>373</v>
      </c>
      <c r="H409" s="8">
        <f t="shared" si="1"/>
        <v>-35</v>
      </c>
    </row>
    <row r="410">
      <c r="A410" s="10">
        <v>409.0</v>
      </c>
      <c r="B410" s="11" t="s">
        <v>492</v>
      </c>
      <c r="C410" s="10" t="s">
        <v>79</v>
      </c>
      <c r="D410" s="10" t="s">
        <v>113</v>
      </c>
      <c r="E410" s="16">
        <v>234.0</v>
      </c>
      <c r="F410" s="16">
        <v>1.0</v>
      </c>
      <c r="G410" s="13">
        <f>IFERROR(__xludf.DUMMYFUNCTION("if(counta(filter('Previous Rank'!$A$2:$A2766,'Previous Rank'!$B$2:$B2766=B410,'Previous Rank'!$C$2:$C2766=C410))=1,filter('Previous Rank'!$A$2:$A2766,'Previous Rank'!$B$2:$B2766=B410,'Previous Rank'!$C$2:$C2766=C410),"""")"),375.0)</f>
        <v>375</v>
      </c>
      <c r="H410" s="8">
        <f t="shared" si="1"/>
        <v>-34</v>
      </c>
    </row>
    <row r="411">
      <c r="A411" s="10">
        <v>410.0</v>
      </c>
      <c r="B411" s="11" t="s">
        <v>493</v>
      </c>
      <c r="C411" s="10" t="s">
        <v>220</v>
      </c>
      <c r="D411" s="10" t="s">
        <v>52</v>
      </c>
      <c r="E411" s="12"/>
      <c r="F411" s="12" t="s">
        <v>382</v>
      </c>
      <c r="G411" s="13">
        <f>IFERROR(__xludf.DUMMYFUNCTION("if(counta(filter('Previous Rank'!$A$2:$A2766,'Previous Rank'!$B$2:$B2766=B411,'Previous Rank'!$C$2:$C2766=C411))=1,filter('Previous Rank'!$A$2:$A2766,'Previous Rank'!$B$2:$B2766=B411,'Previous Rank'!$C$2:$C2766=C411),"""")"),376.0)</f>
        <v>376</v>
      </c>
      <c r="H411" s="8">
        <f t="shared" si="1"/>
        <v>-34</v>
      </c>
    </row>
    <row r="412">
      <c r="A412" s="10">
        <v>411.0</v>
      </c>
      <c r="B412" s="11" t="s">
        <v>494</v>
      </c>
      <c r="C412" s="10" t="s">
        <v>79</v>
      </c>
      <c r="D412" s="10" t="s">
        <v>67</v>
      </c>
      <c r="E412" s="14">
        <v>244.2</v>
      </c>
      <c r="F412" s="14">
        <v>1.1</v>
      </c>
      <c r="G412" s="13">
        <f>IFERROR(__xludf.DUMMYFUNCTION("if(counta(filter('Previous Rank'!$A$2:$A2766,'Previous Rank'!$B$2:$B2766=B412,'Previous Rank'!$C$2:$C2766=C412))=1,filter('Previous Rank'!$A$2:$A2766,'Previous Rank'!$B$2:$B2766=B412,'Previous Rank'!$C$2:$C2766=C412),"""")"),377.0)</f>
        <v>377</v>
      </c>
      <c r="H412" s="8">
        <f t="shared" si="1"/>
        <v>-34</v>
      </c>
    </row>
    <row r="413">
      <c r="A413" s="10">
        <v>412.0</v>
      </c>
      <c r="B413" s="11" t="s">
        <v>495</v>
      </c>
      <c r="C413" s="10" t="s">
        <v>79</v>
      </c>
      <c r="D413" s="10" t="s">
        <v>15</v>
      </c>
      <c r="E413" s="15"/>
      <c r="F413" s="15" t="s">
        <v>382</v>
      </c>
      <c r="G413" s="13">
        <f>IFERROR(__xludf.DUMMYFUNCTION("if(counta(filter('Previous Rank'!$A$2:$A2766,'Previous Rank'!$B$2:$B2766=B413,'Previous Rank'!$C$2:$C2766=C413))=1,filter('Previous Rank'!$A$2:$A2766,'Previous Rank'!$B$2:$B2766=B413,'Previous Rank'!$C$2:$C2766=C413),"""")"),379.0)</f>
        <v>379</v>
      </c>
      <c r="H413" s="8">
        <f t="shared" si="1"/>
        <v>-33</v>
      </c>
    </row>
    <row r="414">
      <c r="A414" s="10">
        <v>413.0</v>
      </c>
      <c r="B414" s="11" t="s">
        <v>496</v>
      </c>
      <c r="C414" s="10" t="s">
        <v>79</v>
      </c>
      <c r="D414" s="10" t="s">
        <v>140</v>
      </c>
      <c r="E414" s="16">
        <v>238.4</v>
      </c>
      <c r="F414" s="16">
        <v>1.0</v>
      </c>
      <c r="G414" s="13">
        <f>IFERROR(__xludf.DUMMYFUNCTION("if(counta(filter('Previous Rank'!$A$2:$A2766,'Previous Rank'!$B$2:$B2766=B414,'Previous Rank'!$C$2:$C2766=C414))=1,filter('Previous Rank'!$A$2:$A2766,'Previous Rank'!$B$2:$B2766=B414,'Previous Rank'!$C$2:$C2766=C414),"""")"),380.0)</f>
        <v>380</v>
      </c>
      <c r="H414" s="8">
        <f t="shared" si="1"/>
        <v>-33</v>
      </c>
    </row>
    <row r="415">
      <c r="A415" s="10">
        <v>414.0</v>
      </c>
      <c r="B415" s="11" t="s">
        <v>497</v>
      </c>
      <c r="C415" s="10" t="s">
        <v>79</v>
      </c>
      <c r="D415" s="10" t="s">
        <v>9</v>
      </c>
      <c r="E415" s="15"/>
      <c r="F415" s="15" t="s">
        <v>382</v>
      </c>
      <c r="G415" s="13">
        <f>IFERROR(__xludf.DUMMYFUNCTION("if(counta(filter('Previous Rank'!$A$2:$A2766,'Previous Rank'!$B$2:$B2766=B415,'Previous Rank'!$C$2:$C2766=C415))=1,filter('Previous Rank'!$A$2:$A2766,'Previous Rank'!$B$2:$B2766=B415,'Previous Rank'!$C$2:$C2766=C415),"""")"),381.0)</f>
        <v>381</v>
      </c>
      <c r="H415" s="8">
        <f t="shared" si="1"/>
        <v>-33</v>
      </c>
    </row>
    <row r="416">
      <c r="A416" s="10">
        <v>415.0</v>
      </c>
      <c r="B416" s="11" t="s">
        <v>498</v>
      </c>
      <c r="C416" s="10" t="s">
        <v>79</v>
      </c>
      <c r="D416" s="10" t="s">
        <v>99</v>
      </c>
      <c r="E416" s="14"/>
      <c r="F416" s="14" t="s">
        <v>382</v>
      </c>
      <c r="G416" s="13">
        <f>IFERROR(__xludf.DUMMYFUNCTION("if(counta(filter('Previous Rank'!$A$2:$A2766,'Previous Rank'!$B$2:$B2766=B416,'Previous Rank'!$C$2:$C2766=C416))=1,filter('Previous Rank'!$A$2:$A2766,'Previous Rank'!$B$2:$B2766=B416,'Previous Rank'!$C$2:$C2766=C416),"""")"),382.0)</f>
        <v>382</v>
      </c>
      <c r="H416" s="8">
        <f t="shared" si="1"/>
        <v>-33</v>
      </c>
    </row>
    <row r="417">
      <c r="A417" s="10">
        <v>416.0</v>
      </c>
      <c r="B417" s="11" t="s">
        <v>499</v>
      </c>
      <c r="C417" s="10" t="s">
        <v>79</v>
      </c>
      <c r="D417" s="10" t="s">
        <v>25</v>
      </c>
      <c r="E417" s="15"/>
      <c r="F417" s="15" t="s">
        <v>382</v>
      </c>
      <c r="G417" s="13">
        <f>IFERROR(__xludf.DUMMYFUNCTION("if(counta(filter('Previous Rank'!$A$2:$A2766,'Previous Rank'!$B$2:$B2766=B417,'Previous Rank'!$C$2:$C2766=C417))=1,filter('Previous Rank'!$A$2:$A2766,'Previous Rank'!$B$2:$B2766=B417,'Previous Rank'!$C$2:$C2766=C417),"""")"),383.0)</f>
        <v>383</v>
      </c>
      <c r="H417" s="8">
        <f t="shared" si="1"/>
        <v>-33</v>
      </c>
    </row>
    <row r="418">
      <c r="A418" s="10">
        <v>417.0</v>
      </c>
      <c r="B418" s="11" t="s">
        <v>500</v>
      </c>
      <c r="C418" s="10" t="s">
        <v>79</v>
      </c>
      <c r="D418" s="10" t="s">
        <v>120</v>
      </c>
      <c r="E418" s="14"/>
      <c r="F418" s="14" t="s">
        <v>382</v>
      </c>
      <c r="G418" s="13">
        <f>IFERROR(__xludf.DUMMYFUNCTION("if(counta(filter('Previous Rank'!$A$2:$A2766,'Previous Rank'!$B$2:$B2766=B418,'Previous Rank'!$C$2:$C2766=C418))=1,filter('Previous Rank'!$A$2:$A2766,'Previous Rank'!$B$2:$B2766=B418,'Previous Rank'!$C$2:$C2766=C418),"""")"),386.0)</f>
        <v>386</v>
      </c>
      <c r="H418" s="8">
        <f t="shared" si="1"/>
        <v>-31</v>
      </c>
    </row>
    <row r="419">
      <c r="A419" s="10">
        <v>418.0</v>
      </c>
      <c r="B419" s="11" t="s">
        <v>501</v>
      </c>
      <c r="C419" s="10" t="s">
        <v>79</v>
      </c>
      <c r="D419" s="10" t="s">
        <v>36</v>
      </c>
      <c r="E419" s="15"/>
      <c r="F419" s="15" t="s">
        <v>382</v>
      </c>
      <c r="G419" s="13">
        <f>IFERROR(__xludf.DUMMYFUNCTION("if(counta(filter('Previous Rank'!$A$2:$A2766,'Previous Rank'!$B$2:$B2766=B419,'Previous Rank'!$C$2:$C2766=C419))=1,filter('Previous Rank'!$A$2:$A2766,'Previous Rank'!$B$2:$B2766=B419,'Previous Rank'!$C$2:$C2766=C419),"""")"),388.0)</f>
        <v>388</v>
      </c>
      <c r="H419" s="8">
        <f t="shared" si="1"/>
        <v>-30</v>
      </c>
    </row>
    <row r="420">
      <c r="A420" s="10">
        <v>419.0</v>
      </c>
      <c r="B420" s="11" t="s">
        <v>502</v>
      </c>
      <c r="C420" s="10" t="s">
        <v>79</v>
      </c>
      <c r="D420" s="10" t="s">
        <v>122</v>
      </c>
      <c r="E420" s="16"/>
      <c r="F420" s="16" t="s">
        <v>382</v>
      </c>
      <c r="G420" s="13">
        <f>IFERROR(__xludf.DUMMYFUNCTION("if(counta(filter('Previous Rank'!$A$2:$A2766,'Previous Rank'!$B$2:$B2766=B420,'Previous Rank'!$C$2:$C2766=C420))=1,filter('Previous Rank'!$A$2:$A2766,'Previous Rank'!$B$2:$B2766=B420,'Previous Rank'!$C$2:$C2766=C420),"""")"),389.0)</f>
        <v>389</v>
      </c>
      <c r="H420" s="8">
        <f t="shared" si="1"/>
        <v>-30</v>
      </c>
    </row>
    <row r="421">
      <c r="A421" s="10">
        <v>420.0</v>
      </c>
      <c r="B421" s="11" t="s">
        <v>503</v>
      </c>
      <c r="C421" s="10" t="s">
        <v>79</v>
      </c>
      <c r="D421" s="10" t="s">
        <v>90</v>
      </c>
      <c r="E421" s="12"/>
      <c r="F421" s="12" t="s">
        <v>382</v>
      </c>
      <c r="G421" s="13">
        <f>IFERROR(__xludf.DUMMYFUNCTION("if(counta(filter('Previous Rank'!$A$2:$A2766,'Previous Rank'!$B$2:$B2766=B421,'Previous Rank'!$C$2:$C2766=C421))=1,filter('Previous Rank'!$A$2:$A2766,'Previous Rank'!$B$2:$B2766=B421,'Previous Rank'!$C$2:$C2766=C421),"""")"),390.0)</f>
        <v>390</v>
      </c>
      <c r="H421" s="8">
        <f t="shared" si="1"/>
        <v>-30</v>
      </c>
    </row>
    <row r="422">
      <c r="A422" s="10">
        <v>421.0</v>
      </c>
      <c r="B422" s="11" t="s">
        <v>504</v>
      </c>
      <c r="C422" s="10" t="s">
        <v>79</v>
      </c>
      <c r="D422" s="10" t="s">
        <v>129</v>
      </c>
      <c r="E422" s="16"/>
      <c r="F422" s="16" t="s">
        <v>382</v>
      </c>
      <c r="G422" s="13">
        <f>IFERROR(__xludf.DUMMYFUNCTION("if(counta(filter('Previous Rank'!$A$2:$A2766,'Previous Rank'!$B$2:$B2766=B422,'Previous Rank'!$C$2:$C2766=C422))=1,filter('Previous Rank'!$A$2:$A2766,'Previous Rank'!$B$2:$B2766=B422,'Previous Rank'!$C$2:$C2766=C422),"""")"),391.0)</f>
        <v>391</v>
      </c>
      <c r="H422" s="8">
        <f t="shared" si="1"/>
        <v>-30</v>
      </c>
    </row>
    <row r="423">
      <c r="A423" s="10">
        <v>422.0</v>
      </c>
      <c r="B423" s="11" t="s">
        <v>505</v>
      </c>
      <c r="C423" s="10" t="s">
        <v>79</v>
      </c>
      <c r="D423" s="10" t="s">
        <v>137</v>
      </c>
      <c r="E423" s="15"/>
      <c r="F423" s="15" t="s">
        <v>382</v>
      </c>
      <c r="G423" s="13">
        <f>IFERROR(__xludf.DUMMYFUNCTION("if(counta(filter('Previous Rank'!$A$2:$A2766,'Previous Rank'!$B$2:$B2766=B423,'Previous Rank'!$C$2:$C2766=C423))=1,filter('Previous Rank'!$A$2:$A2766,'Previous Rank'!$B$2:$B2766=B423,'Previous Rank'!$C$2:$C2766=C423),"""")"),393.0)</f>
        <v>393</v>
      </c>
      <c r="H423" s="8">
        <f t="shared" si="1"/>
        <v>-29</v>
      </c>
    </row>
    <row r="424">
      <c r="A424" s="10">
        <v>423.0</v>
      </c>
      <c r="B424" s="11" t="s">
        <v>506</v>
      </c>
      <c r="C424" s="10" t="s">
        <v>220</v>
      </c>
      <c r="D424" s="10" t="s">
        <v>82</v>
      </c>
      <c r="E424" s="16"/>
      <c r="F424" s="16" t="s">
        <v>382</v>
      </c>
      <c r="G424" s="13">
        <f>IFERROR(__xludf.DUMMYFUNCTION("if(counta(filter('Previous Rank'!$A$2:$A2766,'Previous Rank'!$B$2:$B2766=B424,'Previous Rank'!$C$2:$C2766=C424))=1,filter('Previous Rank'!$A$2:$A2766,'Previous Rank'!$B$2:$B2766=B424,'Previous Rank'!$C$2:$C2766=C424),"""")"),394.0)</f>
        <v>394</v>
      </c>
      <c r="H424" s="8">
        <f t="shared" si="1"/>
        <v>-29</v>
      </c>
    </row>
    <row r="425">
      <c r="A425" s="10">
        <v>424.0</v>
      </c>
      <c r="B425" s="11" t="s">
        <v>507</v>
      </c>
      <c r="C425" s="10" t="s">
        <v>79</v>
      </c>
      <c r="D425" s="10" t="s">
        <v>23</v>
      </c>
      <c r="E425" s="15"/>
      <c r="F425" s="15" t="s">
        <v>382</v>
      </c>
      <c r="G425" s="13">
        <f>IFERROR(__xludf.DUMMYFUNCTION("if(counta(filter('Previous Rank'!$A$2:$A2766,'Previous Rank'!$B$2:$B2766=B425,'Previous Rank'!$C$2:$C2766=C425))=1,filter('Previous Rank'!$A$2:$A2766,'Previous Rank'!$B$2:$B2766=B425,'Previous Rank'!$C$2:$C2766=C425),"""")"),395.0)</f>
        <v>395</v>
      </c>
      <c r="H425" s="8">
        <f t="shared" si="1"/>
        <v>-29</v>
      </c>
    </row>
    <row r="426">
      <c r="A426" s="10">
        <v>425.0</v>
      </c>
      <c r="B426" s="11" t="s">
        <v>508</v>
      </c>
      <c r="C426" s="10" t="s">
        <v>22</v>
      </c>
      <c r="D426" s="10" t="s">
        <v>99</v>
      </c>
      <c r="E426" s="16"/>
      <c r="F426" s="16" t="s">
        <v>382</v>
      </c>
      <c r="G426" s="13">
        <f>IFERROR(__xludf.DUMMYFUNCTION("if(counta(filter('Previous Rank'!$A$2:$A2766,'Previous Rank'!$B$2:$B2766=B426,'Previous Rank'!$C$2:$C2766=C426))=1,filter('Previous Rank'!$A$2:$A2766,'Previous Rank'!$B$2:$B2766=B426,'Previous Rank'!$C$2:$C2766=C426),"""")"),396.0)</f>
        <v>396</v>
      </c>
      <c r="H426" s="8">
        <f t="shared" si="1"/>
        <v>-29</v>
      </c>
    </row>
    <row r="427">
      <c r="A427" s="10">
        <v>426.0</v>
      </c>
      <c r="B427" s="11" t="s">
        <v>509</v>
      </c>
      <c r="C427" s="10" t="s">
        <v>79</v>
      </c>
      <c r="D427" s="10" t="s">
        <v>95</v>
      </c>
      <c r="E427" s="15"/>
      <c r="F427" s="15" t="s">
        <v>382</v>
      </c>
      <c r="G427" s="13">
        <f>IFERROR(__xludf.DUMMYFUNCTION("if(counta(filter('Previous Rank'!$A$2:$A2766,'Previous Rank'!$B$2:$B2766=B427,'Previous Rank'!$C$2:$C2766=C427))=1,filter('Previous Rank'!$A$2:$A2766,'Previous Rank'!$B$2:$B2766=B427,'Previous Rank'!$C$2:$C2766=C427),"""")"),398.0)</f>
        <v>398</v>
      </c>
      <c r="H427" s="8">
        <f t="shared" si="1"/>
        <v>-28</v>
      </c>
    </row>
    <row r="428">
      <c r="A428" s="10">
        <v>427.0</v>
      </c>
      <c r="B428" s="11" t="s">
        <v>510</v>
      </c>
      <c r="C428" s="10" t="s">
        <v>79</v>
      </c>
      <c r="D428" s="10" t="s">
        <v>23</v>
      </c>
      <c r="E428" s="16"/>
      <c r="F428" s="16" t="s">
        <v>382</v>
      </c>
      <c r="G428" s="13">
        <f>IFERROR(__xludf.DUMMYFUNCTION("if(counta(filter('Previous Rank'!$A$2:$A2766,'Previous Rank'!$B$2:$B2766=B428,'Previous Rank'!$C$2:$C2766=C428))=1,filter('Previous Rank'!$A$2:$A2766,'Previous Rank'!$B$2:$B2766=B428,'Previous Rank'!$C$2:$C2766=C428),"""")"),400.0)</f>
        <v>400</v>
      </c>
      <c r="H428" s="8">
        <f t="shared" si="1"/>
        <v>-27</v>
      </c>
    </row>
    <row r="429">
      <c r="A429" s="10">
        <v>428.0</v>
      </c>
      <c r="B429" s="11" t="s">
        <v>511</v>
      </c>
      <c r="C429" s="10" t="s">
        <v>79</v>
      </c>
      <c r="D429" s="10" t="s">
        <v>34</v>
      </c>
      <c r="E429" s="15"/>
      <c r="F429" s="15" t="s">
        <v>382</v>
      </c>
      <c r="G429" s="13">
        <f>IFERROR(__xludf.DUMMYFUNCTION("if(counta(filter('Previous Rank'!$A$2:$A2766,'Previous Rank'!$B$2:$B2766=B429,'Previous Rank'!$C$2:$C2766=C429))=1,filter('Previous Rank'!$A$2:$A2766,'Previous Rank'!$B$2:$B2766=B429,'Previous Rank'!$C$2:$C2766=C429),"""")"),402.0)</f>
        <v>402</v>
      </c>
      <c r="H429" s="8">
        <f t="shared" si="1"/>
        <v>-26</v>
      </c>
    </row>
    <row r="430">
      <c r="A430" s="10">
        <v>429.0</v>
      </c>
      <c r="B430" s="11" t="s">
        <v>512</v>
      </c>
      <c r="C430" s="10" t="s">
        <v>220</v>
      </c>
      <c r="D430" s="10" t="s">
        <v>122</v>
      </c>
      <c r="E430" s="16"/>
      <c r="F430" s="16" t="s">
        <v>382</v>
      </c>
      <c r="G430" s="13">
        <f>IFERROR(__xludf.DUMMYFUNCTION("if(counta(filter('Previous Rank'!$A$2:$A2766,'Previous Rank'!$B$2:$B2766=B430,'Previous Rank'!$C$2:$C2766=C430))=1,filter('Previous Rank'!$A$2:$A2766,'Previous Rank'!$B$2:$B2766=B430,'Previous Rank'!$C$2:$C2766=C430),"""")"),403.0)</f>
        <v>403</v>
      </c>
      <c r="H430" s="8">
        <f t="shared" si="1"/>
        <v>-26</v>
      </c>
    </row>
    <row r="431">
      <c r="A431" s="10">
        <v>430.0</v>
      </c>
      <c r="B431" s="11" t="s">
        <v>513</v>
      </c>
      <c r="C431" s="10" t="s">
        <v>79</v>
      </c>
      <c r="D431" s="10" t="s">
        <v>15</v>
      </c>
      <c r="E431" s="15"/>
      <c r="F431" s="15" t="s">
        <v>382</v>
      </c>
      <c r="G431" s="13">
        <f>IFERROR(__xludf.DUMMYFUNCTION("if(counta(filter('Previous Rank'!$A$2:$A2766,'Previous Rank'!$B$2:$B2766=B431,'Previous Rank'!$C$2:$C2766=C431))=1,filter('Previous Rank'!$A$2:$A2766,'Previous Rank'!$B$2:$B2766=B431,'Previous Rank'!$C$2:$C2766=C431),"""")"),404.0)</f>
        <v>404</v>
      </c>
      <c r="H431" s="8">
        <f t="shared" si="1"/>
        <v>-26</v>
      </c>
    </row>
    <row r="432">
      <c r="A432" s="10">
        <v>431.0</v>
      </c>
      <c r="B432" s="11" t="s">
        <v>514</v>
      </c>
      <c r="C432" s="10" t="s">
        <v>79</v>
      </c>
      <c r="D432" s="10" t="s">
        <v>129</v>
      </c>
      <c r="E432" s="16"/>
      <c r="F432" s="16" t="s">
        <v>382</v>
      </c>
      <c r="G432" s="13">
        <f>IFERROR(__xludf.DUMMYFUNCTION("if(counta(filter('Previous Rank'!$A$2:$A2766,'Previous Rank'!$B$2:$B2766=B432,'Previous Rank'!$C$2:$C2766=C432))=1,filter('Previous Rank'!$A$2:$A2766,'Previous Rank'!$B$2:$B2766=B432,'Previous Rank'!$C$2:$C2766=C432),"""")"),405.0)</f>
        <v>405</v>
      </c>
      <c r="H432" s="8">
        <f t="shared" si="1"/>
        <v>-26</v>
      </c>
    </row>
    <row r="433">
      <c r="A433" s="10">
        <v>432.0</v>
      </c>
      <c r="B433" s="11" t="s">
        <v>515</v>
      </c>
      <c r="C433" s="10" t="s">
        <v>79</v>
      </c>
      <c r="D433" s="10" t="s">
        <v>34</v>
      </c>
      <c r="E433" s="15"/>
      <c r="F433" s="15" t="s">
        <v>382</v>
      </c>
      <c r="G433" s="13">
        <f>IFERROR(__xludf.DUMMYFUNCTION("if(counta(filter('Previous Rank'!$A$2:$A2766,'Previous Rank'!$B$2:$B2766=B433,'Previous Rank'!$C$2:$C2766=C433))=1,filter('Previous Rank'!$A$2:$A2766,'Previous Rank'!$B$2:$B2766=B433,'Previous Rank'!$C$2:$C2766=C433),"""")"),406.0)</f>
        <v>406</v>
      </c>
      <c r="H433" s="8">
        <f t="shared" si="1"/>
        <v>-26</v>
      </c>
    </row>
    <row r="434">
      <c r="A434" s="10">
        <v>433.0</v>
      </c>
      <c r="B434" s="11" t="s">
        <v>516</v>
      </c>
      <c r="C434" s="10" t="s">
        <v>79</v>
      </c>
      <c r="D434" s="10" t="s">
        <v>122</v>
      </c>
      <c r="E434" s="14"/>
      <c r="F434" s="14" t="s">
        <v>382</v>
      </c>
      <c r="G434" s="13">
        <f>IFERROR(__xludf.DUMMYFUNCTION("if(counta(filter('Previous Rank'!$A$2:$A2766,'Previous Rank'!$B$2:$B2766=B434,'Previous Rank'!$C$2:$C2766=C434))=1,filter('Previous Rank'!$A$2:$A2766,'Previous Rank'!$B$2:$B2766=B434,'Previous Rank'!$C$2:$C2766=C434),"""")"),407.0)</f>
        <v>407</v>
      </c>
      <c r="H434" s="8">
        <f t="shared" si="1"/>
        <v>-26</v>
      </c>
    </row>
    <row r="435">
      <c r="A435" s="10">
        <v>434.0</v>
      </c>
      <c r="B435" s="11" t="s">
        <v>517</v>
      </c>
      <c r="C435" s="10" t="s">
        <v>79</v>
      </c>
      <c r="D435" s="10" t="s">
        <v>15</v>
      </c>
      <c r="E435" s="12"/>
      <c r="F435" s="12" t="s">
        <v>382</v>
      </c>
      <c r="G435" s="13">
        <f>IFERROR(__xludf.DUMMYFUNCTION("if(counta(filter('Previous Rank'!$A$2:$A2766,'Previous Rank'!$B$2:$B2766=B435,'Previous Rank'!$C$2:$C2766=C435))=1,filter('Previous Rank'!$A$2:$A2766,'Previous Rank'!$B$2:$B2766=B435,'Previous Rank'!$C$2:$C2766=C435),"""")"),408.0)</f>
        <v>408</v>
      </c>
      <c r="H435" s="8">
        <f t="shared" si="1"/>
        <v>-26</v>
      </c>
    </row>
    <row r="436">
      <c r="A436" s="10">
        <v>435.0</v>
      </c>
      <c r="B436" s="11" t="s">
        <v>518</v>
      </c>
      <c r="C436" s="10" t="s">
        <v>79</v>
      </c>
      <c r="D436" s="10" t="s">
        <v>15</v>
      </c>
      <c r="E436" s="16"/>
      <c r="F436" s="16" t="s">
        <v>382</v>
      </c>
      <c r="G436" s="13">
        <f>IFERROR(__xludf.DUMMYFUNCTION("if(counta(filter('Previous Rank'!$A$2:$A2766,'Previous Rank'!$B$2:$B2766=B436,'Previous Rank'!$C$2:$C2766=C436))=1,filter('Previous Rank'!$A$2:$A2766,'Previous Rank'!$B$2:$B2766=B436,'Previous Rank'!$C$2:$C2766=C436),"""")"),409.0)</f>
        <v>409</v>
      </c>
      <c r="H436" s="8">
        <f t="shared" si="1"/>
        <v>-26</v>
      </c>
    </row>
    <row r="437">
      <c r="A437" s="10">
        <v>436.0</v>
      </c>
      <c r="B437" s="11" t="s">
        <v>519</v>
      </c>
      <c r="C437" s="10" t="s">
        <v>22</v>
      </c>
      <c r="D437" s="10" t="s">
        <v>113</v>
      </c>
      <c r="E437" s="15"/>
      <c r="F437" s="15" t="s">
        <v>382</v>
      </c>
      <c r="G437" s="13">
        <f>IFERROR(__xludf.DUMMYFUNCTION("if(counta(filter('Previous Rank'!$A$2:$A2766,'Previous Rank'!$B$2:$B2766=B437,'Previous Rank'!$C$2:$C2766=C437))=1,filter('Previous Rank'!$A$2:$A2766,'Previous Rank'!$B$2:$B2766=B437,'Previous Rank'!$C$2:$C2766=C437),"""")"),411.0)</f>
        <v>411</v>
      </c>
      <c r="H437" s="8">
        <f t="shared" si="1"/>
        <v>-25</v>
      </c>
    </row>
    <row r="438">
      <c r="A438" s="10">
        <v>437.0</v>
      </c>
      <c r="B438" s="11" t="s">
        <v>520</v>
      </c>
      <c r="C438" s="10" t="s">
        <v>8</v>
      </c>
      <c r="D438" s="10" t="s">
        <v>105</v>
      </c>
      <c r="E438" s="14"/>
      <c r="F438" s="14" t="s">
        <v>382</v>
      </c>
      <c r="G438" s="13">
        <f>IFERROR(__xludf.DUMMYFUNCTION("if(counta(filter('Previous Rank'!$A$2:$A2766,'Previous Rank'!$B$2:$B2766=B438,'Previous Rank'!$C$2:$C2766=C438))=1,filter('Previous Rank'!$A$2:$A2766,'Previous Rank'!$B$2:$B2766=B438,'Previous Rank'!$C$2:$C2766=C438),"""")"),413.0)</f>
        <v>413</v>
      </c>
      <c r="H438" s="8">
        <f t="shared" si="1"/>
        <v>-24</v>
      </c>
    </row>
    <row r="439">
      <c r="A439" s="10">
        <v>438.0</v>
      </c>
      <c r="B439" s="11" t="s">
        <v>521</v>
      </c>
      <c r="C439" s="10" t="s">
        <v>79</v>
      </c>
      <c r="D439" s="10" t="s">
        <v>85</v>
      </c>
      <c r="E439" s="12"/>
      <c r="F439" s="12" t="s">
        <v>382</v>
      </c>
      <c r="G439" s="13">
        <f>IFERROR(__xludf.DUMMYFUNCTION("if(counta(filter('Previous Rank'!$A$2:$A2766,'Previous Rank'!$B$2:$B2766=B439,'Previous Rank'!$C$2:$C2766=C439))=1,filter('Previous Rank'!$A$2:$A2766,'Previous Rank'!$B$2:$B2766=B439,'Previous Rank'!$C$2:$C2766=C439),"""")"),414.0)</f>
        <v>414</v>
      </c>
      <c r="H439" s="8">
        <f t="shared" si="1"/>
        <v>-24</v>
      </c>
    </row>
    <row r="440">
      <c r="A440" s="10">
        <v>439.0</v>
      </c>
      <c r="B440" s="11" t="s">
        <v>522</v>
      </c>
      <c r="C440" s="10" t="s">
        <v>22</v>
      </c>
      <c r="D440" s="10" t="s">
        <v>42</v>
      </c>
      <c r="E440" s="16">
        <v>235.0</v>
      </c>
      <c r="F440" s="16">
        <v>1.3</v>
      </c>
      <c r="G440" s="13">
        <f>IFERROR(__xludf.DUMMYFUNCTION("if(counta(filter('Previous Rank'!$A$2:$A2766,'Previous Rank'!$B$2:$B2766=B440,'Previous Rank'!$C$2:$C2766=C440))=1,filter('Previous Rank'!$A$2:$A2766,'Previous Rank'!$B$2:$B2766=B440,'Previous Rank'!$C$2:$C2766=C440),"""")"),415.0)</f>
        <v>415</v>
      </c>
      <c r="H440" s="8">
        <f t="shared" si="1"/>
        <v>-24</v>
      </c>
    </row>
    <row r="441">
      <c r="A441" s="10">
        <v>440.0</v>
      </c>
      <c r="B441" s="11" t="s">
        <v>523</v>
      </c>
      <c r="C441" s="10" t="s">
        <v>79</v>
      </c>
      <c r="D441" s="10" t="s">
        <v>99</v>
      </c>
      <c r="E441" s="15"/>
      <c r="F441" s="15" t="s">
        <v>382</v>
      </c>
      <c r="G441" s="13">
        <f>IFERROR(__xludf.DUMMYFUNCTION("if(counta(filter('Previous Rank'!$A$2:$A2766,'Previous Rank'!$B$2:$B2766=B441,'Previous Rank'!$C$2:$C2766=C441))=1,filter('Previous Rank'!$A$2:$A2766,'Previous Rank'!$B$2:$B2766=B441,'Previous Rank'!$C$2:$C2766=C441),"""")"),416.0)</f>
        <v>416</v>
      </c>
      <c r="H441" s="8">
        <f t="shared" si="1"/>
        <v>-24</v>
      </c>
    </row>
    <row r="442">
      <c r="A442" s="10">
        <v>441.0</v>
      </c>
      <c r="B442" s="11" t="s">
        <v>524</v>
      </c>
      <c r="C442" s="10" t="s">
        <v>79</v>
      </c>
      <c r="D442" s="10" t="s">
        <v>42</v>
      </c>
      <c r="E442" s="16"/>
      <c r="F442" s="16" t="s">
        <v>382</v>
      </c>
      <c r="G442" s="13">
        <f>IFERROR(__xludf.DUMMYFUNCTION("if(counta(filter('Previous Rank'!$A$2:$A2766,'Previous Rank'!$B$2:$B2766=B442,'Previous Rank'!$C$2:$C2766=C442))=1,filter('Previous Rank'!$A$2:$A2766,'Previous Rank'!$B$2:$B2766=B442,'Previous Rank'!$C$2:$C2766=C442),"""")"),418.0)</f>
        <v>418</v>
      </c>
      <c r="H442" s="8">
        <f t="shared" si="1"/>
        <v>-23</v>
      </c>
    </row>
    <row r="443">
      <c r="A443" s="10">
        <v>442.0</v>
      </c>
      <c r="B443" s="11" t="s">
        <v>525</v>
      </c>
      <c r="C443" s="10" t="s">
        <v>20</v>
      </c>
      <c r="D443" s="10" t="s">
        <v>113</v>
      </c>
      <c r="E443" s="15">
        <v>230.3</v>
      </c>
      <c r="F443" s="15">
        <v>1.4</v>
      </c>
      <c r="G443" s="13">
        <f>IFERROR(__xludf.DUMMYFUNCTION("if(counta(filter('Previous Rank'!$A$2:$A2766,'Previous Rank'!$B$2:$B2766=B443,'Previous Rank'!$C$2:$C2766=C443))=1,filter('Previous Rank'!$A$2:$A2766,'Previous Rank'!$B$2:$B2766=B443,'Previous Rank'!$C$2:$C2766=C443),"""")"),419.0)</f>
        <v>419</v>
      </c>
      <c r="H443" s="8">
        <f t="shared" si="1"/>
        <v>-23</v>
      </c>
    </row>
    <row r="444">
      <c r="A444" s="10">
        <v>443.0</v>
      </c>
      <c r="B444" s="11" t="s">
        <v>526</v>
      </c>
      <c r="C444" s="10" t="s">
        <v>79</v>
      </c>
      <c r="D444" s="10" t="s">
        <v>99</v>
      </c>
      <c r="E444" s="16"/>
      <c r="F444" s="16" t="s">
        <v>382</v>
      </c>
      <c r="G444" s="13">
        <f>IFERROR(__xludf.DUMMYFUNCTION("if(counta(filter('Previous Rank'!$A$2:$A2766,'Previous Rank'!$B$2:$B2766=B444,'Previous Rank'!$C$2:$C2766=C444))=1,filter('Previous Rank'!$A$2:$A2766,'Previous Rank'!$B$2:$B2766=B444,'Previous Rank'!$C$2:$C2766=C444),"""")"),420.0)</f>
        <v>420</v>
      </c>
      <c r="H444" s="8">
        <f t="shared" si="1"/>
        <v>-23</v>
      </c>
    </row>
    <row r="445">
      <c r="A445" s="10">
        <v>444.0</v>
      </c>
      <c r="B445" s="11" t="s">
        <v>527</v>
      </c>
      <c r="C445" s="10" t="s">
        <v>79</v>
      </c>
      <c r="D445" s="10" t="s">
        <v>90</v>
      </c>
      <c r="E445" s="15"/>
      <c r="F445" s="15" t="s">
        <v>382</v>
      </c>
      <c r="G445" s="13">
        <f>IFERROR(__xludf.DUMMYFUNCTION("if(counta(filter('Previous Rank'!$A$2:$A2766,'Previous Rank'!$B$2:$B2766=B445,'Previous Rank'!$C$2:$C2766=C445))=1,filter('Previous Rank'!$A$2:$A2766,'Previous Rank'!$B$2:$B2766=B445,'Previous Rank'!$C$2:$C2766=C445),"""")"),421.0)</f>
        <v>421</v>
      </c>
      <c r="H445" s="8">
        <f t="shared" si="1"/>
        <v>-23</v>
      </c>
    </row>
    <row r="446">
      <c r="A446" s="10">
        <v>445.0</v>
      </c>
      <c r="B446" s="11" t="s">
        <v>528</v>
      </c>
      <c r="C446" s="10" t="s">
        <v>79</v>
      </c>
      <c r="D446" s="10" t="s">
        <v>46</v>
      </c>
      <c r="E446" s="16"/>
      <c r="F446" s="16" t="s">
        <v>382</v>
      </c>
      <c r="G446" s="13">
        <f>IFERROR(__xludf.DUMMYFUNCTION("if(counta(filter('Previous Rank'!$A$2:$A2766,'Previous Rank'!$B$2:$B2766=B446,'Previous Rank'!$C$2:$C2766=C446))=1,filter('Previous Rank'!$A$2:$A2766,'Previous Rank'!$B$2:$B2766=B446,'Previous Rank'!$C$2:$C2766=C446),"""")"),422.0)</f>
        <v>422</v>
      </c>
      <c r="H446" s="8">
        <f t="shared" si="1"/>
        <v>-23</v>
      </c>
    </row>
    <row r="447">
      <c r="A447" s="10">
        <v>446.0</v>
      </c>
      <c r="B447" s="11" t="s">
        <v>529</v>
      </c>
      <c r="C447" s="10" t="s">
        <v>79</v>
      </c>
      <c r="D447" s="10" t="s">
        <v>31</v>
      </c>
      <c r="E447" s="15"/>
      <c r="F447" s="15" t="s">
        <v>382</v>
      </c>
      <c r="G447" s="13">
        <f>IFERROR(__xludf.DUMMYFUNCTION("if(counta(filter('Previous Rank'!$A$2:$A2766,'Previous Rank'!$B$2:$B2766=B447,'Previous Rank'!$C$2:$C2766=C447))=1,filter('Previous Rank'!$A$2:$A2766,'Previous Rank'!$B$2:$B2766=B447,'Previous Rank'!$C$2:$C2766=C447),"""")"),423.0)</f>
        <v>423</v>
      </c>
      <c r="H447" s="8">
        <f t="shared" si="1"/>
        <v>-23</v>
      </c>
    </row>
    <row r="448">
      <c r="A448" s="10">
        <v>447.0</v>
      </c>
      <c r="B448" s="11" t="s">
        <v>530</v>
      </c>
      <c r="C448" s="10" t="s">
        <v>79</v>
      </c>
      <c r="D448" s="10" t="s">
        <v>49</v>
      </c>
      <c r="E448" s="16">
        <v>234.0</v>
      </c>
      <c r="F448" s="16">
        <v>1.1</v>
      </c>
      <c r="G448" s="13">
        <f>IFERROR(__xludf.DUMMYFUNCTION("if(counta(filter('Previous Rank'!$A$2:$A2766,'Previous Rank'!$B$2:$B2766=B448,'Previous Rank'!$C$2:$C2766=C448))=1,filter('Previous Rank'!$A$2:$A2766,'Previous Rank'!$B$2:$B2766=B448,'Previous Rank'!$C$2:$C2766=C448),"""")"),424.0)</f>
        <v>424</v>
      </c>
      <c r="H448" s="8">
        <f t="shared" si="1"/>
        <v>-23</v>
      </c>
    </row>
    <row r="449">
      <c r="A449" s="10">
        <v>448.0</v>
      </c>
      <c r="B449" s="11" t="s">
        <v>531</v>
      </c>
      <c r="C449" s="10" t="s">
        <v>79</v>
      </c>
      <c r="D449" s="10" t="s">
        <v>206</v>
      </c>
      <c r="E449" s="15"/>
      <c r="F449" s="15" t="s">
        <v>382</v>
      </c>
      <c r="G449" s="13">
        <f>IFERROR(__xludf.DUMMYFUNCTION("if(counta(filter('Previous Rank'!$A$2:$A2766,'Previous Rank'!$B$2:$B2766=B449,'Previous Rank'!$C$2:$C2766=C449))=1,filter('Previous Rank'!$A$2:$A2766,'Previous Rank'!$B$2:$B2766=B449,'Previous Rank'!$C$2:$C2766=C449),"""")"),425.0)</f>
        <v>425</v>
      </c>
      <c r="H449" s="8">
        <f t="shared" si="1"/>
        <v>-23</v>
      </c>
    </row>
    <row r="450">
      <c r="A450" s="10">
        <v>449.0</v>
      </c>
      <c r="B450" s="11" t="s">
        <v>532</v>
      </c>
      <c r="C450" s="10" t="s">
        <v>79</v>
      </c>
      <c r="D450" s="10" t="s">
        <v>9</v>
      </c>
      <c r="E450" s="16"/>
      <c r="F450" s="16" t="s">
        <v>382</v>
      </c>
      <c r="G450" s="13">
        <f>IFERROR(__xludf.DUMMYFUNCTION("if(counta(filter('Previous Rank'!$A$2:$A2766,'Previous Rank'!$B$2:$B2766=B450,'Previous Rank'!$C$2:$C2766=C450))=1,filter('Previous Rank'!$A$2:$A2766,'Previous Rank'!$B$2:$B2766=B450,'Previous Rank'!$C$2:$C2766=C450),"""")"),426.0)</f>
        <v>426</v>
      </c>
      <c r="H450" s="8">
        <f t="shared" si="1"/>
        <v>-23</v>
      </c>
    </row>
    <row r="451">
      <c r="A451" s="10">
        <v>450.0</v>
      </c>
      <c r="B451" s="11" t="s">
        <v>533</v>
      </c>
      <c r="C451" s="10" t="s">
        <v>79</v>
      </c>
      <c r="D451" s="10" t="s">
        <v>105</v>
      </c>
      <c r="E451" s="15"/>
      <c r="F451" s="15" t="s">
        <v>382</v>
      </c>
      <c r="G451" s="13">
        <f>IFERROR(__xludf.DUMMYFUNCTION("if(counta(filter('Previous Rank'!$A$2:$A2766,'Previous Rank'!$B$2:$B2766=B451,'Previous Rank'!$C$2:$C2766=C451))=1,filter('Previous Rank'!$A$2:$A2766,'Previous Rank'!$B$2:$B2766=B451,'Previous Rank'!$C$2:$C2766=C451),"""")"),427.0)</f>
        <v>427</v>
      </c>
      <c r="H451" s="8">
        <f t="shared" si="1"/>
        <v>-23</v>
      </c>
    </row>
    <row r="452">
      <c r="A452" s="10">
        <v>451.0</v>
      </c>
      <c r="B452" s="11" t="s">
        <v>534</v>
      </c>
      <c r="C452" s="10" t="s">
        <v>22</v>
      </c>
      <c r="D452" s="10" t="s">
        <v>9</v>
      </c>
      <c r="E452" s="16">
        <v>250.4</v>
      </c>
      <c r="F452" s="16">
        <v>1.0</v>
      </c>
      <c r="G452" s="13">
        <f>IFERROR(__xludf.DUMMYFUNCTION("if(counta(filter('Previous Rank'!$A$2:$A2766,'Previous Rank'!$B$2:$B2766=B452,'Previous Rank'!$C$2:$C2766=C452))=1,filter('Previous Rank'!$A$2:$A2766,'Previous Rank'!$B$2:$B2766=B452,'Previous Rank'!$C$2:$C2766=C452),"""")"),292.0)</f>
        <v>292</v>
      </c>
      <c r="H452" s="8">
        <f t="shared" si="1"/>
        <v>-159</v>
      </c>
    </row>
    <row r="453">
      <c r="A453" s="10">
        <v>452.0</v>
      </c>
      <c r="B453" s="11" t="s">
        <v>535</v>
      </c>
      <c r="C453" s="10" t="s">
        <v>79</v>
      </c>
      <c r="D453" s="10" t="s">
        <v>73</v>
      </c>
      <c r="E453" s="15"/>
      <c r="F453" s="15" t="s">
        <v>382</v>
      </c>
      <c r="G453" s="13">
        <f>IFERROR(__xludf.DUMMYFUNCTION("if(counta(filter('Previous Rank'!$A$2:$A2766,'Previous Rank'!$B$2:$B2766=B453,'Previous Rank'!$C$2:$C2766=C453))=1,filter('Previous Rank'!$A$2:$A2766,'Previous Rank'!$B$2:$B2766=B453,'Previous Rank'!$C$2:$C2766=C453),"""")"),428.0)</f>
        <v>428</v>
      </c>
      <c r="H453" s="8">
        <f t="shared" si="1"/>
        <v>-24</v>
      </c>
    </row>
    <row r="454">
      <c r="A454" s="10">
        <v>453.0</v>
      </c>
      <c r="B454" s="11" t="s">
        <v>536</v>
      </c>
      <c r="C454" s="10" t="s">
        <v>79</v>
      </c>
      <c r="D454" s="10" t="s">
        <v>82</v>
      </c>
      <c r="E454" s="16"/>
      <c r="F454" s="16" t="s">
        <v>382</v>
      </c>
      <c r="G454" s="13">
        <f>IFERROR(__xludf.DUMMYFUNCTION("if(counta(filter('Previous Rank'!$A$2:$A2766,'Previous Rank'!$B$2:$B2766=B454,'Previous Rank'!$C$2:$C2766=C454))=1,filter('Previous Rank'!$A$2:$A2766,'Previous Rank'!$B$2:$B2766=B454,'Previous Rank'!$C$2:$C2766=C454),"""")"),429.0)</f>
        <v>429</v>
      </c>
      <c r="H454" s="8">
        <f t="shared" si="1"/>
        <v>-24</v>
      </c>
    </row>
    <row r="455">
      <c r="A455" s="10">
        <v>454.0</v>
      </c>
      <c r="B455" s="11" t="s">
        <v>537</v>
      </c>
      <c r="C455" s="10" t="s">
        <v>220</v>
      </c>
      <c r="D455" s="10" t="s">
        <v>25</v>
      </c>
      <c r="E455" s="12"/>
      <c r="F455" s="12" t="s">
        <v>382</v>
      </c>
      <c r="G455" s="13">
        <f>IFERROR(__xludf.DUMMYFUNCTION("if(counta(filter('Previous Rank'!$A$2:$A2766,'Previous Rank'!$B$2:$B2766=B455,'Previous Rank'!$C$2:$C2766=C455))=1,filter('Previous Rank'!$A$2:$A2766,'Previous Rank'!$B$2:$B2766=B455,'Previous Rank'!$C$2:$C2766=C455),"""")"),430.0)</f>
        <v>430</v>
      </c>
      <c r="H455" s="8">
        <f t="shared" si="1"/>
        <v>-24</v>
      </c>
    </row>
    <row r="456">
      <c r="A456" s="10">
        <v>455.0</v>
      </c>
      <c r="B456" s="11" t="s">
        <v>538</v>
      </c>
      <c r="C456" s="10" t="s">
        <v>79</v>
      </c>
      <c r="D456" s="10" t="s">
        <v>129</v>
      </c>
      <c r="E456" s="16"/>
      <c r="F456" s="16" t="s">
        <v>382</v>
      </c>
      <c r="G456" s="13">
        <f>IFERROR(__xludf.DUMMYFUNCTION("if(counta(filter('Previous Rank'!$A$2:$A2766,'Previous Rank'!$B$2:$B2766=B456,'Previous Rank'!$C$2:$C2766=C456))=1,filter('Previous Rank'!$A$2:$A2766,'Previous Rank'!$B$2:$B2766=B456,'Previous Rank'!$C$2:$C2766=C456),"""")"),431.0)</f>
        <v>431</v>
      </c>
      <c r="H456" s="8">
        <f t="shared" si="1"/>
        <v>-24</v>
      </c>
    </row>
    <row r="457">
      <c r="A457" s="10">
        <v>456.0</v>
      </c>
      <c r="B457" s="11" t="s">
        <v>539</v>
      </c>
      <c r="C457" s="10" t="s">
        <v>79</v>
      </c>
      <c r="D457" s="10" t="s">
        <v>46</v>
      </c>
      <c r="E457" s="15"/>
      <c r="F457" s="15" t="s">
        <v>382</v>
      </c>
      <c r="G457" s="13">
        <f>IFERROR(__xludf.DUMMYFUNCTION("if(counta(filter('Previous Rank'!$A$2:$A2766,'Previous Rank'!$B$2:$B2766=B457,'Previous Rank'!$C$2:$C2766=C457))=1,filter('Previous Rank'!$A$2:$A2766,'Previous Rank'!$B$2:$B2766=B457,'Previous Rank'!$C$2:$C2766=C457),"""")"),432.0)</f>
        <v>432</v>
      </c>
      <c r="H457" s="8">
        <f t="shared" si="1"/>
        <v>-24</v>
      </c>
    </row>
    <row r="458">
      <c r="A458" s="10">
        <v>457.0</v>
      </c>
      <c r="B458" s="11" t="s">
        <v>540</v>
      </c>
      <c r="C458" s="10" t="s">
        <v>22</v>
      </c>
      <c r="D458" s="10" t="s">
        <v>9</v>
      </c>
      <c r="E458" s="16"/>
      <c r="F458" s="16" t="s">
        <v>382</v>
      </c>
      <c r="G458" s="13">
        <f>IFERROR(__xludf.DUMMYFUNCTION("if(counta(filter('Previous Rank'!$A$2:$A2766,'Previous Rank'!$B$2:$B2766=B458,'Previous Rank'!$C$2:$C2766=C458))=1,filter('Previous Rank'!$A$2:$A2766,'Previous Rank'!$B$2:$B2766=B458,'Previous Rank'!$C$2:$C2766=C458),"""")"),433.0)</f>
        <v>433</v>
      </c>
      <c r="H458" s="8">
        <f t="shared" si="1"/>
        <v>-24</v>
      </c>
    </row>
    <row r="459">
      <c r="A459" s="10">
        <v>458.0</v>
      </c>
      <c r="B459" s="11" t="s">
        <v>541</v>
      </c>
      <c r="C459" s="10" t="s">
        <v>79</v>
      </c>
      <c r="D459" s="10" t="s">
        <v>52</v>
      </c>
      <c r="E459" s="12">
        <v>251.7</v>
      </c>
      <c r="F459" s="12">
        <v>2.4</v>
      </c>
      <c r="G459" s="13">
        <f>IFERROR(__xludf.DUMMYFUNCTION("if(counta(filter('Previous Rank'!$A$2:$A2766,'Previous Rank'!$B$2:$B2766=B459,'Previous Rank'!$C$2:$C2766=C459))=1,filter('Previous Rank'!$A$2:$A2766,'Previous Rank'!$B$2:$B2766=B459,'Previous Rank'!$C$2:$C2766=C459),"""")"),434.0)</f>
        <v>434</v>
      </c>
      <c r="H459" s="8">
        <f t="shared" si="1"/>
        <v>-24</v>
      </c>
    </row>
    <row r="460">
      <c r="A460" s="10">
        <v>459.0</v>
      </c>
      <c r="B460" s="11" t="s">
        <v>542</v>
      </c>
      <c r="C460" s="10" t="s">
        <v>79</v>
      </c>
      <c r="D460" s="10" t="s">
        <v>34</v>
      </c>
      <c r="E460" s="16"/>
      <c r="F460" s="16" t="s">
        <v>382</v>
      </c>
      <c r="G460" s="13">
        <f>IFERROR(__xludf.DUMMYFUNCTION("if(counta(filter('Previous Rank'!$A$2:$A2766,'Previous Rank'!$B$2:$B2766=B460,'Previous Rank'!$C$2:$C2766=C460))=1,filter('Previous Rank'!$A$2:$A2766,'Previous Rank'!$B$2:$B2766=B460,'Previous Rank'!$C$2:$C2766=C460),"""")"),435.0)</f>
        <v>435</v>
      </c>
      <c r="H460" s="8">
        <f t="shared" si="1"/>
        <v>-24</v>
      </c>
    </row>
    <row r="461">
      <c r="A461" s="10">
        <v>460.0</v>
      </c>
      <c r="B461" s="11" t="s">
        <v>543</v>
      </c>
      <c r="C461" s="10" t="s">
        <v>79</v>
      </c>
      <c r="D461" s="10" t="s">
        <v>52</v>
      </c>
      <c r="E461" s="15"/>
      <c r="F461" s="15" t="s">
        <v>382</v>
      </c>
      <c r="G461" s="13">
        <f>IFERROR(__xludf.DUMMYFUNCTION("if(counta(filter('Previous Rank'!$A$2:$A2766,'Previous Rank'!$B$2:$B2766=B461,'Previous Rank'!$C$2:$C2766=C461))=1,filter('Previous Rank'!$A$2:$A2766,'Previous Rank'!$B$2:$B2766=B461,'Previous Rank'!$C$2:$C2766=C461),"""")"),436.0)</f>
        <v>436</v>
      </c>
      <c r="H461" s="8">
        <f t="shared" si="1"/>
        <v>-24</v>
      </c>
    </row>
    <row r="462">
      <c r="A462" s="10">
        <v>461.0</v>
      </c>
      <c r="B462" s="11" t="s">
        <v>544</v>
      </c>
      <c r="C462" s="10" t="s">
        <v>79</v>
      </c>
      <c r="D462" s="10" t="s">
        <v>52</v>
      </c>
      <c r="E462" s="16"/>
      <c r="F462" s="16" t="s">
        <v>382</v>
      </c>
      <c r="G462" s="13">
        <f>IFERROR(__xludf.DUMMYFUNCTION("if(counta(filter('Previous Rank'!$A$2:$A2766,'Previous Rank'!$B$2:$B2766=B462,'Previous Rank'!$C$2:$C2766=C462))=1,filter('Previous Rank'!$A$2:$A2766,'Previous Rank'!$B$2:$B2766=B462,'Previous Rank'!$C$2:$C2766=C462),"""")"),437.0)</f>
        <v>437</v>
      </c>
      <c r="H462" s="8">
        <f t="shared" si="1"/>
        <v>-24</v>
      </c>
    </row>
    <row r="463">
      <c r="A463" s="10">
        <v>462.0</v>
      </c>
      <c r="B463" s="11" t="s">
        <v>545</v>
      </c>
      <c r="C463" s="10" t="s">
        <v>22</v>
      </c>
      <c r="D463" s="10" t="s">
        <v>206</v>
      </c>
      <c r="E463" s="15">
        <v>250.2</v>
      </c>
      <c r="F463" s="15">
        <v>1.1</v>
      </c>
      <c r="G463" s="13">
        <f>IFERROR(__xludf.DUMMYFUNCTION("if(counta(filter('Previous Rank'!$A$2:$A2766,'Previous Rank'!$B$2:$B2766=B463,'Previous Rank'!$C$2:$C2766=C463))=1,filter('Previous Rank'!$A$2:$A2766,'Previous Rank'!$B$2:$B2766=B463,'Previous Rank'!$C$2:$C2766=C463),"""")"),438.0)</f>
        <v>438</v>
      </c>
      <c r="H463" s="8">
        <f t="shared" si="1"/>
        <v>-24</v>
      </c>
    </row>
    <row r="464">
      <c r="A464" s="10">
        <v>463.0</v>
      </c>
      <c r="B464" s="11" t="s">
        <v>546</v>
      </c>
      <c r="C464" s="10" t="s">
        <v>79</v>
      </c>
      <c r="D464" s="10" t="s">
        <v>85</v>
      </c>
      <c r="E464" s="16"/>
      <c r="F464" s="16" t="s">
        <v>382</v>
      </c>
      <c r="G464" s="13">
        <f>IFERROR(__xludf.DUMMYFUNCTION("if(counta(filter('Previous Rank'!$A$2:$A2766,'Previous Rank'!$B$2:$B2766=B464,'Previous Rank'!$C$2:$C2766=C464))=1,filter('Previous Rank'!$A$2:$A2766,'Previous Rank'!$B$2:$B2766=B464,'Previous Rank'!$C$2:$C2766=C464),"""")"),439.0)</f>
        <v>439</v>
      </c>
      <c r="H464" s="8">
        <f t="shared" si="1"/>
        <v>-24</v>
      </c>
    </row>
    <row r="465">
      <c r="A465" s="10">
        <v>464.0</v>
      </c>
      <c r="B465" s="11" t="s">
        <v>547</v>
      </c>
      <c r="C465" s="10" t="s">
        <v>79</v>
      </c>
      <c r="D465" s="10" t="s">
        <v>90</v>
      </c>
      <c r="E465" s="12"/>
      <c r="F465" s="12" t="s">
        <v>382</v>
      </c>
      <c r="G465" s="13">
        <f>IFERROR(__xludf.DUMMYFUNCTION("if(counta(filter('Previous Rank'!$A$2:$A2766,'Previous Rank'!$B$2:$B2766=B465,'Previous Rank'!$C$2:$C2766=C465))=1,filter('Previous Rank'!$A$2:$A2766,'Previous Rank'!$B$2:$B2766=B465,'Previous Rank'!$C$2:$C2766=C465),"""")"),440.0)</f>
        <v>440</v>
      </c>
      <c r="H465" s="8">
        <f t="shared" si="1"/>
        <v>-24</v>
      </c>
    </row>
    <row r="466">
      <c r="A466" s="10">
        <v>465.0</v>
      </c>
      <c r="B466" s="11" t="s">
        <v>548</v>
      </c>
      <c r="C466" s="10" t="s">
        <v>79</v>
      </c>
      <c r="D466" s="10" t="s">
        <v>71</v>
      </c>
      <c r="E466" s="16"/>
      <c r="F466" s="16" t="s">
        <v>382</v>
      </c>
      <c r="G466" s="13">
        <f>IFERROR(__xludf.DUMMYFUNCTION("if(counta(filter('Previous Rank'!$A$2:$A2766,'Previous Rank'!$B$2:$B2766=B466,'Previous Rank'!$C$2:$C2766=C466))=1,filter('Previous Rank'!$A$2:$A2766,'Previous Rank'!$B$2:$B2766=B466,'Previous Rank'!$C$2:$C2766=C466),"""")"),441.0)</f>
        <v>441</v>
      </c>
      <c r="H466" s="8">
        <f t="shared" si="1"/>
        <v>-24</v>
      </c>
    </row>
    <row r="467">
      <c r="A467" s="10">
        <v>466.0</v>
      </c>
      <c r="B467" s="11" t="s">
        <v>549</v>
      </c>
      <c r="C467" s="10" t="s">
        <v>79</v>
      </c>
      <c r="D467" s="10" t="s">
        <v>206</v>
      </c>
      <c r="E467" s="15"/>
      <c r="F467" s="15" t="s">
        <v>382</v>
      </c>
      <c r="G467" s="13">
        <f>IFERROR(__xludf.DUMMYFUNCTION("if(counta(filter('Previous Rank'!$A$2:$A2766,'Previous Rank'!$B$2:$B2766=B467,'Previous Rank'!$C$2:$C2766=C467))=1,filter('Previous Rank'!$A$2:$A2766,'Previous Rank'!$B$2:$B2766=B467,'Previous Rank'!$C$2:$C2766=C467),"""")"),442.0)</f>
        <v>442</v>
      </c>
      <c r="H467" s="8">
        <f t="shared" si="1"/>
        <v>-24</v>
      </c>
    </row>
    <row r="468">
      <c r="A468" s="10">
        <v>467.0</v>
      </c>
      <c r="B468" s="11" t="s">
        <v>550</v>
      </c>
      <c r="C468" s="10" t="s">
        <v>22</v>
      </c>
      <c r="D468" s="10" t="s">
        <v>105</v>
      </c>
      <c r="E468" s="16"/>
      <c r="F468" s="16" t="s">
        <v>382</v>
      </c>
      <c r="G468" s="13">
        <f>IFERROR(__xludf.DUMMYFUNCTION("if(counta(filter('Previous Rank'!$A$2:$A2766,'Previous Rank'!$B$2:$B2766=B468,'Previous Rank'!$C$2:$C2766=C468))=1,filter('Previous Rank'!$A$2:$A2766,'Previous Rank'!$B$2:$B2766=B468,'Previous Rank'!$C$2:$C2766=C468),"""")"),444.0)</f>
        <v>444</v>
      </c>
      <c r="H468" s="8">
        <f t="shared" si="1"/>
        <v>-23</v>
      </c>
    </row>
    <row r="469">
      <c r="A469" s="10">
        <v>468.0</v>
      </c>
      <c r="B469" s="11" t="s">
        <v>551</v>
      </c>
      <c r="C469" s="10" t="s">
        <v>79</v>
      </c>
      <c r="D469" s="10" t="s">
        <v>113</v>
      </c>
      <c r="E469" s="15"/>
      <c r="F469" s="15" t="s">
        <v>382</v>
      </c>
      <c r="G469" s="13">
        <f>IFERROR(__xludf.DUMMYFUNCTION("if(counta(filter('Previous Rank'!$A$2:$A2766,'Previous Rank'!$B$2:$B2766=B469,'Previous Rank'!$C$2:$C2766=C469))=1,filter('Previous Rank'!$A$2:$A2766,'Previous Rank'!$B$2:$B2766=B469,'Previous Rank'!$C$2:$C2766=C469),"""")"),445.0)</f>
        <v>445</v>
      </c>
      <c r="H469" s="8">
        <f t="shared" si="1"/>
        <v>-23</v>
      </c>
    </row>
    <row r="470">
      <c r="A470" s="10">
        <v>469.0</v>
      </c>
      <c r="B470" s="11" t="s">
        <v>552</v>
      </c>
      <c r="C470" s="10" t="s">
        <v>79</v>
      </c>
      <c r="D470" s="10" t="s">
        <v>36</v>
      </c>
      <c r="E470" s="16"/>
      <c r="F470" s="16" t="s">
        <v>382</v>
      </c>
      <c r="G470" s="13">
        <f>IFERROR(__xludf.DUMMYFUNCTION("if(counta(filter('Previous Rank'!$A$2:$A2766,'Previous Rank'!$B$2:$B2766=B470,'Previous Rank'!$C$2:$C2766=C470))=1,filter('Previous Rank'!$A$2:$A2766,'Previous Rank'!$B$2:$B2766=B470,'Previous Rank'!$C$2:$C2766=C470),"""")"),446.0)</f>
        <v>446</v>
      </c>
      <c r="H470" s="8">
        <f t="shared" si="1"/>
        <v>-23</v>
      </c>
    </row>
    <row r="471">
      <c r="A471" s="10">
        <v>470.0</v>
      </c>
      <c r="B471" s="11" t="s">
        <v>553</v>
      </c>
      <c r="C471" s="10" t="s">
        <v>79</v>
      </c>
      <c r="D471" s="10" t="s">
        <v>31</v>
      </c>
      <c r="E471" s="15"/>
      <c r="F471" s="15" t="s">
        <v>382</v>
      </c>
      <c r="G471" s="13">
        <f>IFERROR(__xludf.DUMMYFUNCTION("if(counta(filter('Previous Rank'!$A$2:$A2766,'Previous Rank'!$B$2:$B2766=B471,'Previous Rank'!$C$2:$C2766=C471))=1,filter('Previous Rank'!$A$2:$A2766,'Previous Rank'!$B$2:$B2766=B471,'Previous Rank'!$C$2:$C2766=C471),"""")"),447.0)</f>
        <v>447</v>
      </c>
      <c r="H471" s="8">
        <f t="shared" si="1"/>
        <v>-23</v>
      </c>
    </row>
    <row r="472">
      <c r="A472" s="10">
        <v>471.0</v>
      </c>
      <c r="B472" s="11" t="s">
        <v>554</v>
      </c>
      <c r="C472" s="10" t="s">
        <v>79</v>
      </c>
      <c r="D472" s="10" t="s">
        <v>9</v>
      </c>
      <c r="E472" s="16"/>
      <c r="F472" s="16" t="s">
        <v>382</v>
      </c>
      <c r="G472" s="13">
        <f>IFERROR(__xludf.DUMMYFUNCTION("if(counta(filter('Previous Rank'!$A$2:$A2766,'Previous Rank'!$B$2:$B2766=B472,'Previous Rank'!$C$2:$C2766=C472))=1,filter('Previous Rank'!$A$2:$A2766,'Previous Rank'!$B$2:$B2766=B472,'Previous Rank'!$C$2:$C2766=C472),"""")"),448.0)</f>
        <v>448</v>
      </c>
      <c r="H472" s="8">
        <f t="shared" si="1"/>
        <v>-23</v>
      </c>
    </row>
    <row r="473">
      <c r="A473" s="10">
        <v>472.0</v>
      </c>
      <c r="B473" s="11" t="s">
        <v>555</v>
      </c>
      <c r="C473" s="10" t="s">
        <v>79</v>
      </c>
      <c r="D473" s="10" t="s">
        <v>46</v>
      </c>
      <c r="E473" s="15"/>
      <c r="F473" s="15" t="s">
        <v>382</v>
      </c>
      <c r="G473" s="13">
        <f>IFERROR(__xludf.DUMMYFUNCTION("if(counta(filter('Previous Rank'!$A$2:$A2766,'Previous Rank'!$B$2:$B2766=B473,'Previous Rank'!$C$2:$C2766=C473))=1,filter('Previous Rank'!$A$2:$A2766,'Previous Rank'!$B$2:$B2766=B473,'Previous Rank'!$C$2:$C2766=C473),"""")"),449.0)</f>
        <v>449</v>
      </c>
      <c r="H473" s="8">
        <f t="shared" si="1"/>
        <v>-23</v>
      </c>
    </row>
    <row r="474">
      <c r="A474" s="10">
        <v>473.0</v>
      </c>
      <c r="B474" s="11" t="s">
        <v>556</v>
      </c>
      <c r="C474" s="10" t="s">
        <v>220</v>
      </c>
      <c r="D474" s="10" t="s">
        <v>52</v>
      </c>
      <c r="E474" s="16">
        <v>242.7</v>
      </c>
      <c r="F474" s="16">
        <v>1.1</v>
      </c>
      <c r="G474" s="13">
        <f>IFERROR(__xludf.DUMMYFUNCTION("if(counta(filter('Previous Rank'!$A$2:$A2766,'Previous Rank'!$B$2:$B2766=B474,'Previous Rank'!$C$2:$C2766=C474))=1,filter('Previous Rank'!$A$2:$A2766,'Previous Rank'!$B$2:$B2766=B474,'Previous Rank'!$C$2:$C2766=C474),"""")"),328.0)</f>
        <v>328</v>
      </c>
      <c r="H474" s="8">
        <f t="shared" si="1"/>
        <v>-145</v>
      </c>
    </row>
    <row r="475">
      <c r="A475" s="10">
        <v>474.0</v>
      </c>
      <c r="B475" s="11" t="s">
        <v>557</v>
      </c>
      <c r="C475" s="10" t="s">
        <v>79</v>
      </c>
      <c r="D475" s="10" t="s">
        <v>71</v>
      </c>
      <c r="E475" s="15"/>
      <c r="F475" s="15" t="s">
        <v>382</v>
      </c>
      <c r="G475" s="13">
        <f>IFERROR(__xludf.DUMMYFUNCTION("if(counta(filter('Previous Rank'!$A$2:$A2766,'Previous Rank'!$B$2:$B2766=B475,'Previous Rank'!$C$2:$C2766=C475))=1,filter('Previous Rank'!$A$2:$A2766,'Previous Rank'!$B$2:$B2766=B475,'Previous Rank'!$C$2:$C2766=C475),"""")"),450.0)</f>
        <v>450</v>
      </c>
      <c r="H475" s="8">
        <f t="shared" si="1"/>
        <v>-24</v>
      </c>
    </row>
    <row r="476">
      <c r="A476" s="10">
        <v>475.0</v>
      </c>
      <c r="B476" s="11" t="s">
        <v>558</v>
      </c>
      <c r="C476" s="10" t="s">
        <v>79</v>
      </c>
      <c r="D476" s="10" t="s">
        <v>140</v>
      </c>
      <c r="E476" s="16"/>
      <c r="F476" s="16" t="s">
        <v>382</v>
      </c>
      <c r="G476" s="13">
        <f>IFERROR(__xludf.DUMMYFUNCTION("if(counta(filter('Previous Rank'!$A$2:$A2766,'Previous Rank'!$B$2:$B2766=B476,'Previous Rank'!$C$2:$C2766=C476))=1,filter('Previous Rank'!$A$2:$A2766,'Previous Rank'!$B$2:$B2766=B476,'Previous Rank'!$C$2:$C2766=C476),"""")"),451.0)</f>
        <v>451</v>
      </c>
      <c r="H476" s="8">
        <f t="shared" si="1"/>
        <v>-24</v>
      </c>
    </row>
    <row r="477">
      <c r="A477" s="10">
        <v>476.0</v>
      </c>
      <c r="B477" s="11" t="s">
        <v>559</v>
      </c>
      <c r="C477" s="10" t="s">
        <v>79</v>
      </c>
      <c r="D477" s="10" t="s">
        <v>85</v>
      </c>
      <c r="E477" s="15"/>
      <c r="F477" s="15" t="s">
        <v>382</v>
      </c>
      <c r="G477" s="13">
        <f>IFERROR(__xludf.DUMMYFUNCTION("if(counta(filter('Previous Rank'!$A$2:$A2766,'Previous Rank'!$B$2:$B2766=B477,'Previous Rank'!$C$2:$C2766=C477))=1,filter('Previous Rank'!$A$2:$A2766,'Previous Rank'!$B$2:$B2766=B477,'Previous Rank'!$C$2:$C2766=C477),"""")"),452.0)</f>
        <v>452</v>
      </c>
      <c r="H477" s="8">
        <f t="shared" si="1"/>
        <v>-24</v>
      </c>
    </row>
    <row r="478">
      <c r="A478" s="10">
        <v>477.0</v>
      </c>
      <c r="B478" s="11" t="s">
        <v>560</v>
      </c>
      <c r="C478" s="10" t="s">
        <v>79</v>
      </c>
      <c r="D478" s="10" t="s">
        <v>9</v>
      </c>
      <c r="E478" s="16"/>
      <c r="F478" s="16" t="s">
        <v>382</v>
      </c>
      <c r="G478" s="13">
        <f>IFERROR(__xludf.DUMMYFUNCTION("if(counta(filter('Previous Rank'!$A$2:$A2766,'Previous Rank'!$B$2:$B2766=B478,'Previous Rank'!$C$2:$C2766=C478))=1,filter('Previous Rank'!$A$2:$A2766,'Previous Rank'!$B$2:$B2766=B478,'Previous Rank'!$C$2:$C2766=C478),"""")"),453.0)</f>
        <v>453</v>
      </c>
      <c r="H478" s="8">
        <f t="shared" si="1"/>
        <v>-24</v>
      </c>
    </row>
    <row r="479">
      <c r="A479" s="10">
        <v>478.0</v>
      </c>
      <c r="B479" s="11" t="s">
        <v>561</v>
      </c>
      <c r="C479" s="10" t="s">
        <v>79</v>
      </c>
      <c r="D479" s="10" t="s">
        <v>122</v>
      </c>
      <c r="E479" s="15"/>
      <c r="F479" s="15" t="s">
        <v>382</v>
      </c>
      <c r="G479" s="13">
        <f>IFERROR(__xludf.DUMMYFUNCTION("if(counta(filter('Previous Rank'!$A$2:$A2766,'Previous Rank'!$B$2:$B2766=B479,'Previous Rank'!$C$2:$C2766=C479))=1,filter('Previous Rank'!$A$2:$A2766,'Previous Rank'!$B$2:$B2766=B479,'Previous Rank'!$C$2:$C2766=C479),"""")"),454.0)</f>
        <v>454</v>
      </c>
      <c r="H479" s="8">
        <f t="shared" si="1"/>
        <v>-24</v>
      </c>
    </row>
    <row r="480">
      <c r="A480" s="10">
        <v>479.0</v>
      </c>
      <c r="B480" s="11" t="s">
        <v>562</v>
      </c>
      <c r="C480" s="10" t="s">
        <v>79</v>
      </c>
      <c r="D480" s="10" t="s">
        <v>129</v>
      </c>
      <c r="E480" s="16"/>
      <c r="F480" s="16" t="s">
        <v>382</v>
      </c>
      <c r="G480" s="13">
        <f>IFERROR(__xludf.DUMMYFUNCTION("if(counta(filter('Previous Rank'!$A$2:$A2766,'Previous Rank'!$B$2:$B2766=B480,'Previous Rank'!$C$2:$C2766=C480))=1,filter('Previous Rank'!$A$2:$A2766,'Previous Rank'!$B$2:$B2766=B480,'Previous Rank'!$C$2:$C2766=C480),"""")"),455.0)</f>
        <v>455</v>
      </c>
      <c r="H480" s="8">
        <f t="shared" si="1"/>
        <v>-24</v>
      </c>
    </row>
    <row r="481">
      <c r="A481" s="10">
        <v>480.0</v>
      </c>
      <c r="B481" s="11" t="s">
        <v>563</v>
      </c>
      <c r="C481" s="10" t="s">
        <v>79</v>
      </c>
      <c r="D481" s="10" t="s">
        <v>90</v>
      </c>
      <c r="E481" s="15"/>
      <c r="F481" s="15" t="s">
        <v>382</v>
      </c>
      <c r="G481" s="13">
        <f>IFERROR(__xludf.DUMMYFUNCTION("if(counta(filter('Previous Rank'!$A$2:$A2766,'Previous Rank'!$B$2:$B2766=B481,'Previous Rank'!$C$2:$C2766=C481))=1,filter('Previous Rank'!$A$2:$A2766,'Previous Rank'!$B$2:$B2766=B481,'Previous Rank'!$C$2:$C2766=C481),"""")"),456.0)</f>
        <v>456</v>
      </c>
      <c r="H481" s="8">
        <f t="shared" si="1"/>
        <v>-24</v>
      </c>
    </row>
    <row r="482">
      <c r="A482" s="10">
        <v>481.0</v>
      </c>
      <c r="B482" s="11" t="s">
        <v>564</v>
      </c>
      <c r="C482" s="10" t="s">
        <v>79</v>
      </c>
      <c r="D482" s="10" t="s">
        <v>36</v>
      </c>
      <c r="E482" s="16"/>
      <c r="F482" s="16" t="s">
        <v>382</v>
      </c>
      <c r="G482" s="13">
        <f>IFERROR(__xludf.DUMMYFUNCTION("if(counta(filter('Previous Rank'!$A$2:$A2766,'Previous Rank'!$B$2:$B2766=B482,'Previous Rank'!$C$2:$C2766=C482))=1,filter('Previous Rank'!$A$2:$A2766,'Previous Rank'!$B$2:$B2766=B482,'Previous Rank'!$C$2:$C2766=C482),"""")"),457.0)</f>
        <v>457</v>
      </c>
      <c r="H482" s="8">
        <f t="shared" si="1"/>
        <v>-24</v>
      </c>
    </row>
    <row r="483">
      <c r="A483" s="10">
        <v>482.0</v>
      </c>
      <c r="B483" s="11" t="s">
        <v>565</v>
      </c>
      <c r="C483" s="10" t="s">
        <v>220</v>
      </c>
      <c r="D483" s="10" t="s">
        <v>46</v>
      </c>
      <c r="E483" s="15"/>
      <c r="F483" s="15" t="s">
        <v>382</v>
      </c>
      <c r="G483" s="13">
        <f>IFERROR(__xludf.DUMMYFUNCTION("if(counta(filter('Previous Rank'!$A$2:$A2766,'Previous Rank'!$B$2:$B2766=B483,'Previous Rank'!$C$2:$C2766=C483))=1,filter('Previous Rank'!$A$2:$A2766,'Previous Rank'!$B$2:$B2766=B483,'Previous Rank'!$C$2:$C2766=C483),"""")"),458.0)</f>
        <v>458</v>
      </c>
      <c r="H483" s="8">
        <f t="shared" si="1"/>
        <v>-24</v>
      </c>
    </row>
    <row r="484">
      <c r="A484" s="10">
        <v>483.0</v>
      </c>
      <c r="B484" s="11" t="s">
        <v>566</v>
      </c>
      <c r="C484" s="10" t="s">
        <v>79</v>
      </c>
      <c r="D484" s="10" t="s">
        <v>67</v>
      </c>
      <c r="E484" s="16"/>
      <c r="F484" s="16" t="s">
        <v>382</v>
      </c>
      <c r="G484" s="13">
        <f>IFERROR(__xludf.DUMMYFUNCTION("if(counta(filter('Previous Rank'!$A$2:$A2766,'Previous Rank'!$B$2:$B2766=B484,'Previous Rank'!$C$2:$C2766=C484))=1,filter('Previous Rank'!$A$2:$A2766,'Previous Rank'!$B$2:$B2766=B484,'Previous Rank'!$C$2:$C2766=C484),"""")"),459.0)</f>
        <v>459</v>
      </c>
      <c r="H484" s="8">
        <f t="shared" si="1"/>
        <v>-24</v>
      </c>
    </row>
    <row r="485">
      <c r="A485" s="10">
        <v>484.0</v>
      </c>
      <c r="B485" s="11" t="s">
        <v>567</v>
      </c>
      <c r="C485" s="10" t="s">
        <v>79</v>
      </c>
      <c r="D485" s="10" t="s">
        <v>23</v>
      </c>
      <c r="E485" s="15"/>
      <c r="F485" s="15" t="s">
        <v>382</v>
      </c>
      <c r="G485" s="13">
        <f>IFERROR(__xludf.DUMMYFUNCTION("if(counta(filter('Previous Rank'!$A$2:$A2766,'Previous Rank'!$B$2:$B2766=B485,'Previous Rank'!$C$2:$C2766=C485))=1,filter('Previous Rank'!$A$2:$A2766,'Previous Rank'!$B$2:$B2766=B485,'Previous Rank'!$C$2:$C2766=C485),"""")"),460.0)</f>
        <v>460</v>
      </c>
      <c r="H485" s="8">
        <f t="shared" si="1"/>
        <v>-24</v>
      </c>
    </row>
    <row r="486">
      <c r="A486" s="10">
        <v>485.0</v>
      </c>
      <c r="B486" s="11" t="s">
        <v>568</v>
      </c>
      <c r="C486" s="10" t="s">
        <v>79</v>
      </c>
      <c r="D486" s="10" t="s">
        <v>82</v>
      </c>
      <c r="E486" s="16"/>
      <c r="F486" s="16" t="s">
        <v>382</v>
      </c>
      <c r="G486" s="13">
        <f>IFERROR(__xludf.DUMMYFUNCTION("if(counta(filter('Previous Rank'!$A$2:$A2766,'Previous Rank'!$B$2:$B2766=B486,'Previous Rank'!$C$2:$C2766=C486))=1,filter('Previous Rank'!$A$2:$A2766,'Previous Rank'!$B$2:$B2766=B486,'Previous Rank'!$C$2:$C2766=C486),"""")"),461.0)</f>
        <v>461</v>
      </c>
      <c r="H486" s="8">
        <f t="shared" si="1"/>
        <v>-24</v>
      </c>
    </row>
    <row r="487">
      <c r="A487" s="10">
        <v>486.0</v>
      </c>
      <c r="B487" s="11" t="s">
        <v>569</v>
      </c>
      <c r="C487" s="10" t="s">
        <v>79</v>
      </c>
      <c r="D487" s="10" t="s">
        <v>18</v>
      </c>
      <c r="E487" s="15">
        <v>245.2</v>
      </c>
      <c r="F487" s="15">
        <v>1.4</v>
      </c>
      <c r="G487" s="13">
        <f>IFERROR(__xludf.DUMMYFUNCTION("if(counta(filter('Previous Rank'!$A$2:$A2766,'Previous Rank'!$B$2:$B2766=B487,'Previous Rank'!$C$2:$C2766=C487))=1,filter('Previous Rank'!$A$2:$A2766,'Previous Rank'!$B$2:$B2766=B487,'Previous Rank'!$C$2:$C2766=C487),"""")"),462.0)</f>
        <v>462</v>
      </c>
      <c r="H487" s="8">
        <f t="shared" si="1"/>
        <v>-24</v>
      </c>
    </row>
    <row r="488">
      <c r="A488" s="10">
        <v>487.0</v>
      </c>
      <c r="B488" s="11" t="s">
        <v>570</v>
      </c>
      <c r="C488" s="10" t="s">
        <v>79</v>
      </c>
      <c r="D488" s="10" t="s">
        <v>90</v>
      </c>
      <c r="E488" s="16"/>
      <c r="F488" s="16" t="s">
        <v>382</v>
      </c>
      <c r="G488" s="13">
        <f>IFERROR(__xludf.DUMMYFUNCTION("if(counta(filter('Previous Rank'!$A$2:$A2766,'Previous Rank'!$B$2:$B2766=B488,'Previous Rank'!$C$2:$C2766=C488))=1,filter('Previous Rank'!$A$2:$A2766,'Previous Rank'!$B$2:$B2766=B488,'Previous Rank'!$C$2:$C2766=C488),"""")"),463.0)</f>
        <v>463</v>
      </c>
      <c r="H488" s="8">
        <f t="shared" si="1"/>
        <v>-24</v>
      </c>
    </row>
    <row r="489">
      <c r="A489" s="10">
        <v>488.0</v>
      </c>
      <c r="B489" s="11" t="s">
        <v>571</v>
      </c>
      <c r="C489" s="10" t="s">
        <v>79</v>
      </c>
      <c r="D489" s="10" t="s">
        <v>34</v>
      </c>
      <c r="E489" s="15"/>
      <c r="F489" s="15" t="s">
        <v>382</v>
      </c>
      <c r="G489" s="13">
        <f>IFERROR(__xludf.DUMMYFUNCTION("if(counta(filter('Previous Rank'!$A$2:$A2766,'Previous Rank'!$B$2:$B2766=B489,'Previous Rank'!$C$2:$C2766=C489))=1,filter('Previous Rank'!$A$2:$A2766,'Previous Rank'!$B$2:$B2766=B489,'Previous Rank'!$C$2:$C2766=C489),"""")"),464.0)</f>
        <v>464</v>
      </c>
      <c r="H489" s="8">
        <f t="shared" si="1"/>
        <v>-24</v>
      </c>
    </row>
    <row r="490">
      <c r="A490" s="10">
        <v>489.0</v>
      </c>
      <c r="B490" s="11" t="s">
        <v>572</v>
      </c>
      <c r="C490" s="10" t="s">
        <v>79</v>
      </c>
      <c r="D490" s="10" t="s">
        <v>49</v>
      </c>
      <c r="E490" s="16"/>
      <c r="F490" s="16" t="s">
        <v>382</v>
      </c>
      <c r="G490" s="13">
        <f>IFERROR(__xludf.DUMMYFUNCTION("if(counta(filter('Previous Rank'!$A$2:$A2766,'Previous Rank'!$B$2:$B2766=B490,'Previous Rank'!$C$2:$C2766=C490))=1,filter('Previous Rank'!$A$2:$A2766,'Previous Rank'!$B$2:$B2766=B490,'Previous Rank'!$C$2:$C2766=C490),"""")"),465.0)</f>
        <v>465</v>
      </c>
      <c r="H490" s="8">
        <f t="shared" si="1"/>
        <v>-24</v>
      </c>
    </row>
    <row r="491">
      <c r="A491" s="10">
        <v>490.0</v>
      </c>
      <c r="B491" s="11" t="s">
        <v>573</v>
      </c>
      <c r="C491" s="10" t="s">
        <v>79</v>
      </c>
      <c r="D491" s="10" t="s">
        <v>140</v>
      </c>
      <c r="E491" s="12"/>
      <c r="F491" s="12" t="s">
        <v>382</v>
      </c>
      <c r="G491" s="13">
        <f>IFERROR(__xludf.DUMMYFUNCTION("if(counta(filter('Previous Rank'!$A$2:$A2766,'Previous Rank'!$B$2:$B2766=B491,'Previous Rank'!$C$2:$C2766=C491))=1,filter('Previous Rank'!$A$2:$A2766,'Previous Rank'!$B$2:$B2766=B491,'Previous Rank'!$C$2:$C2766=C491),"""")"),466.0)</f>
        <v>466</v>
      </c>
      <c r="H491" s="8">
        <f t="shared" si="1"/>
        <v>-24</v>
      </c>
    </row>
    <row r="492">
      <c r="A492" s="10">
        <v>491.0</v>
      </c>
      <c r="B492" s="11" t="s">
        <v>574</v>
      </c>
      <c r="C492" s="10" t="s">
        <v>79</v>
      </c>
      <c r="D492" s="10" t="s">
        <v>9</v>
      </c>
      <c r="E492" s="16"/>
      <c r="F492" s="16" t="s">
        <v>382</v>
      </c>
      <c r="G492" s="13">
        <f>IFERROR(__xludf.DUMMYFUNCTION("if(counta(filter('Previous Rank'!$A$2:$A2766,'Previous Rank'!$B$2:$B2766=B492,'Previous Rank'!$C$2:$C2766=C492))=1,filter('Previous Rank'!$A$2:$A2766,'Previous Rank'!$B$2:$B2766=B492,'Previous Rank'!$C$2:$C2766=C492),"""")"),467.0)</f>
        <v>467</v>
      </c>
      <c r="H492" s="8">
        <f t="shared" si="1"/>
        <v>-24</v>
      </c>
    </row>
    <row r="493">
      <c r="A493" s="10">
        <v>492.0</v>
      </c>
      <c r="B493" s="11" t="s">
        <v>575</v>
      </c>
      <c r="C493" s="10" t="s">
        <v>79</v>
      </c>
      <c r="D493" s="10" t="s">
        <v>120</v>
      </c>
      <c r="E493" s="15"/>
      <c r="F493" s="15" t="s">
        <v>382</v>
      </c>
      <c r="G493" s="13">
        <f>IFERROR(__xludf.DUMMYFUNCTION("if(counta(filter('Previous Rank'!$A$2:$A2766,'Previous Rank'!$B$2:$B2766=B493,'Previous Rank'!$C$2:$C2766=C493))=1,filter('Previous Rank'!$A$2:$A2766,'Previous Rank'!$B$2:$B2766=B493,'Previous Rank'!$C$2:$C2766=C493),"""")"),468.0)</f>
        <v>468</v>
      </c>
      <c r="H493" s="8">
        <f t="shared" si="1"/>
        <v>-24</v>
      </c>
    </row>
    <row r="494">
      <c r="A494" s="10">
        <v>493.0</v>
      </c>
      <c r="B494" s="11" t="s">
        <v>576</v>
      </c>
      <c r="C494" s="10" t="s">
        <v>79</v>
      </c>
      <c r="D494" s="10" t="s">
        <v>90</v>
      </c>
      <c r="E494" s="16"/>
      <c r="F494" s="16" t="s">
        <v>382</v>
      </c>
      <c r="G494" s="13">
        <f>IFERROR(__xludf.DUMMYFUNCTION("if(counta(filter('Previous Rank'!$A$2:$A2766,'Previous Rank'!$B$2:$B2766=B494,'Previous Rank'!$C$2:$C2766=C494))=1,filter('Previous Rank'!$A$2:$A2766,'Previous Rank'!$B$2:$B2766=B494,'Previous Rank'!$C$2:$C2766=C494),"""")"),469.0)</f>
        <v>469</v>
      </c>
      <c r="H494" s="8">
        <f t="shared" si="1"/>
        <v>-24</v>
      </c>
    </row>
    <row r="495">
      <c r="A495" s="10">
        <v>494.0</v>
      </c>
      <c r="B495" s="11" t="s">
        <v>577</v>
      </c>
      <c r="C495" s="10" t="s">
        <v>22</v>
      </c>
      <c r="D495" s="10" t="s">
        <v>25</v>
      </c>
      <c r="E495" s="15">
        <v>245.9</v>
      </c>
      <c r="F495" s="15">
        <v>1.2</v>
      </c>
      <c r="G495" s="13">
        <f>IFERROR(__xludf.DUMMYFUNCTION("if(counta(filter('Previous Rank'!$A$2:$A2766,'Previous Rank'!$B$2:$B2766=B495,'Previous Rank'!$C$2:$C2766=C495))=1,filter('Previous Rank'!$A$2:$A2766,'Previous Rank'!$B$2:$B2766=B495,'Previous Rank'!$C$2:$C2766=C495),"""")"),330.0)</f>
        <v>330</v>
      </c>
      <c r="H495" s="8">
        <f t="shared" si="1"/>
        <v>-164</v>
      </c>
    </row>
    <row r="496">
      <c r="A496" s="10">
        <v>495.0</v>
      </c>
      <c r="B496" s="11" t="s">
        <v>578</v>
      </c>
      <c r="C496" s="10" t="s">
        <v>79</v>
      </c>
      <c r="D496" s="10" t="s">
        <v>18</v>
      </c>
      <c r="E496" s="16"/>
      <c r="F496" s="16" t="s">
        <v>382</v>
      </c>
      <c r="G496" s="13">
        <f>IFERROR(__xludf.DUMMYFUNCTION("if(counta(filter('Previous Rank'!$A$2:$A2766,'Previous Rank'!$B$2:$B2766=B496,'Previous Rank'!$C$2:$C2766=C496))=1,filter('Previous Rank'!$A$2:$A2766,'Previous Rank'!$B$2:$B2766=B496,'Previous Rank'!$C$2:$C2766=C496),"""")"),470.0)</f>
        <v>470</v>
      </c>
      <c r="H496" s="8">
        <f t="shared" si="1"/>
        <v>-25</v>
      </c>
    </row>
    <row r="497">
      <c r="A497" s="10">
        <v>496.0</v>
      </c>
      <c r="B497" s="11" t="s">
        <v>579</v>
      </c>
      <c r="C497" s="10" t="s">
        <v>79</v>
      </c>
      <c r="D497" s="10" t="s">
        <v>36</v>
      </c>
      <c r="E497" s="15"/>
      <c r="F497" s="15" t="s">
        <v>382</v>
      </c>
      <c r="G497" s="13">
        <f>IFERROR(__xludf.DUMMYFUNCTION("if(counta(filter('Previous Rank'!$A$2:$A2766,'Previous Rank'!$B$2:$B2766=B497,'Previous Rank'!$C$2:$C2766=C497))=1,filter('Previous Rank'!$A$2:$A2766,'Previous Rank'!$B$2:$B2766=B497,'Previous Rank'!$C$2:$C2766=C497),"""")"),472.0)</f>
        <v>472</v>
      </c>
      <c r="H497" s="8">
        <f t="shared" si="1"/>
        <v>-24</v>
      </c>
    </row>
    <row r="498">
      <c r="A498" s="10">
        <v>497.0</v>
      </c>
      <c r="B498" s="11" t="s">
        <v>580</v>
      </c>
      <c r="C498" s="10" t="s">
        <v>79</v>
      </c>
      <c r="D498" s="10" t="s">
        <v>67</v>
      </c>
      <c r="E498" s="16"/>
      <c r="F498" s="16" t="s">
        <v>382</v>
      </c>
      <c r="G498" s="13">
        <f>IFERROR(__xludf.DUMMYFUNCTION("if(counta(filter('Previous Rank'!$A$2:$A2766,'Previous Rank'!$B$2:$B2766=B498,'Previous Rank'!$C$2:$C2766=C498))=1,filter('Previous Rank'!$A$2:$A2766,'Previous Rank'!$B$2:$B2766=B498,'Previous Rank'!$C$2:$C2766=C498),"""")"),473.0)</f>
        <v>473</v>
      </c>
      <c r="H498" s="8">
        <f t="shared" si="1"/>
        <v>-24</v>
      </c>
    </row>
    <row r="499">
      <c r="A499" s="10">
        <v>498.0</v>
      </c>
      <c r="B499" s="11" t="s">
        <v>581</v>
      </c>
      <c r="C499" s="10" t="s">
        <v>220</v>
      </c>
      <c r="D499" s="10" t="s">
        <v>206</v>
      </c>
      <c r="E499" s="15"/>
      <c r="F499" s="15" t="s">
        <v>382</v>
      </c>
      <c r="G499" s="13">
        <f>IFERROR(__xludf.DUMMYFUNCTION("if(counta(filter('Previous Rank'!$A$2:$A2766,'Previous Rank'!$B$2:$B2766=B499,'Previous Rank'!$C$2:$C2766=C499))=1,filter('Previous Rank'!$A$2:$A2766,'Previous Rank'!$B$2:$B2766=B499,'Previous Rank'!$C$2:$C2766=C499),"""")"),474.0)</f>
        <v>474</v>
      </c>
      <c r="H499" s="8">
        <f t="shared" si="1"/>
        <v>-24</v>
      </c>
    </row>
    <row r="500">
      <c r="A500" s="10">
        <v>499.0</v>
      </c>
      <c r="B500" s="11" t="s">
        <v>582</v>
      </c>
      <c r="C500" s="10" t="s">
        <v>39</v>
      </c>
      <c r="D500" s="10" t="s">
        <v>67</v>
      </c>
      <c r="E500" s="16"/>
      <c r="F500" s="16" t="s">
        <v>382</v>
      </c>
      <c r="G500" s="13">
        <f>IFERROR(__xludf.DUMMYFUNCTION("if(counta(filter('Previous Rank'!$A$2:$A2766,'Previous Rank'!$B$2:$B2766=B500,'Previous Rank'!$C$2:$C2766=C500))=1,filter('Previous Rank'!$A$2:$A2766,'Previous Rank'!$B$2:$B2766=B500,'Previous Rank'!$C$2:$C2766=C500),"""")"),475.0)</f>
        <v>475</v>
      </c>
      <c r="H500" s="8">
        <f t="shared" si="1"/>
        <v>-24</v>
      </c>
    </row>
    <row r="501">
      <c r="A501" s="10">
        <v>500.0</v>
      </c>
      <c r="B501" s="11" t="s">
        <v>583</v>
      </c>
      <c r="C501" s="10" t="s">
        <v>79</v>
      </c>
      <c r="D501" s="10" t="s">
        <v>85</v>
      </c>
      <c r="E501" s="15"/>
      <c r="F501" s="15" t="s">
        <v>382</v>
      </c>
      <c r="G501" s="13">
        <f>IFERROR(__xludf.DUMMYFUNCTION("if(counta(filter('Previous Rank'!$A$2:$A2766,'Previous Rank'!$B$2:$B2766=B501,'Previous Rank'!$C$2:$C2766=C501))=1,filter('Previous Rank'!$A$2:$A2766,'Previous Rank'!$B$2:$B2766=B501,'Previous Rank'!$C$2:$C2766=C501),"""")"),476.0)</f>
        <v>476</v>
      </c>
      <c r="H501" s="8">
        <f t="shared" si="1"/>
        <v>-24</v>
      </c>
    </row>
    <row r="502">
      <c r="A502" s="10">
        <v>501.0</v>
      </c>
      <c r="B502" s="11" t="s">
        <v>584</v>
      </c>
      <c r="C502" s="10" t="s">
        <v>585</v>
      </c>
      <c r="D502" s="10" t="s">
        <v>82</v>
      </c>
      <c r="E502" s="16">
        <v>246.9</v>
      </c>
      <c r="F502" s="16">
        <v>1.3</v>
      </c>
      <c r="G502" s="13">
        <f>IFERROR(__xludf.DUMMYFUNCTION("if(counta(filter('Previous Rank'!$A$2:$A2766,'Previous Rank'!$B$2:$B2766=B502,'Previous Rank'!$C$2:$C2766=C502))=1,filter('Previous Rank'!$A$2:$A2766,'Previous Rank'!$B$2:$B2766=B502,'Previous Rank'!$C$2:$C2766=C502),"""")"),477.0)</f>
        <v>477</v>
      </c>
      <c r="H502" s="8">
        <f t="shared" si="1"/>
        <v>-24</v>
      </c>
    </row>
    <row r="503">
      <c r="A503" s="10">
        <v>502.0</v>
      </c>
      <c r="B503" s="11" t="s">
        <v>586</v>
      </c>
      <c r="C503" s="10" t="s">
        <v>220</v>
      </c>
      <c r="D503" s="10" t="s">
        <v>206</v>
      </c>
      <c r="E503" s="15">
        <v>219.9</v>
      </c>
      <c r="F503" s="15">
        <v>1.0</v>
      </c>
      <c r="G503" s="13">
        <f>IFERROR(__xludf.DUMMYFUNCTION("if(counta(filter('Previous Rank'!$A$2:$A2766,'Previous Rank'!$B$2:$B2766=B503,'Previous Rank'!$C$2:$C2766=C503))=1,filter('Previous Rank'!$A$2:$A2766,'Previous Rank'!$B$2:$B2766=B503,'Previous Rank'!$C$2:$C2766=C503),"""")"),267.0)</f>
        <v>267</v>
      </c>
      <c r="H503" s="8">
        <f t="shared" si="1"/>
        <v>-235</v>
      </c>
    </row>
    <row r="504">
      <c r="A504" s="10">
        <v>503.0</v>
      </c>
      <c r="B504" s="11" t="s">
        <v>587</v>
      </c>
      <c r="C504" s="10" t="s">
        <v>79</v>
      </c>
      <c r="D504" s="10" t="s">
        <v>49</v>
      </c>
      <c r="E504" s="16"/>
      <c r="F504" s="16" t="s">
        <v>382</v>
      </c>
      <c r="G504" s="13">
        <f>IFERROR(__xludf.DUMMYFUNCTION("if(counta(filter('Previous Rank'!$A$2:$A2766,'Previous Rank'!$B$2:$B2766=B504,'Previous Rank'!$C$2:$C2766=C504))=1,filter('Previous Rank'!$A$2:$A2766,'Previous Rank'!$B$2:$B2766=B504,'Previous Rank'!$C$2:$C2766=C504),"""")"),479.0)</f>
        <v>479</v>
      </c>
      <c r="H504" s="8">
        <f t="shared" si="1"/>
        <v>-24</v>
      </c>
    </row>
    <row r="505">
      <c r="A505" s="10">
        <v>504.0</v>
      </c>
      <c r="B505" s="11" t="s">
        <v>588</v>
      </c>
      <c r="C505" s="10" t="s">
        <v>79</v>
      </c>
      <c r="D505" s="10" t="s">
        <v>99</v>
      </c>
      <c r="E505" s="15"/>
      <c r="F505" s="15" t="s">
        <v>382</v>
      </c>
      <c r="G505" s="13">
        <f>IFERROR(__xludf.DUMMYFUNCTION("if(counta(filter('Previous Rank'!$A$2:$A2766,'Previous Rank'!$B$2:$B2766=B505,'Previous Rank'!$C$2:$C2766=C505))=1,filter('Previous Rank'!$A$2:$A2766,'Previous Rank'!$B$2:$B2766=B505,'Previous Rank'!$C$2:$C2766=C505),"""")"),480.0)</f>
        <v>480</v>
      </c>
      <c r="H505" s="8">
        <f t="shared" si="1"/>
        <v>-24</v>
      </c>
    </row>
    <row r="506">
      <c r="A506" s="10">
        <v>505.0</v>
      </c>
      <c r="B506" s="11" t="s">
        <v>589</v>
      </c>
      <c r="C506" s="10" t="s">
        <v>79</v>
      </c>
      <c r="D506" s="10" t="s">
        <v>27</v>
      </c>
      <c r="E506" s="16"/>
      <c r="F506" s="16" t="s">
        <v>382</v>
      </c>
      <c r="G506" s="13">
        <f>IFERROR(__xludf.DUMMYFUNCTION("if(counta(filter('Previous Rank'!$A$2:$A2766,'Previous Rank'!$B$2:$B2766=B506,'Previous Rank'!$C$2:$C2766=C506))=1,filter('Previous Rank'!$A$2:$A2766,'Previous Rank'!$B$2:$B2766=B506,'Previous Rank'!$C$2:$C2766=C506),"""")"),481.0)</f>
        <v>481</v>
      </c>
      <c r="H506" s="8">
        <f t="shared" si="1"/>
        <v>-24</v>
      </c>
    </row>
    <row r="507">
      <c r="A507" s="10">
        <v>506.0</v>
      </c>
      <c r="B507" s="11" t="s">
        <v>590</v>
      </c>
      <c r="C507" s="10" t="s">
        <v>89</v>
      </c>
      <c r="D507" s="10" t="s">
        <v>129</v>
      </c>
      <c r="E507" s="15">
        <v>239.7</v>
      </c>
      <c r="F507" s="15">
        <v>1.0</v>
      </c>
      <c r="G507" s="13">
        <f>IFERROR(__xludf.DUMMYFUNCTION("if(counta(filter('Previous Rank'!$A$2:$A2766,'Previous Rank'!$B$2:$B2766=B507,'Previous Rank'!$C$2:$C2766=C507))=1,filter('Previous Rank'!$A$2:$A2766,'Previous Rank'!$B$2:$B2766=B507,'Previous Rank'!$C$2:$C2766=C507),"""")"),353.0)</f>
        <v>353</v>
      </c>
      <c r="H507" s="8">
        <f t="shared" si="1"/>
        <v>-153</v>
      </c>
    </row>
    <row r="508">
      <c r="A508" s="10">
        <v>507.0</v>
      </c>
      <c r="B508" s="11" t="s">
        <v>591</v>
      </c>
      <c r="C508" s="10" t="s">
        <v>220</v>
      </c>
      <c r="D508" s="10" t="s">
        <v>137</v>
      </c>
      <c r="E508" s="16"/>
      <c r="F508" s="16" t="s">
        <v>382</v>
      </c>
      <c r="G508" s="13">
        <f>IFERROR(__xludf.DUMMYFUNCTION("if(counta(filter('Previous Rank'!$A$2:$A2766,'Previous Rank'!$B$2:$B2766=B508,'Previous Rank'!$C$2:$C2766=C508))=1,filter('Previous Rank'!$A$2:$A2766,'Previous Rank'!$B$2:$B2766=B508,'Previous Rank'!$C$2:$C2766=C508),"""")"),482.0)</f>
        <v>482</v>
      </c>
      <c r="H508" s="8">
        <f t="shared" si="1"/>
        <v>-25</v>
      </c>
    </row>
    <row r="509">
      <c r="A509" s="10">
        <v>508.0</v>
      </c>
      <c r="B509" s="11" t="s">
        <v>592</v>
      </c>
      <c r="C509" s="10" t="s">
        <v>79</v>
      </c>
      <c r="D509" s="10" t="s">
        <v>90</v>
      </c>
      <c r="E509" s="15"/>
      <c r="F509" s="15" t="s">
        <v>382</v>
      </c>
      <c r="G509" s="13">
        <f>IFERROR(__xludf.DUMMYFUNCTION("if(counta(filter('Previous Rank'!$A$2:$A2766,'Previous Rank'!$B$2:$B2766=B509,'Previous Rank'!$C$2:$C2766=C509))=1,filter('Previous Rank'!$A$2:$A2766,'Previous Rank'!$B$2:$B2766=B509,'Previous Rank'!$C$2:$C2766=C509),"""")"),483.0)</f>
        <v>483</v>
      </c>
      <c r="H509" s="8">
        <f t="shared" si="1"/>
        <v>-25</v>
      </c>
    </row>
    <row r="510">
      <c r="A510" s="10">
        <v>509.0</v>
      </c>
      <c r="B510" s="11" t="s">
        <v>593</v>
      </c>
      <c r="C510" s="10" t="s">
        <v>79</v>
      </c>
      <c r="D510" s="10" t="s">
        <v>46</v>
      </c>
      <c r="E510" s="16"/>
      <c r="F510" s="16" t="s">
        <v>382</v>
      </c>
      <c r="G510" s="13">
        <f>IFERROR(__xludf.DUMMYFUNCTION("if(counta(filter('Previous Rank'!$A$2:$A2766,'Previous Rank'!$B$2:$B2766=B510,'Previous Rank'!$C$2:$C2766=C510))=1,filter('Previous Rank'!$A$2:$A2766,'Previous Rank'!$B$2:$B2766=B510,'Previous Rank'!$C$2:$C2766=C510),"""")"),484.0)</f>
        <v>484</v>
      </c>
      <c r="H510" s="8">
        <f t="shared" si="1"/>
        <v>-25</v>
      </c>
    </row>
    <row r="511">
      <c r="A511" s="10">
        <v>510.0</v>
      </c>
      <c r="B511" s="11" t="s">
        <v>594</v>
      </c>
      <c r="C511" s="10" t="s">
        <v>79</v>
      </c>
      <c r="D511" s="10" t="s">
        <v>27</v>
      </c>
      <c r="E511" s="15"/>
      <c r="F511" s="15" t="s">
        <v>382</v>
      </c>
      <c r="G511" s="13">
        <f>IFERROR(__xludf.DUMMYFUNCTION("if(counta(filter('Previous Rank'!$A$2:$A2766,'Previous Rank'!$B$2:$B2766=B511,'Previous Rank'!$C$2:$C2766=C511))=1,filter('Previous Rank'!$A$2:$A2766,'Previous Rank'!$B$2:$B2766=B511,'Previous Rank'!$C$2:$C2766=C511),"""")"),485.0)</f>
        <v>485</v>
      </c>
      <c r="H511" s="8">
        <f t="shared" si="1"/>
        <v>-25</v>
      </c>
    </row>
    <row r="512">
      <c r="A512" s="10">
        <v>511.0</v>
      </c>
      <c r="B512" s="11" t="s">
        <v>595</v>
      </c>
      <c r="C512" s="10" t="s">
        <v>79</v>
      </c>
      <c r="D512" s="10" t="s">
        <v>140</v>
      </c>
      <c r="E512" s="16"/>
      <c r="F512" s="16" t="s">
        <v>382</v>
      </c>
      <c r="G512" s="13">
        <f>IFERROR(__xludf.DUMMYFUNCTION("if(counta(filter('Previous Rank'!$A$2:$A2766,'Previous Rank'!$B$2:$B2766=B512,'Previous Rank'!$C$2:$C2766=C512))=1,filter('Previous Rank'!$A$2:$A2766,'Previous Rank'!$B$2:$B2766=B512,'Previous Rank'!$C$2:$C2766=C512),"""")"),486.0)</f>
        <v>486</v>
      </c>
      <c r="H512" s="8">
        <f t="shared" si="1"/>
        <v>-25</v>
      </c>
    </row>
    <row r="513">
      <c r="A513" s="10">
        <v>512.0</v>
      </c>
      <c r="B513" s="11" t="s">
        <v>596</v>
      </c>
      <c r="C513" s="10" t="s">
        <v>79</v>
      </c>
      <c r="D513" s="10" t="s">
        <v>206</v>
      </c>
      <c r="E513" s="15"/>
      <c r="F513" s="15" t="s">
        <v>382</v>
      </c>
      <c r="G513" s="13">
        <f>IFERROR(__xludf.DUMMYFUNCTION("if(counta(filter('Previous Rank'!$A$2:$A2766,'Previous Rank'!$B$2:$B2766=B513,'Previous Rank'!$C$2:$C2766=C513))=1,filter('Previous Rank'!$A$2:$A2766,'Previous Rank'!$B$2:$B2766=B513,'Previous Rank'!$C$2:$C2766=C513),"""")"),487.0)</f>
        <v>487</v>
      </c>
      <c r="H513" s="8">
        <f t="shared" si="1"/>
        <v>-25</v>
      </c>
    </row>
    <row r="514">
      <c r="A514" s="10">
        <v>513.0</v>
      </c>
      <c r="B514" s="11" t="s">
        <v>597</v>
      </c>
      <c r="C514" s="10" t="s">
        <v>79</v>
      </c>
      <c r="D514" s="10" t="s">
        <v>71</v>
      </c>
      <c r="E514" s="16"/>
      <c r="F514" s="16" t="s">
        <v>382</v>
      </c>
      <c r="G514" s="13">
        <f>IFERROR(__xludf.DUMMYFUNCTION("if(counta(filter('Previous Rank'!$A$2:$A2766,'Previous Rank'!$B$2:$B2766=B514,'Previous Rank'!$C$2:$C2766=C514))=1,filter('Previous Rank'!$A$2:$A2766,'Previous Rank'!$B$2:$B2766=B514,'Previous Rank'!$C$2:$C2766=C514),"""")"),488.0)</f>
        <v>488</v>
      </c>
      <c r="H514" s="8">
        <f t="shared" si="1"/>
        <v>-25</v>
      </c>
    </row>
    <row r="515">
      <c r="A515" s="10">
        <v>514.0</v>
      </c>
      <c r="B515" s="11" t="s">
        <v>598</v>
      </c>
      <c r="C515" s="10" t="s">
        <v>79</v>
      </c>
      <c r="D515" s="10" t="s">
        <v>49</v>
      </c>
      <c r="E515" s="15"/>
      <c r="F515" s="15" t="s">
        <v>382</v>
      </c>
      <c r="G515" s="13">
        <f>IFERROR(__xludf.DUMMYFUNCTION("if(counta(filter('Previous Rank'!$A$2:$A2766,'Previous Rank'!$B$2:$B2766=B515,'Previous Rank'!$C$2:$C2766=C515))=1,filter('Previous Rank'!$A$2:$A2766,'Previous Rank'!$B$2:$B2766=B515,'Previous Rank'!$C$2:$C2766=C515),"""")"),489.0)</f>
        <v>489</v>
      </c>
      <c r="H515" s="8">
        <f t="shared" si="1"/>
        <v>-25</v>
      </c>
    </row>
    <row r="516">
      <c r="A516" s="10">
        <v>515.0</v>
      </c>
      <c r="B516" s="11" t="s">
        <v>599</v>
      </c>
      <c r="C516" s="10" t="s">
        <v>79</v>
      </c>
      <c r="D516" s="10" t="s">
        <v>113</v>
      </c>
      <c r="E516" s="14"/>
      <c r="F516" s="14" t="s">
        <v>382</v>
      </c>
      <c r="G516" s="13">
        <f>IFERROR(__xludf.DUMMYFUNCTION("if(counta(filter('Previous Rank'!$A$2:$A2766,'Previous Rank'!$B$2:$B2766=B516,'Previous Rank'!$C$2:$C2766=C516))=1,filter('Previous Rank'!$A$2:$A2766,'Previous Rank'!$B$2:$B2766=B516,'Previous Rank'!$C$2:$C2766=C516),"""")"),490.0)</f>
        <v>490</v>
      </c>
      <c r="H516" s="8">
        <f t="shared" si="1"/>
        <v>-25</v>
      </c>
    </row>
    <row r="517">
      <c r="A517" s="10">
        <v>516.0</v>
      </c>
      <c r="B517" s="11" t="s">
        <v>600</v>
      </c>
      <c r="C517" s="10" t="s">
        <v>79</v>
      </c>
      <c r="D517" s="10" t="s">
        <v>36</v>
      </c>
      <c r="E517" s="15"/>
      <c r="F517" s="15" t="s">
        <v>382</v>
      </c>
      <c r="G517" s="13">
        <f>IFERROR(__xludf.DUMMYFUNCTION("if(counta(filter('Previous Rank'!$A$2:$A2766,'Previous Rank'!$B$2:$B2766=B517,'Previous Rank'!$C$2:$C2766=C517))=1,filter('Previous Rank'!$A$2:$A2766,'Previous Rank'!$B$2:$B2766=B517,'Previous Rank'!$C$2:$C2766=C517),"""")"),491.0)</f>
        <v>491</v>
      </c>
      <c r="H517" s="8">
        <f t="shared" si="1"/>
        <v>-25</v>
      </c>
    </row>
    <row r="518">
      <c r="A518" s="10">
        <v>517.0</v>
      </c>
      <c r="B518" s="11" t="s">
        <v>601</v>
      </c>
      <c r="C518" s="10" t="s">
        <v>79</v>
      </c>
      <c r="D518" s="10" t="s">
        <v>52</v>
      </c>
      <c r="E518" s="16"/>
      <c r="F518" s="16" t="s">
        <v>382</v>
      </c>
      <c r="G518" s="13">
        <f>IFERROR(__xludf.DUMMYFUNCTION("if(counta(filter('Previous Rank'!$A$2:$A2766,'Previous Rank'!$B$2:$B2766=B518,'Previous Rank'!$C$2:$C2766=C518))=1,filter('Previous Rank'!$A$2:$A2766,'Previous Rank'!$B$2:$B2766=B518,'Previous Rank'!$C$2:$C2766=C518),"""")"),492.0)</f>
        <v>492</v>
      </c>
      <c r="H518" s="8">
        <f t="shared" si="1"/>
        <v>-25</v>
      </c>
    </row>
    <row r="519">
      <c r="A519" s="10">
        <v>518.0</v>
      </c>
      <c r="B519" s="11" t="s">
        <v>602</v>
      </c>
      <c r="C519" s="10" t="s">
        <v>79</v>
      </c>
      <c r="D519" s="10" t="s">
        <v>42</v>
      </c>
      <c r="E519" s="15"/>
      <c r="F519" s="15" t="s">
        <v>382</v>
      </c>
      <c r="G519" s="13">
        <f>IFERROR(__xludf.DUMMYFUNCTION("if(counta(filter('Previous Rank'!$A$2:$A2766,'Previous Rank'!$B$2:$B2766=B519,'Previous Rank'!$C$2:$C2766=C519))=1,filter('Previous Rank'!$A$2:$A2766,'Previous Rank'!$B$2:$B2766=B519,'Previous Rank'!$C$2:$C2766=C519),"""")"),493.0)</f>
        <v>493</v>
      </c>
      <c r="H519" s="8">
        <f t="shared" si="1"/>
        <v>-25</v>
      </c>
    </row>
    <row r="520">
      <c r="A520" s="10">
        <v>519.0</v>
      </c>
      <c r="B520" s="11" t="s">
        <v>603</v>
      </c>
      <c r="C520" s="10" t="s">
        <v>79</v>
      </c>
      <c r="D520" s="10" t="s">
        <v>120</v>
      </c>
      <c r="E520" s="16"/>
      <c r="F520" s="16" t="s">
        <v>382</v>
      </c>
      <c r="G520" s="13">
        <f>IFERROR(__xludf.DUMMYFUNCTION("if(counta(filter('Previous Rank'!$A$2:$A2766,'Previous Rank'!$B$2:$B2766=B520,'Previous Rank'!$C$2:$C2766=C520))=1,filter('Previous Rank'!$A$2:$A2766,'Previous Rank'!$B$2:$B2766=B520,'Previous Rank'!$C$2:$C2766=C520),"""")"),494.0)</f>
        <v>494</v>
      </c>
      <c r="H520" s="8">
        <f t="shared" si="1"/>
        <v>-25</v>
      </c>
    </row>
    <row r="521">
      <c r="A521" s="10">
        <v>520.0</v>
      </c>
      <c r="B521" s="11" t="s">
        <v>604</v>
      </c>
      <c r="C521" s="10" t="s">
        <v>22</v>
      </c>
      <c r="D521" s="10" t="s">
        <v>140</v>
      </c>
      <c r="E521" s="12"/>
      <c r="F521" s="12" t="s">
        <v>382</v>
      </c>
      <c r="G521" s="13">
        <f>IFERROR(__xludf.DUMMYFUNCTION("if(counta(filter('Previous Rank'!$A$2:$A2766,'Previous Rank'!$B$2:$B2766=B521,'Previous Rank'!$C$2:$C2766=C521))=1,filter('Previous Rank'!$A$2:$A2766,'Previous Rank'!$B$2:$B2766=B521,'Previous Rank'!$C$2:$C2766=C521),"""")"),495.0)</f>
        <v>495</v>
      </c>
      <c r="H521" s="8">
        <f t="shared" si="1"/>
        <v>-25</v>
      </c>
    </row>
    <row r="522">
      <c r="A522" s="10">
        <v>521.0</v>
      </c>
      <c r="B522" s="11" t="s">
        <v>605</v>
      </c>
      <c r="C522" s="10" t="s">
        <v>79</v>
      </c>
      <c r="D522" s="10" t="s">
        <v>12</v>
      </c>
      <c r="E522" s="16"/>
      <c r="F522" s="16" t="s">
        <v>382</v>
      </c>
      <c r="G522" s="13">
        <f>IFERROR(__xludf.DUMMYFUNCTION("if(counta(filter('Previous Rank'!$A$2:$A2766,'Previous Rank'!$B$2:$B2766=B522,'Previous Rank'!$C$2:$C2766=C522))=1,filter('Previous Rank'!$A$2:$A2766,'Previous Rank'!$B$2:$B2766=B522,'Previous Rank'!$C$2:$C2766=C522),"""")"),496.0)</f>
        <v>496</v>
      </c>
      <c r="H522" s="8">
        <f t="shared" si="1"/>
        <v>-25</v>
      </c>
    </row>
    <row r="523">
      <c r="A523" s="10">
        <v>522.0</v>
      </c>
      <c r="B523" s="11" t="s">
        <v>606</v>
      </c>
      <c r="C523" s="10" t="s">
        <v>79</v>
      </c>
      <c r="D523" s="10" t="s">
        <v>12</v>
      </c>
      <c r="E523" s="15"/>
      <c r="F523" s="15" t="s">
        <v>382</v>
      </c>
      <c r="G523" s="13">
        <f>IFERROR(__xludf.DUMMYFUNCTION("if(counta(filter('Previous Rank'!$A$2:$A2766,'Previous Rank'!$B$2:$B2766=B523,'Previous Rank'!$C$2:$C2766=C523))=1,filter('Previous Rank'!$A$2:$A2766,'Previous Rank'!$B$2:$B2766=B523,'Previous Rank'!$C$2:$C2766=C523),"""")"),497.0)</f>
        <v>497</v>
      </c>
      <c r="H523" s="8">
        <f t="shared" si="1"/>
        <v>-25</v>
      </c>
    </row>
    <row r="524">
      <c r="A524" s="10">
        <v>523.0</v>
      </c>
      <c r="B524" s="11" t="s">
        <v>607</v>
      </c>
      <c r="C524" s="10" t="s">
        <v>79</v>
      </c>
      <c r="D524" s="10" t="s">
        <v>95</v>
      </c>
      <c r="E524" s="16"/>
      <c r="F524" s="16" t="s">
        <v>382</v>
      </c>
      <c r="G524" s="13">
        <f>IFERROR(__xludf.DUMMYFUNCTION("if(counta(filter('Previous Rank'!$A$2:$A2766,'Previous Rank'!$B$2:$B2766=B524,'Previous Rank'!$C$2:$C2766=C524))=1,filter('Previous Rank'!$A$2:$A2766,'Previous Rank'!$B$2:$B2766=B524,'Previous Rank'!$C$2:$C2766=C524),"""")"),498.0)</f>
        <v>498</v>
      </c>
      <c r="H524" s="8">
        <f t="shared" si="1"/>
        <v>-25</v>
      </c>
    </row>
    <row r="525">
      <c r="A525" s="10">
        <v>524.0</v>
      </c>
      <c r="B525" s="11" t="s">
        <v>608</v>
      </c>
      <c r="C525" s="10" t="s">
        <v>220</v>
      </c>
      <c r="D525" s="10" t="s">
        <v>34</v>
      </c>
      <c r="E525" s="15"/>
      <c r="F525" s="15" t="s">
        <v>382</v>
      </c>
      <c r="G525" s="13">
        <f>IFERROR(__xludf.DUMMYFUNCTION("if(counta(filter('Previous Rank'!$A$2:$A2766,'Previous Rank'!$B$2:$B2766=B525,'Previous Rank'!$C$2:$C2766=C525))=1,filter('Previous Rank'!$A$2:$A2766,'Previous Rank'!$B$2:$B2766=B525,'Previous Rank'!$C$2:$C2766=C525),"""")"),499.0)</f>
        <v>499</v>
      </c>
      <c r="H525" s="8">
        <f t="shared" si="1"/>
        <v>-25</v>
      </c>
    </row>
    <row r="526">
      <c r="A526" s="10">
        <v>525.0</v>
      </c>
      <c r="B526" s="11" t="s">
        <v>609</v>
      </c>
      <c r="C526" s="10" t="s">
        <v>22</v>
      </c>
      <c r="D526" s="10" t="s">
        <v>18</v>
      </c>
      <c r="E526" s="14"/>
      <c r="F526" s="14" t="s">
        <v>382</v>
      </c>
      <c r="G526" s="13">
        <f>IFERROR(__xludf.DUMMYFUNCTION("if(counta(filter('Previous Rank'!$A$2:$A2766,'Previous Rank'!$B$2:$B2766=B526,'Previous Rank'!$C$2:$C2766=C526))=1,filter('Previous Rank'!$A$2:$A2766,'Previous Rank'!$B$2:$B2766=B526,'Previous Rank'!$C$2:$C2766=C526),"""")"),500.0)</f>
        <v>500</v>
      </c>
      <c r="H526" s="8">
        <f t="shared" si="1"/>
        <v>-25</v>
      </c>
    </row>
    <row r="527">
      <c r="A527" s="10">
        <v>526.0</v>
      </c>
      <c r="B527" s="11" t="s">
        <v>610</v>
      </c>
      <c r="C527" s="10" t="s">
        <v>79</v>
      </c>
      <c r="D527" s="10" t="s">
        <v>49</v>
      </c>
      <c r="E527" s="15"/>
      <c r="F527" s="15" t="s">
        <v>382</v>
      </c>
      <c r="G527" s="13">
        <f>IFERROR(__xludf.DUMMYFUNCTION("if(counta(filter('Previous Rank'!$A$2:$A2766,'Previous Rank'!$B$2:$B2766=B527,'Previous Rank'!$C$2:$C2766=C527))=1,filter('Previous Rank'!$A$2:$A2766,'Previous Rank'!$B$2:$B2766=B527,'Previous Rank'!$C$2:$C2766=C527),"""")"),501.0)</f>
        <v>501</v>
      </c>
      <c r="H527" s="8">
        <f t="shared" si="1"/>
        <v>-25</v>
      </c>
    </row>
    <row r="528">
      <c r="A528" s="10">
        <v>527.0</v>
      </c>
      <c r="B528" s="11" t="s">
        <v>611</v>
      </c>
      <c r="C528" s="10" t="s">
        <v>79</v>
      </c>
      <c r="D528" s="10" t="s">
        <v>25</v>
      </c>
      <c r="E528" s="14"/>
      <c r="F528" s="14" t="s">
        <v>382</v>
      </c>
      <c r="G528" s="13">
        <f>IFERROR(__xludf.DUMMYFUNCTION("if(counta(filter('Previous Rank'!$A$2:$A2766,'Previous Rank'!$B$2:$B2766=B528,'Previous Rank'!$C$2:$C2766=C528))=1,filter('Previous Rank'!$A$2:$A2766,'Previous Rank'!$B$2:$B2766=B528,'Previous Rank'!$C$2:$C2766=C528),"""")"),502.0)</f>
        <v>502</v>
      </c>
      <c r="H528" s="8">
        <f t="shared" si="1"/>
        <v>-25</v>
      </c>
    </row>
    <row r="529">
      <c r="A529" s="10">
        <v>528.0</v>
      </c>
      <c r="B529" s="11" t="s">
        <v>612</v>
      </c>
      <c r="C529" s="10" t="s">
        <v>79</v>
      </c>
      <c r="D529" s="10" t="s">
        <v>36</v>
      </c>
      <c r="E529" s="15"/>
      <c r="F529" s="15" t="s">
        <v>382</v>
      </c>
      <c r="G529" s="13">
        <f>IFERROR(__xludf.DUMMYFUNCTION("if(counta(filter('Previous Rank'!$A$2:$A2766,'Previous Rank'!$B$2:$B2766=B529,'Previous Rank'!$C$2:$C2766=C529))=1,filter('Previous Rank'!$A$2:$A2766,'Previous Rank'!$B$2:$B2766=B529,'Previous Rank'!$C$2:$C2766=C529),"""")"),503.0)</f>
        <v>503</v>
      </c>
      <c r="H529" s="8">
        <f t="shared" si="1"/>
        <v>-25</v>
      </c>
    </row>
    <row r="530">
      <c r="A530" s="10">
        <v>529.0</v>
      </c>
      <c r="B530" s="11" t="s">
        <v>613</v>
      </c>
      <c r="C530" s="10" t="s">
        <v>79</v>
      </c>
      <c r="D530" s="10" t="s">
        <v>71</v>
      </c>
      <c r="E530" s="16"/>
      <c r="F530" s="16" t="s">
        <v>382</v>
      </c>
      <c r="G530" s="13">
        <f>IFERROR(__xludf.DUMMYFUNCTION("if(counta(filter('Previous Rank'!$A$2:$A2766,'Previous Rank'!$B$2:$B2766=B530,'Previous Rank'!$C$2:$C2766=C530))=1,filter('Previous Rank'!$A$2:$A2766,'Previous Rank'!$B$2:$B2766=B530,'Previous Rank'!$C$2:$C2766=C530),"""")"),504.0)</f>
        <v>504</v>
      </c>
      <c r="H530" s="8">
        <f t="shared" si="1"/>
        <v>-25</v>
      </c>
    </row>
    <row r="531">
      <c r="A531" s="10">
        <v>530.0</v>
      </c>
      <c r="B531" s="11" t="s">
        <v>614</v>
      </c>
      <c r="C531" s="10" t="s">
        <v>615</v>
      </c>
      <c r="D531" s="10" t="s">
        <v>71</v>
      </c>
      <c r="E531" s="15"/>
      <c r="F531" s="15" t="s">
        <v>382</v>
      </c>
      <c r="G531" s="13">
        <f>IFERROR(__xludf.DUMMYFUNCTION("if(counta(filter('Previous Rank'!$A$2:$A2766,'Previous Rank'!$B$2:$B2766=B531,'Previous Rank'!$C$2:$C2766=C531))=1,filter('Previous Rank'!$A$2:$A2766,'Previous Rank'!$B$2:$B2766=B531,'Previous Rank'!$C$2:$C2766=C531),"""")"),505.0)</f>
        <v>505</v>
      </c>
      <c r="H531" s="8">
        <f t="shared" si="1"/>
        <v>-25</v>
      </c>
    </row>
    <row r="532">
      <c r="A532" s="10">
        <v>531.0</v>
      </c>
      <c r="B532" s="11" t="s">
        <v>616</v>
      </c>
      <c r="C532" s="10" t="s">
        <v>218</v>
      </c>
      <c r="D532" s="10" t="s">
        <v>9</v>
      </c>
      <c r="E532" s="16"/>
      <c r="F532" s="16" t="s">
        <v>382</v>
      </c>
      <c r="G532" s="13">
        <f>IFERROR(__xludf.DUMMYFUNCTION("if(counta(filter('Previous Rank'!$A$2:$A2766,'Previous Rank'!$B$2:$B2766=B532,'Previous Rank'!$C$2:$C2766=C532))=1,filter('Previous Rank'!$A$2:$A2766,'Previous Rank'!$B$2:$B2766=B532,'Previous Rank'!$C$2:$C2766=C532),"""")"),506.0)</f>
        <v>506</v>
      </c>
      <c r="H532" s="8">
        <f t="shared" si="1"/>
        <v>-25</v>
      </c>
    </row>
    <row r="533">
      <c r="A533" s="10">
        <v>532.0</v>
      </c>
      <c r="B533" s="11" t="s">
        <v>617</v>
      </c>
      <c r="C533" s="10" t="s">
        <v>79</v>
      </c>
      <c r="D533" s="10" t="s">
        <v>49</v>
      </c>
      <c r="E533" s="15"/>
      <c r="F533" s="15" t="s">
        <v>382</v>
      </c>
      <c r="G533" s="13">
        <f>IFERROR(__xludf.DUMMYFUNCTION("if(counta(filter('Previous Rank'!$A$2:$A2766,'Previous Rank'!$B$2:$B2766=B533,'Previous Rank'!$C$2:$C2766=C533))=1,filter('Previous Rank'!$A$2:$A2766,'Previous Rank'!$B$2:$B2766=B533,'Previous Rank'!$C$2:$C2766=C533),"""")"),507.0)</f>
        <v>507</v>
      </c>
      <c r="H533" s="8">
        <f t="shared" si="1"/>
        <v>-25</v>
      </c>
    </row>
    <row r="534">
      <c r="A534" s="10">
        <v>533.0</v>
      </c>
      <c r="B534" s="11" t="s">
        <v>618</v>
      </c>
      <c r="C534" s="10" t="s">
        <v>619</v>
      </c>
      <c r="D534" s="10" t="s">
        <v>95</v>
      </c>
      <c r="E534" s="16">
        <v>239.4</v>
      </c>
      <c r="F534" s="16">
        <v>1.3</v>
      </c>
      <c r="G534" s="13">
        <f>IFERROR(__xludf.DUMMYFUNCTION("if(counta(filter('Previous Rank'!$A$2:$A2766,'Previous Rank'!$B$2:$B2766=B534,'Previous Rank'!$C$2:$C2766=C534))=1,filter('Previous Rank'!$A$2:$A2766,'Previous Rank'!$B$2:$B2766=B534,'Previous Rank'!$C$2:$C2766=C534),"""")"),508.0)</f>
        <v>508</v>
      </c>
      <c r="H534" s="8">
        <f t="shared" si="1"/>
        <v>-25</v>
      </c>
    </row>
    <row r="535">
      <c r="A535" s="10">
        <v>534.0</v>
      </c>
      <c r="B535" s="11" t="s">
        <v>620</v>
      </c>
      <c r="C535" s="10" t="s">
        <v>220</v>
      </c>
      <c r="D535" s="10" t="s">
        <v>206</v>
      </c>
      <c r="E535" s="15"/>
      <c r="F535" s="15" t="s">
        <v>382</v>
      </c>
      <c r="G535" s="13">
        <f>IFERROR(__xludf.DUMMYFUNCTION("if(counta(filter('Previous Rank'!$A$2:$A2766,'Previous Rank'!$B$2:$B2766=B535,'Previous Rank'!$C$2:$C2766=C535))=1,filter('Previous Rank'!$A$2:$A2766,'Previous Rank'!$B$2:$B2766=B535,'Previous Rank'!$C$2:$C2766=C535),"""")"),509.0)</f>
        <v>509</v>
      </c>
      <c r="H535" s="8">
        <f t="shared" si="1"/>
        <v>-25</v>
      </c>
    </row>
    <row r="536">
      <c r="A536" s="10">
        <v>535.0</v>
      </c>
      <c r="B536" s="11" t="s">
        <v>621</v>
      </c>
      <c r="C536" s="10" t="s">
        <v>220</v>
      </c>
      <c r="D536" s="10" t="s">
        <v>206</v>
      </c>
      <c r="E536" s="16"/>
      <c r="F536" s="16" t="s">
        <v>382</v>
      </c>
      <c r="G536" s="13">
        <f>IFERROR(__xludf.DUMMYFUNCTION("if(counta(filter('Previous Rank'!$A$2:$A2766,'Previous Rank'!$B$2:$B2766=B536,'Previous Rank'!$C$2:$C2766=C536))=1,filter('Previous Rank'!$A$2:$A2766,'Previous Rank'!$B$2:$B2766=B536,'Previous Rank'!$C$2:$C2766=C536),"""")"),510.0)</f>
        <v>510</v>
      </c>
      <c r="H536" s="8">
        <f t="shared" si="1"/>
        <v>-25</v>
      </c>
    </row>
    <row r="537">
      <c r="A537" s="10">
        <v>536.0</v>
      </c>
      <c r="B537" s="11" t="s">
        <v>622</v>
      </c>
      <c r="C537" s="10" t="s">
        <v>220</v>
      </c>
      <c r="D537" s="10" t="s">
        <v>67</v>
      </c>
      <c r="E537" s="12"/>
      <c r="F537" s="12" t="s">
        <v>382</v>
      </c>
      <c r="G537" s="13">
        <f>IFERROR(__xludf.DUMMYFUNCTION("if(counta(filter('Previous Rank'!$A$2:$A2766,'Previous Rank'!$B$2:$B2766=B537,'Previous Rank'!$C$2:$C2766=C537))=1,filter('Previous Rank'!$A$2:$A2766,'Previous Rank'!$B$2:$B2766=B537,'Previous Rank'!$C$2:$C2766=C537),"""")"),511.0)</f>
        <v>511</v>
      </c>
      <c r="H537" s="8">
        <f t="shared" si="1"/>
        <v>-25</v>
      </c>
    </row>
    <row r="538">
      <c r="A538" s="10">
        <v>537.0</v>
      </c>
      <c r="B538" s="11" t="s">
        <v>623</v>
      </c>
      <c r="C538" s="10" t="s">
        <v>79</v>
      </c>
      <c r="D538" s="10" t="s">
        <v>105</v>
      </c>
      <c r="E538" s="16"/>
      <c r="F538" s="16" t="s">
        <v>382</v>
      </c>
      <c r="G538" s="13">
        <f>IFERROR(__xludf.DUMMYFUNCTION("if(counta(filter('Previous Rank'!$A$2:$A2766,'Previous Rank'!$B$2:$B2766=B538,'Previous Rank'!$C$2:$C2766=C538))=1,filter('Previous Rank'!$A$2:$A2766,'Previous Rank'!$B$2:$B2766=B538,'Previous Rank'!$C$2:$C2766=C538),"""")"),512.0)</f>
        <v>512</v>
      </c>
      <c r="H538" s="8">
        <f t="shared" si="1"/>
        <v>-25</v>
      </c>
    </row>
    <row r="539">
      <c r="A539" s="10">
        <v>538.0</v>
      </c>
      <c r="B539" s="11" t="s">
        <v>624</v>
      </c>
      <c r="C539" s="10" t="s">
        <v>79</v>
      </c>
      <c r="D539" s="10" t="s">
        <v>71</v>
      </c>
      <c r="E539" s="15"/>
      <c r="F539" s="15" t="s">
        <v>382</v>
      </c>
      <c r="G539" s="13">
        <f>IFERROR(__xludf.DUMMYFUNCTION("if(counta(filter('Previous Rank'!$A$2:$A2766,'Previous Rank'!$B$2:$B2766=B539,'Previous Rank'!$C$2:$C2766=C539))=1,filter('Previous Rank'!$A$2:$A2766,'Previous Rank'!$B$2:$B2766=B539,'Previous Rank'!$C$2:$C2766=C539),"""")"),513.0)</f>
        <v>513</v>
      </c>
      <c r="H539" s="8">
        <f t="shared" si="1"/>
        <v>-25</v>
      </c>
    </row>
    <row r="540">
      <c r="A540" s="10">
        <v>539.0</v>
      </c>
      <c r="B540" s="11" t="s">
        <v>625</v>
      </c>
      <c r="C540" s="10" t="s">
        <v>79</v>
      </c>
      <c r="D540" s="10" t="s">
        <v>206</v>
      </c>
      <c r="E540" s="16"/>
      <c r="F540" s="16" t="s">
        <v>382</v>
      </c>
      <c r="G540" s="13">
        <f>IFERROR(__xludf.DUMMYFUNCTION("if(counta(filter('Previous Rank'!$A$2:$A2766,'Previous Rank'!$B$2:$B2766=B540,'Previous Rank'!$C$2:$C2766=C540))=1,filter('Previous Rank'!$A$2:$A2766,'Previous Rank'!$B$2:$B2766=B540,'Previous Rank'!$C$2:$C2766=C540),"""")"),514.0)</f>
        <v>514</v>
      </c>
      <c r="H540" s="8">
        <f t="shared" si="1"/>
        <v>-25</v>
      </c>
    </row>
    <row r="541">
      <c r="A541" s="10">
        <v>540.0</v>
      </c>
      <c r="B541" s="11" t="s">
        <v>626</v>
      </c>
      <c r="C541" s="10" t="s">
        <v>79</v>
      </c>
      <c r="D541" s="10" t="s">
        <v>67</v>
      </c>
      <c r="E541" s="15"/>
      <c r="F541" s="15" t="s">
        <v>382</v>
      </c>
      <c r="G541" s="13">
        <f>IFERROR(__xludf.DUMMYFUNCTION("if(counta(filter('Previous Rank'!$A$2:$A2766,'Previous Rank'!$B$2:$B2766=B541,'Previous Rank'!$C$2:$C2766=C541))=1,filter('Previous Rank'!$A$2:$A2766,'Previous Rank'!$B$2:$B2766=B541,'Previous Rank'!$C$2:$C2766=C541),"""")"),515.0)</f>
        <v>515</v>
      </c>
      <c r="H541" s="8">
        <f t="shared" si="1"/>
        <v>-25</v>
      </c>
    </row>
    <row r="542">
      <c r="A542" s="10">
        <v>541.0</v>
      </c>
      <c r="B542" s="11" t="s">
        <v>627</v>
      </c>
      <c r="C542" s="10" t="s">
        <v>220</v>
      </c>
      <c r="D542" s="10" t="s">
        <v>129</v>
      </c>
      <c r="E542" s="16"/>
      <c r="F542" s="16" t="s">
        <v>382</v>
      </c>
      <c r="G542" s="13">
        <f>IFERROR(__xludf.DUMMYFUNCTION("if(counta(filter('Previous Rank'!$A$2:$A2766,'Previous Rank'!$B$2:$B2766=B542,'Previous Rank'!$C$2:$C2766=C542))=1,filter('Previous Rank'!$A$2:$A2766,'Previous Rank'!$B$2:$B2766=B542,'Previous Rank'!$C$2:$C2766=C542),"""")"),516.0)</f>
        <v>516</v>
      </c>
      <c r="H542" s="8">
        <f t="shared" si="1"/>
        <v>-25</v>
      </c>
    </row>
    <row r="543">
      <c r="A543" s="10">
        <v>542.0</v>
      </c>
      <c r="B543" s="11" t="s">
        <v>628</v>
      </c>
      <c r="C543" s="10" t="s">
        <v>79</v>
      </c>
      <c r="D543" s="10" t="s">
        <v>206</v>
      </c>
      <c r="E543" s="15"/>
      <c r="F543" s="15" t="s">
        <v>382</v>
      </c>
      <c r="G543" s="13">
        <f>IFERROR(__xludf.DUMMYFUNCTION("if(counta(filter('Previous Rank'!$A$2:$A2766,'Previous Rank'!$B$2:$B2766=B543,'Previous Rank'!$C$2:$C2766=C543))=1,filter('Previous Rank'!$A$2:$A2766,'Previous Rank'!$B$2:$B2766=B543,'Previous Rank'!$C$2:$C2766=C543),"""")"),517.0)</f>
        <v>517</v>
      </c>
      <c r="H543" s="8">
        <f t="shared" si="1"/>
        <v>-25</v>
      </c>
    </row>
    <row r="544">
      <c r="A544" s="10">
        <v>543.0</v>
      </c>
      <c r="B544" s="11" t="s">
        <v>629</v>
      </c>
      <c r="C544" s="10" t="s">
        <v>218</v>
      </c>
      <c r="D544" s="10" t="s">
        <v>122</v>
      </c>
      <c r="E544" s="16"/>
      <c r="F544" s="16" t="s">
        <v>382</v>
      </c>
      <c r="G544" s="13">
        <f>IFERROR(__xludf.DUMMYFUNCTION("if(counta(filter('Previous Rank'!$A$2:$A2766,'Previous Rank'!$B$2:$B2766=B544,'Previous Rank'!$C$2:$C2766=C544))=1,filter('Previous Rank'!$A$2:$A2766,'Previous Rank'!$B$2:$B2766=B544,'Previous Rank'!$C$2:$C2766=C544),"""")"),518.0)</f>
        <v>518</v>
      </c>
      <c r="H544" s="8">
        <f t="shared" si="1"/>
        <v>-25</v>
      </c>
    </row>
    <row r="545">
      <c r="A545" s="10">
        <v>544.0</v>
      </c>
      <c r="B545" s="11" t="s">
        <v>630</v>
      </c>
      <c r="C545" s="10" t="s">
        <v>79</v>
      </c>
      <c r="D545" s="10" t="s">
        <v>82</v>
      </c>
      <c r="E545" s="15"/>
      <c r="F545" s="15" t="s">
        <v>382</v>
      </c>
      <c r="G545" s="13">
        <f>IFERROR(__xludf.DUMMYFUNCTION("if(counta(filter('Previous Rank'!$A$2:$A2766,'Previous Rank'!$B$2:$B2766=B545,'Previous Rank'!$C$2:$C2766=C545))=1,filter('Previous Rank'!$A$2:$A2766,'Previous Rank'!$B$2:$B2766=B545,'Previous Rank'!$C$2:$C2766=C545),"""")"),519.0)</f>
        <v>519</v>
      </c>
      <c r="H545" s="8">
        <f t="shared" si="1"/>
        <v>-25</v>
      </c>
    </row>
    <row r="546">
      <c r="A546" s="10">
        <v>545.0</v>
      </c>
      <c r="B546" s="11" t="s">
        <v>631</v>
      </c>
      <c r="C546" s="10" t="s">
        <v>79</v>
      </c>
      <c r="D546" s="10" t="s">
        <v>99</v>
      </c>
      <c r="E546" s="16"/>
      <c r="F546" s="16" t="s">
        <v>382</v>
      </c>
      <c r="G546" s="13">
        <f>IFERROR(__xludf.DUMMYFUNCTION("if(counta(filter('Previous Rank'!$A$2:$A2766,'Previous Rank'!$B$2:$B2766=B546,'Previous Rank'!$C$2:$C2766=C546))=1,filter('Previous Rank'!$A$2:$A2766,'Previous Rank'!$B$2:$B2766=B546,'Previous Rank'!$C$2:$C2766=C546),"""")"),520.0)</f>
        <v>520</v>
      </c>
      <c r="H546" s="8">
        <f t="shared" si="1"/>
        <v>-25</v>
      </c>
    </row>
    <row r="547">
      <c r="A547" s="10">
        <v>546.0</v>
      </c>
      <c r="B547" s="11" t="s">
        <v>632</v>
      </c>
      <c r="C547" s="10" t="s">
        <v>79</v>
      </c>
      <c r="D547" s="10" t="s">
        <v>52</v>
      </c>
      <c r="E547" s="15"/>
      <c r="F547" s="15" t="s">
        <v>382</v>
      </c>
      <c r="G547" s="13">
        <f>IFERROR(__xludf.DUMMYFUNCTION("if(counta(filter('Previous Rank'!$A$2:$A2766,'Previous Rank'!$B$2:$B2766=B547,'Previous Rank'!$C$2:$C2766=C547))=1,filter('Previous Rank'!$A$2:$A2766,'Previous Rank'!$B$2:$B2766=B547,'Previous Rank'!$C$2:$C2766=C547),"""")"),521.0)</f>
        <v>521</v>
      </c>
      <c r="H547" s="8">
        <f t="shared" si="1"/>
        <v>-25</v>
      </c>
    </row>
    <row r="548">
      <c r="A548" s="10">
        <v>547.0</v>
      </c>
      <c r="B548" s="11" t="s">
        <v>633</v>
      </c>
      <c r="C548" s="10" t="s">
        <v>199</v>
      </c>
      <c r="D548" s="10" t="s">
        <v>46</v>
      </c>
      <c r="E548" s="16">
        <v>242.0</v>
      </c>
      <c r="F548" s="16">
        <v>1.4</v>
      </c>
      <c r="G548" s="13">
        <f>IFERROR(__xludf.DUMMYFUNCTION("if(counta(filter('Previous Rank'!$A$2:$A2766,'Previous Rank'!$B$2:$B2766=B548,'Previous Rank'!$C$2:$C2766=C548))=1,filter('Previous Rank'!$A$2:$A2766,'Previous Rank'!$B$2:$B2766=B548,'Previous Rank'!$C$2:$C2766=C548),"""")"),522.0)</f>
        <v>522</v>
      </c>
      <c r="H548" s="8">
        <f t="shared" si="1"/>
        <v>-25</v>
      </c>
    </row>
    <row r="549">
      <c r="A549" s="10">
        <v>548.0</v>
      </c>
      <c r="B549" s="11" t="s">
        <v>634</v>
      </c>
      <c r="C549" s="10" t="s">
        <v>220</v>
      </c>
      <c r="D549" s="10" t="s">
        <v>9</v>
      </c>
      <c r="E549" s="15"/>
      <c r="F549" s="15" t="s">
        <v>382</v>
      </c>
      <c r="G549" s="13">
        <f>IFERROR(__xludf.DUMMYFUNCTION("if(counta(filter('Previous Rank'!$A$2:$A2766,'Previous Rank'!$B$2:$B2766=B549,'Previous Rank'!$C$2:$C2766=C549))=1,filter('Previous Rank'!$A$2:$A2766,'Previous Rank'!$B$2:$B2766=B549,'Previous Rank'!$C$2:$C2766=C549),"""")"),523.0)</f>
        <v>523</v>
      </c>
      <c r="H549" s="8">
        <f t="shared" si="1"/>
        <v>-25</v>
      </c>
    </row>
    <row r="550">
      <c r="A550" s="10">
        <v>549.0</v>
      </c>
      <c r="B550" s="11" t="s">
        <v>635</v>
      </c>
      <c r="C550" s="10" t="s">
        <v>22</v>
      </c>
      <c r="D550" s="10" t="s">
        <v>129</v>
      </c>
      <c r="E550" s="16"/>
      <c r="F550" s="16" t="s">
        <v>382</v>
      </c>
      <c r="G550" s="13">
        <f>IFERROR(__xludf.DUMMYFUNCTION("if(counta(filter('Previous Rank'!$A$2:$A2766,'Previous Rank'!$B$2:$B2766=B550,'Previous Rank'!$C$2:$C2766=C550))=1,filter('Previous Rank'!$A$2:$A2766,'Previous Rank'!$B$2:$B2766=B550,'Previous Rank'!$C$2:$C2766=C550),"""")"),524.0)</f>
        <v>524</v>
      </c>
      <c r="H550" s="8">
        <f t="shared" si="1"/>
        <v>-25</v>
      </c>
    </row>
    <row r="551">
      <c r="A551" s="10">
        <v>550.0</v>
      </c>
      <c r="B551" s="11" t="s">
        <v>636</v>
      </c>
      <c r="C551" s="10" t="s">
        <v>22</v>
      </c>
      <c r="D551" s="10" t="s">
        <v>73</v>
      </c>
      <c r="E551" s="15"/>
      <c r="F551" s="15" t="s">
        <v>382</v>
      </c>
      <c r="G551" s="13">
        <f>IFERROR(__xludf.DUMMYFUNCTION("if(counta(filter('Previous Rank'!$A$2:$A2766,'Previous Rank'!$B$2:$B2766=B551,'Previous Rank'!$C$2:$C2766=C551))=1,filter('Previous Rank'!$A$2:$A2766,'Previous Rank'!$B$2:$B2766=B551,'Previous Rank'!$C$2:$C2766=C551),"""")"),525.0)</f>
        <v>525</v>
      </c>
      <c r="H551" s="8">
        <f t="shared" si="1"/>
        <v>-25</v>
      </c>
    </row>
    <row r="552">
      <c r="A552" s="10">
        <v>551.0</v>
      </c>
      <c r="B552" s="11" t="s">
        <v>637</v>
      </c>
      <c r="C552" s="10" t="s">
        <v>79</v>
      </c>
      <c r="D552" s="10" t="s">
        <v>31</v>
      </c>
      <c r="E552" s="16"/>
      <c r="F552" s="16" t="s">
        <v>382</v>
      </c>
      <c r="G552" s="13">
        <f>IFERROR(__xludf.DUMMYFUNCTION("if(counta(filter('Previous Rank'!$A$2:$A2766,'Previous Rank'!$B$2:$B2766=B552,'Previous Rank'!$C$2:$C2766=C552))=1,filter('Previous Rank'!$A$2:$A2766,'Previous Rank'!$B$2:$B2766=B552,'Previous Rank'!$C$2:$C2766=C552),"""")"),526.0)</f>
        <v>526</v>
      </c>
      <c r="H552" s="8">
        <f t="shared" si="1"/>
        <v>-25</v>
      </c>
    </row>
    <row r="553">
      <c r="A553" s="10">
        <v>552.0</v>
      </c>
      <c r="B553" s="11" t="s">
        <v>638</v>
      </c>
      <c r="C553" s="10" t="s">
        <v>79</v>
      </c>
      <c r="D553" s="10" t="s">
        <v>49</v>
      </c>
      <c r="E553" s="15"/>
      <c r="F553" s="15" t="s">
        <v>382</v>
      </c>
      <c r="G553" s="13">
        <f>IFERROR(__xludf.DUMMYFUNCTION("if(counta(filter('Previous Rank'!$A$2:$A2766,'Previous Rank'!$B$2:$B2766=B553,'Previous Rank'!$C$2:$C2766=C553))=1,filter('Previous Rank'!$A$2:$A2766,'Previous Rank'!$B$2:$B2766=B553,'Previous Rank'!$C$2:$C2766=C553),"""")"),527.0)</f>
        <v>527</v>
      </c>
      <c r="H553" s="8">
        <f t="shared" si="1"/>
        <v>-25</v>
      </c>
    </row>
    <row r="554">
      <c r="A554" s="10">
        <v>553.0</v>
      </c>
      <c r="B554" s="11" t="s">
        <v>639</v>
      </c>
      <c r="C554" s="10" t="s">
        <v>79</v>
      </c>
      <c r="D554" s="10" t="s">
        <v>15</v>
      </c>
      <c r="E554" s="16"/>
      <c r="F554" s="16" t="s">
        <v>382</v>
      </c>
      <c r="G554" s="13">
        <f>IFERROR(__xludf.DUMMYFUNCTION("if(counta(filter('Previous Rank'!$A$2:$A2766,'Previous Rank'!$B$2:$B2766=B554,'Previous Rank'!$C$2:$C2766=C554))=1,filter('Previous Rank'!$A$2:$A2766,'Previous Rank'!$B$2:$B2766=B554,'Previous Rank'!$C$2:$C2766=C554),"""")"),528.0)</f>
        <v>528</v>
      </c>
      <c r="H554" s="8">
        <f t="shared" si="1"/>
        <v>-25</v>
      </c>
    </row>
    <row r="555">
      <c r="A555" s="10">
        <v>554.0</v>
      </c>
      <c r="B555" s="11" t="s">
        <v>640</v>
      </c>
      <c r="C555" s="10" t="s">
        <v>79</v>
      </c>
      <c r="D555" s="10" t="s">
        <v>46</v>
      </c>
      <c r="E555" s="15"/>
      <c r="F555" s="15" t="s">
        <v>382</v>
      </c>
      <c r="G555" s="13">
        <f>IFERROR(__xludf.DUMMYFUNCTION("if(counta(filter('Previous Rank'!$A$2:$A2766,'Previous Rank'!$B$2:$B2766=B555,'Previous Rank'!$C$2:$C2766=C555))=1,filter('Previous Rank'!$A$2:$A2766,'Previous Rank'!$B$2:$B2766=B555,'Previous Rank'!$C$2:$C2766=C555),"""")"),529.0)</f>
        <v>529</v>
      </c>
      <c r="H555" s="8">
        <f t="shared" si="1"/>
        <v>-25</v>
      </c>
    </row>
    <row r="556">
      <c r="A556" s="10">
        <v>555.0</v>
      </c>
      <c r="B556" s="11" t="s">
        <v>641</v>
      </c>
      <c r="C556" s="10" t="s">
        <v>79</v>
      </c>
      <c r="D556" s="10" t="s">
        <v>122</v>
      </c>
      <c r="E556" s="16"/>
      <c r="F556" s="16" t="s">
        <v>382</v>
      </c>
      <c r="G556" s="13">
        <f>IFERROR(__xludf.DUMMYFUNCTION("if(counta(filter('Previous Rank'!$A$2:$A2766,'Previous Rank'!$B$2:$B2766=B556,'Previous Rank'!$C$2:$C2766=C556))=1,filter('Previous Rank'!$A$2:$A2766,'Previous Rank'!$B$2:$B2766=B556,'Previous Rank'!$C$2:$C2766=C556),"""")"),530.0)</f>
        <v>530</v>
      </c>
      <c r="H556" s="8">
        <f t="shared" si="1"/>
        <v>-25</v>
      </c>
    </row>
    <row r="557">
      <c r="A557" s="10">
        <v>556.0</v>
      </c>
      <c r="B557" s="11" t="s">
        <v>642</v>
      </c>
      <c r="C557" s="10" t="s">
        <v>346</v>
      </c>
      <c r="D557" s="10" t="s">
        <v>120</v>
      </c>
      <c r="E557" s="15"/>
      <c r="F557" s="15" t="s">
        <v>382</v>
      </c>
      <c r="G557" s="13">
        <f>IFERROR(__xludf.DUMMYFUNCTION("if(counta(filter('Previous Rank'!$A$2:$A2766,'Previous Rank'!$B$2:$B2766=B557,'Previous Rank'!$C$2:$C2766=C557))=1,filter('Previous Rank'!$A$2:$A2766,'Previous Rank'!$B$2:$B2766=B557,'Previous Rank'!$C$2:$C2766=C557),"""")"),531.0)</f>
        <v>531</v>
      </c>
      <c r="H557" s="8">
        <f t="shared" si="1"/>
        <v>-25</v>
      </c>
    </row>
    <row r="558">
      <c r="A558" s="10">
        <v>557.0</v>
      </c>
      <c r="B558" s="11" t="s">
        <v>643</v>
      </c>
      <c r="C558" s="10" t="s">
        <v>79</v>
      </c>
      <c r="D558" s="10" t="s">
        <v>52</v>
      </c>
      <c r="E558" s="16"/>
      <c r="F558" s="16" t="s">
        <v>382</v>
      </c>
      <c r="G558" s="13">
        <f>IFERROR(__xludf.DUMMYFUNCTION("if(counta(filter('Previous Rank'!$A$2:$A2766,'Previous Rank'!$B$2:$B2766=B558,'Previous Rank'!$C$2:$C2766=C558))=1,filter('Previous Rank'!$A$2:$A2766,'Previous Rank'!$B$2:$B2766=B558,'Previous Rank'!$C$2:$C2766=C558),"""")"),532.0)</f>
        <v>532</v>
      </c>
      <c r="H558" s="8">
        <f t="shared" si="1"/>
        <v>-25</v>
      </c>
    </row>
    <row r="559">
      <c r="A559" s="10">
        <v>558.0</v>
      </c>
      <c r="B559" s="11" t="s">
        <v>644</v>
      </c>
      <c r="C559" s="10" t="s">
        <v>79</v>
      </c>
      <c r="D559" s="10" t="s">
        <v>90</v>
      </c>
      <c r="E559" s="15"/>
      <c r="F559" s="15" t="s">
        <v>382</v>
      </c>
      <c r="G559" s="13">
        <f>IFERROR(__xludf.DUMMYFUNCTION("if(counta(filter('Previous Rank'!$A$2:$A2766,'Previous Rank'!$B$2:$B2766=B559,'Previous Rank'!$C$2:$C2766=C559))=1,filter('Previous Rank'!$A$2:$A2766,'Previous Rank'!$B$2:$B2766=B559,'Previous Rank'!$C$2:$C2766=C559),"""")"),535.0)</f>
        <v>535</v>
      </c>
      <c r="H559" s="8">
        <f t="shared" si="1"/>
        <v>-23</v>
      </c>
    </row>
    <row r="560">
      <c r="A560" s="10">
        <v>559.0</v>
      </c>
      <c r="B560" s="11" t="s">
        <v>645</v>
      </c>
      <c r="C560" s="10" t="s">
        <v>22</v>
      </c>
      <c r="D560" s="10" t="s">
        <v>113</v>
      </c>
      <c r="E560" s="16"/>
      <c r="F560" s="16" t="s">
        <v>382</v>
      </c>
      <c r="G560" s="13">
        <f>IFERROR(__xludf.DUMMYFUNCTION("if(counta(filter('Previous Rank'!$A$2:$A2766,'Previous Rank'!$B$2:$B2766=B560,'Previous Rank'!$C$2:$C2766=C560))=1,filter('Previous Rank'!$A$2:$A2766,'Previous Rank'!$B$2:$B2766=B560,'Previous Rank'!$C$2:$C2766=C560),"""")"),536.0)</f>
        <v>536</v>
      </c>
      <c r="H560" s="8">
        <f t="shared" si="1"/>
        <v>-23</v>
      </c>
    </row>
    <row r="561">
      <c r="A561" s="10">
        <v>560.0</v>
      </c>
      <c r="B561" s="11" t="s">
        <v>646</v>
      </c>
      <c r="C561" s="10" t="s">
        <v>79</v>
      </c>
      <c r="D561" s="10" t="s">
        <v>113</v>
      </c>
      <c r="E561" s="15"/>
      <c r="F561" s="15" t="s">
        <v>382</v>
      </c>
      <c r="G561" s="13">
        <f>IFERROR(__xludf.DUMMYFUNCTION("if(counta(filter('Previous Rank'!$A$2:$A2766,'Previous Rank'!$B$2:$B2766=B561,'Previous Rank'!$C$2:$C2766=C561))=1,filter('Previous Rank'!$A$2:$A2766,'Previous Rank'!$B$2:$B2766=B561,'Previous Rank'!$C$2:$C2766=C561),"""")"),537.0)</f>
        <v>537</v>
      </c>
      <c r="H561" s="8">
        <f t="shared" si="1"/>
        <v>-23</v>
      </c>
    </row>
    <row r="562">
      <c r="A562" s="10">
        <v>561.0</v>
      </c>
      <c r="B562" s="11" t="s">
        <v>647</v>
      </c>
      <c r="C562" s="10" t="s">
        <v>79</v>
      </c>
      <c r="D562" s="10" t="s">
        <v>113</v>
      </c>
      <c r="E562" s="16"/>
      <c r="F562" s="16" t="s">
        <v>382</v>
      </c>
      <c r="G562" s="13">
        <f>IFERROR(__xludf.DUMMYFUNCTION("if(counta(filter('Previous Rank'!$A$2:$A2766,'Previous Rank'!$B$2:$B2766=B562,'Previous Rank'!$C$2:$C2766=C562))=1,filter('Previous Rank'!$A$2:$A2766,'Previous Rank'!$B$2:$B2766=B562,'Previous Rank'!$C$2:$C2766=C562),"""")"),538.0)</f>
        <v>538</v>
      </c>
      <c r="H562" s="8">
        <f t="shared" si="1"/>
        <v>-23</v>
      </c>
    </row>
    <row r="563">
      <c r="A563" s="10">
        <v>562.0</v>
      </c>
      <c r="B563" s="11" t="s">
        <v>648</v>
      </c>
      <c r="C563" s="10" t="s">
        <v>220</v>
      </c>
      <c r="D563" s="10" t="s">
        <v>52</v>
      </c>
      <c r="E563" s="15"/>
      <c r="F563" s="15" t="s">
        <v>382</v>
      </c>
      <c r="G563" s="13">
        <f>IFERROR(__xludf.DUMMYFUNCTION("if(counta(filter('Previous Rank'!$A$2:$A2766,'Previous Rank'!$B$2:$B2766=B563,'Previous Rank'!$C$2:$C2766=C563))=1,filter('Previous Rank'!$A$2:$A2766,'Previous Rank'!$B$2:$B2766=B563,'Previous Rank'!$C$2:$C2766=C563),"""")"),539.0)</f>
        <v>539</v>
      </c>
      <c r="H563" s="8">
        <f t="shared" si="1"/>
        <v>-23</v>
      </c>
    </row>
    <row r="564">
      <c r="A564" s="10">
        <v>563.0</v>
      </c>
      <c r="B564" s="11" t="s">
        <v>649</v>
      </c>
      <c r="C564" s="10" t="s">
        <v>220</v>
      </c>
      <c r="D564" s="10" t="s">
        <v>90</v>
      </c>
      <c r="E564" s="16"/>
      <c r="F564" s="16" t="s">
        <v>382</v>
      </c>
      <c r="G564" s="13">
        <f>IFERROR(__xludf.DUMMYFUNCTION("if(counta(filter('Previous Rank'!$A$2:$A2766,'Previous Rank'!$B$2:$B2766=B564,'Previous Rank'!$C$2:$C2766=C564))=1,filter('Previous Rank'!$A$2:$A2766,'Previous Rank'!$B$2:$B2766=B564,'Previous Rank'!$C$2:$C2766=C564),"""")"),540.0)</f>
        <v>540</v>
      </c>
      <c r="H564" s="8">
        <f t="shared" si="1"/>
        <v>-23</v>
      </c>
    </row>
    <row r="565">
      <c r="A565" s="10">
        <v>564.0</v>
      </c>
      <c r="B565" s="11" t="s">
        <v>650</v>
      </c>
      <c r="C565" s="10" t="s">
        <v>79</v>
      </c>
      <c r="D565" s="10" t="s">
        <v>82</v>
      </c>
      <c r="E565" s="12"/>
      <c r="F565" s="12" t="s">
        <v>382</v>
      </c>
      <c r="G565" s="13">
        <f>IFERROR(__xludf.DUMMYFUNCTION("if(counta(filter('Previous Rank'!$A$2:$A2766,'Previous Rank'!$B$2:$B2766=B565,'Previous Rank'!$C$2:$C2766=C565))=1,filter('Previous Rank'!$A$2:$A2766,'Previous Rank'!$B$2:$B2766=B565,'Previous Rank'!$C$2:$C2766=C565),"""")"),541.0)</f>
        <v>541</v>
      </c>
      <c r="H565" s="8">
        <f t="shared" si="1"/>
        <v>-23</v>
      </c>
    </row>
    <row r="566">
      <c r="A566" s="10">
        <v>565.0</v>
      </c>
      <c r="B566" s="11" t="s">
        <v>651</v>
      </c>
      <c r="C566" s="10" t="s">
        <v>150</v>
      </c>
      <c r="D566" s="10" t="s">
        <v>122</v>
      </c>
      <c r="E566" s="16"/>
      <c r="F566" s="16" t="s">
        <v>382</v>
      </c>
      <c r="G566" s="13">
        <f>IFERROR(__xludf.DUMMYFUNCTION("if(counta(filter('Previous Rank'!$A$2:$A2766,'Previous Rank'!$B$2:$B2766=B566,'Previous Rank'!$C$2:$C2766=C566))=1,filter('Previous Rank'!$A$2:$A2766,'Previous Rank'!$B$2:$B2766=B566,'Previous Rank'!$C$2:$C2766=C566),"""")"),542.0)</f>
        <v>542</v>
      </c>
      <c r="H566" s="8">
        <f t="shared" si="1"/>
        <v>-23</v>
      </c>
    </row>
    <row r="567">
      <c r="A567" s="10">
        <v>566.0</v>
      </c>
      <c r="B567" s="11" t="s">
        <v>652</v>
      </c>
      <c r="C567" s="10" t="s">
        <v>79</v>
      </c>
      <c r="D567" s="10" t="s">
        <v>140</v>
      </c>
      <c r="E567" s="15"/>
      <c r="F567" s="15" t="s">
        <v>382</v>
      </c>
      <c r="G567" s="13">
        <f>IFERROR(__xludf.DUMMYFUNCTION("if(counta(filter('Previous Rank'!$A$2:$A2766,'Previous Rank'!$B$2:$B2766=B567,'Previous Rank'!$C$2:$C2766=C567))=1,filter('Previous Rank'!$A$2:$A2766,'Previous Rank'!$B$2:$B2766=B567,'Previous Rank'!$C$2:$C2766=C567),"""")"),543.0)</f>
        <v>543</v>
      </c>
      <c r="H567" s="8">
        <f t="shared" si="1"/>
        <v>-23</v>
      </c>
    </row>
    <row r="568">
      <c r="A568" s="10">
        <v>567.0</v>
      </c>
      <c r="B568" s="11" t="s">
        <v>653</v>
      </c>
      <c r="C568" s="10" t="s">
        <v>79</v>
      </c>
      <c r="D568" s="10" t="s">
        <v>71</v>
      </c>
      <c r="E568" s="16"/>
      <c r="F568" s="16" t="s">
        <v>382</v>
      </c>
      <c r="G568" s="13">
        <f>IFERROR(__xludf.DUMMYFUNCTION("if(counta(filter('Previous Rank'!$A$2:$A2766,'Previous Rank'!$B$2:$B2766=B568,'Previous Rank'!$C$2:$C2766=C568))=1,filter('Previous Rank'!$A$2:$A2766,'Previous Rank'!$B$2:$B2766=B568,'Previous Rank'!$C$2:$C2766=C568),"""")"),544.0)</f>
        <v>544</v>
      </c>
      <c r="H568" s="8">
        <f t="shared" si="1"/>
        <v>-23</v>
      </c>
    </row>
    <row r="569">
      <c r="A569" s="10">
        <v>568.0</v>
      </c>
      <c r="B569" s="11" t="s">
        <v>654</v>
      </c>
      <c r="C569" s="10" t="s">
        <v>220</v>
      </c>
      <c r="D569" s="10" t="s">
        <v>18</v>
      </c>
      <c r="E569" s="15"/>
      <c r="F569" s="15" t="s">
        <v>382</v>
      </c>
      <c r="G569" s="13">
        <f>IFERROR(__xludf.DUMMYFUNCTION("if(counta(filter('Previous Rank'!$A$2:$A2766,'Previous Rank'!$B$2:$B2766=B569,'Previous Rank'!$C$2:$C2766=C569))=1,filter('Previous Rank'!$A$2:$A2766,'Previous Rank'!$B$2:$B2766=B569,'Previous Rank'!$C$2:$C2766=C569),"""")"),545.0)</f>
        <v>545</v>
      </c>
      <c r="H569" s="8">
        <f t="shared" si="1"/>
        <v>-23</v>
      </c>
    </row>
    <row r="570">
      <c r="A570" s="10">
        <v>569.0</v>
      </c>
      <c r="B570" s="11" t="s">
        <v>655</v>
      </c>
      <c r="C570" s="10" t="s">
        <v>79</v>
      </c>
      <c r="D570" s="10" t="s">
        <v>31</v>
      </c>
      <c r="E570" s="16"/>
      <c r="F570" s="16" t="s">
        <v>382</v>
      </c>
      <c r="G570" s="13">
        <f>IFERROR(__xludf.DUMMYFUNCTION("if(counta(filter('Previous Rank'!$A$2:$A2766,'Previous Rank'!$B$2:$B2766=B570,'Previous Rank'!$C$2:$C2766=C570))=1,filter('Previous Rank'!$A$2:$A2766,'Previous Rank'!$B$2:$B2766=B570,'Previous Rank'!$C$2:$C2766=C570),"""")"),546.0)</f>
        <v>546</v>
      </c>
      <c r="H570" s="8">
        <f t="shared" si="1"/>
        <v>-23</v>
      </c>
    </row>
    <row r="571">
      <c r="A571" s="10">
        <v>570.0</v>
      </c>
      <c r="B571" s="11" t="s">
        <v>656</v>
      </c>
      <c r="C571" s="10" t="s">
        <v>79</v>
      </c>
      <c r="D571" s="10" t="s">
        <v>49</v>
      </c>
      <c r="E571" s="15"/>
      <c r="F571" s="15" t="s">
        <v>382</v>
      </c>
      <c r="G571" s="13">
        <f>IFERROR(__xludf.DUMMYFUNCTION("if(counta(filter('Previous Rank'!$A$2:$A2766,'Previous Rank'!$B$2:$B2766=B571,'Previous Rank'!$C$2:$C2766=C571))=1,filter('Previous Rank'!$A$2:$A2766,'Previous Rank'!$B$2:$B2766=B571,'Previous Rank'!$C$2:$C2766=C571),"""")"),547.0)</f>
        <v>547</v>
      </c>
      <c r="H571" s="8">
        <f t="shared" si="1"/>
        <v>-23</v>
      </c>
    </row>
    <row r="572">
      <c r="A572" s="10">
        <v>571.0</v>
      </c>
      <c r="B572" s="11" t="s">
        <v>657</v>
      </c>
      <c r="C572" s="10" t="s">
        <v>39</v>
      </c>
      <c r="D572" s="10" t="s">
        <v>90</v>
      </c>
      <c r="E572" s="16"/>
      <c r="F572" s="16" t="s">
        <v>382</v>
      </c>
      <c r="G572" s="13">
        <f>IFERROR(__xludf.DUMMYFUNCTION("if(counta(filter('Previous Rank'!$A$2:$A2766,'Previous Rank'!$B$2:$B2766=B572,'Previous Rank'!$C$2:$C2766=C572))=1,filter('Previous Rank'!$A$2:$A2766,'Previous Rank'!$B$2:$B2766=B572,'Previous Rank'!$C$2:$C2766=C572),"""")"),548.0)</f>
        <v>548</v>
      </c>
      <c r="H572" s="8">
        <f t="shared" si="1"/>
        <v>-23</v>
      </c>
    </row>
    <row r="573">
      <c r="A573" s="10">
        <v>572.0</v>
      </c>
      <c r="B573" s="11" t="s">
        <v>658</v>
      </c>
      <c r="C573" s="10" t="s">
        <v>136</v>
      </c>
      <c r="D573" s="10" t="s">
        <v>31</v>
      </c>
      <c r="E573" s="12"/>
      <c r="F573" s="12" t="s">
        <v>382</v>
      </c>
      <c r="G573" s="13">
        <f>IFERROR(__xludf.DUMMYFUNCTION("if(counta(filter('Previous Rank'!$A$2:$A2766,'Previous Rank'!$B$2:$B2766=B573,'Previous Rank'!$C$2:$C2766=C573))=1,filter('Previous Rank'!$A$2:$A2766,'Previous Rank'!$B$2:$B2766=B573,'Previous Rank'!$C$2:$C2766=C573),"""")"),550.0)</f>
        <v>550</v>
      </c>
      <c r="H573" s="8">
        <f t="shared" si="1"/>
        <v>-22</v>
      </c>
    </row>
    <row r="574">
      <c r="A574" s="10">
        <v>573.0</v>
      </c>
      <c r="B574" s="11" t="s">
        <v>659</v>
      </c>
      <c r="C574" s="10" t="s">
        <v>79</v>
      </c>
      <c r="D574" s="10" t="s">
        <v>71</v>
      </c>
      <c r="E574" s="16"/>
      <c r="F574" s="16" t="s">
        <v>382</v>
      </c>
      <c r="G574" s="13">
        <f>IFERROR(__xludf.DUMMYFUNCTION("if(counta(filter('Previous Rank'!$A$2:$A2766,'Previous Rank'!$B$2:$B2766=B574,'Previous Rank'!$C$2:$C2766=C574))=1,filter('Previous Rank'!$A$2:$A2766,'Previous Rank'!$B$2:$B2766=B574,'Previous Rank'!$C$2:$C2766=C574),"""")"),551.0)</f>
        <v>551</v>
      </c>
      <c r="H574" s="8">
        <f t="shared" si="1"/>
        <v>-22</v>
      </c>
    </row>
    <row r="575">
      <c r="A575" s="10">
        <v>574.0</v>
      </c>
      <c r="B575" s="11" t="s">
        <v>660</v>
      </c>
      <c r="C575" s="10" t="s">
        <v>79</v>
      </c>
      <c r="D575" s="10" t="s">
        <v>46</v>
      </c>
      <c r="E575" s="15"/>
      <c r="F575" s="15" t="s">
        <v>382</v>
      </c>
      <c r="G575" s="13">
        <f>IFERROR(__xludf.DUMMYFUNCTION("if(counta(filter('Previous Rank'!$A$2:$A2766,'Previous Rank'!$B$2:$B2766=B575,'Previous Rank'!$C$2:$C2766=C575))=1,filter('Previous Rank'!$A$2:$A2766,'Previous Rank'!$B$2:$B2766=B575,'Previous Rank'!$C$2:$C2766=C575),"""")"),553.0)</f>
        <v>553</v>
      </c>
      <c r="H575" s="8">
        <f t="shared" si="1"/>
        <v>-21</v>
      </c>
    </row>
    <row r="576">
      <c r="A576" s="10">
        <v>575.0</v>
      </c>
      <c r="B576" s="11" t="s">
        <v>661</v>
      </c>
      <c r="C576" s="10" t="s">
        <v>585</v>
      </c>
      <c r="D576" s="10" t="s">
        <v>90</v>
      </c>
      <c r="E576" s="16"/>
      <c r="F576" s="16" t="s">
        <v>382</v>
      </c>
      <c r="G576" s="13">
        <f>IFERROR(__xludf.DUMMYFUNCTION("if(counta(filter('Previous Rank'!$A$2:$A2766,'Previous Rank'!$B$2:$B2766=B576,'Previous Rank'!$C$2:$C2766=C576))=1,filter('Previous Rank'!$A$2:$A2766,'Previous Rank'!$B$2:$B2766=B576,'Previous Rank'!$C$2:$C2766=C576),"""")"),554.0)</f>
        <v>554</v>
      </c>
      <c r="H576" s="8">
        <f t="shared" si="1"/>
        <v>-21</v>
      </c>
    </row>
    <row r="577">
      <c r="A577" s="10">
        <v>576.0</v>
      </c>
      <c r="B577" s="11" t="s">
        <v>662</v>
      </c>
      <c r="C577" s="10" t="s">
        <v>79</v>
      </c>
      <c r="D577" s="10" t="s">
        <v>27</v>
      </c>
      <c r="E577" s="15"/>
      <c r="F577" s="15" t="s">
        <v>382</v>
      </c>
      <c r="G577" s="13">
        <f>IFERROR(__xludf.DUMMYFUNCTION("if(counta(filter('Previous Rank'!$A$2:$A2766,'Previous Rank'!$B$2:$B2766=B577,'Previous Rank'!$C$2:$C2766=C577))=1,filter('Previous Rank'!$A$2:$A2766,'Previous Rank'!$B$2:$B2766=B577,'Previous Rank'!$C$2:$C2766=C577),"""")"),555.0)</f>
        <v>555</v>
      </c>
      <c r="H577" s="8">
        <f t="shared" si="1"/>
        <v>-21</v>
      </c>
    </row>
    <row r="578">
      <c r="A578" s="10">
        <v>577.0</v>
      </c>
      <c r="B578" s="11" t="s">
        <v>663</v>
      </c>
      <c r="C578" s="10" t="s">
        <v>79</v>
      </c>
      <c r="D578" s="10" t="s">
        <v>15</v>
      </c>
      <c r="E578" s="16"/>
      <c r="F578" s="16" t="s">
        <v>382</v>
      </c>
      <c r="G578" s="13">
        <f>IFERROR(__xludf.DUMMYFUNCTION("if(counta(filter('Previous Rank'!$A$2:$A2766,'Previous Rank'!$B$2:$B2766=B578,'Previous Rank'!$C$2:$C2766=C578))=1,filter('Previous Rank'!$A$2:$A2766,'Previous Rank'!$B$2:$B2766=B578,'Previous Rank'!$C$2:$C2766=C578),"""")"),556.0)</f>
        <v>556</v>
      </c>
      <c r="H578" s="8">
        <f t="shared" si="1"/>
        <v>-21</v>
      </c>
    </row>
    <row r="579">
      <c r="A579" s="10">
        <v>578.0</v>
      </c>
      <c r="B579" s="11" t="s">
        <v>664</v>
      </c>
      <c r="C579" s="10" t="s">
        <v>79</v>
      </c>
      <c r="D579" s="10" t="s">
        <v>90</v>
      </c>
      <c r="E579" s="15"/>
      <c r="F579" s="15" t="s">
        <v>382</v>
      </c>
      <c r="G579" s="13">
        <f>IFERROR(__xludf.DUMMYFUNCTION("if(counta(filter('Previous Rank'!$A$2:$A2766,'Previous Rank'!$B$2:$B2766=B579,'Previous Rank'!$C$2:$C2766=C579))=1,filter('Previous Rank'!$A$2:$A2766,'Previous Rank'!$B$2:$B2766=B579,'Previous Rank'!$C$2:$C2766=C579),"""")"),557.0)</f>
        <v>557</v>
      </c>
      <c r="H579" s="8">
        <f t="shared" si="1"/>
        <v>-21</v>
      </c>
    </row>
    <row r="580">
      <c r="A580" s="10">
        <v>579.0</v>
      </c>
      <c r="B580" s="11" t="s">
        <v>665</v>
      </c>
      <c r="C580" s="10" t="s">
        <v>79</v>
      </c>
      <c r="D580" s="10" t="s">
        <v>67</v>
      </c>
      <c r="E580" s="16"/>
      <c r="F580" s="16" t="s">
        <v>382</v>
      </c>
      <c r="G580" s="13">
        <f>IFERROR(__xludf.DUMMYFUNCTION("if(counta(filter('Previous Rank'!$A$2:$A2766,'Previous Rank'!$B$2:$B2766=B580,'Previous Rank'!$C$2:$C2766=C580))=1,filter('Previous Rank'!$A$2:$A2766,'Previous Rank'!$B$2:$B2766=B580,'Previous Rank'!$C$2:$C2766=C580),"""")"),558.0)</f>
        <v>558</v>
      </c>
      <c r="H580" s="8">
        <f t="shared" si="1"/>
        <v>-21</v>
      </c>
    </row>
    <row r="581">
      <c r="A581" s="10">
        <v>580.0</v>
      </c>
      <c r="B581" s="11" t="s">
        <v>666</v>
      </c>
      <c r="C581" s="10" t="s">
        <v>79</v>
      </c>
      <c r="D581" s="10" t="s">
        <v>9</v>
      </c>
      <c r="E581" s="15"/>
      <c r="F581" s="15" t="s">
        <v>382</v>
      </c>
      <c r="G581" s="13">
        <f>IFERROR(__xludf.DUMMYFUNCTION("if(counta(filter('Previous Rank'!$A$2:$A2766,'Previous Rank'!$B$2:$B2766=B581,'Previous Rank'!$C$2:$C2766=C581))=1,filter('Previous Rank'!$A$2:$A2766,'Previous Rank'!$B$2:$B2766=B581,'Previous Rank'!$C$2:$C2766=C581),"""")"),559.0)</f>
        <v>559</v>
      </c>
      <c r="H581" s="8">
        <f t="shared" si="1"/>
        <v>-21</v>
      </c>
    </row>
    <row r="582">
      <c r="A582" s="10">
        <v>581.0</v>
      </c>
      <c r="B582" s="11" t="s">
        <v>667</v>
      </c>
      <c r="C582" s="10" t="s">
        <v>79</v>
      </c>
      <c r="D582" s="10" t="s">
        <v>31</v>
      </c>
      <c r="E582" s="16"/>
      <c r="F582" s="16" t="s">
        <v>382</v>
      </c>
      <c r="G582" s="13">
        <f>IFERROR(__xludf.DUMMYFUNCTION("if(counta(filter('Previous Rank'!$A$2:$A2766,'Previous Rank'!$B$2:$B2766=B582,'Previous Rank'!$C$2:$C2766=C582))=1,filter('Previous Rank'!$A$2:$A2766,'Previous Rank'!$B$2:$B2766=B582,'Previous Rank'!$C$2:$C2766=C582),"""")"),560.0)</f>
        <v>560</v>
      </c>
      <c r="H582" s="8">
        <f t="shared" si="1"/>
        <v>-21</v>
      </c>
    </row>
    <row r="583">
      <c r="A583" s="10">
        <v>582.0</v>
      </c>
      <c r="B583" s="11" t="s">
        <v>668</v>
      </c>
      <c r="C583" s="10" t="s">
        <v>79</v>
      </c>
      <c r="D583" s="10" t="s">
        <v>9</v>
      </c>
      <c r="E583" s="15"/>
      <c r="F583" s="15" t="s">
        <v>382</v>
      </c>
      <c r="G583" s="13">
        <f>IFERROR(__xludf.DUMMYFUNCTION("if(counta(filter('Previous Rank'!$A$2:$A2766,'Previous Rank'!$B$2:$B2766=B583,'Previous Rank'!$C$2:$C2766=C583))=1,filter('Previous Rank'!$A$2:$A2766,'Previous Rank'!$B$2:$B2766=B583,'Previous Rank'!$C$2:$C2766=C583),"""")"),561.0)</f>
        <v>561</v>
      </c>
      <c r="H583" s="8">
        <f t="shared" si="1"/>
        <v>-21</v>
      </c>
    </row>
    <row r="584">
      <c r="A584" s="10">
        <v>583.0</v>
      </c>
      <c r="B584" s="11" t="s">
        <v>669</v>
      </c>
      <c r="C584" s="10" t="s">
        <v>79</v>
      </c>
      <c r="D584" s="10" t="s">
        <v>27</v>
      </c>
      <c r="E584" s="16"/>
      <c r="F584" s="16" t="s">
        <v>382</v>
      </c>
      <c r="G584" s="13">
        <f>IFERROR(__xludf.DUMMYFUNCTION("if(counta(filter('Previous Rank'!$A$2:$A2766,'Previous Rank'!$B$2:$B2766=B584,'Previous Rank'!$C$2:$C2766=C584))=1,filter('Previous Rank'!$A$2:$A2766,'Previous Rank'!$B$2:$B2766=B584,'Previous Rank'!$C$2:$C2766=C584),"""")"),563.0)</f>
        <v>563</v>
      </c>
      <c r="H584" s="8">
        <f t="shared" si="1"/>
        <v>-20</v>
      </c>
    </row>
    <row r="585">
      <c r="A585" s="10">
        <v>584.0</v>
      </c>
      <c r="B585" s="11" t="s">
        <v>670</v>
      </c>
      <c r="C585" s="10" t="s">
        <v>79</v>
      </c>
      <c r="D585" s="10" t="s">
        <v>15</v>
      </c>
      <c r="E585" s="15"/>
      <c r="F585" s="15" t="s">
        <v>382</v>
      </c>
      <c r="G585" s="13">
        <f>IFERROR(__xludf.DUMMYFUNCTION("if(counta(filter('Previous Rank'!$A$2:$A2766,'Previous Rank'!$B$2:$B2766=B585,'Previous Rank'!$C$2:$C2766=C585))=1,filter('Previous Rank'!$A$2:$A2766,'Previous Rank'!$B$2:$B2766=B585,'Previous Rank'!$C$2:$C2766=C585),"""")"),564.0)</f>
        <v>564</v>
      </c>
      <c r="H585" s="8">
        <f t="shared" si="1"/>
        <v>-20</v>
      </c>
    </row>
    <row r="586">
      <c r="A586" s="10">
        <v>585.0</v>
      </c>
      <c r="B586" s="11" t="s">
        <v>671</v>
      </c>
      <c r="C586" s="10" t="s">
        <v>79</v>
      </c>
      <c r="D586" s="10" t="s">
        <v>27</v>
      </c>
      <c r="E586" s="16"/>
      <c r="F586" s="16" t="s">
        <v>382</v>
      </c>
      <c r="G586" s="13">
        <f>IFERROR(__xludf.DUMMYFUNCTION("if(counta(filter('Previous Rank'!$A$2:$A2766,'Previous Rank'!$B$2:$B2766=B586,'Previous Rank'!$C$2:$C2766=C586))=1,filter('Previous Rank'!$A$2:$A2766,'Previous Rank'!$B$2:$B2766=B586,'Previous Rank'!$C$2:$C2766=C586),"""")"),565.0)</f>
        <v>565</v>
      </c>
      <c r="H586" s="8">
        <f t="shared" si="1"/>
        <v>-20</v>
      </c>
    </row>
    <row r="587">
      <c r="A587" s="10">
        <v>586.0</v>
      </c>
      <c r="B587" s="11" t="s">
        <v>672</v>
      </c>
      <c r="C587" s="10" t="s">
        <v>79</v>
      </c>
      <c r="D587" s="10" t="s">
        <v>12</v>
      </c>
      <c r="E587" s="15"/>
      <c r="F587" s="15" t="s">
        <v>382</v>
      </c>
      <c r="G587" s="13">
        <f>IFERROR(__xludf.DUMMYFUNCTION("if(counta(filter('Previous Rank'!$A$2:$A2766,'Previous Rank'!$B$2:$B2766=B587,'Previous Rank'!$C$2:$C2766=C587))=1,filter('Previous Rank'!$A$2:$A2766,'Previous Rank'!$B$2:$B2766=B587,'Previous Rank'!$C$2:$C2766=C587),"""")"),566.0)</f>
        <v>566</v>
      </c>
      <c r="H587" s="8">
        <f t="shared" si="1"/>
        <v>-20</v>
      </c>
    </row>
    <row r="588">
      <c r="A588" s="10">
        <v>587.0</v>
      </c>
      <c r="B588" s="11" t="s">
        <v>673</v>
      </c>
      <c r="C588" s="10" t="s">
        <v>79</v>
      </c>
      <c r="D588" s="10" t="s">
        <v>105</v>
      </c>
      <c r="E588" s="16"/>
      <c r="F588" s="16" t="s">
        <v>382</v>
      </c>
      <c r="G588" s="13">
        <f>IFERROR(__xludf.DUMMYFUNCTION("if(counta(filter('Previous Rank'!$A$2:$A2766,'Previous Rank'!$B$2:$B2766=B588,'Previous Rank'!$C$2:$C2766=C588))=1,filter('Previous Rank'!$A$2:$A2766,'Previous Rank'!$B$2:$B2766=B588,'Previous Rank'!$C$2:$C2766=C588),"""")"),568.0)</f>
        <v>568</v>
      </c>
      <c r="H588" s="8">
        <f t="shared" si="1"/>
        <v>-19</v>
      </c>
    </row>
    <row r="589">
      <c r="A589" s="10">
        <v>588.0</v>
      </c>
      <c r="B589" s="11" t="s">
        <v>674</v>
      </c>
      <c r="C589" s="10" t="s">
        <v>79</v>
      </c>
      <c r="D589" s="10" t="s">
        <v>206</v>
      </c>
      <c r="E589" s="15"/>
      <c r="F589" s="15" t="s">
        <v>382</v>
      </c>
      <c r="G589" s="13">
        <f>IFERROR(__xludf.DUMMYFUNCTION("if(counta(filter('Previous Rank'!$A$2:$A2766,'Previous Rank'!$B$2:$B2766=B589,'Previous Rank'!$C$2:$C2766=C589))=1,filter('Previous Rank'!$A$2:$A2766,'Previous Rank'!$B$2:$B2766=B589,'Previous Rank'!$C$2:$C2766=C589),"""")"),570.0)</f>
        <v>570</v>
      </c>
      <c r="H589" s="8">
        <f t="shared" si="1"/>
        <v>-18</v>
      </c>
    </row>
    <row r="590">
      <c r="A590" s="10">
        <v>589.0</v>
      </c>
      <c r="B590" s="11" t="s">
        <v>675</v>
      </c>
      <c r="C590" s="10" t="s">
        <v>79</v>
      </c>
      <c r="D590" s="10" t="s">
        <v>42</v>
      </c>
      <c r="E590" s="16"/>
      <c r="F590" s="16" t="s">
        <v>382</v>
      </c>
      <c r="G590" s="13">
        <f>IFERROR(__xludf.DUMMYFUNCTION("if(counta(filter('Previous Rank'!$A$2:$A2766,'Previous Rank'!$B$2:$B2766=B590,'Previous Rank'!$C$2:$C2766=C590))=1,filter('Previous Rank'!$A$2:$A2766,'Previous Rank'!$B$2:$B2766=B590,'Previous Rank'!$C$2:$C2766=C590),"""")"),571.0)</f>
        <v>571</v>
      </c>
      <c r="H590" s="8">
        <f t="shared" si="1"/>
        <v>-18</v>
      </c>
    </row>
    <row r="591">
      <c r="A591" s="10">
        <v>590.0</v>
      </c>
      <c r="B591" s="11" t="s">
        <v>676</v>
      </c>
      <c r="C591" s="10" t="s">
        <v>79</v>
      </c>
      <c r="D591" s="10" t="s">
        <v>42</v>
      </c>
      <c r="E591" s="15"/>
      <c r="F591" s="15" t="s">
        <v>382</v>
      </c>
      <c r="G591" s="13">
        <f>IFERROR(__xludf.DUMMYFUNCTION("if(counta(filter('Previous Rank'!$A$2:$A2766,'Previous Rank'!$B$2:$B2766=B591,'Previous Rank'!$C$2:$C2766=C591))=1,filter('Previous Rank'!$A$2:$A2766,'Previous Rank'!$B$2:$B2766=B591,'Previous Rank'!$C$2:$C2766=C591),"""")"),572.0)</f>
        <v>572</v>
      </c>
      <c r="H591" s="8">
        <f t="shared" si="1"/>
        <v>-18</v>
      </c>
    </row>
    <row r="592">
      <c r="A592" s="10">
        <v>591.0</v>
      </c>
      <c r="B592" s="11" t="s">
        <v>677</v>
      </c>
      <c r="C592" s="10" t="s">
        <v>79</v>
      </c>
      <c r="D592" s="10" t="s">
        <v>25</v>
      </c>
      <c r="E592" s="16"/>
      <c r="F592" s="16" t="s">
        <v>382</v>
      </c>
      <c r="G592" s="13">
        <f>IFERROR(__xludf.DUMMYFUNCTION("if(counta(filter('Previous Rank'!$A$2:$A2766,'Previous Rank'!$B$2:$B2766=B592,'Previous Rank'!$C$2:$C2766=C592))=1,filter('Previous Rank'!$A$2:$A2766,'Previous Rank'!$B$2:$B2766=B592,'Previous Rank'!$C$2:$C2766=C592),"""")"),573.0)</f>
        <v>573</v>
      </c>
      <c r="H592" s="8">
        <f t="shared" si="1"/>
        <v>-18</v>
      </c>
    </row>
    <row r="593">
      <c r="A593" s="10">
        <v>592.0</v>
      </c>
      <c r="B593" s="11" t="s">
        <v>678</v>
      </c>
      <c r="C593" s="10" t="s">
        <v>79</v>
      </c>
      <c r="D593" s="10" t="s">
        <v>99</v>
      </c>
      <c r="E593" s="15"/>
      <c r="F593" s="15" t="s">
        <v>382</v>
      </c>
      <c r="G593" s="13">
        <f>IFERROR(__xludf.DUMMYFUNCTION("if(counta(filter('Previous Rank'!$A$2:$A2766,'Previous Rank'!$B$2:$B2766=B593,'Previous Rank'!$C$2:$C2766=C593))=1,filter('Previous Rank'!$A$2:$A2766,'Previous Rank'!$B$2:$B2766=B593,'Previous Rank'!$C$2:$C2766=C593),"""")"),574.0)</f>
        <v>574</v>
      </c>
      <c r="H593" s="8">
        <f t="shared" si="1"/>
        <v>-18</v>
      </c>
    </row>
    <row r="594">
      <c r="A594" s="10">
        <v>593.0</v>
      </c>
      <c r="B594" s="11" t="s">
        <v>679</v>
      </c>
      <c r="C594" s="10" t="s">
        <v>79</v>
      </c>
      <c r="D594" s="10" t="s">
        <v>46</v>
      </c>
      <c r="E594" s="16"/>
      <c r="F594" s="16" t="s">
        <v>382</v>
      </c>
      <c r="G594" s="13">
        <f>IFERROR(__xludf.DUMMYFUNCTION("if(counta(filter('Previous Rank'!$A$2:$A2766,'Previous Rank'!$B$2:$B2766=B594,'Previous Rank'!$C$2:$C2766=C594))=1,filter('Previous Rank'!$A$2:$A2766,'Previous Rank'!$B$2:$B2766=B594,'Previous Rank'!$C$2:$C2766=C594),"""")"),575.0)</f>
        <v>575</v>
      </c>
      <c r="H594" s="8">
        <f t="shared" si="1"/>
        <v>-18</v>
      </c>
    </row>
    <row r="595">
      <c r="A595" s="10">
        <v>594.0</v>
      </c>
      <c r="B595" s="11" t="s">
        <v>680</v>
      </c>
      <c r="C595" s="10" t="s">
        <v>79</v>
      </c>
      <c r="D595" s="10" t="s">
        <v>12</v>
      </c>
      <c r="E595" s="15"/>
      <c r="F595" s="15" t="s">
        <v>382</v>
      </c>
      <c r="G595" s="13">
        <f>IFERROR(__xludf.DUMMYFUNCTION("if(counta(filter('Previous Rank'!$A$2:$A2766,'Previous Rank'!$B$2:$B2766=B595,'Previous Rank'!$C$2:$C2766=C595))=1,filter('Previous Rank'!$A$2:$A2766,'Previous Rank'!$B$2:$B2766=B595,'Previous Rank'!$C$2:$C2766=C595),"""")"),576.0)</f>
        <v>576</v>
      </c>
      <c r="H595" s="8">
        <f t="shared" si="1"/>
        <v>-18</v>
      </c>
    </row>
    <row r="596">
      <c r="A596" s="10">
        <v>595.0</v>
      </c>
      <c r="B596" s="11" t="s">
        <v>681</v>
      </c>
      <c r="C596" s="10" t="s">
        <v>22</v>
      </c>
      <c r="D596" s="10" t="s">
        <v>18</v>
      </c>
      <c r="E596" s="16"/>
      <c r="F596" s="16" t="s">
        <v>382</v>
      </c>
      <c r="G596" s="13">
        <f>IFERROR(__xludf.DUMMYFUNCTION("if(counta(filter('Previous Rank'!$A$2:$A2766,'Previous Rank'!$B$2:$B2766=B596,'Previous Rank'!$C$2:$C2766=C596))=1,filter('Previous Rank'!$A$2:$A2766,'Previous Rank'!$B$2:$B2766=B596,'Previous Rank'!$C$2:$C2766=C596),"""")"),577.0)</f>
        <v>577</v>
      </c>
      <c r="H596" s="8">
        <f t="shared" si="1"/>
        <v>-18</v>
      </c>
    </row>
    <row r="597">
      <c r="A597" s="10">
        <v>596.0</v>
      </c>
      <c r="B597" s="11" t="s">
        <v>682</v>
      </c>
      <c r="C597" s="10" t="s">
        <v>79</v>
      </c>
      <c r="D597" s="10" t="s">
        <v>46</v>
      </c>
      <c r="E597" s="15"/>
      <c r="F597" s="15" t="s">
        <v>382</v>
      </c>
      <c r="G597" s="13">
        <f>IFERROR(__xludf.DUMMYFUNCTION("if(counta(filter('Previous Rank'!$A$2:$A2766,'Previous Rank'!$B$2:$B2766=B597,'Previous Rank'!$C$2:$C2766=C597))=1,filter('Previous Rank'!$A$2:$A2766,'Previous Rank'!$B$2:$B2766=B597,'Previous Rank'!$C$2:$C2766=C597),"""")"),578.0)</f>
        <v>578</v>
      </c>
      <c r="H597" s="8">
        <f t="shared" si="1"/>
        <v>-18</v>
      </c>
    </row>
    <row r="598">
      <c r="A598" s="10">
        <v>597.0</v>
      </c>
      <c r="B598" s="11" t="s">
        <v>683</v>
      </c>
      <c r="C598" s="10" t="s">
        <v>79</v>
      </c>
      <c r="D598" s="10" t="s">
        <v>67</v>
      </c>
      <c r="E598" s="16"/>
      <c r="F598" s="16" t="s">
        <v>382</v>
      </c>
      <c r="G598" s="13">
        <f>IFERROR(__xludf.DUMMYFUNCTION("if(counta(filter('Previous Rank'!$A$2:$A2766,'Previous Rank'!$B$2:$B2766=B598,'Previous Rank'!$C$2:$C2766=C598))=1,filter('Previous Rank'!$A$2:$A2766,'Previous Rank'!$B$2:$B2766=B598,'Previous Rank'!$C$2:$C2766=C598),"""")"),579.0)</f>
        <v>579</v>
      </c>
      <c r="H598" s="8">
        <f t="shared" si="1"/>
        <v>-18</v>
      </c>
    </row>
    <row r="599">
      <c r="A599" s="10">
        <v>598.0</v>
      </c>
      <c r="B599" s="11" t="s">
        <v>684</v>
      </c>
      <c r="C599" s="10" t="s">
        <v>79</v>
      </c>
      <c r="D599" s="10" t="s">
        <v>120</v>
      </c>
      <c r="E599" s="15"/>
      <c r="F599" s="15" t="s">
        <v>382</v>
      </c>
      <c r="G599" s="13">
        <f>IFERROR(__xludf.DUMMYFUNCTION("if(counta(filter('Previous Rank'!$A$2:$A2766,'Previous Rank'!$B$2:$B2766=B599,'Previous Rank'!$C$2:$C2766=C599))=1,filter('Previous Rank'!$A$2:$A2766,'Previous Rank'!$B$2:$B2766=B599,'Previous Rank'!$C$2:$C2766=C599),"""")"),580.0)</f>
        <v>580</v>
      </c>
      <c r="H599" s="8">
        <f t="shared" si="1"/>
        <v>-18</v>
      </c>
    </row>
    <row r="600">
      <c r="A600" s="10">
        <v>599.0</v>
      </c>
      <c r="B600" s="11" t="s">
        <v>685</v>
      </c>
      <c r="C600" s="10" t="s">
        <v>220</v>
      </c>
      <c r="D600" s="10" t="s">
        <v>206</v>
      </c>
      <c r="E600" s="16"/>
      <c r="F600" s="16" t="s">
        <v>382</v>
      </c>
      <c r="G600" s="13">
        <f>IFERROR(__xludf.DUMMYFUNCTION("if(counta(filter('Previous Rank'!$A$2:$A2766,'Previous Rank'!$B$2:$B2766=B600,'Previous Rank'!$C$2:$C2766=C600))=1,filter('Previous Rank'!$A$2:$A2766,'Previous Rank'!$B$2:$B2766=B600,'Previous Rank'!$C$2:$C2766=C600),"""")"),581.0)</f>
        <v>581</v>
      </c>
      <c r="H600" s="8">
        <f t="shared" si="1"/>
        <v>-18</v>
      </c>
    </row>
    <row r="601">
      <c r="A601" s="10">
        <v>600.0</v>
      </c>
      <c r="B601" s="11" t="s">
        <v>686</v>
      </c>
      <c r="C601" s="10" t="s">
        <v>79</v>
      </c>
      <c r="D601" s="10" t="s">
        <v>9</v>
      </c>
      <c r="E601" s="15"/>
      <c r="F601" s="15" t="s">
        <v>382</v>
      </c>
      <c r="G601" s="13">
        <f>IFERROR(__xludf.DUMMYFUNCTION("if(counta(filter('Previous Rank'!$A$2:$A2766,'Previous Rank'!$B$2:$B2766=B601,'Previous Rank'!$C$2:$C2766=C601))=1,filter('Previous Rank'!$A$2:$A2766,'Previous Rank'!$B$2:$B2766=B601,'Previous Rank'!$C$2:$C2766=C601),"""")"),582.0)</f>
        <v>582</v>
      </c>
      <c r="H601" s="8">
        <f t="shared" si="1"/>
        <v>-18</v>
      </c>
    </row>
    <row r="602">
      <c r="A602" s="10">
        <v>601.0</v>
      </c>
      <c r="B602" s="11" t="s">
        <v>687</v>
      </c>
      <c r="C602" s="10" t="s">
        <v>22</v>
      </c>
      <c r="D602" s="10" t="s">
        <v>49</v>
      </c>
      <c r="E602" s="16"/>
      <c r="F602" s="16" t="s">
        <v>382</v>
      </c>
      <c r="G602" s="13">
        <f>IFERROR(__xludf.DUMMYFUNCTION("if(counta(filter('Previous Rank'!$A$2:$A2766,'Previous Rank'!$B$2:$B2766=B602,'Previous Rank'!$C$2:$C2766=C602))=1,filter('Previous Rank'!$A$2:$A2766,'Previous Rank'!$B$2:$B2766=B602,'Previous Rank'!$C$2:$C2766=C602),"""")"),583.0)</f>
        <v>583</v>
      </c>
      <c r="H602" s="8">
        <f t="shared" si="1"/>
        <v>-18</v>
      </c>
    </row>
    <row r="603">
      <c r="A603" s="10">
        <v>602.0</v>
      </c>
      <c r="B603" s="11" t="s">
        <v>688</v>
      </c>
      <c r="C603" s="10" t="s">
        <v>79</v>
      </c>
      <c r="D603" s="10" t="s">
        <v>129</v>
      </c>
      <c r="E603" s="15"/>
      <c r="F603" s="15" t="s">
        <v>382</v>
      </c>
      <c r="G603" s="13">
        <f>IFERROR(__xludf.DUMMYFUNCTION("if(counta(filter('Previous Rank'!$A$2:$A2766,'Previous Rank'!$B$2:$B2766=B603,'Previous Rank'!$C$2:$C2766=C603))=1,filter('Previous Rank'!$A$2:$A2766,'Previous Rank'!$B$2:$B2766=B603,'Previous Rank'!$C$2:$C2766=C603),"""")"),584.0)</f>
        <v>584</v>
      </c>
      <c r="H603" s="8">
        <f t="shared" si="1"/>
        <v>-18</v>
      </c>
    </row>
    <row r="604">
      <c r="A604" s="10">
        <v>603.0</v>
      </c>
      <c r="B604" s="11" t="s">
        <v>689</v>
      </c>
      <c r="C604" s="10" t="s">
        <v>22</v>
      </c>
      <c r="D604" s="10" t="s">
        <v>67</v>
      </c>
      <c r="E604" s="16"/>
      <c r="F604" s="16" t="s">
        <v>382</v>
      </c>
      <c r="G604" s="13">
        <f>IFERROR(__xludf.DUMMYFUNCTION("if(counta(filter('Previous Rank'!$A$2:$A2766,'Previous Rank'!$B$2:$B2766=B604,'Previous Rank'!$C$2:$C2766=C604))=1,filter('Previous Rank'!$A$2:$A2766,'Previous Rank'!$B$2:$B2766=B604,'Previous Rank'!$C$2:$C2766=C604),"""")"),585.0)</f>
        <v>585</v>
      </c>
      <c r="H604" s="8">
        <f t="shared" si="1"/>
        <v>-18</v>
      </c>
    </row>
    <row r="605">
      <c r="A605" s="10">
        <v>604.0</v>
      </c>
      <c r="B605" s="11" t="s">
        <v>690</v>
      </c>
      <c r="C605" s="10" t="s">
        <v>218</v>
      </c>
      <c r="D605" s="10" t="s">
        <v>90</v>
      </c>
      <c r="E605" s="15"/>
      <c r="F605" s="15" t="s">
        <v>382</v>
      </c>
      <c r="G605" s="13">
        <f>IFERROR(__xludf.DUMMYFUNCTION("if(counta(filter('Previous Rank'!$A$2:$A2766,'Previous Rank'!$B$2:$B2766=B605,'Previous Rank'!$C$2:$C2766=C605))=1,filter('Previous Rank'!$A$2:$A2766,'Previous Rank'!$B$2:$B2766=B605,'Previous Rank'!$C$2:$C2766=C605),"""")"),586.0)</f>
        <v>586</v>
      </c>
      <c r="H605" s="8">
        <f t="shared" si="1"/>
        <v>-18</v>
      </c>
    </row>
    <row r="606">
      <c r="A606" s="10">
        <v>605.0</v>
      </c>
      <c r="B606" s="11" t="s">
        <v>691</v>
      </c>
      <c r="C606" s="10" t="s">
        <v>220</v>
      </c>
      <c r="D606" s="10" t="s">
        <v>206</v>
      </c>
      <c r="E606" s="16"/>
      <c r="F606" s="16" t="s">
        <v>382</v>
      </c>
      <c r="G606" s="13">
        <f>IFERROR(__xludf.DUMMYFUNCTION("if(counta(filter('Previous Rank'!$A$2:$A2766,'Previous Rank'!$B$2:$B2766=B606,'Previous Rank'!$C$2:$C2766=C606))=1,filter('Previous Rank'!$A$2:$A2766,'Previous Rank'!$B$2:$B2766=B606,'Previous Rank'!$C$2:$C2766=C606),"""")"),587.0)</f>
        <v>587</v>
      </c>
      <c r="H606" s="8">
        <f t="shared" si="1"/>
        <v>-18</v>
      </c>
    </row>
    <row r="607">
      <c r="A607" s="10">
        <v>606.0</v>
      </c>
      <c r="B607" s="11" t="s">
        <v>692</v>
      </c>
      <c r="C607" s="10" t="s">
        <v>22</v>
      </c>
      <c r="D607" s="10" t="s">
        <v>71</v>
      </c>
      <c r="E607" s="15"/>
      <c r="F607" s="15" t="s">
        <v>382</v>
      </c>
      <c r="G607" s="13">
        <f>IFERROR(__xludf.DUMMYFUNCTION("if(counta(filter('Previous Rank'!$A$2:$A2766,'Previous Rank'!$B$2:$B2766=B607,'Previous Rank'!$C$2:$C2766=C607))=1,filter('Previous Rank'!$A$2:$A2766,'Previous Rank'!$B$2:$B2766=B607,'Previous Rank'!$C$2:$C2766=C607),"""")"),588.0)</f>
        <v>588</v>
      </c>
      <c r="H607" s="8">
        <f t="shared" si="1"/>
        <v>-18</v>
      </c>
    </row>
    <row r="608">
      <c r="A608" s="10">
        <v>607.0</v>
      </c>
      <c r="B608" s="11" t="s">
        <v>693</v>
      </c>
      <c r="C608" s="10" t="s">
        <v>79</v>
      </c>
      <c r="D608" s="10" t="s">
        <v>90</v>
      </c>
      <c r="E608" s="16"/>
      <c r="F608" s="16" t="s">
        <v>382</v>
      </c>
      <c r="G608" s="13">
        <f>IFERROR(__xludf.DUMMYFUNCTION("if(counta(filter('Previous Rank'!$A$2:$A2766,'Previous Rank'!$B$2:$B2766=B608,'Previous Rank'!$C$2:$C2766=C608))=1,filter('Previous Rank'!$A$2:$A2766,'Previous Rank'!$B$2:$B2766=B608,'Previous Rank'!$C$2:$C2766=C608),"""")"),589.0)</f>
        <v>589</v>
      </c>
      <c r="H608" s="8">
        <f t="shared" si="1"/>
        <v>-18</v>
      </c>
    </row>
    <row r="609">
      <c r="A609" s="10">
        <v>608.0</v>
      </c>
      <c r="B609" s="11" t="s">
        <v>694</v>
      </c>
      <c r="C609" s="10" t="s">
        <v>79</v>
      </c>
      <c r="D609" s="10" t="s">
        <v>90</v>
      </c>
      <c r="E609" s="15"/>
      <c r="F609" s="15" t="s">
        <v>382</v>
      </c>
      <c r="G609" s="13">
        <f>IFERROR(__xludf.DUMMYFUNCTION("if(counta(filter('Previous Rank'!$A$2:$A2766,'Previous Rank'!$B$2:$B2766=B609,'Previous Rank'!$C$2:$C2766=C609))=1,filter('Previous Rank'!$A$2:$A2766,'Previous Rank'!$B$2:$B2766=B609,'Previous Rank'!$C$2:$C2766=C609),"""")"),590.0)</f>
        <v>590</v>
      </c>
      <c r="H609" s="8">
        <f t="shared" si="1"/>
        <v>-18</v>
      </c>
    </row>
    <row r="610">
      <c r="A610" s="10">
        <v>609.0</v>
      </c>
      <c r="B610" s="11" t="s">
        <v>695</v>
      </c>
      <c r="C610" s="10" t="s">
        <v>79</v>
      </c>
      <c r="D610" s="10" t="s">
        <v>9</v>
      </c>
      <c r="E610" s="16"/>
      <c r="F610" s="16" t="s">
        <v>382</v>
      </c>
      <c r="G610" s="13">
        <f>IFERROR(__xludf.DUMMYFUNCTION("if(counta(filter('Previous Rank'!$A$2:$A2766,'Previous Rank'!$B$2:$B2766=B610,'Previous Rank'!$C$2:$C2766=C610))=1,filter('Previous Rank'!$A$2:$A2766,'Previous Rank'!$B$2:$B2766=B610,'Previous Rank'!$C$2:$C2766=C610),"""")"),591.0)</f>
        <v>591</v>
      </c>
      <c r="H610" s="8">
        <f t="shared" si="1"/>
        <v>-18</v>
      </c>
    </row>
    <row r="611">
      <c r="A611" s="10">
        <v>610.0</v>
      </c>
      <c r="B611" s="11" t="s">
        <v>696</v>
      </c>
      <c r="C611" s="10" t="s">
        <v>79</v>
      </c>
      <c r="D611" s="10" t="s">
        <v>67</v>
      </c>
      <c r="E611" s="15"/>
      <c r="F611" s="15" t="s">
        <v>382</v>
      </c>
      <c r="G611" s="13">
        <f>IFERROR(__xludf.DUMMYFUNCTION("if(counta(filter('Previous Rank'!$A$2:$A2766,'Previous Rank'!$B$2:$B2766=B611,'Previous Rank'!$C$2:$C2766=C611))=1,filter('Previous Rank'!$A$2:$A2766,'Previous Rank'!$B$2:$B2766=B611,'Previous Rank'!$C$2:$C2766=C611),"""")"),592.0)</f>
        <v>592</v>
      </c>
      <c r="H611" s="8">
        <f t="shared" si="1"/>
        <v>-18</v>
      </c>
    </row>
    <row r="612">
      <c r="A612" s="10">
        <v>611.0</v>
      </c>
      <c r="B612" s="11" t="s">
        <v>697</v>
      </c>
      <c r="C612" s="10" t="s">
        <v>79</v>
      </c>
      <c r="D612" s="10" t="s">
        <v>85</v>
      </c>
      <c r="E612" s="16"/>
      <c r="F612" s="16" t="s">
        <v>382</v>
      </c>
      <c r="G612" s="13">
        <f>IFERROR(__xludf.DUMMYFUNCTION("if(counta(filter('Previous Rank'!$A$2:$A2766,'Previous Rank'!$B$2:$B2766=B612,'Previous Rank'!$C$2:$C2766=C612))=1,filter('Previous Rank'!$A$2:$A2766,'Previous Rank'!$B$2:$B2766=B612,'Previous Rank'!$C$2:$C2766=C612),"""")"),594.0)</f>
        <v>594</v>
      </c>
      <c r="H612" s="8">
        <f t="shared" si="1"/>
        <v>-17</v>
      </c>
    </row>
    <row r="613">
      <c r="A613" s="10">
        <v>612.0</v>
      </c>
      <c r="B613" s="11" t="s">
        <v>698</v>
      </c>
      <c r="C613" s="10" t="s">
        <v>79</v>
      </c>
      <c r="D613" s="10" t="s">
        <v>105</v>
      </c>
      <c r="E613" s="15"/>
      <c r="F613" s="15" t="s">
        <v>382</v>
      </c>
      <c r="G613" s="13">
        <f>IFERROR(__xludf.DUMMYFUNCTION("if(counta(filter('Previous Rank'!$A$2:$A2766,'Previous Rank'!$B$2:$B2766=B613,'Previous Rank'!$C$2:$C2766=C613))=1,filter('Previous Rank'!$A$2:$A2766,'Previous Rank'!$B$2:$B2766=B613,'Previous Rank'!$C$2:$C2766=C613),"""")"),595.0)</f>
        <v>595</v>
      </c>
      <c r="H613" s="8">
        <f t="shared" si="1"/>
        <v>-17</v>
      </c>
    </row>
    <row r="614">
      <c r="A614" s="10">
        <v>613.0</v>
      </c>
      <c r="B614" s="11" t="s">
        <v>699</v>
      </c>
      <c r="C614" s="10" t="s">
        <v>700</v>
      </c>
      <c r="D614" s="10" t="s">
        <v>113</v>
      </c>
      <c r="E614" s="14"/>
      <c r="F614" s="14" t="s">
        <v>382</v>
      </c>
      <c r="G614" s="13">
        <f>IFERROR(__xludf.DUMMYFUNCTION("if(counta(filter('Previous Rank'!$A$2:$A2766,'Previous Rank'!$B$2:$B2766=B614,'Previous Rank'!$C$2:$C2766=C614))=1,filter('Previous Rank'!$A$2:$A2766,'Previous Rank'!$B$2:$B2766=B614,'Previous Rank'!$C$2:$C2766=C614),"""")"),596.0)</f>
        <v>596</v>
      </c>
      <c r="H614" s="8">
        <f t="shared" si="1"/>
        <v>-17</v>
      </c>
    </row>
    <row r="615">
      <c r="A615" s="10">
        <v>614.0</v>
      </c>
      <c r="B615" s="11" t="s">
        <v>701</v>
      </c>
      <c r="C615" s="10" t="s">
        <v>79</v>
      </c>
      <c r="D615" s="10" t="s">
        <v>9</v>
      </c>
      <c r="E615" s="15"/>
      <c r="F615" s="15" t="s">
        <v>382</v>
      </c>
      <c r="G615" s="13">
        <f>IFERROR(__xludf.DUMMYFUNCTION("if(counta(filter('Previous Rank'!$A$2:$A2766,'Previous Rank'!$B$2:$B2766=B615,'Previous Rank'!$C$2:$C2766=C615))=1,filter('Previous Rank'!$A$2:$A2766,'Previous Rank'!$B$2:$B2766=B615,'Previous Rank'!$C$2:$C2766=C615),"""")"),597.0)</f>
        <v>597</v>
      </c>
      <c r="H615" s="8">
        <f t="shared" si="1"/>
        <v>-17</v>
      </c>
    </row>
    <row r="616">
      <c r="A616" s="10">
        <v>615.0</v>
      </c>
      <c r="B616" s="11" t="s">
        <v>702</v>
      </c>
      <c r="C616" s="10" t="s">
        <v>79</v>
      </c>
      <c r="D616" s="10" t="s">
        <v>18</v>
      </c>
      <c r="E616" s="16"/>
      <c r="F616" s="16" t="s">
        <v>382</v>
      </c>
      <c r="G616" s="13">
        <f>IFERROR(__xludf.DUMMYFUNCTION("if(counta(filter('Previous Rank'!$A$2:$A2766,'Previous Rank'!$B$2:$B2766=B616,'Previous Rank'!$C$2:$C2766=C616))=1,filter('Previous Rank'!$A$2:$A2766,'Previous Rank'!$B$2:$B2766=B616,'Previous Rank'!$C$2:$C2766=C616),"""")"),598.0)</f>
        <v>598</v>
      </c>
      <c r="H616" s="8">
        <f t="shared" si="1"/>
        <v>-17</v>
      </c>
    </row>
    <row r="617">
      <c r="A617" s="10">
        <v>616.0</v>
      </c>
      <c r="B617" s="11" t="s">
        <v>703</v>
      </c>
      <c r="C617" s="10" t="s">
        <v>79</v>
      </c>
      <c r="D617" s="10" t="s">
        <v>99</v>
      </c>
      <c r="E617" s="12"/>
      <c r="F617" s="12" t="s">
        <v>382</v>
      </c>
      <c r="G617" s="13">
        <f>IFERROR(__xludf.DUMMYFUNCTION("if(counta(filter('Previous Rank'!$A$2:$A2766,'Previous Rank'!$B$2:$B2766=B617,'Previous Rank'!$C$2:$C2766=C617))=1,filter('Previous Rank'!$A$2:$A2766,'Previous Rank'!$B$2:$B2766=B617,'Previous Rank'!$C$2:$C2766=C617),"""")"),599.0)</f>
        <v>599</v>
      </c>
      <c r="H617" s="8">
        <f t="shared" si="1"/>
        <v>-17</v>
      </c>
    </row>
    <row r="618">
      <c r="A618" s="10">
        <v>617.0</v>
      </c>
      <c r="B618" s="11" t="s">
        <v>704</v>
      </c>
      <c r="C618" s="10" t="s">
        <v>79</v>
      </c>
      <c r="D618" s="10" t="s">
        <v>9</v>
      </c>
      <c r="E618" s="16"/>
      <c r="F618" s="16" t="s">
        <v>382</v>
      </c>
      <c r="G618" s="13">
        <f>IFERROR(__xludf.DUMMYFUNCTION("if(counta(filter('Previous Rank'!$A$2:$A2766,'Previous Rank'!$B$2:$B2766=B618,'Previous Rank'!$C$2:$C2766=C618))=1,filter('Previous Rank'!$A$2:$A2766,'Previous Rank'!$B$2:$B2766=B618,'Previous Rank'!$C$2:$C2766=C618),"""")"),600.0)</f>
        <v>600</v>
      </c>
      <c r="H618" s="8">
        <f t="shared" si="1"/>
        <v>-17</v>
      </c>
    </row>
    <row r="619">
      <c r="A619" s="10">
        <v>618.0</v>
      </c>
      <c r="B619" s="11" t="s">
        <v>705</v>
      </c>
      <c r="C619" s="10" t="s">
        <v>79</v>
      </c>
      <c r="D619" s="10" t="s">
        <v>140</v>
      </c>
      <c r="E619" s="15"/>
      <c r="F619" s="15" t="s">
        <v>382</v>
      </c>
      <c r="G619" s="13">
        <f>IFERROR(__xludf.DUMMYFUNCTION("if(counta(filter('Previous Rank'!$A$2:$A2766,'Previous Rank'!$B$2:$B2766=B619,'Previous Rank'!$C$2:$C2766=C619))=1,filter('Previous Rank'!$A$2:$A2766,'Previous Rank'!$B$2:$B2766=B619,'Previous Rank'!$C$2:$C2766=C619),"""")"),601.0)</f>
        <v>601</v>
      </c>
      <c r="H619" s="8">
        <f t="shared" si="1"/>
        <v>-17</v>
      </c>
    </row>
    <row r="620">
      <c r="A620" s="10">
        <v>619.0</v>
      </c>
      <c r="B620" s="11" t="s">
        <v>706</v>
      </c>
      <c r="C620" s="10" t="s">
        <v>79</v>
      </c>
      <c r="D620" s="10" t="s">
        <v>34</v>
      </c>
      <c r="E620" s="16"/>
      <c r="F620" s="16" t="s">
        <v>382</v>
      </c>
      <c r="G620" s="13">
        <f>IFERROR(__xludf.DUMMYFUNCTION("if(counta(filter('Previous Rank'!$A$2:$A2766,'Previous Rank'!$B$2:$B2766=B620,'Previous Rank'!$C$2:$C2766=C620))=1,filter('Previous Rank'!$A$2:$A2766,'Previous Rank'!$B$2:$B2766=B620,'Previous Rank'!$C$2:$C2766=C620),"""")"),602.0)</f>
        <v>602</v>
      </c>
      <c r="H620" s="8">
        <f t="shared" si="1"/>
        <v>-17</v>
      </c>
    </row>
    <row r="621">
      <c r="A621" s="10">
        <v>620.0</v>
      </c>
      <c r="B621" s="11" t="s">
        <v>707</v>
      </c>
      <c r="C621" s="10" t="s">
        <v>79</v>
      </c>
      <c r="D621" s="10" t="s">
        <v>90</v>
      </c>
      <c r="E621" s="15"/>
      <c r="F621" s="15" t="s">
        <v>382</v>
      </c>
      <c r="G621" s="13">
        <f>IFERROR(__xludf.DUMMYFUNCTION("if(counta(filter('Previous Rank'!$A$2:$A2766,'Previous Rank'!$B$2:$B2766=B621,'Previous Rank'!$C$2:$C2766=C621))=1,filter('Previous Rank'!$A$2:$A2766,'Previous Rank'!$B$2:$B2766=B621,'Previous Rank'!$C$2:$C2766=C621),"""")"),604.0)</f>
        <v>604</v>
      </c>
      <c r="H621" s="8">
        <f t="shared" si="1"/>
        <v>-16</v>
      </c>
    </row>
    <row r="622">
      <c r="A622" s="10">
        <v>621.0</v>
      </c>
      <c r="B622" s="11" t="s">
        <v>708</v>
      </c>
      <c r="C622" s="10" t="s">
        <v>79</v>
      </c>
      <c r="D622" s="10" t="s">
        <v>18</v>
      </c>
      <c r="E622" s="16"/>
      <c r="F622" s="16" t="s">
        <v>382</v>
      </c>
      <c r="G622" s="13">
        <f>IFERROR(__xludf.DUMMYFUNCTION("if(counta(filter('Previous Rank'!$A$2:$A2766,'Previous Rank'!$B$2:$B2766=B622,'Previous Rank'!$C$2:$C2766=C622))=1,filter('Previous Rank'!$A$2:$A2766,'Previous Rank'!$B$2:$B2766=B622,'Previous Rank'!$C$2:$C2766=C622),"""")"),605.0)</f>
        <v>605</v>
      </c>
      <c r="H622" s="8">
        <f t="shared" si="1"/>
        <v>-16</v>
      </c>
    </row>
    <row r="623">
      <c r="A623" s="10">
        <v>622.0</v>
      </c>
      <c r="B623" s="11" t="s">
        <v>709</v>
      </c>
      <c r="C623" s="10" t="s">
        <v>79</v>
      </c>
      <c r="D623" s="10" t="s">
        <v>9</v>
      </c>
      <c r="E623" s="15"/>
      <c r="F623" s="15" t="s">
        <v>382</v>
      </c>
      <c r="G623" s="13">
        <f>IFERROR(__xludf.DUMMYFUNCTION("if(counta(filter('Previous Rank'!$A$2:$A2766,'Previous Rank'!$B$2:$B2766=B623,'Previous Rank'!$C$2:$C2766=C623))=1,filter('Previous Rank'!$A$2:$A2766,'Previous Rank'!$B$2:$B2766=B623,'Previous Rank'!$C$2:$C2766=C623),"""")"),606.0)</f>
        <v>606</v>
      </c>
      <c r="H623" s="8">
        <f t="shared" si="1"/>
        <v>-16</v>
      </c>
    </row>
    <row r="624">
      <c r="A624" s="10">
        <v>623.0</v>
      </c>
      <c r="B624" s="11" t="s">
        <v>710</v>
      </c>
      <c r="C624" s="10" t="s">
        <v>79</v>
      </c>
      <c r="D624" s="10" t="s">
        <v>18</v>
      </c>
      <c r="E624" s="16"/>
      <c r="F624" s="16" t="s">
        <v>382</v>
      </c>
      <c r="G624" s="13">
        <f>IFERROR(__xludf.DUMMYFUNCTION("if(counta(filter('Previous Rank'!$A$2:$A2766,'Previous Rank'!$B$2:$B2766=B624,'Previous Rank'!$C$2:$C2766=C624))=1,filter('Previous Rank'!$A$2:$A2766,'Previous Rank'!$B$2:$B2766=B624,'Previous Rank'!$C$2:$C2766=C624),"""")"),607.0)</f>
        <v>607</v>
      </c>
      <c r="H624" s="8">
        <f t="shared" si="1"/>
        <v>-16</v>
      </c>
    </row>
    <row r="625">
      <c r="A625" s="10">
        <v>624.0</v>
      </c>
      <c r="B625" s="11" t="s">
        <v>711</v>
      </c>
      <c r="C625" s="10" t="s">
        <v>79</v>
      </c>
      <c r="D625" s="10" t="s">
        <v>9</v>
      </c>
      <c r="E625" s="15"/>
      <c r="F625" s="15" t="s">
        <v>382</v>
      </c>
      <c r="G625" s="13">
        <f>IFERROR(__xludf.DUMMYFUNCTION("if(counta(filter('Previous Rank'!$A$2:$A2766,'Previous Rank'!$B$2:$B2766=B625,'Previous Rank'!$C$2:$C2766=C625))=1,filter('Previous Rank'!$A$2:$A2766,'Previous Rank'!$B$2:$B2766=B625,'Previous Rank'!$C$2:$C2766=C625),"""")"),608.0)</f>
        <v>608</v>
      </c>
      <c r="H625" s="8">
        <f t="shared" si="1"/>
        <v>-16</v>
      </c>
    </row>
    <row r="626">
      <c r="A626" s="10">
        <v>625.0</v>
      </c>
      <c r="B626" s="11" t="s">
        <v>712</v>
      </c>
      <c r="C626" s="10" t="s">
        <v>22</v>
      </c>
      <c r="D626" s="10" t="s">
        <v>67</v>
      </c>
      <c r="E626" s="16"/>
      <c r="F626" s="16" t="s">
        <v>382</v>
      </c>
      <c r="G626" s="13">
        <f>IFERROR(__xludf.DUMMYFUNCTION("if(counta(filter('Previous Rank'!$A$2:$A2766,'Previous Rank'!$B$2:$B2766=B626,'Previous Rank'!$C$2:$C2766=C626))=1,filter('Previous Rank'!$A$2:$A2766,'Previous Rank'!$B$2:$B2766=B626,'Previous Rank'!$C$2:$C2766=C626),"""")"),609.0)</f>
        <v>609</v>
      </c>
      <c r="H626" s="8">
        <f t="shared" si="1"/>
        <v>-16</v>
      </c>
    </row>
    <row r="627">
      <c r="A627" s="10">
        <v>626.0</v>
      </c>
      <c r="B627" s="11" t="s">
        <v>713</v>
      </c>
      <c r="C627" s="10" t="s">
        <v>79</v>
      </c>
      <c r="D627" s="10" t="s">
        <v>99</v>
      </c>
      <c r="E627" s="12"/>
      <c r="F627" s="12" t="s">
        <v>382</v>
      </c>
      <c r="G627" s="13">
        <f>IFERROR(__xludf.DUMMYFUNCTION("if(counta(filter('Previous Rank'!$A$2:$A2766,'Previous Rank'!$B$2:$B2766=B627,'Previous Rank'!$C$2:$C2766=C627))=1,filter('Previous Rank'!$A$2:$A2766,'Previous Rank'!$B$2:$B2766=B627,'Previous Rank'!$C$2:$C2766=C627),"""")"),610.0)</f>
        <v>610</v>
      </c>
      <c r="H627" s="8">
        <f t="shared" si="1"/>
        <v>-16</v>
      </c>
    </row>
    <row r="628">
      <c r="A628" s="10">
        <v>627.0</v>
      </c>
      <c r="B628" s="11" t="s">
        <v>714</v>
      </c>
      <c r="C628" s="10" t="s">
        <v>79</v>
      </c>
      <c r="D628" s="10" t="s">
        <v>34</v>
      </c>
      <c r="E628" s="16"/>
      <c r="F628" s="16" t="s">
        <v>382</v>
      </c>
      <c r="G628" s="13">
        <f>IFERROR(__xludf.DUMMYFUNCTION("if(counta(filter('Previous Rank'!$A$2:$A2766,'Previous Rank'!$B$2:$B2766=B628,'Previous Rank'!$C$2:$C2766=C628))=1,filter('Previous Rank'!$A$2:$A2766,'Previous Rank'!$B$2:$B2766=B628,'Previous Rank'!$C$2:$C2766=C628),"""")"),611.0)</f>
        <v>611</v>
      </c>
      <c r="H628" s="8">
        <f t="shared" si="1"/>
        <v>-16</v>
      </c>
    </row>
    <row r="629">
      <c r="A629" s="10">
        <v>628.0</v>
      </c>
      <c r="B629" s="11" t="s">
        <v>715</v>
      </c>
      <c r="C629" s="10" t="s">
        <v>79</v>
      </c>
      <c r="D629" s="10" t="s">
        <v>82</v>
      </c>
      <c r="E629" s="12"/>
      <c r="F629" s="12" t="s">
        <v>382</v>
      </c>
      <c r="G629" s="13">
        <f>IFERROR(__xludf.DUMMYFUNCTION("if(counta(filter('Previous Rank'!$A$2:$A2766,'Previous Rank'!$B$2:$B2766=B629,'Previous Rank'!$C$2:$C2766=C629))=1,filter('Previous Rank'!$A$2:$A2766,'Previous Rank'!$B$2:$B2766=B629,'Previous Rank'!$C$2:$C2766=C629),"""")"),612.0)</f>
        <v>612</v>
      </c>
      <c r="H629" s="8">
        <f t="shared" si="1"/>
        <v>-16</v>
      </c>
    </row>
    <row r="630">
      <c r="A630" s="10">
        <v>629.0</v>
      </c>
      <c r="B630" s="11" t="s">
        <v>716</v>
      </c>
      <c r="C630" s="10" t="s">
        <v>22</v>
      </c>
      <c r="D630" s="10" t="s">
        <v>18</v>
      </c>
      <c r="E630" s="16"/>
      <c r="F630" s="16" t="s">
        <v>382</v>
      </c>
      <c r="G630" s="13">
        <f>IFERROR(__xludf.DUMMYFUNCTION("if(counta(filter('Previous Rank'!$A$2:$A2766,'Previous Rank'!$B$2:$B2766=B630,'Previous Rank'!$C$2:$C2766=C630))=1,filter('Previous Rank'!$A$2:$A2766,'Previous Rank'!$B$2:$B2766=B630,'Previous Rank'!$C$2:$C2766=C630),"""")"),613.0)</f>
        <v>613</v>
      </c>
      <c r="H630" s="8">
        <f t="shared" si="1"/>
        <v>-16</v>
      </c>
    </row>
    <row r="631">
      <c r="A631" s="10">
        <v>630.0</v>
      </c>
      <c r="B631" s="11" t="s">
        <v>717</v>
      </c>
      <c r="C631" s="10" t="s">
        <v>79</v>
      </c>
      <c r="D631" s="10" t="s">
        <v>137</v>
      </c>
      <c r="E631" s="15"/>
      <c r="F631" s="15" t="s">
        <v>382</v>
      </c>
      <c r="G631" s="13">
        <f>IFERROR(__xludf.DUMMYFUNCTION("if(counta(filter('Previous Rank'!$A$2:$A2766,'Previous Rank'!$B$2:$B2766=B631,'Previous Rank'!$C$2:$C2766=C631))=1,filter('Previous Rank'!$A$2:$A2766,'Previous Rank'!$B$2:$B2766=B631,'Previous Rank'!$C$2:$C2766=C631),"""")"),614.0)</f>
        <v>614</v>
      </c>
      <c r="H631" s="8">
        <f t="shared" si="1"/>
        <v>-16</v>
      </c>
    </row>
    <row r="632">
      <c r="A632" s="10">
        <v>631.0</v>
      </c>
      <c r="B632" s="11" t="s">
        <v>718</v>
      </c>
      <c r="C632" s="10" t="s">
        <v>79</v>
      </c>
      <c r="D632" s="10" t="s">
        <v>73</v>
      </c>
      <c r="E632" s="16"/>
      <c r="F632" s="16" t="s">
        <v>382</v>
      </c>
      <c r="G632" s="13">
        <f>IFERROR(__xludf.DUMMYFUNCTION("if(counta(filter('Previous Rank'!$A$2:$A2766,'Previous Rank'!$B$2:$B2766=B632,'Previous Rank'!$C$2:$C2766=C632))=1,filter('Previous Rank'!$A$2:$A2766,'Previous Rank'!$B$2:$B2766=B632,'Previous Rank'!$C$2:$C2766=C632),"""")"),615.0)</f>
        <v>615</v>
      </c>
      <c r="H632" s="8">
        <f t="shared" si="1"/>
        <v>-16</v>
      </c>
    </row>
    <row r="633">
      <c r="A633" s="10">
        <v>632.0</v>
      </c>
      <c r="B633" s="11" t="s">
        <v>719</v>
      </c>
      <c r="C633" s="10" t="s">
        <v>220</v>
      </c>
      <c r="D633" s="10" t="s">
        <v>113</v>
      </c>
      <c r="E633" s="12"/>
      <c r="F633" s="12" t="s">
        <v>382</v>
      </c>
      <c r="G633" s="13">
        <f>IFERROR(__xludf.DUMMYFUNCTION("if(counta(filter('Previous Rank'!$A$2:$A2766,'Previous Rank'!$B$2:$B2766=B633,'Previous Rank'!$C$2:$C2766=C633))=1,filter('Previous Rank'!$A$2:$A2766,'Previous Rank'!$B$2:$B2766=B633,'Previous Rank'!$C$2:$C2766=C633),"""")"),616.0)</f>
        <v>616</v>
      </c>
      <c r="H633" s="8">
        <f t="shared" si="1"/>
        <v>-16</v>
      </c>
    </row>
    <row r="634">
      <c r="A634" s="10">
        <v>633.0</v>
      </c>
      <c r="B634" s="11" t="s">
        <v>720</v>
      </c>
      <c r="C634" s="10" t="s">
        <v>79</v>
      </c>
      <c r="D634" s="10" t="s">
        <v>49</v>
      </c>
      <c r="E634" s="16"/>
      <c r="F634" s="16" t="s">
        <v>382</v>
      </c>
      <c r="G634" s="13">
        <f>IFERROR(__xludf.DUMMYFUNCTION("if(counta(filter('Previous Rank'!$A$2:$A2766,'Previous Rank'!$B$2:$B2766=B634,'Previous Rank'!$C$2:$C2766=C634))=1,filter('Previous Rank'!$A$2:$A2766,'Previous Rank'!$B$2:$B2766=B634,'Previous Rank'!$C$2:$C2766=C634),"""")"),617.0)</f>
        <v>617</v>
      </c>
      <c r="H634" s="8">
        <f t="shared" si="1"/>
        <v>-16</v>
      </c>
    </row>
    <row r="635">
      <c r="A635" s="10">
        <v>634.0</v>
      </c>
      <c r="B635" s="11" t="s">
        <v>721</v>
      </c>
      <c r="C635" s="10" t="s">
        <v>79</v>
      </c>
      <c r="D635" s="10" t="s">
        <v>52</v>
      </c>
      <c r="E635" s="15"/>
      <c r="F635" s="15" t="s">
        <v>382</v>
      </c>
      <c r="G635" s="13">
        <f>IFERROR(__xludf.DUMMYFUNCTION("if(counta(filter('Previous Rank'!$A$2:$A2766,'Previous Rank'!$B$2:$B2766=B635,'Previous Rank'!$C$2:$C2766=C635))=1,filter('Previous Rank'!$A$2:$A2766,'Previous Rank'!$B$2:$B2766=B635,'Previous Rank'!$C$2:$C2766=C635),"""")"),618.0)</f>
        <v>618</v>
      </c>
      <c r="H635" s="8">
        <f t="shared" si="1"/>
        <v>-16</v>
      </c>
    </row>
    <row r="636">
      <c r="A636" s="10">
        <v>635.0</v>
      </c>
      <c r="B636" s="11" t="s">
        <v>722</v>
      </c>
      <c r="C636" s="10" t="s">
        <v>79</v>
      </c>
      <c r="D636" s="10" t="s">
        <v>27</v>
      </c>
      <c r="E636" s="16"/>
      <c r="F636" s="16" t="s">
        <v>382</v>
      </c>
      <c r="G636" s="13">
        <f>IFERROR(__xludf.DUMMYFUNCTION("if(counta(filter('Previous Rank'!$A$2:$A2766,'Previous Rank'!$B$2:$B2766=B636,'Previous Rank'!$C$2:$C2766=C636))=1,filter('Previous Rank'!$A$2:$A2766,'Previous Rank'!$B$2:$B2766=B636,'Previous Rank'!$C$2:$C2766=C636),"""")"),619.0)</f>
        <v>619</v>
      </c>
      <c r="H636" s="8">
        <f t="shared" si="1"/>
        <v>-16</v>
      </c>
    </row>
    <row r="637">
      <c r="A637" s="10">
        <v>636.0</v>
      </c>
      <c r="B637" s="11" t="s">
        <v>723</v>
      </c>
      <c r="C637" s="10" t="s">
        <v>79</v>
      </c>
      <c r="D637" s="10" t="s">
        <v>42</v>
      </c>
      <c r="E637" s="15"/>
      <c r="F637" s="15" t="s">
        <v>382</v>
      </c>
      <c r="G637" s="13">
        <f>IFERROR(__xludf.DUMMYFUNCTION("if(counta(filter('Previous Rank'!$A$2:$A2766,'Previous Rank'!$B$2:$B2766=B637,'Previous Rank'!$C$2:$C2766=C637))=1,filter('Previous Rank'!$A$2:$A2766,'Previous Rank'!$B$2:$B2766=B637,'Previous Rank'!$C$2:$C2766=C637),"""")"),620.0)</f>
        <v>620</v>
      </c>
      <c r="H637" s="8">
        <f t="shared" si="1"/>
        <v>-16</v>
      </c>
    </row>
    <row r="638">
      <c r="A638" s="10">
        <v>637.0</v>
      </c>
      <c r="B638" s="11" t="s">
        <v>724</v>
      </c>
      <c r="C638" s="10" t="s">
        <v>79</v>
      </c>
      <c r="D638" s="10" t="s">
        <v>9</v>
      </c>
      <c r="E638" s="16"/>
      <c r="F638" s="16" t="s">
        <v>382</v>
      </c>
      <c r="G638" s="13">
        <f>IFERROR(__xludf.DUMMYFUNCTION("if(counta(filter('Previous Rank'!$A$2:$A2766,'Previous Rank'!$B$2:$B2766=B638,'Previous Rank'!$C$2:$C2766=C638))=1,filter('Previous Rank'!$A$2:$A2766,'Previous Rank'!$B$2:$B2766=B638,'Previous Rank'!$C$2:$C2766=C638),"""")"),621.0)</f>
        <v>621</v>
      </c>
      <c r="H638" s="8">
        <f t="shared" si="1"/>
        <v>-16</v>
      </c>
    </row>
    <row r="639">
      <c r="A639" s="10">
        <v>638.0</v>
      </c>
      <c r="B639" s="11" t="s">
        <v>725</v>
      </c>
      <c r="C639" s="10" t="s">
        <v>22</v>
      </c>
      <c r="D639" s="10" t="s">
        <v>82</v>
      </c>
      <c r="E639" s="15"/>
      <c r="F639" s="15" t="s">
        <v>382</v>
      </c>
      <c r="G639" s="13">
        <f>IFERROR(__xludf.DUMMYFUNCTION("if(counta(filter('Previous Rank'!$A$2:$A2766,'Previous Rank'!$B$2:$B2766=B639,'Previous Rank'!$C$2:$C2766=C639))=1,filter('Previous Rank'!$A$2:$A2766,'Previous Rank'!$B$2:$B2766=B639,'Previous Rank'!$C$2:$C2766=C639),"""")"),622.0)</f>
        <v>622</v>
      </c>
      <c r="H639" s="8">
        <f t="shared" si="1"/>
        <v>-16</v>
      </c>
    </row>
    <row r="640">
      <c r="A640" s="10">
        <v>639.0</v>
      </c>
      <c r="B640" s="11" t="s">
        <v>726</v>
      </c>
      <c r="C640" s="10" t="s">
        <v>79</v>
      </c>
      <c r="D640" s="10" t="s">
        <v>42</v>
      </c>
      <c r="E640" s="16"/>
      <c r="F640" s="16" t="s">
        <v>382</v>
      </c>
      <c r="G640" s="13">
        <f>IFERROR(__xludf.DUMMYFUNCTION("if(counta(filter('Previous Rank'!$A$2:$A2766,'Previous Rank'!$B$2:$B2766=B640,'Previous Rank'!$C$2:$C2766=C640))=1,filter('Previous Rank'!$A$2:$A2766,'Previous Rank'!$B$2:$B2766=B640,'Previous Rank'!$C$2:$C2766=C640),"""")"),623.0)</f>
        <v>623</v>
      </c>
      <c r="H640" s="8">
        <f t="shared" si="1"/>
        <v>-16</v>
      </c>
    </row>
    <row r="641">
      <c r="A641" s="10">
        <v>640.0</v>
      </c>
      <c r="B641" s="11" t="s">
        <v>727</v>
      </c>
      <c r="C641" s="10" t="s">
        <v>79</v>
      </c>
      <c r="D641" s="10" t="s">
        <v>95</v>
      </c>
      <c r="E641" s="15"/>
      <c r="F641" s="15" t="s">
        <v>382</v>
      </c>
      <c r="G641" s="13">
        <f>IFERROR(__xludf.DUMMYFUNCTION("if(counta(filter('Previous Rank'!$A$2:$A2766,'Previous Rank'!$B$2:$B2766=B641,'Previous Rank'!$C$2:$C2766=C641))=1,filter('Previous Rank'!$A$2:$A2766,'Previous Rank'!$B$2:$B2766=B641,'Previous Rank'!$C$2:$C2766=C641),"""")"),624.0)</f>
        <v>624</v>
      </c>
      <c r="H641" s="8">
        <f t="shared" si="1"/>
        <v>-16</v>
      </c>
    </row>
    <row r="642">
      <c r="A642" s="10">
        <v>641.0</v>
      </c>
      <c r="B642" s="11" t="s">
        <v>728</v>
      </c>
      <c r="C642" s="10" t="s">
        <v>79</v>
      </c>
      <c r="D642" s="10" t="s">
        <v>9</v>
      </c>
      <c r="E642" s="16"/>
      <c r="F642" s="16" t="s">
        <v>382</v>
      </c>
      <c r="G642" s="13">
        <f>IFERROR(__xludf.DUMMYFUNCTION("if(counta(filter('Previous Rank'!$A$2:$A2766,'Previous Rank'!$B$2:$B2766=B642,'Previous Rank'!$C$2:$C2766=C642))=1,filter('Previous Rank'!$A$2:$A2766,'Previous Rank'!$B$2:$B2766=B642,'Previous Rank'!$C$2:$C2766=C642),"""")"),625.0)</f>
        <v>625</v>
      </c>
      <c r="H642" s="8">
        <f t="shared" si="1"/>
        <v>-16</v>
      </c>
    </row>
    <row r="643">
      <c r="A643" s="10">
        <v>642.0</v>
      </c>
      <c r="B643" s="11" t="s">
        <v>729</v>
      </c>
      <c r="C643" s="10" t="s">
        <v>79</v>
      </c>
      <c r="D643" s="10" t="s">
        <v>129</v>
      </c>
      <c r="E643" s="15"/>
      <c r="F643" s="15" t="s">
        <v>382</v>
      </c>
      <c r="G643" s="13">
        <f>IFERROR(__xludf.DUMMYFUNCTION("if(counta(filter('Previous Rank'!$A$2:$A2766,'Previous Rank'!$B$2:$B2766=B643,'Previous Rank'!$C$2:$C2766=C643))=1,filter('Previous Rank'!$A$2:$A2766,'Previous Rank'!$B$2:$B2766=B643,'Previous Rank'!$C$2:$C2766=C643),"""")"),626.0)</f>
        <v>626</v>
      </c>
      <c r="H643" s="8">
        <f t="shared" si="1"/>
        <v>-16</v>
      </c>
    </row>
    <row r="644">
      <c r="A644" s="10">
        <v>643.0</v>
      </c>
      <c r="B644" s="11" t="s">
        <v>730</v>
      </c>
      <c r="C644" s="10" t="s">
        <v>79</v>
      </c>
      <c r="D644" s="10" t="s">
        <v>23</v>
      </c>
      <c r="E644" s="16"/>
      <c r="F644" s="16" t="s">
        <v>382</v>
      </c>
      <c r="G644" s="13">
        <f>IFERROR(__xludf.DUMMYFUNCTION("if(counta(filter('Previous Rank'!$A$2:$A2766,'Previous Rank'!$B$2:$B2766=B644,'Previous Rank'!$C$2:$C2766=C644))=1,filter('Previous Rank'!$A$2:$A2766,'Previous Rank'!$B$2:$B2766=B644,'Previous Rank'!$C$2:$C2766=C644),"""")"),627.0)</f>
        <v>627</v>
      </c>
      <c r="H644" s="8">
        <f t="shared" si="1"/>
        <v>-16</v>
      </c>
    </row>
    <row r="645">
      <c r="A645" s="10">
        <v>644.0</v>
      </c>
      <c r="B645" s="11" t="s">
        <v>731</v>
      </c>
      <c r="C645" s="10" t="s">
        <v>79</v>
      </c>
      <c r="D645" s="10" t="s">
        <v>15</v>
      </c>
      <c r="E645" s="15"/>
      <c r="F645" s="15" t="s">
        <v>382</v>
      </c>
      <c r="G645" s="13">
        <f>IFERROR(__xludf.DUMMYFUNCTION("if(counta(filter('Previous Rank'!$A$2:$A2766,'Previous Rank'!$B$2:$B2766=B645,'Previous Rank'!$C$2:$C2766=C645))=1,filter('Previous Rank'!$A$2:$A2766,'Previous Rank'!$B$2:$B2766=B645,'Previous Rank'!$C$2:$C2766=C645),"""")"),628.0)</f>
        <v>628</v>
      </c>
      <c r="H645" s="8">
        <f t="shared" si="1"/>
        <v>-16</v>
      </c>
    </row>
    <row r="646">
      <c r="A646" s="10">
        <v>645.0</v>
      </c>
      <c r="B646" s="11" t="s">
        <v>732</v>
      </c>
      <c r="C646" s="10" t="s">
        <v>79</v>
      </c>
      <c r="D646" s="10" t="s">
        <v>34</v>
      </c>
      <c r="E646" s="16"/>
      <c r="F646" s="16" t="s">
        <v>382</v>
      </c>
      <c r="G646" s="13">
        <f>IFERROR(__xludf.DUMMYFUNCTION("if(counta(filter('Previous Rank'!$A$2:$A2766,'Previous Rank'!$B$2:$B2766=B646,'Previous Rank'!$C$2:$C2766=C646))=1,filter('Previous Rank'!$A$2:$A2766,'Previous Rank'!$B$2:$B2766=B646,'Previous Rank'!$C$2:$C2766=C646),"""")"),629.0)</f>
        <v>629</v>
      </c>
      <c r="H646" s="8">
        <f t="shared" si="1"/>
        <v>-16</v>
      </c>
    </row>
    <row r="647">
      <c r="A647" s="10">
        <v>646.0</v>
      </c>
      <c r="B647" s="11" t="s">
        <v>733</v>
      </c>
      <c r="C647" s="10" t="s">
        <v>22</v>
      </c>
      <c r="D647" s="10" t="s">
        <v>99</v>
      </c>
      <c r="E647" s="15"/>
      <c r="F647" s="15" t="s">
        <v>382</v>
      </c>
      <c r="G647" s="13">
        <f>IFERROR(__xludf.DUMMYFUNCTION("if(counta(filter('Previous Rank'!$A$2:$A2766,'Previous Rank'!$B$2:$B2766=B647,'Previous Rank'!$C$2:$C2766=C647))=1,filter('Previous Rank'!$A$2:$A2766,'Previous Rank'!$B$2:$B2766=B647,'Previous Rank'!$C$2:$C2766=C647),"""")"),630.0)</f>
        <v>630</v>
      </c>
      <c r="H647" s="8">
        <f t="shared" si="1"/>
        <v>-16</v>
      </c>
    </row>
    <row r="648">
      <c r="A648" s="10">
        <v>647.0</v>
      </c>
      <c r="B648" s="11" t="s">
        <v>734</v>
      </c>
      <c r="C648" s="10" t="s">
        <v>79</v>
      </c>
      <c r="D648" s="10" t="s">
        <v>71</v>
      </c>
      <c r="E648" s="16"/>
      <c r="F648" s="16" t="s">
        <v>382</v>
      </c>
      <c r="G648" s="13">
        <f>IFERROR(__xludf.DUMMYFUNCTION("if(counta(filter('Previous Rank'!$A$2:$A2766,'Previous Rank'!$B$2:$B2766=B648,'Previous Rank'!$C$2:$C2766=C648))=1,filter('Previous Rank'!$A$2:$A2766,'Previous Rank'!$B$2:$B2766=B648,'Previous Rank'!$C$2:$C2766=C648),"""")"),631.0)</f>
        <v>631</v>
      </c>
      <c r="H648" s="8">
        <f t="shared" si="1"/>
        <v>-16</v>
      </c>
    </row>
    <row r="649">
      <c r="A649" s="10">
        <v>648.0</v>
      </c>
      <c r="B649" s="11" t="s">
        <v>735</v>
      </c>
      <c r="C649" s="10" t="s">
        <v>79</v>
      </c>
      <c r="D649" s="10" t="s">
        <v>120</v>
      </c>
      <c r="E649" s="15"/>
      <c r="F649" s="15" t="s">
        <v>382</v>
      </c>
      <c r="G649" s="13">
        <f>IFERROR(__xludf.DUMMYFUNCTION("if(counta(filter('Previous Rank'!$A$2:$A2766,'Previous Rank'!$B$2:$B2766=B649,'Previous Rank'!$C$2:$C2766=C649))=1,filter('Previous Rank'!$A$2:$A2766,'Previous Rank'!$B$2:$B2766=B649,'Previous Rank'!$C$2:$C2766=C649),"""")"),632.0)</f>
        <v>632</v>
      </c>
      <c r="H649" s="8">
        <f t="shared" si="1"/>
        <v>-16</v>
      </c>
    </row>
    <row r="650">
      <c r="A650" s="10">
        <v>649.0</v>
      </c>
      <c r="B650" s="11" t="s">
        <v>736</v>
      </c>
      <c r="C650" s="10" t="s">
        <v>22</v>
      </c>
      <c r="D650" s="10" t="s">
        <v>129</v>
      </c>
      <c r="E650" s="16"/>
      <c r="F650" s="16" t="s">
        <v>382</v>
      </c>
      <c r="G650" s="13">
        <f>IFERROR(__xludf.DUMMYFUNCTION("if(counta(filter('Previous Rank'!$A$2:$A2766,'Previous Rank'!$B$2:$B2766=B650,'Previous Rank'!$C$2:$C2766=C650))=1,filter('Previous Rank'!$A$2:$A2766,'Previous Rank'!$B$2:$B2766=B650,'Previous Rank'!$C$2:$C2766=C650),"""")"),633.0)</f>
        <v>633</v>
      </c>
      <c r="H650" s="8">
        <f t="shared" si="1"/>
        <v>-16</v>
      </c>
    </row>
    <row r="651">
      <c r="A651" s="10">
        <v>650.0</v>
      </c>
      <c r="B651" s="11" t="s">
        <v>737</v>
      </c>
      <c r="C651" s="10" t="s">
        <v>79</v>
      </c>
      <c r="D651" s="10" t="s">
        <v>95</v>
      </c>
      <c r="E651" s="15"/>
      <c r="F651" s="15" t="s">
        <v>382</v>
      </c>
      <c r="G651" s="13">
        <f>IFERROR(__xludf.DUMMYFUNCTION("if(counta(filter('Previous Rank'!$A$2:$A2766,'Previous Rank'!$B$2:$B2766=B651,'Previous Rank'!$C$2:$C2766=C651))=1,filter('Previous Rank'!$A$2:$A2766,'Previous Rank'!$B$2:$B2766=B651,'Previous Rank'!$C$2:$C2766=C651),"""")"),634.0)</f>
        <v>634</v>
      </c>
      <c r="H651" s="8">
        <f t="shared" si="1"/>
        <v>-16</v>
      </c>
    </row>
    <row r="652">
      <c r="A652" s="10">
        <v>651.0</v>
      </c>
      <c r="B652" s="11" t="s">
        <v>738</v>
      </c>
      <c r="C652" s="10" t="s">
        <v>79</v>
      </c>
      <c r="D652" s="10" t="s">
        <v>18</v>
      </c>
      <c r="E652" s="16"/>
      <c r="F652" s="16" t="s">
        <v>382</v>
      </c>
      <c r="G652" s="13">
        <f>IFERROR(__xludf.DUMMYFUNCTION("if(counta(filter('Previous Rank'!$A$2:$A2766,'Previous Rank'!$B$2:$B2766=B652,'Previous Rank'!$C$2:$C2766=C652))=1,filter('Previous Rank'!$A$2:$A2766,'Previous Rank'!$B$2:$B2766=B652,'Previous Rank'!$C$2:$C2766=C652),"""")"),635.0)</f>
        <v>635</v>
      </c>
      <c r="H652" s="8">
        <f t="shared" si="1"/>
        <v>-16</v>
      </c>
    </row>
    <row r="653">
      <c r="A653" s="10">
        <v>652.0</v>
      </c>
      <c r="B653" s="11" t="s">
        <v>739</v>
      </c>
      <c r="C653" s="10" t="s">
        <v>79</v>
      </c>
      <c r="D653" s="10" t="s">
        <v>52</v>
      </c>
      <c r="E653" s="15"/>
      <c r="F653" s="15" t="s">
        <v>382</v>
      </c>
      <c r="G653" s="13">
        <f>IFERROR(__xludf.DUMMYFUNCTION("if(counta(filter('Previous Rank'!$A$2:$A2766,'Previous Rank'!$B$2:$B2766=B653,'Previous Rank'!$C$2:$C2766=C653))=1,filter('Previous Rank'!$A$2:$A2766,'Previous Rank'!$B$2:$B2766=B653,'Previous Rank'!$C$2:$C2766=C653),"""")"),636.0)</f>
        <v>636</v>
      </c>
      <c r="H653" s="8">
        <f t="shared" si="1"/>
        <v>-16</v>
      </c>
    </row>
    <row r="654">
      <c r="A654" s="10">
        <v>653.0</v>
      </c>
      <c r="B654" s="11" t="s">
        <v>740</v>
      </c>
      <c r="C654" s="10" t="s">
        <v>79</v>
      </c>
      <c r="D654" s="10" t="s">
        <v>15</v>
      </c>
      <c r="E654" s="16"/>
      <c r="F654" s="16" t="s">
        <v>382</v>
      </c>
      <c r="G654" s="13">
        <f>IFERROR(__xludf.DUMMYFUNCTION("if(counta(filter('Previous Rank'!$A$2:$A2766,'Previous Rank'!$B$2:$B2766=B654,'Previous Rank'!$C$2:$C2766=C654))=1,filter('Previous Rank'!$A$2:$A2766,'Previous Rank'!$B$2:$B2766=B654,'Previous Rank'!$C$2:$C2766=C654),"""")"),637.0)</f>
        <v>637</v>
      </c>
      <c r="H654" s="8">
        <f t="shared" si="1"/>
        <v>-16</v>
      </c>
    </row>
    <row r="655">
      <c r="A655" s="10">
        <v>654.0</v>
      </c>
      <c r="B655" s="11" t="s">
        <v>741</v>
      </c>
      <c r="C655" s="10" t="s">
        <v>79</v>
      </c>
      <c r="D655" s="10" t="s">
        <v>31</v>
      </c>
      <c r="E655" s="15"/>
      <c r="F655" s="15" t="s">
        <v>382</v>
      </c>
      <c r="G655" s="13">
        <f>IFERROR(__xludf.DUMMYFUNCTION("if(counta(filter('Previous Rank'!$A$2:$A2766,'Previous Rank'!$B$2:$B2766=B655,'Previous Rank'!$C$2:$C2766=C655))=1,filter('Previous Rank'!$A$2:$A2766,'Previous Rank'!$B$2:$B2766=B655,'Previous Rank'!$C$2:$C2766=C655),"""")"),638.0)</f>
        <v>638</v>
      </c>
      <c r="H655" s="8">
        <f t="shared" si="1"/>
        <v>-16</v>
      </c>
    </row>
    <row r="656">
      <c r="A656" s="10">
        <v>655.0</v>
      </c>
      <c r="B656" s="11" t="s">
        <v>742</v>
      </c>
      <c r="C656" s="10" t="s">
        <v>79</v>
      </c>
      <c r="D656" s="10" t="s">
        <v>120</v>
      </c>
      <c r="E656" s="16"/>
      <c r="F656" s="16" t="s">
        <v>382</v>
      </c>
      <c r="G656" s="13">
        <f>IFERROR(__xludf.DUMMYFUNCTION("if(counta(filter('Previous Rank'!$A$2:$A2766,'Previous Rank'!$B$2:$B2766=B656,'Previous Rank'!$C$2:$C2766=C656))=1,filter('Previous Rank'!$A$2:$A2766,'Previous Rank'!$B$2:$B2766=B656,'Previous Rank'!$C$2:$C2766=C656),"""")"),639.0)</f>
        <v>639</v>
      </c>
      <c r="H656" s="8">
        <f t="shared" si="1"/>
        <v>-16</v>
      </c>
    </row>
    <row r="657">
      <c r="A657" s="10">
        <v>656.0</v>
      </c>
      <c r="B657" s="11" t="s">
        <v>743</v>
      </c>
      <c r="C657" s="10" t="s">
        <v>22</v>
      </c>
      <c r="D657" s="10" t="s">
        <v>71</v>
      </c>
      <c r="E657" s="15"/>
      <c r="F657" s="15" t="s">
        <v>382</v>
      </c>
      <c r="G657" s="13">
        <f>IFERROR(__xludf.DUMMYFUNCTION("if(counta(filter('Previous Rank'!$A$2:$A2766,'Previous Rank'!$B$2:$B2766=B657,'Previous Rank'!$C$2:$C2766=C657))=1,filter('Previous Rank'!$A$2:$A2766,'Previous Rank'!$B$2:$B2766=B657,'Previous Rank'!$C$2:$C2766=C657),"""")"),640.0)</f>
        <v>640</v>
      </c>
      <c r="H657" s="8">
        <f t="shared" si="1"/>
        <v>-16</v>
      </c>
    </row>
    <row r="658">
      <c r="A658" s="10">
        <v>657.0</v>
      </c>
      <c r="B658" s="11" t="s">
        <v>744</v>
      </c>
      <c r="C658" s="10" t="s">
        <v>79</v>
      </c>
      <c r="D658" s="10" t="s">
        <v>36</v>
      </c>
      <c r="E658" s="16"/>
      <c r="F658" s="16" t="s">
        <v>382</v>
      </c>
      <c r="G658" s="13">
        <f>IFERROR(__xludf.DUMMYFUNCTION("if(counta(filter('Previous Rank'!$A$2:$A2766,'Previous Rank'!$B$2:$B2766=B658,'Previous Rank'!$C$2:$C2766=C658))=1,filter('Previous Rank'!$A$2:$A2766,'Previous Rank'!$B$2:$B2766=B658,'Previous Rank'!$C$2:$C2766=C658),"""")"),641.0)</f>
        <v>641</v>
      </c>
      <c r="H658" s="8">
        <f t="shared" si="1"/>
        <v>-16</v>
      </c>
    </row>
    <row r="659">
      <c r="A659" s="10">
        <v>658.0</v>
      </c>
      <c r="B659" s="11" t="s">
        <v>745</v>
      </c>
      <c r="C659" s="10" t="s">
        <v>79</v>
      </c>
      <c r="D659" s="10" t="s">
        <v>34</v>
      </c>
      <c r="E659" s="15"/>
      <c r="F659" s="15" t="s">
        <v>382</v>
      </c>
      <c r="G659" s="13">
        <f>IFERROR(__xludf.DUMMYFUNCTION("if(counta(filter('Previous Rank'!$A$2:$A2766,'Previous Rank'!$B$2:$B2766=B659,'Previous Rank'!$C$2:$C2766=C659))=1,filter('Previous Rank'!$A$2:$A2766,'Previous Rank'!$B$2:$B2766=B659,'Previous Rank'!$C$2:$C2766=C659),"""")"),643.0)</f>
        <v>643</v>
      </c>
      <c r="H659" s="8">
        <f t="shared" si="1"/>
        <v>-15</v>
      </c>
    </row>
    <row r="660">
      <c r="A660" s="10">
        <v>659.0</v>
      </c>
      <c r="B660" s="11" t="s">
        <v>746</v>
      </c>
      <c r="C660" s="10" t="s">
        <v>79</v>
      </c>
      <c r="D660" s="10" t="s">
        <v>95</v>
      </c>
      <c r="E660" s="16"/>
      <c r="F660" s="16" t="s">
        <v>382</v>
      </c>
      <c r="G660" s="13">
        <f>IFERROR(__xludf.DUMMYFUNCTION("if(counta(filter('Previous Rank'!$A$2:$A2766,'Previous Rank'!$B$2:$B2766=B660,'Previous Rank'!$C$2:$C2766=C660))=1,filter('Previous Rank'!$A$2:$A2766,'Previous Rank'!$B$2:$B2766=B660,'Previous Rank'!$C$2:$C2766=C660),"""")"),644.0)</f>
        <v>644</v>
      </c>
      <c r="H660" s="8">
        <f t="shared" si="1"/>
        <v>-15</v>
      </c>
    </row>
    <row r="661">
      <c r="A661" s="10">
        <v>660.0</v>
      </c>
      <c r="B661" s="11" t="s">
        <v>747</v>
      </c>
      <c r="C661" s="10" t="s">
        <v>79</v>
      </c>
      <c r="D661" s="10" t="s">
        <v>15</v>
      </c>
      <c r="E661" s="15"/>
      <c r="F661" s="15" t="s">
        <v>382</v>
      </c>
      <c r="G661" s="13">
        <f>IFERROR(__xludf.DUMMYFUNCTION("if(counta(filter('Previous Rank'!$A$2:$A2766,'Previous Rank'!$B$2:$B2766=B661,'Previous Rank'!$C$2:$C2766=C661))=1,filter('Previous Rank'!$A$2:$A2766,'Previous Rank'!$B$2:$B2766=B661,'Previous Rank'!$C$2:$C2766=C661),"""")"),645.0)</f>
        <v>645</v>
      </c>
      <c r="H661" s="8">
        <f t="shared" si="1"/>
        <v>-15</v>
      </c>
    </row>
    <row r="662">
      <c r="A662" s="10">
        <v>661.0</v>
      </c>
      <c r="B662" s="11" t="s">
        <v>748</v>
      </c>
      <c r="C662" s="10" t="s">
        <v>79</v>
      </c>
      <c r="D662" s="10" t="s">
        <v>82</v>
      </c>
      <c r="E662" s="16"/>
      <c r="F662" s="16" t="s">
        <v>382</v>
      </c>
      <c r="G662" s="13">
        <f>IFERROR(__xludf.DUMMYFUNCTION("if(counta(filter('Previous Rank'!$A$2:$A2766,'Previous Rank'!$B$2:$B2766=B662,'Previous Rank'!$C$2:$C2766=C662))=1,filter('Previous Rank'!$A$2:$A2766,'Previous Rank'!$B$2:$B2766=B662,'Previous Rank'!$C$2:$C2766=C662),"""")"),646.0)</f>
        <v>646</v>
      </c>
      <c r="H662" s="8">
        <f t="shared" si="1"/>
        <v>-15</v>
      </c>
    </row>
    <row r="663">
      <c r="A663" s="10">
        <v>662.0</v>
      </c>
      <c r="B663" s="11" t="s">
        <v>749</v>
      </c>
      <c r="C663" s="10" t="s">
        <v>79</v>
      </c>
      <c r="D663" s="10" t="s">
        <v>34</v>
      </c>
      <c r="E663" s="15"/>
      <c r="F663" s="15" t="s">
        <v>382</v>
      </c>
      <c r="G663" s="13">
        <f>IFERROR(__xludf.DUMMYFUNCTION("if(counta(filter('Previous Rank'!$A$2:$A2766,'Previous Rank'!$B$2:$B2766=B663,'Previous Rank'!$C$2:$C2766=C663))=1,filter('Previous Rank'!$A$2:$A2766,'Previous Rank'!$B$2:$B2766=B663,'Previous Rank'!$C$2:$C2766=C663),"""")"),647.0)</f>
        <v>647</v>
      </c>
      <c r="H663" s="8">
        <f t="shared" si="1"/>
        <v>-15</v>
      </c>
    </row>
    <row r="664">
      <c r="A664" s="10">
        <v>663.0</v>
      </c>
      <c r="B664" s="11" t="s">
        <v>750</v>
      </c>
      <c r="C664" s="10" t="s">
        <v>585</v>
      </c>
      <c r="D664" s="10" t="s">
        <v>122</v>
      </c>
      <c r="E664" s="16"/>
      <c r="F664" s="16" t="s">
        <v>382</v>
      </c>
      <c r="G664" s="13">
        <f>IFERROR(__xludf.DUMMYFUNCTION("if(counta(filter('Previous Rank'!$A$2:$A2766,'Previous Rank'!$B$2:$B2766=B664,'Previous Rank'!$C$2:$C2766=C664))=1,filter('Previous Rank'!$A$2:$A2766,'Previous Rank'!$B$2:$B2766=B664,'Previous Rank'!$C$2:$C2766=C664),"""")"),648.0)</f>
        <v>648</v>
      </c>
      <c r="H664" s="8">
        <f t="shared" si="1"/>
        <v>-15</v>
      </c>
    </row>
    <row r="665">
      <c r="A665" s="10">
        <v>664.0</v>
      </c>
      <c r="B665" s="11" t="s">
        <v>751</v>
      </c>
      <c r="C665" s="10" t="s">
        <v>79</v>
      </c>
      <c r="D665" s="10" t="s">
        <v>99</v>
      </c>
      <c r="E665" s="15"/>
      <c r="F665" s="15" t="s">
        <v>382</v>
      </c>
      <c r="G665" s="13">
        <f>IFERROR(__xludf.DUMMYFUNCTION("if(counta(filter('Previous Rank'!$A$2:$A2766,'Previous Rank'!$B$2:$B2766=B665,'Previous Rank'!$C$2:$C2766=C665))=1,filter('Previous Rank'!$A$2:$A2766,'Previous Rank'!$B$2:$B2766=B665,'Previous Rank'!$C$2:$C2766=C665),"""")"),649.0)</f>
        <v>649</v>
      </c>
      <c r="H665" s="8">
        <f t="shared" si="1"/>
        <v>-15</v>
      </c>
    </row>
    <row r="666">
      <c r="A666" s="10">
        <v>665.0</v>
      </c>
      <c r="B666" s="11" t="s">
        <v>752</v>
      </c>
      <c r="C666" s="10" t="s">
        <v>753</v>
      </c>
      <c r="D666" s="10" t="s">
        <v>67</v>
      </c>
      <c r="E666" s="16">
        <v>248.5</v>
      </c>
      <c r="F666" s="16">
        <v>1.6</v>
      </c>
      <c r="G666" s="13">
        <f>IFERROR(__xludf.DUMMYFUNCTION("if(counta(filter('Previous Rank'!$A$2:$A2766,'Previous Rank'!$B$2:$B2766=B666,'Previous Rank'!$C$2:$C2766=C666))=1,filter('Previous Rank'!$A$2:$A2766,'Previous Rank'!$B$2:$B2766=B666,'Previous Rank'!$C$2:$C2766=C666),"""")"),650.0)</f>
        <v>650</v>
      </c>
      <c r="H666" s="8">
        <f t="shared" si="1"/>
        <v>-15</v>
      </c>
    </row>
    <row r="667">
      <c r="A667" s="10">
        <v>666.0</v>
      </c>
      <c r="B667" s="11" t="s">
        <v>754</v>
      </c>
      <c r="C667" s="10" t="s">
        <v>22</v>
      </c>
      <c r="D667" s="10" t="s">
        <v>52</v>
      </c>
      <c r="E667" s="15"/>
      <c r="F667" s="15" t="s">
        <v>382</v>
      </c>
      <c r="G667" s="13">
        <f>IFERROR(__xludf.DUMMYFUNCTION("if(counta(filter('Previous Rank'!$A$2:$A2766,'Previous Rank'!$B$2:$B2766=B667,'Previous Rank'!$C$2:$C2766=C667))=1,filter('Previous Rank'!$A$2:$A2766,'Previous Rank'!$B$2:$B2766=B667,'Previous Rank'!$C$2:$C2766=C667),"""")"),651.0)</f>
        <v>651</v>
      </c>
      <c r="H667" s="8">
        <f t="shared" si="1"/>
        <v>-15</v>
      </c>
    </row>
    <row r="668">
      <c r="A668" s="10">
        <v>667.0</v>
      </c>
      <c r="B668" s="11" t="s">
        <v>755</v>
      </c>
      <c r="C668" s="10" t="s">
        <v>79</v>
      </c>
      <c r="D668" s="10" t="s">
        <v>90</v>
      </c>
      <c r="E668" s="16"/>
      <c r="F668" s="16" t="s">
        <v>382</v>
      </c>
      <c r="G668" s="13">
        <f>IFERROR(__xludf.DUMMYFUNCTION("if(counta(filter('Previous Rank'!$A$2:$A2766,'Previous Rank'!$B$2:$B2766=B668,'Previous Rank'!$C$2:$C2766=C668))=1,filter('Previous Rank'!$A$2:$A2766,'Previous Rank'!$B$2:$B2766=B668,'Previous Rank'!$C$2:$C2766=C668),"""")"),652.0)</f>
        <v>652</v>
      </c>
      <c r="H668" s="8">
        <f t="shared" si="1"/>
        <v>-15</v>
      </c>
    </row>
    <row r="669">
      <c r="A669" s="10">
        <v>668.0</v>
      </c>
      <c r="B669" s="11" t="s">
        <v>756</v>
      </c>
      <c r="C669" s="10" t="s">
        <v>79</v>
      </c>
      <c r="D669" s="10" t="s">
        <v>105</v>
      </c>
      <c r="E669" s="15"/>
      <c r="F669" s="15" t="s">
        <v>382</v>
      </c>
      <c r="G669" s="13">
        <f>IFERROR(__xludf.DUMMYFUNCTION("if(counta(filter('Previous Rank'!$A$2:$A2766,'Previous Rank'!$B$2:$B2766=B669,'Previous Rank'!$C$2:$C2766=C669))=1,filter('Previous Rank'!$A$2:$A2766,'Previous Rank'!$B$2:$B2766=B669,'Previous Rank'!$C$2:$C2766=C669),"""")"),653.0)</f>
        <v>653</v>
      </c>
      <c r="H669" s="8">
        <f t="shared" si="1"/>
        <v>-15</v>
      </c>
    </row>
    <row r="670">
      <c r="A670" s="10">
        <v>669.0</v>
      </c>
      <c r="B670" s="11" t="s">
        <v>757</v>
      </c>
      <c r="C670" s="10" t="s">
        <v>79</v>
      </c>
      <c r="D670" s="10" t="s">
        <v>120</v>
      </c>
      <c r="E670" s="16"/>
      <c r="F670" s="16" t="s">
        <v>382</v>
      </c>
      <c r="G670" s="13">
        <f>IFERROR(__xludf.DUMMYFUNCTION("if(counta(filter('Previous Rank'!$A$2:$A2766,'Previous Rank'!$B$2:$B2766=B670,'Previous Rank'!$C$2:$C2766=C670))=1,filter('Previous Rank'!$A$2:$A2766,'Previous Rank'!$B$2:$B2766=B670,'Previous Rank'!$C$2:$C2766=C670),"""")"),654.0)</f>
        <v>654</v>
      </c>
      <c r="H670" s="8">
        <f t="shared" si="1"/>
        <v>-15</v>
      </c>
    </row>
    <row r="671">
      <c r="A671" s="10">
        <v>670.0</v>
      </c>
      <c r="B671" s="11" t="s">
        <v>758</v>
      </c>
      <c r="C671" s="10" t="s">
        <v>220</v>
      </c>
      <c r="D671" s="10" t="s">
        <v>85</v>
      </c>
      <c r="E671" s="15"/>
      <c r="F671" s="15" t="s">
        <v>382</v>
      </c>
      <c r="G671" s="13">
        <f>IFERROR(__xludf.DUMMYFUNCTION("if(counta(filter('Previous Rank'!$A$2:$A2766,'Previous Rank'!$B$2:$B2766=B671,'Previous Rank'!$C$2:$C2766=C671))=1,filter('Previous Rank'!$A$2:$A2766,'Previous Rank'!$B$2:$B2766=B671,'Previous Rank'!$C$2:$C2766=C671),"""")"),655.0)</f>
        <v>655</v>
      </c>
      <c r="H671" s="8">
        <f t="shared" si="1"/>
        <v>-15</v>
      </c>
    </row>
    <row r="672">
      <c r="A672" s="10">
        <v>671.0</v>
      </c>
      <c r="B672" s="11" t="s">
        <v>759</v>
      </c>
      <c r="C672" s="10" t="s">
        <v>79</v>
      </c>
      <c r="D672" s="10" t="s">
        <v>129</v>
      </c>
      <c r="E672" s="16"/>
      <c r="F672" s="16" t="s">
        <v>382</v>
      </c>
      <c r="G672" s="13">
        <f>IFERROR(__xludf.DUMMYFUNCTION("if(counta(filter('Previous Rank'!$A$2:$A2766,'Previous Rank'!$B$2:$B2766=B672,'Previous Rank'!$C$2:$C2766=C672))=1,filter('Previous Rank'!$A$2:$A2766,'Previous Rank'!$B$2:$B2766=B672,'Previous Rank'!$C$2:$C2766=C672),"""")"),656.0)</f>
        <v>656</v>
      </c>
      <c r="H672" s="8">
        <f t="shared" si="1"/>
        <v>-15</v>
      </c>
    </row>
    <row r="673">
      <c r="A673" s="10">
        <v>672.0</v>
      </c>
      <c r="B673" s="11" t="s">
        <v>760</v>
      </c>
      <c r="C673" s="10" t="s">
        <v>79</v>
      </c>
      <c r="D673" s="10" t="s">
        <v>34</v>
      </c>
      <c r="E673" s="15"/>
      <c r="F673" s="15" t="s">
        <v>382</v>
      </c>
      <c r="G673" s="13">
        <f>IFERROR(__xludf.DUMMYFUNCTION("if(counta(filter('Previous Rank'!$A$2:$A2766,'Previous Rank'!$B$2:$B2766=B673,'Previous Rank'!$C$2:$C2766=C673))=1,filter('Previous Rank'!$A$2:$A2766,'Previous Rank'!$B$2:$B2766=B673,'Previous Rank'!$C$2:$C2766=C673),"""")"),657.0)</f>
        <v>657</v>
      </c>
      <c r="H673" s="8">
        <f t="shared" si="1"/>
        <v>-15</v>
      </c>
    </row>
    <row r="674">
      <c r="A674" s="10">
        <v>673.0</v>
      </c>
      <c r="B674" s="11" t="s">
        <v>761</v>
      </c>
      <c r="C674" s="10" t="s">
        <v>48</v>
      </c>
      <c r="D674" s="10" t="s">
        <v>129</v>
      </c>
      <c r="E674" s="16"/>
      <c r="F674" s="16" t="s">
        <v>382</v>
      </c>
      <c r="G674" s="13">
        <f>IFERROR(__xludf.DUMMYFUNCTION("if(counta(filter('Previous Rank'!$A$2:$A2766,'Previous Rank'!$B$2:$B2766=B674,'Previous Rank'!$C$2:$C2766=C674))=1,filter('Previous Rank'!$A$2:$A2766,'Previous Rank'!$B$2:$B2766=B674,'Previous Rank'!$C$2:$C2766=C674),"""")"),658.0)</f>
        <v>658</v>
      </c>
      <c r="H674" s="8">
        <f t="shared" si="1"/>
        <v>-15</v>
      </c>
    </row>
    <row r="675">
      <c r="A675" s="10">
        <v>674.0</v>
      </c>
      <c r="B675" s="11" t="s">
        <v>762</v>
      </c>
      <c r="C675" s="10" t="s">
        <v>79</v>
      </c>
      <c r="D675" s="10" t="s">
        <v>15</v>
      </c>
      <c r="E675" s="15"/>
      <c r="F675" s="15" t="s">
        <v>382</v>
      </c>
      <c r="G675" s="13">
        <f>IFERROR(__xludf.DUMMYFUNCTION("if(counta(filter('Previous Rank'!$A$2:$A2766,'Previous Rank'!$B$2:$B2766=B675,'Previous Rank'!$C$2:$C2766=C675))=1,filter('Previous Rank'!$A$2:$A2766,'Previous Rank'!$B$2:$B2766=B675,'Previous Rank'!$C$2:$C2766=C675),"""")"),659.0)</f>
        <v>659</v>
      </c>
      <c r="H675" s="8">
        <f t="shared" si="1"/>
        <v>-15</v>
      </c>
    </row>
    <row r="676">
      <c r="A676" s="10">
        <v>675.0</v>
      </c>
      <c r="B676" s="11" t="s">
        <v>763</v>
      </c>
      <c r="C676" s="10" t="s">
        <v>79</v>
      </c>
      <c r="D676" s="10" t="s">
        <v>206</v>
      </c>
      <c r="E676" s="16"/>
      <c r="F676" s="16" t="s">
        <v>382</v>
      </c>
      <c r="G676" s="13">
        <f>IFERROR(__xludf.DUMMYFUNCTION("if(counta(filter('Previous Rank'!$A$2:$A2766,'Previous Rank'!$B$2:$B2766=B676,'Previous Rank'!$C$2:$C2766=C676))=1,filter('Previous Rank'!$A$2:$A2766,'Previous Rank'!$B$2:$B2766=B676,'Previous Rank'!$C$2:$C2766=C676),"""")"),660.0)</f>
        <v>660</v>
      </c>
      <c r="H676" s="8">
        <f t="shared" si="1"/>
        <v>-15</v>
      </c>
    </row>
    <row r="677">
      <c r="A677" s="10">
        <v>676.0</v>
      </c>
      <c r="B677" s="11" t="s">
        <v>764</v>
      </c>
      <c r="C677" s="10" t="s">
        <v>79</v>
      </c>
      <c r="D677" s="10" t="s">
        <v>206</v>
      </c>
      <c r="E677" s="15"/>
      <c r="F677" s="15" t="s">
        <v>382</v>
      </c>
      <c r="G677" s="13">
        <f>IFERROR(__xludf.DUMMYFUNCTION("if(counta(filter('Previous Rank'!$A$2:$A2766,'Previous Rank'!$B$2:$B2766=B677,'Previous Rank'!$C$2:$C2766=C677))=1,filter('Previous Rank'!$A$2:$A2766,'Previous Rank'!$B$2:$B2766=B677,'Previous Rank'!$C$2:$C2766=C677),"""")"),661.0)</f>
        <v>661</v>
      </c>
      <c r="H677" s="8">
        <f t="shared" si="1"/>
        <v>-15</v>
      </c>
    </row>
    <row r="678">
      <c r="A678" s="10">
        <v>677.0</v>
      </c>
      <c r="B678" s="11" t="s">
        <v>765</v>
      </c>
      <c r="C678" s="10" t="s">
        <v>79</v>
      </c>
      <c r="D678" s="10" t="s">
        <v>113</v>
      </c>
      <c r="E678" s="16"/>
      <c r="F678" s="16" t="s">
        <v>382</v>
      </c>
      <c r="G678" s="13">
        <f>IFERROR(__xludf.DUMMYFUNCTION("if(counta(filter('Previous Rank'!$A$2:$A2766,'Previous Rank'!$B$2:$B2766=B678,'Previous Rank'!$C$2:$C2766=C678))=1,filter('Previous Rank'!$A$2:$A2766,'Previous Rank'!$B$2:$B2766=B678,'Previous Rank'!$C$2:$C2766=C678),"""")"),662.0)</f>
        <v>662</v>
      </c>
      <c r="H678" s="8">
        <f t="shared" si="1"/>
        <v>-15</v>
      </c>
    </row>
    <row r="679">
      <c r="A679" s="10">
        <v>678.0</v>
      </c>
      <c r="B679" s="11" t="s">
        <v>766</v>
      </c>
      <c r="C679" s="10" t="s">
        <v>79</v>
      </c>
      <c r="D679" s="10" t="s">
        <v>36</v>
      </c>
      <c r="E679" s="15"/>
      <c r="F679" s="15" t="s">
        <v>382</v>
      </c>
      <c r="G679" s="13">
        <f>IFERROR(__xludf.DUMMYFUNCTION("if(counta(filter('Previous Rank'!$A$2:$A2766,'Previous Rank'!$B$2:$B2766=B679,'Previous Rank'!$C$2:$C2766=C679))=1,filter('Previous Rank'!$A$2:$A2766,'Previous Rank'!$B$2:$B2766=B679,'Previous Rank'!$C$2:$C2766=C679),"""")"),663.0)</f>
        <v>663</v>
      </c>
      <c r="H679" s="8">
        <f t="shared" si="1"/>
        <v>-15</v>
      </c>
    </row>
    <row r="680">
      <c r="A680" s="10">
        <v>679.0</v>
      </c>
      <c r="B680" s="11" t="s">
        <v>767</v>
      </c>
      <c r="C680" s="10" t="s">
        <v>79</v>
      </c>
      <c r="D680" s="10" t="s">
        <v>73</v>
      </c>
      <c r="E680" s="16"/>
      <c r="F680" s="16" t="s">
        <v>382</v>
      </c>
      <c r="G680" s="13">
        <f>IFERROR(__xludf.DUMMYFUNCTION("if(counta(filter('Previous Rank'!$A$2:$A2766,'Previous Rank'!$B$2:$B2766=B680,'Previous Rank'!$C$2:$C2766=C680))=1,filter('Previous Rank'!$A$2:$A2766,'Previous Rank'!$B$2:$B2766=B680,'Previous Rank'!$C$2:$C2766=C680),"""")"),664.0)</f>
        <v>664</v>
      </c>
      <c r="H680" s="8">
        <f t="shared" si="1"/>
        <v>-15</v>
      </c>
    </row>
    <row r="681">
      <c r="A681" s="10">
        <v>680.0</v>
      </c>
      <c r="B681" s="11" t="s">
        <v>768</v>
      </c>
      <c r="C681" s="10" t="s">
        <v>79</v>
      </c>
      <c r="D681" s="10" t="s">
        <v>73</v>
      </c>
      <c r="E681" s="15"/>
      <c r="F681" s="15" t="s">
        <v>382</v>
      </c>
      <c r="G681" s="13">
        <f>IFERROR(__xludf.DUMMYFUNCTION("if(counta(filter('Previous Rank'!$A$2:$A2766,'Previous Rank'!$B$2:$B2766=B681,'Previous Rank'!$C$2:$C2766=C681))=1,filter('Previous Rank'!$A$2:$A2766,'Previous Rank'!$B$2:$B2766=B681,'Previous Rank'!$C$2:$C2766=C681),"""")"),665.0)</f>
        <v>665</v>
      </c>
      <c r="H681" s="8">
        <f t="shared" si="1"/>
        <v>-15</v>
      </c>
    </row>
    <row r="682">
      <c r="A682" s="10">
        <v>681.0</v>
      </c>
      <c r="B682" s="11" t="s">
        <v>769</v>
      </c>
      <c r="C682" s="10" t="s">
        <v>22</v>
      </c>
      <c r="D682" s="10" t="s">
        <v>82</v>
      </c>
      <c r="E682" s="16"/>
      <c r="F682" s="16" t="s">
        <v>382</v>
      </c>
      <c r="G682" s="13">
        <f>IFERROR(__xludf.DUMMYFUNCTION("if(counta(filter('Previous Rank'!$A$2:$A2766,'Previous Rank'!$B$2:$B2766=B682,'Previous Rank'!$C$2:$C2766=C682))=1,filter('Previous Rank'!$A$2:$A2766,'Previous Rank'!$B$2:$B2766=B682,'Previous Rank'!$C$2:$C2766=C682),"""")"),666.0)</f>
        <v>666</v>
      </c>
      <c r="H682" s="8">
        <f t="shared" si="1"/>
        <v>-15</v>
      </c>
    </row>
    <row r="683">
      <c r="A683" s="10">
        <v>682.0</v>
      </c>
      <c r="B683" s="11" t="s">
        <v>770</v>
      </c>
      <c r="C683" s="10" t="s">
        <v>136</v>
      </c>
      <c r="D683" s="10" t="s">
        <v>82</v>
      </c>
      <c r="E683" s="15"/>
      <c r="F683" s="15" t="s">
        <v>382</v>
      </c>
      <c r="G683" s="13">
        <f>IFERROR(__xludf.DUMMYFUNCTION("if(counta(filter('Previous Rank'!$A$2:$A2766,'Previous Rank'!$B$2:$B2766=B683,'Previous Rank'!$C$2:$C2766=C683))=1,filter('Previous Rank'!$A$2:$A2766,'Previous Rank'!$B$2:$B2766=B683,'Previous Rank'!$C$2:$C2766=C683),"""")"),667.0)</f>
        <v>667</v>
      </c>
      <c r="H683" s="8">
        <f t="shared" si="1"/>
        <v>-15</v>
      </c>
    </row>
    <row r="684">
      <c r="A684" s="10">
        <v>683.0</v>
      </c>
      <c r="B684" s="11" t="s">
        <v>771</v>
      </c>
      <c r="C684" s="10" t="s">
        <v>79</v>
      </c>
      <c r="D684" s="10" t="s">
        <v>23</v>
      </c>
      <c r="E684" s="16"/>
      <c r="F684" s="16" t="s">
        <v>382</v>
      </c>
      <c r="G684" s="13">
        <f>IFERROR(__xludf.DUMMYFUNCTION("if(counta(filter('Previous Rank'!$A$2:$A2766,'Previous Rank'!$B$2:$B2766=B684,'Previous Rank'!$C$2:$C2766=C684))=1,filter('Previous Rank'!$A$2:$A2766,'Previous Rank'!$B$2:$B2766=B684,'Previous Rank'!$C$2:$C2766=C684),"""")"),668.0)</f>
        <v>668</v>
      </c>
      <c r="H684" s="8">
        <f t="shared" si="1"/>
        <v>-15</v>
      </c>
    </row>
    <row r="685">
      <c r="A685" s="10">
        <v>684.0</v>
      </c>
      <c r="B685" s="11" t="s">
        <v>772</v>
      </c>
      <c r="C685" s="10" t="s">
        <v>79</v>
      </c>
      <c r="D685" s="10" t="s">
        <v>95</v>
      </c>
      <c r="E685" s="15"/>
      <c r="F685" s="15" t="s">
        <v>382</v>
      </c>
      <c r="G685" s="13">
        <f>IFERROR(__xludf.DUMMYFUNCTION("if(counta(filter('Previous Rank'!$A$2:$A2766,'Previous Rank'!$B$2:$B2766=B685,'Previous Rank'!$C$2:$C2766=C685))=1,filter('Previous Rank'!$A$2:$A2766,'Previous Rank'!$B$2:$B2766=B685,'Previous Rank'!$C$2:$C2766=C685),"""")"),670.0)</f>
        <v>670</v>
      </c>
      <c r="H685" s="8">
        <f t="shared" si="1"/>
        <v>-14</v>
      </c>
    </row>
    <row r="686">
      <c r="A686" s="10">
        <v>685.0</v>
      </c>
      <c r="B686" s="11" t="s">
        <v>773</v>
      </c>
      <c r="C686" s="10" t="s">
        <v>79</v>
      </c>
      <c r="D686" s="10" t="s">
        <v>36</v>
      </c>
      <c r="E686" s="16"/>
      <c r="F686" s="16" t="s">
        <v>382</v>
      </c>
      <c r="G686" s="13">
        <f>IFERROR(__xludf.DUMMYFUNCTION("if(counta(filter('Previous Rank'!$A$2:$A2766,'Previous Rank'!$B$2:$B2766=B686,'Previous Rank'!$C$2:$C2766=C686))=1,filter('Previous Rank'!$A$2:$A2766,'Previous Rank'!$B$2:$B2766=B686,'Previous Rank'!$C$2:$C2766=C686),"""")"),671.0)</f>
        <v>671</v>
      </c>
      <c r="H686" s="8">
        <f t="shared" si="1"/>
        <v>-14</v>
      </c>
    </row>
    <row r="687">
      <c r="A687" s="10">
        <v>686.0</v>
      </c>
      <c r="B687" s="11" t="s">
        <v>774</v>
      </c>
      <c r="C687" s="10" t="s">
        <v>220</v>
      </c>
      <c r="D687" s="10" t="s">
        <v>9</v>
      </c>
      <c r="E687" s="15"/>
      <c r="F687" s="15" t="s">
        <v>382</v>
      </c>
      <c r="G687" s="13">
        <f>IFERROR(__xludf.DUMMYFUNCTION("if(counta(filter('Previous Rank'!$A$2:$A2766,'Previous Rank'!$B$2:$B2766=B687,'Previous Rank'!$C$2:$C2766=C687))=1,filter('Previous Rank'!$A$2:$A2766,'Previous Rank'!$B$2:$B2766=B687,'Previous Rank'!$C$2:$C2766=C687),"""")"),672.0)</f>
        <v>672</v>
      </c>
      <c r="H687" s="8">
        <f t="shared" si="1"/>
        <v>-14</v>
      </c>
    </row>
    <row r="688">
      <c r="A688" s="10">
        <v>687.0</v>
      </c>
      <c r="B688" s="11" t="s">
        <v>775</v>
      </c>
      <c r="C688" s="10" t="s">
        <v>79</v>
      </c>
      <c r="D688" s="10" t="s">
        <v>52</v>
      </c>
      <c r="E688" s="16"/>
      <c r="F688" s="16" t="s">
        <v>382</v>
      </c>
      <c r="G688" s="13">
        <f>IFERROR(__xludf.DUMMYFUNCTION("if(counta(filter('Previous Rank'!$A$2:$A2766,'Previous Rank'!$B$2:$B2766=B688,'Previous Rank'!$C$2:$C2766=C688))=1,filter('Previous Rank'!$A$2:$A2766,'Previous Rank'!$B$2:$B2766=B688,'Previous Rank'!$C$2:$C2766=C688),"""")"),673.0)</f>
        <v>673</v>
      </c>
      <c r="H688" s="8">
        <f t="shared" si="1"/>
        <v>-14</v>
      </c>
    </row>
    <row r="689">
      <c r="A689" s="10">
        <v>688.0</v>
      </c>
      <c r="B689" s="11" t="s">
        <v>776</v>
      </c>
      <c r="C689" s="10" t="s">
        <v>79</v>
      </c>
      <c r="D689" s="10" t="s">
        <v>140</v>
      </c>
      <c r="E689" s="15"/>
      <c r="F689" s="15" t="s">
        <v>382</v>
      </c>
      <c r="G689" s="13">
        <f>IFERROR(__xludf.DUMMYFUNCTION("if(counta(filter('Previous Rank'!$A$2:$A2766,'Previous Rank'!$B$2:$B2766=B689,'Previous Rank'!$C$2:$C2766=C689))=1,filter('Previous Rank'!$A$2:$A2766,'Previous Rank'!$B$2:$B2766=B689,'Previous Rank'!$C$2:$C2766=C689),"""")"),674.0)</f>
        <v>674</v>
      </c>
      <c r="H689" s="8">
        <f t="shared" si="1"/>
        <v>-14</v>
      </c>
    </row>
    <row r="690">
      <c r="A690" s="10">
        <v>689.0</v>
      </c>
      <c r="B690" s="11" t="s">
        <v>777</v>
      </c>
      <c r="C690" s="10" t="s">
        <v>79</v>
      </c>
      <c r="D690" s="10" t="s">
        <v>27</v>
      </c>
      <c r="E690" s="16"/>
      <c r="F690" s="16" t="s">
        <v>382</v>
      </c>
      <c r="G690" s="13">
        <f>IFERROR(__xludf.DUMMYFUNCTION("if(counta(filter('Previous Rank'!$A$2:$A2766,'Previous Rank'!$B$2:$B2766=B690,'Previous Rank'!$C$2:$C2766=C690))=1,filter('Previous Rank'!$A$2:$A2766,'Previous Rank'!$B$2:$B2766=B690,'Previous Rank'!$C$2:$C2766=C690),"""")"),675.0)</f>
        <v>675</v>
      </c>
      <c r="H690" s="8">
        <f t="shared" si="1"/>
        <v>-14</v>
      </c>
    </row>
    <row r="691">
      <c r="A691" s="10">
        <v>690.0</v>
      </c>
      <c r="B691" s="11" t="s">
        <v>778</v>
      </c>
      <c r="C691" s="10" t="s">
        <v>79</v>
      </c>
      <c r="D691" s="10" t="s">
        <v>137</v>
      </c>
      <c r="E691" s="15"/>
      <c r="F691" s="15" t="s">
        <v>382</v>
      </c>
      <c r="G691" s="13">
        <f>IFERROR(__xludf.DUMMYFUNCTION("if(counta(filter('Previous Rank'!$A$2:$A2766,'Previous Rank'!$B$2:$B2766=B691,'Previous Rank'!$C$2:$C2766=C691))=1,filter('Previous Rank'!$A$2:$A2766,'Previous Rank'!$B$2:$B2766=B691,'Previous Rank'!$C$2:$C2766=C691),"""")"),676.0)</f>
        <v>676</v>
      </c>
      <c r="H691" s="8">
        <f t="shared" si="1"/>
        <v>-14</v>
      </c>
    </row>
    <row r="692">
      <c r="A692" s="10">
        <v>691.0</v>
      </c>
      <c r="B692" s="11" t="s">
        <v>779</v>
      </c>
      <c r="C692" s="10" t="s">
        <v>585</v>
      </c>
      <c r="D692" s="10" t="s">
        <v>34</v>
      </c>
      <c r="E692" s="16"/>
      <c r="F692" s="16" t="s">
        <v>382</v>
      </c>
      <c r="G692" s="13">
        <f>IFERROR(__xludf.DUMMYFUNCTION("if(counta(filter('Previous Rank'!$A$2:$A2766,'Previous Rank'!$B$2:$B2766=B692,'Previous Rank'!$C$2:$C2766=C692))=1,filter('Previous Rank'!$A$2:$A2766,'Previous Rank'!$B$2:$B2766=B692,'Previous Rank'!$C$2:$C2766=C692),"""")"),677.0)</f>
        <v>677</v>
      </c>
      <c r="H692" s="8">
        <f t="shared" si="1"/>
        <v>-14</v>
      </c>
    </row>
    <row r="693">
      <c r="A693" s="10">
        <v>692.0</v>
      </c>
      <c r="B693" s="11" t="s">
        <v>780</v>
      </c>
      <c r="C693" s="10" t="s">
        <v>585</v>
      </c>
      <c r="D693" s="10" t="s">
        <v>120</v>
      </c>
      <c r="E693" s="15"/>
      <c r="F693" s="15" t="s">
        <v>382</v>
      </c>
      <c r="G693" s="13">
        <f>IFERROR(__xludf.DUMMYFUNCTION("if(counta(filter('Previous Rank'!$A$2:$A2766,'Previous Rank'!$B$2:$B2766=B693,'Previous Rank'!$C$2:$C2766=C693))=1,filter('Previous Rank'!$A$2:$A2766,'Previous Rank'!$B$2:$B2766=B693,'Previous Rank'!$C$2:$C2766=C693),"""")"),678.0)</f>
        <v>678</v>
      </c>
      <c r="H693" s="8">
        <f t="shared" si="1"/>
        <v>-14</v>
      </c>
    </row>
    <row r="694">
      <c r="A694" s="10">
        <v>693.0</v>
      </c>
      <c r="B694" s="11" t="s">
        <v>781</v>
      </c>
      <c r="C694" s="10" t="s">
        <v>79</v>
      </c>
      <c r="D694" s="10" t="s">
        <v>129</v>
      </c>
      <c r="E694" s="16"/>
      <c r="F694" s="16" t="s">
        <v>382</v>
      </c>
      <c r="G694" s="13">
        <f>IFERROR(__xludf.DUMMYFUNCTION("if(counta(filter('Previous Rank'!$A$2:$A2766,'Previous Rank'!$B$2:$B2766=B694,'Previous Rank'!$C$2:$C2766=C694))=1,filter('Previous Rank'!$A$2:$A2766,'Previous Rank'!$B$2:$B2766=B694,'Previous Rank'!$C$2:$C2766=C694),"""")"),679.0)</f>
        <v>679</v>
      </c>
      <c r="H694" s="8">
        <f t="shared" si="1"/>
        <v>-14</v>
      </c>
    </row>
    <row r="695">
      <c r="A695" s="10">
        <v>694.0</v>
      </c>
      <c r="B695" s="11" t="s">
        <v>782</v>
      </c>
      <c r="C695" s="10" t="s">
        <v>79</v>
      </c>
      <c r="D695" s="10" t="s">
        <v>9</v>
      </c>
      <c r="E695" s="15"/>
      <c r="F695" s="15" t="s">
        <v>382</v>
      </c>
      <c r="G695" s="13">
        <f>IFERROR(__xludf.DUMMYFUNCTION("if(counta(filter('Previous Rank'!$A$2:$A2766,'Previous Rank'!$B$2:$B2766=B695,'Previous Rank'!$C$2:$C2766=C695))=1,filter('Previous Rank'!$A$2:$A2766,'Previous Rank'!$B$2:$B2766=B695,'Previous Rank'!$C$2:$C2766=C695),"""")"),680.0)</f>
        <v>680</v>
      </c>
      <c r="H695" s="8">
        <f t="shared" si="1"/>
        <v>-14</v>
      </c>
    </row>
    <row r="696">
      <c r="A696" s="10">
        <v>695.0</v>
      </c>
      <c r="B696" s="11" t="s">
        <v>783</v>
      </c>
      <c r="C696" s="10" t="s">
        <v>79</v>
      </c>
      <c r="D696" s="10" t="s">
        <v>46</v>
      </c>
      <c r="E696" s="16"/>
      <c r="F696" s="16" t="s">
        <v>382</v>
      </c>
      <c r="G696" s="13">
        <f>IFERROR(__xludf.DUMMYFUNCTION("if(counta(filter('Previous Rank'!$A$2:$A2766,'Previous Rank'!$B$2:$B2766=B696,'Previous Rank'!$C$2:$C2766=C696))=1,filter('Previous Rank'!$A$2:$A2766,'Previous Rank'!$B$2:$B2766=B696,'Previous Rank'!$C$2:$C2766=C696),"""")"),681.0)</f>
        <v>681</v>
      </c>
      <c r="H696" s="8">
        <f t="shared" si="1"/>
        <v>-14</v>
      </c>
    </row>
    <row r="697">
      <c r="A697" s="10">
        <v>696.0</v>
      </c>
      <c r="B697" s="11" t="s">
        <v>784</v>
      </c>
      <c r="C697" s="10" t="s">
        <v>79</v>
      </c>
      <c r="D697" s="10" t="s">
        <v>9</v>
      </c>
      <c r="E697" s="15"/>
      <c r="F697" s="15" t="s">
        <v>382</v>
      </c>
      <c r="G697" s="13">
        <f>IFERROR(__xludf.DUMMYFUNCTION("if(counta(filter('Previous Rank'!$A$2:$A2766,'Previous Rank'!$B$2:$B2766=B697,'Previous Rank'!$C$2:$C2766=C697))=1,filter('Previous Rank'!$A$2:$A2766,'Previous Rank'!$B$2:$B2766=B697,'Previous Rank'!$C$2:$C2766=C697),"""")"),682.0)</f>
        <v>682</v>
      </c>
      <c r="H697" s="8">
        <f t="shared" si="1"/>
        <v>-14</v>
      </c>
    </row>
    <row r="698">
      <c r="A698" s="10">
        <v>697.0</v>
      </c>
      <c r="B698" s="11" t="s">
        <v>785</v>
      </c>
      <c r="C698" s="10" t="s">
        <v>79</v>
      </c>
      <c r="D698" s="10" t="s">
        <v>99</v>
      </c>
      <c r="E698" s="16"/>
      <c r="F698" s="16" t="s">
        <v>382</v>
      </c>
      <c r="G698" s="13">
        <f>IFERROR(__xludf.DUMMYFUNCTION("if(counta(filter('Previous Rank'!$A$2:$A2766,'Previous Rank'!$B$2:$B2766=B698,'Previous Rank'!$C$2:$C2766=C698))=1,filter('Previous Rank'!$A$2:$A2766,'Previous Rank'!$B$2:$B2766=B698,'Previous Rank'!$C$2:$C2766=C698),"""")"),683.0)</f>
        <v>683</v>
      </c>
      <c r="H698" s="8">
        <f t="shared" si="1"/>
        <v>-14</v>
      </c>
    </row>
    <row r="699">
      <c r="A699" s="10">
        <v>698.0</v>
      </c>
      <c r="B699" s="11" t="s">
        <v>786</v>
      </c>
      <c r="C699" s="10" t="s">
        <v>79</v>
      </c>
      <c r="D699" s="10" t="s">
        <v>137</v>
      </c>
      <c r="E699" s="15"/>
      <c r="F699" s="15" t="s">
        <v>382</v>
      </c>
      <c r="G699" s="13">
        <f>IFERROR(__xludf.DUMMYFUNCTION("if(counta(filter('Previous Rank'!$A$2:$A2766,'Previous Rank'!$B$2:$B2766=B699,'Previous Rank'!$C$2:$C2766=C699))=1,filter('Previous Rank'!$A$2:$A2766,'Previous Rank'!$B$2:$B2766=B699,'Previous Rank'!$C$2:$C2766=C699),"""")"),684.0)</f>
        <v>684</v>
      </c>
      <c r="H699" s="8">
        <f t="shared" si="1"/>
        <v>-14</v>
      </c>
    </row>
    <row r="700">
      <c r="A700" s="10">
        <v>699.0</v>
      </c>
      <c r="B700" s="11" t="s">
        <v>787</v>
      </c>
      <c r="C700" s="10" t="s">
        <v>79</v>
      </c>
      <c r="D700" s="10" t="s">
        <v>71</v>
      </c>
      <c r="E700" s="16"/>
      <c r="F700" s="16" t="s">
        <v>382</v>
      </c>
      <c r="G700" s="13">
        <f>IFERROR(__xludf.DUMMYFUNCTION("if(counta(filter('Previous Rank'!$A$2:$A2766,'Previous Rank'!$B$2:$B2766=B700,'Previous Rank'!$C$2:$C2766=C700))=1,filter('Previous Rank'!$A$2:$A2766,'Previous Rank'!$B$2:$B2766=B700,'Previous Rank'!$C$2:$C2766=C700),"""")"),685.0)</f>
        <v>685</v>
      </c>
      <c r="H700" s="8">
        <f t="shared" si="1"/>
        <v>-14</v>
      </c>
    </row>
    <row r="701">
      <c r="A701" s="10">
        <v>700.0</v>
      </c>
      <c r="B701" s="11" t="s">
        <v>788</v>
      </c>
      <c r="C701" s="10" t="s">
        <v>79</v>
      </c>
      <c r="D701" s="10" t="s">
        <v>36</v>
      </c>
      <c r="E701" s="15"/>
      <c r="F701" s="15" t="s">
        <v>382</v>
      </c>
      <c r="G701" s="13">
        <f>IFERROR(__xludf.DUMMYFUNCTION("if(counta(filter('Previous Rank'!$A$2:$A2766,'Previous Rank'!$B$2:$B2766=B701,'Previous Rank'!$C$2:$C2766=C701))=1,filter('Previous Rank'!$A$2:$A2766,'Previous Rank'!$B$2:$B2766=B701,'Previous Rank'!$C$2:$C2766=C701),"""")"),686.0)</f>
        <v>686</v>
      </c>
      <c r="H701" s="8">
        <f t="shared" si="1"/>
        <v>-14</v>
      </c>
    </row>
    <row r="702">
      <c r="A702" s="10">
        <v>701.0</v>
      </c>
      <c r="B702" s="11" t="s">
        <v>789</v>
      </c>
      <c r="C702" s="10" t="s">
        <v>79</v>
      </c>
      <c r="D702" s="10" t="s">
        <v>85</v>
      </c>
      <c r="E702" s="16"/>
      <c r="F702" s="16" t="s">
        <v>382</v>
      </c>
      <c r="G702" s="13">
        <f>IFERROR(__xludf.DUMMYFUNCTION("if(counta(filter('Previous Rank'!$A$2:$A2766,'Previous Rank'!$B$2:$B2766=B702,'Previous Rank'!$C$2:$C2766=C702))=1,filter('Previous Rank'!$A$2:$A2766,'Previous Rank'!$B$2:$B2766=B702,'Previous Rank'!$C$2:$C2766=C702),"""")"),687.0)</f>
        <v>687</v>
      </c>
      <c r="H702" s="8">
        <f t="shared" si="1"/>
        <v>-14</v>
      </c>
    </row>
    <row r="703">
      <c r="A703" s="10">
        <v>702.0</v>
      </c>
      <c r="B703" s="11" t="s">
        <v>790</v>
      </c>
      <c r="C703" s="10" t="s">
        <v>79</v>
      </c>
      <c r="D703" s="10" t="s">
        <v>71</v>
      </c>
      <c r="E703" s="15"/>
      <c r="F703" s="15" t="s">
        <v>382</v>
      </c>
      <c r="G703" s="13">
        <f>IFERROR(__xludf.DUMMYFUNCTION("if(counta(filter('Previous Rank'!$A$2:$A2766,'Previous Rank'!$B$2:$B2766=B703,'Previous Rank'!$C$2:$C2766=C703))=1,filter('Previous Rank'!$A$2:$A2766,'Previous Rank'!$B$2:$B2766=B703,'Previous Rank'!$C$2:$C2766=C703),"""")"),688.0)</f>
        <v>688</v>
      </c>
      <c r="H703" s="8">
        <f t="shared" si="1"/>
        <v>-14</v>
      </c>
    </row>
    <row r="704">
      <c r="A704" s="10">
        <v>703.0</v>
      </c>
      <c r="B704" s="11" t="s">
        <v>791</v>
      </c>
      <c r="C704" s="10" t="s">
        <v>22</v>
      </c>
      <c r="D704" s="10" t="s">
        <v>18</v>
      </c>
      <c r="E704" s="16"/>
      <c r="F704" s="16" t="s">
        <v>382</v>
      </c>
      <c r="G704" s="13">
        <f>IFERROR(__xludf.DUMMYFUNCTION("if(counta(filter('Previous Rank'!$A$2:$A2766,'Previous Rank'!$B$2:$B2766=B704,'Previous Rank'!$C$2:$C2766=C704))=1,filter('Previous Rank'!$A$2:$A2766,'Previous Rank'!$B$2:$B2766=B704,'Previous Rank'!$C$2:$C2766=C704),"""")"),689.0)</f>
        <v>689</v>
      </c>
      <c r="H704" s="8">
        <f t="shared" si="1"/>
        <v>-14</v>
      </c>
    </row>
    <row r="705">
      <c r="A705" s="10">
        <v>704.0</v>
      </c>
      <c r="B705" s="11" t="s">
        <v>792</v>
      </c>
      <c r="C705" s="10" t="s">
        <v>22</v>
      </c>
      <c r="D705" s="10" t="s">
        <v>73</v>
      </c>
      <c r="E705" s="15"/>
      <c r="F705" s="15" t="s">
        <v>382</v>
      </c>
      <c r="G705" s="13">
        <f>IFERROR(__xludf.DUMMYFUNCTION("if(counta(filter('Previous Rank'!$A$2:$A2766,'Previous Rank'!$B$2:$B2766=B705,'Previous Rank'!$C$2:$C2766=C705))=1,filter('Previous Rank'!$A$2:$A2766,'Previous Rank'!$B$2:$B2766=B705,'Previous Rank'!$C$2:$C2766=C705),"""")"),690.0)</f>
        <v>690</v>
      </c>
      <c r="H705" s="8">
        <f t="shared" si="1"/>
        <v>-14</v>
      </c>
    </row>
    <row r="706">
      <c r="A706" s="10">
        <v>705.0</v>
      </c>
      <c r="B706" s="11" t="s">
        <v>793</v>
      </c>
      <c r="C706" s="10" t="s">
        <v>79</v>
      </c>
      <c r="D706" s="10" t="s">
        <v>140</v>
      </c>
      <c r="E706" s="16"/>
      <c r="F706" s="16"/>
      <c r="G706" s="13">
        <f>IFERROR(__xludf.DUMMYFUNCTION("if(counta(filter('Previous Rank'!$A$2:$A2766,'Previous Rank'!$B$2:$B2766=B706,'Previous Rank'!$C$2:$C2766=C706))=1,filter('Previous Rank'!$A$2:$A2766,'Previous Rank'!$B$2:$B2766=B706,'Previous Rank'!$C$2:$C2766=C706),"""")"),691.0)</f>
        <v>691</v>
      </c>
      <c r="H706" s="8">
        <f t="shared" si="1"/>
        <v>-14</v>
      </c>
    </row>
    <row r="707">
      <c r="A707" s="10">
        <v>706.0</v>
      </c>
      <c r="B707" s="11" t="s">
        <v>794</v>
      </c>
      <c r="C707" s="10" t="s">
        <v>79</v>
      </c>
      <c r="D707" s="10" t="s">
        <v>206</v>
      </c>
      <c r="E707" s="15"/>
      <c r="F707" s="15" t="s">
        <v>382</v>
      </c>
      <c r="G707" s="13">
        <f>IFERROR(__xludf.DUMMYFUNCTION("if(counta(filter('Previous Rank'!$A$2:$A2766,'Previous Rank'!$B$2:$B2766=B707,'Previous Rank'!$C$2:$C2766=C707))=1,filter('Previous Rank'!$A$2:$A2766,'Previous Rank'!$B$2:$B2766=B707,'Previous Rank'!$C$2:$C2766=C707),"""")"),692.0)</f>
        <v>692</v>
      </c>
      <c r="H707" s="8">
        <f t="shared" si="1"/>
        <v>-14</v>
      </c>
    </row>
    <row r="708">
      <c r="A708" s="10">
        <v>707.0</v>
      </c>
      <c r="B708" s="11" t="s">
        <v>795</v>
      </c>
      <c r="C708" s="10" t="s">
        <v>79</v>
      </c>
      <c r="D708" s="10" t="s">
        <v>34</v>
      </c>
      <c r="E708" s="16"/>
      <c r="F708" s="16" t="s">
        <v>382</v>
      </c>
      <c r="G708" s="13">
        <f>IFERROR(__xludf.DUMMYFUNCTION("if(counta(filter('Previous Rank'!$A$2:$A2766,'Previous Rank'!$B$2:$B2766=B708,'Previous Rank'!$C$2:$C2766=C708))=1,filter('Previous Rank'!$A$2:$A2766,'Previous Rank'!$B$2:$B2766=B708,'Previous Rank'!$C$2:$C2766=C708),"""")"),693.0)</f>
        <v>693</v>
      </c>
      <c r="H708" s="8">
        <f t="shared" si="1"/>
        <v>-14</v>
      </c>
    </row>
    <row r="709">
      <c r="A709" s="10">
        <v>708.0</v>
      </c>
      <c r="B709" s="11" t="s">
        <v>796</v>
      </c>
      <c r="C709" s="10" t="s">
        <v>22</v>
      </c>
      <c r="D709" s="10" t="s">
        <v>36</v>
      </c>
      <c r="E709" s="15"/>
      <c r="F709" s="15" t="s">
        <v>382</v>
      </c>
      <c r="G709" s="13">
        <f>IFERROR(__xludf.DUMMYFUNCTION("if(counta(filter('Previous Rank'!$A$2:$A2766,'Previous Rank'!$B$2:$B2766=B709,'Previous Rank'!$C$2:$C2766=C709))=1,filter('Previous Rank'!$A$2:$A2766,'Previous Rank'!$B$2:$B2766=B709,'Previous Rank'!$C$2:$C2766=C709),"""")"),694.0)</f>
        <v>694</v>
      </c>
      <c r="H709" s="8">
        <f t="shared" si="1"/>
        <v>-14</v>
      </c>
    </row>
    <row r="710">
      <c r="A710" s="10">
        <v>709.0</v>
      </c>
      <c r="B710" s="11" t="s">
        <v>797</v>
      </c>
      <c r="C710" s="10" t="s">
        <v>22</v>
      </c>
      <c r="D710" s="10" t="s">
        <v>12</v>
      </c>
      <c r="E710" s="16"/>
      <c r="F710" s="16" t="s">
        <v>382</v>
      </c>
      <c r="G710" s="13">
        <f>IFERROR(__xludf.DUMMYFUNCTION("if(counta(filter('Previous Rank'!$A$2:$A2766,'Previous Rank'!$B$2:$B2766=B710,'Previous Rank'!$C$2:$C2766=C710))=1,filter('Previous Rank'!$A$2:$A2766,'Previous Rank'!$B$2:$B2766=B710,'Previous Rank'!$C$2:$C2766=C710),"""")"),695.0)</f>
        <v>695</v>
      </c>
      <c r="H710" s="8">
        <f t="shared" si="1"/>
        <v>-14</v>
      </c>
    </row>
    <row r="711">
      <c r="A711" s="10">
        <v>710.0</v>
      </c>
      <c r="B711" s="11" t="s">
        <v>798</v>
      </c>
      <c r="C711" s="10" t="s">
        <v>79</v>
      </c>
      <c r="D711" s="10" t="s">
        <v>9</v>
      </c>
      <c r="E711" s="15"/>
      <c r="F711" s="15" t="s">
        <v>382</v>
      </c>
      <c r="G711" s="13">
        <f>IFERROR(__xludf.DUMMYFUNCTION("if(counta(filter('Previous Rank'!$A$2:$A2766,'Previous Rank'!$B$2:$B2766=B711,'Previous Rank'!$C$2:$C2766=C711))=1,filter('Previous Rank'!$A$2:$A2766,'Previous Rank'!$B$2:$B2766=B711,'Previous Rank'!$C$2:$C2766=C711),"""")"),696.0)</f>
        <v>696</v>
      </c>
      <c r="H711" s="8">
        <f t="shared" si="1"/>
        <v>-14</v>
      </c>
    </row>
    <row r="712">
      <c r="A712" s="10">
        <v>711.0</v>
      </c>
      <c r="B712" s="11" t="s">
        <v>799</v>
      </c>
      <c r="C712" s="10" t="s">
        <v>22</v>
      </c>
      <c r="D712" s="10" t="s">
        <v>18</v>
      </c>
      <c r="E712" s="16"/>
      <c r="F712" s="16" t="s">
        <v>382</v>
      </c>
      <c r="G712" s="13">
        <f>IFERROR(__xludf.DUMMYFUNCTION("if(counta(filter('Previous Rank'!$A$2:$A2766,'Previous Rank'!$B$2:$B2766=B712,'Previous Rank'!$C$2:$C2766=C712))=1,filter('Previous Rank'!$A$2:$A2766,'Previous Rank'!$B$2:$B2766=B712,'Previous Rank'!$C$2:$C2766=C712),"""")"),321.0)</f>
        <v>321</v>
      </c>
      <c r="H712" s="8">
        <f t="shared" si="1"/>
        <v>-390</v>
      </c>
    </row>
    <row r="713">
      <c r="A713" s="10">
        <v>712.0</v>
      </c>
      <c r="B713" s="11" t="s">
        <v>800</v>
      </c>
      <c r="C713" s="10" t="s">
        <v>79</v>
      </c>
      <c r="D713" s="10" t="s">
        <v>71</v>
      </c>
      <c r="E713" s="15"/>
      <c r="F713" s="15" t="s">
        <v>382</v>
      </c>
      <c r="G713" s="13">
        <f>IFERROR(__xludf.DUMMYFUNCTION("if(counta(filter('Previous Rank'!$A$2:$A2766,'Previous Rank'!$B$2:$B2766=B713,'Previous Rank'!$C$2:$C2766=C713))=1,filter('Previous Rank'!$A$2:$A2766,'Previous Rank'!$B$2:$B2766=B713,'Previous Rank'!$C$2:$C2766=C713),"""")"),697.0)</f>
        <v>697</v>
      </c>
      <c r="H713" s="8">
        <f t="shared" si="1"/>
        <v>-15</v>
      </c>
    </row>
    <row r="714">
      <c r="A714" s="10">
        <v>713.0</v>
      </c>
      <c r="B714" s="11" t="s">
        <v>801</v>
      </c>
      <c r="C714" s="10" t="s">
        <v>22</v>
      </c>
      <c r="D714" s="10" t="s">
        <v>73</v>
      </c>
      <c r="E714" s="16"/>
      <c r="F714" s="16" t="s">
        <v>382</v>
      </c>
      <c r="G714" s="13">
        <f>IFERROR(__xludf.DUMMYFUNCTION("if(counta(filter('Previous Rank'!$A$2:$A2766,'Previous Rank'!$B$2:$B2766=B714,'Previous Rank'!$C$2:$C2766=C714))=1,filter('Previous Rank'!$A$2:$A2766,'Previous Rank'!$B$2:$B2766=B714,'Previous Rank'!$C$2:$C2766=C714),"""")"),698.0)</f>
        <v>698</v>
      </c>
      <c r="H714" s="8">
        <f t="shared" si="1"/>
        <v>-15</v>
      </c>
    </row>
    <row r="715">
      <c r="A715" s="10">
        <v>714.0</v>
      </c>
      <c r="B715" s="11" t="s">
        <v>802</v>
      </c>
      <c r="C715" s="10" t="s">
        <v>22</v>
      </c>
      <c r="D715" s="10" t="s">
        <v>137</v>
      </c>
      <c r="E715" s="15"/>
      <c r="F715" s="15" t="s">
        <v>382</v>
      </c>
      <c r="G715" s="13">
        <f>IFERROR(__xludf.DUMMYFUNCTION("if(counta(filter('Previous Rank'!$A$2:$A2766,'Previous Rank'!$B$2:$B2766=B715,'Previous Rank'!$C$2:$C2766=C715))=1,filter('Previous Rank'!$A$2:$A2766,'Previous Rank'!$B$2:$B2766=B715,'Previous Rank'!$C$2:$C2766=C715),"""")"),699.0)</f>
        <v>699</v>
      </c>
      <c r="H715" s="8">
        <f t="shared" si="1"/>
        <v>-15</v>
      </c>
    </row>
    <row r="716">
      <c r="A716" s="10">
        <v>715.0</v>
      </c>
      <c r="B716" s="11" t="s">
        <v>803</v>
      </c>
      <c r="C716" s="10" t="s">
        <v>79</v>
      </c>
      <c r="D716" s="10" t="s">
        <v>36</v>
      </c>
      <c r="E716" s="16"/>
      <c r="F716" s="16" t="s">
        <v>382</v>
      </c>
      <c r="G716" s="13">
        <f>IFERROR(__xludf.DUMMYFUNCTION("if(counta(filter('Previous Rank'!$A$2:$A2766,'Previous Rank'!$B$2:$B2766=B716,'Previous Rank'!$C$2:$C2766=C716))=1,filter('Previous Rank'!$A$2:$A2766,'Previous Rank'!$B$2:$B2766=B716,'Previous Rank'!$C$2:$C2766=C716),"""")"),700.0)</f>
        <v>700</v>
      </c>
      <c r="H716" s="8">
        <f t="shared" si="1"/>
        <v>-15</v>
      </c>
    </row>
    <row r="717">
      <c r="A717" s="10">
        <v>716.0</v>
      </c>
      <c r="B717" s="11" t="s">
        <v>804</v>
      </c>
      <c r="C717" s="10" t="s">
        <v>79</v>
      </c>
      <c r="D717" s="10" t="s">
        <v>82</v>
      </c>
      <c r="E717" s="15"/>
      <c r="F717" s="15" t="s">
        <v>382</v>
      </c>
      <c r="G717" s="13">
        <f>IFERROR(__xludf.DUMMYFUNCTION("if(counta(filter('Previous Rank'!$A$2:$A2766,'Previous Rank'!$B$2:$B2766=B717,'Previous Rank'!$C$2:$C2766=C717))=1,filter('Previous Rank'!$A$2:$A2766,'Previous Rank'!$B$2:$B2766=B717,'Previous Rank'!$C$2:$C2766=C717),"""")"),701.0)</f>
        <v>701</v>
      </c>
      <c r="H717" s="8">
        <f t="shared" si="1"/>
        <v>-15</v>
      </c>
    </row>
    <row r="718">
      <c r="A718" s="10">
        <v>717.0</v>
      </c>
      <c r="B718" s="11" t="s">
        <v>805</v>
      </c>
      <c r="C718" s="10" t="s">
        <v>22</v>
      </c>
      <c r="D718" s="10" t="s">
        <v>120</v>
      </c>
      <c r="E718" s="16"/>
      <c r="F718" s="16" t="s">
        <v>382</v>
      </c>
      <c r="G718" s="13">
        <f>IFERROR(__xludf.DUMMYFUNCTION("if(counta(filter('Previous Rank'!$A$2:$A2766,'Previous Rank'!$B$2:$B2766=B718,'Previous Rank'!$C$2:$C2766=C718))=1,filter('Previous Rank'!$A$2:$A2766,'Previous Rank'!$B$2:$B2766=B718,'Previous Rank'!$C$2:$C2766=C718),"""")"),702.0)</f>
        <v>702</v>
      </c>
      <c r="H718" s="8">
        <f t="shared" si="1"/>
        <v>-15</v>
      </c>
    </row>
    <row r="719">
      <c r="A719" s="10">
        <v>718.0</v>
      </c>
      <c r="B719" s="11" t="s">
        <v>806</v>
      </c>
      <c r="C719" s="10" t="s">
        <v>22</v>
      </c>
      <c r="D719" s="10" t="s">
        <v>85</v>
      </c>
      <c r="E719" s="15"/>
      <c r="F719" s="15" t="s">
        <v>382</v>
      </c>
      <c r="G719" s="13">
        <f>IFERROR(__xludf.DUMMYFUNCTION("if(counta(filter('Previous Rank'!$A$2:$A2766,'Previous Rank'!$B$2:$B2766=B719,'Previous Rank'!$C$2:$C2766=C719))=1,filter('Previous Rank'!$A$2:$A2766,'Previous Rank'!$B$2:$B2766=B719,'Previous Rank'!$C$2:$C2766=C719),"""")"),703.0)</f>
        <v>703</v>
      </c>
      <c r="H719" s="8">
        <f t="shared" si="1"/>
        <v>-15</v>
      </c>
    </row>
    <row r="720">
      <c r="A720" s="10">
        <v>719.0</v>
      </c>
      <c r="B720" s="11" t="s">
        <v>807</v>
      </c>
      <c r="C720" s="10" t="s">
        <v>79</v>
      </c>
      <c r="D720" s="10" t="s">
        <v>23</v>
      </c>
      <c r="E720" s="16"/>
      <c r="F720" s="16" t="s">
        <v>382</v>
      </c>
      <c r="G720" s="13">
        <f>IFERROR(__xludf.DUMMYFUNCTION("if(counta(filter('Previous Rank'!$A$2:$A2766,'Previous Rank'!$B$2:$B2766=B720,'Previous Rank'!$C$2:$C2766=C720))=1,filter('Previous Rank'!$A$2:$A2766,'Previous Rank'!$B$2:$B2766=B720,'Previous Rank'!$C$2:$C2766=C720),"""")"),704.0)</f>
        <v>704</v>
      </c>
      <c r="H720" s="8">
        <f t="shared" si="1"/>
        <v>-15</v>
      </c>
    </row>
    <row r="721">
      <c r="A721" s="10">
        <v>720.0</v>
      </c>
      <c r="B721" s="11" t="s">
        <v>808</v>
      </c>
      <c r="C721" s="10" t="s">
        <v>79</v>
      </c>
      <c r="D721" s="10" t="s">
        <v>27</v>
      </c>
      <c r="E721" s="15"/>
      <c r="F721" s="15" t="s">
        <v>382</v>
      </c>
      <c r="G721" s="13">
        <f>IFERROR(__xludf.DUMMYFUNCTION("if(counta(filter('Previous Rank'!$A$2:$A2766,'Previous Rank'!$B$2:$B2766=B721,'Previous Rank'!$C$2:$C2766=C721))=1,filter('Previous Rank'!$A$2:$A2766,'Previous Rank'!$B$2:$B2766=B721,'Previous Rank'!$C$2:$C2766=C721),"""")"),705.0)</f>
        <v>705</v>
      </c>
      <c r="H721" s="8">
        <f t="shared" si="1"/>
        <v>-15</v>
      </c>
    </row>
    <row r="722">
      <c r="A722" s="10">
        <v>721.0</v>
      </c>
      <c r="B722" s="11" t="s">
        <v>809</v>
      </c>
      <c r="C722" s="10" t="s">
        <v>79</v>
      </c>
      <c r="D722" s="10" t="s">
        <v>90</v>
      </c>
      <c r="E722" s="16"/>
      <c r="F722" s="16" t="s">
        <v>382</v>
      </c>
      <c r="G722" s="13">
        <f>IFERROR(__xludf.DUMMYFUNCTION("if(counta(filter('Previous Rank'!$A$2:$A2766,'Previous Rank'!$B$2:$B2766=B722,'Previous Rank'!$C$2:$C2766=C722))=1,filter('Previous Rank'!$A$2:$A2766,'Previous Rank'!$B$2:$B2766=B722,'Previous Rank'!$C$2:$C2766=C722),"""")"),706.0)</f>
        <v>706</v>
      </c>
      <c r="H722" s="8">
        <f t="shared" si="1"/>
        <v>-15</v>
      </c>
    </row>
    <row r="723">
      <c r="A723" s="10">
        <v>722.0</v>
      </c>
      <c r="B723" s="11" t="s">
        <v>810</v>
      </c>
      <c r="C723" s="10" t="s">
        <v>79</v>
      </c>
      <c r="D723" s="10" t="s">
        <v>52</v>
      </c>
      <c r="E723" s="15"/>
      <c r="F723" s="15" t="s">
        <v>382</v>
      </c>
      <c r="G723" s="13">
        <f>IFERROR(__xludf.DUMMYFUNCTION("if(counta(filter('Previous Rank'!$A$2:$A2766,'Previous Rank'!$B$2:$B2766=B723,'Previous Rank'!$C$2:$C2766=C723))=1,filter('Previous Rank'!$A$2:$A2766,'Previous Rank'!$B$2:$B2766=B723,'Previous Rank'!$C$2:$C2766=C723),"""")"),707.0)</f>
        <v>707</v>
      </c>
      <c r="H723" s="8">
        <f t="shared" si="1"/>
        <v>-15</v>
      </c>
    </row>
    <row r="724">
      <c r="A724" s="10">
        <v>723.0</v>
      </c>
      <c r="B724" s="11" t="s">
        <v>811</v>
      </c>
      <c r="C724" s="10" t="s">
        <v>22</v>
      </c>
      <c r="D724" s="10" t="s">
        <v>206</v>
      </c>
      <c r="E724" s="16"/>
      <c r="F724" s="16" t="s">
        <v>382</v>
      </c>
      <c r="G724" s="13">
        <f>IFERROR(__xludf.DUMMYFUNCTION("if(counta(filter('Previous Rank'!$A$2:$A2766,'Previous Rank'!$B$2:$B2766=B724,'Previous Rank'!$C$2:$C2766=C724))=1,filter('Previous Rank'!$A$2:$A2766,'Previous Rank'!$B$2:$B2766=B724,'Previous Rank'!$C$2:$C2766=C724),"""")"),708.0)</f>
        <v>708</v>
      </c>
      <c r="H724" s="8">
        <f t="shared" si="1"/>
        <v>-15</v>
      </c>
    </row>
    <row r="725">
      <c r="A725" s="10">
        <v>724.0</v>
      </c>
      <c r="B725" s="11" t="s">
        <v>812</v>
      </c>
      <c r="C725" s="10" t="s">
        <v>79</v>
      </c>
      <c r="D725" s="10" t="s">
        <v>82</v>
      </c>
      <c r="E725" s="15"/>
      <c r="F725" s="15" t="s">
        <v>382</v>
      </c>
      <c r="G725" s="13">
        <f>IFERROR(__xludf.DUMMYFUNCTION("if(counta(filter('Previous Rank'!$A$2:$A2766,'Previous Rank'!$B$2:$B2766=B725,'Previous Rank'!$C$2:$C2766=C725))=1,filter('Previous Rank'!$A$2:$A2766,'Previous Rank'!$B$2:$B2766=B725,'Previous Rank'!$C$2:$C2766=C725),"""")"),709.0)</f>
        <v>709</v>
      </c>
      <c r="H725" s="8">
        <f t="shared" si="1"/>
        <v>-15</v>
      </c>
    </row>
    <row r="726">
      <c r="A726" s="10">
        <v>725.0</v>
      </c>
      <c r="B726" s="11" t="s">
        <v>813</v>
      </c>
      <c r="C726" s="10" t="s">
        <v>79</v>
      </c>
      <c r="D726" s="10" t="s">
        <v>90</v>
      </c>
      <c r="E726" s="16"/>
      <c r="F726" s="16" t="s">
        <v>382</v>
      </c>
      <c r="G726" s="13">
        <f>IFERROR(__xludf.DUMMYFUNCTION("if(counta(filter('Previous Rank'!$A$2:$A2766,'Previous Rank'!$B$2:$B2766=B726,'Previous Rank'!$C$2:$C2766=C726))=1,filter('Previous Rank'!$A$2:$A2766,'Previous Rank'!$B$2:$B2766=B726,'Previous Rank'!$C$2:$C2766=C726),"""")"),710.0)</f>
        <v>710</v>
      </c>
      <c r="H726" s="8">
        <f t="shared" si="1"/>
        <v>-15</v>
      </c>
    </row>
    <row r="727">
      <c r="A727" s="10">
        <v>726.0</v>
      </c>
      <c r="B727" s="11" t="s">
        <v>814</v>
      </c>
      <c r="C727" s="10" t="s">
        <v>22</v>
      </c>
      <c r="D727" s="10" t="s">
        <v>140</v>
      </c>
      <c r="E727" s="15"/>
      <c r="F727" s="15" t="s">
        <v>382</v>
      </c>
      <c r="G727" s="13">
        <f>IFERROR(__xludf.DUMMYFUNCTION("if(counta(filter('Previous Rank'!$A$2:$A2766,'Previous Rank'!$B$2:$B2766=B727,'Previous Rank'!$C$2:$C2766=C727))=1,filter('Previous Rank'!$A$2:$A2766,'Previous Rank'!$B$2:$B2766=B727,'Previous Rank'!$C$2:$C2766=C727),"""")"),711.0)</f>
        <v>711</v>
      </c>
      <c r="H727" s="8">
        <f t="shared" si="1"/>
        <v>-15</v>
      </c>
    </row>
    <row r="728">
      <c r="A728" s="10">
        <v>727.0</v>
      </c>
      <c r="B728" s="11" t="s">
        <v>815</v>
      </c>
      <c r="C728" s="10" t="s">
        <v>22</v>
      </c>
      <c r="D728" s="10" t="s">
        <v>34</v>
      </c>
      <c r="E728" s="16"/>
      <c r="F728" s="16" t="s">
        <v>382</v>
      </c>
      <c r="G728" s="13">
        <f>IFERROR(__xludf.DUMMYFUNCTION("if(counta(filter('Previous Rank'!$A$2:$A2766,'Previous Rank'!$B$2:$B2766=B728,'Previous Rank'!$C$2:$C2766=C728))=1,filter('Previous Rank'!$A$2:$A2766,'Previous Rank'!$B$2:$B2766=B728,'Previous Rank'!$C$2:$C2766=C728),"""")"),712.0)</f>
        <v>712</v>
      </c>
      <c r="H728" s="8">
        <f t="shared" si="1"/>
        <v>-15</v>
      </c>
    </row>
    <row r="729">
      <c r="A729" s="10">
        <v>728.0</v>
      </c>
      <c r="B729" s="11" t="s">
        <v>816</v>
      </c>
      <c r="C729" s="10" t="s">
        <v>79</v>
      </c>
      <c r="D729" s="10" t="s">
        <v>73</v>
      </c>
      <c r="E729" s="15"/>
      <c r="F729" s="15" t="s">
        <v>382</v>
      </c>
      <c r="G729" s="13">
        <f>IFERROR(__xludf.DUMMYFUNCTION("if(counta(filter('Previous Rank'!$A$2:$A2766,'Previous Rank'!$B$2:$B2766=B729,'Previous Rank'!$C$2:$C2766=C729))=1,filter('Previous Rank'!$A$2:$A2766,'Previous Rank'!$B$2:$B2766=B729,'Previous Rank'!$C$2:$C2766=C729),"""")"),713.0)</f>
        <v>713</v>
      </c>
      <c r="H729" s="8">
        <f t="shared" si="1"/>
        <v>-15</v>
      </c>
    </row>
    <row r="730">
      <c r="A730" s="10">
        <v>729.0</v>
      </c>
      <c r="B730" s="11" t="s">
        <v>817</v>
      </c>
      <c r="C730" s="10" t="s">
        <v>79</v>
      </c>
      <c r="D730" s="10" t="s">
        <v>206</v>
      </c>
      <c r="E730" s="16"/>
      <c r="F730" s="16" t="s">
        <v>382</v>
      </c>
      <c r="G730" s="13">
        <f>IFERROR(__xludf.DUMMYFUNCTION("if(counta(filter('Previous Rank'!$A$2:$A2766,'Previous Rank'!$B$2:$B2766=B730,'Previous Rank'!$C$2:$C2766=C730))=1,filter('Previous Rank'!$A$2:$A2766,'Previous Rank'!$B$2:$B2766=B730,'Previous Rank'!$C$2:$C2766=C730),"""")"),714.0)</f>
        <v>714</v>
      </c>
      <c r="H730" s="8">
        <f t="shared" si="1"/>
        <v>-15</v>
      </c>
    </row>
    <row r="731">
      <c r="A731" s="10">
        <v>730.0</v>
      </c>
      <c r="B731" s="11" t="s">
        <v>818</v>
      </c>
      <c r="C731" s="10" t="s">
        <v>22</v>
      </c>
      <c r="D731" s="10" t="s">
        <v>71</v>
      </c>
      <c r="E731" s="15"/>
      <c r="F731" s="15" t="s">
        <v>382</v>
      </c>
      <c r="G731" s="13">
        <f>IFERROR(__xludf.DUMMYFUNCTION("if(counta(filter('Previous Rank'!$A$2:$A2766,'Previous Rank'!$B$2:$B2766=B731,'Previous Rank'!$C$2:$C2766=C731))=1,filter('Previous Rank'!$A$2:$A2766,'Previous Rank'!$B$2:$B2766=B731,'Previous Rank'!$C$2:$C2766=C731),"""")"),715.0)</f>
        <v>715</v>
      </c>
      <c r="H731" s="8">
        <f t="shared" si="1"/>
        <v>-15</v>
      </c>
    </row>
    <row r="732">
      <c r="A732" s="10">
        <v>731.0</v>
      </c>
      <c r="B732" s="11" t="s">
        <v>819</v>
      </c>
      <c r="C732" s="10" t="s">
        <v>22</v>
      </c>
      <c r="D732" s="10" t="s">
        <v>31</v>
      </c>
      <c r="E732" s="16"/>
      <c r="F732" s="16" t="s">
        <v>382</v>
      </c>
      <c r="G732" s="13">
        <f>IFERROR(__xludf.DUMMYFUNCTION("if(counta(filter('Previous Rank'!$A$2:$A2766,'Previous Rank'!$B$2:$B2766=B732,'Previous Rank'!$C$2:$C2766=C732))=1,filter('Previous Rank'!$A$2:$A2766,'Previous Rank'!$B$2:$B2766=B732,'Previous Rank'!$C$2:$C2766=C732),"""")"),716.0)</f>
        <v>716</v>
      </c>
      <c r="H732" s="8">
        <f t="shared" si="1"/>
        <v>-15</v>
      </c>
    </row>
    <row r="733">
      <c r="A733" s="10">
        <v>732.0</v>
      </c>
      <c r="B733" s="11" t="s">
        <v>820</v>
      </c>
      <c r="C733" s="10" t="s">
        <v>22</v>
      </c>
      <c r="D733" s="10" t="s">
        <v>122</v>
      </c>
      <c r="E733" s="15"/>
      <c r="F733" s="15" t="s">
        <v>382</v>
      </c>
      <c r="G733" s="13">
        <f>IFERROR(__xludf.DUMMYFUNCTION("if(counta(filter('Previous Rank'!$A$2:$A2766,'Previous Rank'!$B$2:$B2766=B733,'Previous Rank'!$C$2:$C2766=C733))=1,filter('Previous Rank'!$A$2:$A2766,'Previous Rank'!$B$2:$B2766=B733,'Previous Rank'!$C$2:$C2766=C733),"""")"),717.0)</f>
        <v>717</v>
      </c>
      <c r="H733" s="8">
        <f t="shared" si="1"/>
        <v>-15</v>
      </c>
    </row>
    <row r="734">
      <c r="A734" s="10">
        <v>733.0</v>
      </c>
      <c r="B734" s="11" t="s">
        <v>821</v>
      </c>
      <c r="C734" s="10" t="s">
        <v>22</v>
      </c>
      <c r="D734" s="10" t="s">
        <v>129</v>
      </c>
      <c r="E734" s="16"/>
      <c r="F734" s="16" t="s">
        <v>382</v>
      </c>
      <c r="G734" s="13">
        <f>IFERROR(__xludf.DUMMYFUNCTION("if(counta(filter('Previous Rank'!$A$2:$A2766,'Previous Rank'!$B$2:$B2766=B734,'Previous Rank'!$C$2:$C2766=C734))=1,filter('Previous Rank'!$A$2:$A2766,'Previous Rank'!$B$2:$B2766=B734,'Previous Rank'!$C$2:$C2766=C734),"""")"),718.0)</f>
        <v>718</v>
      </c>
      <c r="H734" s="8">
        <f t="shared" si="1"/>
        <v>-15</v>
      </c>
    </row>
    <row r="735">
      <c r="A735" s="10">
        <v>734.0</v>
      </c>
      <c r="B735" s="11" t="s">
        <v>822</v>
      </c>
      <c r="C735" s="10" t="s">
        <v>22</v>
      </c>
      <c r="D735" s="10" t="s">
        <v>12</v>
      </c>
      <c r="E735" s="15"/>
      <c r="F735" s="15" t="s">
        <v>382</v>
      </c>
      <c r="G735" s="13">
        <f>IFERROR(__xludf.DUMMYFUNCTION("if(counta(filter('Previous Rank'!$A$2:$A2766,'Previous Rank'!$B$2:$B2766=B735,'Previous Rank'!$C$2:$C2766=C735))=1,filter('Previous Rank'!$A$2:$A2766,'Previous Rank'!$B$2:$B2766=B735,'Previous Rank'!$C$2:$C2766=C735),"""")"),719.0)</f>
        <v>719</v>
      </c>
      <c r="H735" s="8">
        <f t="shared" si="1"/>
        <v>-15</v>
      </c>
    </row>
    <row r="736">
      <c r="A736" s="10">
        <v>735.0</v>
      </c>
      <c r="B736" s="11" t="s">
        <v>823</v>
      </c>
      <c r="C736" s="10" t="s">
        <v>22</v>
      </c>
      <c r="D736" s="10" t="s">
        <v>9</v>
      </c>
      <c r="E736" s="16"/>
      <c r="F736" s="16" t="s">
        <v>382</v>
      </c>
      <c r="G736" s="13">
        <f>IFERROR(__xludf.DUMMYFUNCTION("if(counta(filter('Previous Rank'!$A$2:$A2766,'Previous Rank'!$B$2:$B2766=B736,'Previous Rank'!$C$2:$C2766=C736))=1,filter('Previous Rank'!$A$2:$A2766,'Previous Rank'!$B$2:$B2766=B736,'Previous Rank'!$C$2:$C2766=C736),"""")"),720.0)</f>
        <v>720</v>
      </c>
      <c r="H736" s="8">
        <f t="shared" si="1"/>
        <v>-15</v>
      </c>
    </row>
    <row r="737">
      <c r="A737" s="10">
        <v>736.0</v>
      </c>
      <c r="B737" s="11" t="s">
        <v>824</v>
      </c>
      <c r="C737" s="10" t="s">
        <v>79</v>
      </c>
      <c r="D737" s="10" t="s">
        <v>23</v>
      </c>
      <c r="E737" s="15"/>
      <c r="F737" s="15" t="s">
        <v>382</v>
      </c>
      <c r="G737" s="13">
        <f>IFERROR(__xludf.DUMMYFUNCTION("if(counta(filter('Previous Rank'!$A$2:$A2766,'Previous Rank'!$B$2:$B2766=B737,'Previous Rank'!$C$2:$C2766=C737))=1,filter('Previous Rank'!$A$2:$A2766,'Previous Rank'!$B$2:$B2766=B737,'Previous Rank'!$C$2:$C2766=C737),"""")"),721.0)</f>
        <v>721</v>
      </c>
      <c r="H737" s="8">
        <f t="shared" si="1"/>
        <v>-15</v>
      </c>
    </row>
    <row r="738">
      <c r="A738" s="10">
        <v>737.0</v>
      </c>
      <c r="B738" s="11" t="s">
        <v>825</v>
      </c>
      <c r="C738" s="10" t="s">
        <v>22</v>
      </c>
      <c r="D738" s="10" t="s">
        <v>129</v>
      </c>
      <c r="E738" s="16">
        <v>248.5</v>
      </c>
      <c r="F738" s="16">
        <v>1.1</v>
      </c>
      <c r="G738" s="13">
        <f>IFERROR(__xludf.DUMMYFUNCTION("if(counta(filter('Previous Rank'!$A$2:$A2766,'Previous Rank'!$B$2:$B2766=B738,'Previous Rank'!$C$2:$C2766=C738))=1,filter('Previous Rank'!$A$2:$A2766,'Previous Rank'!$B$2:$B2766=B738,'Previous Rank'!$C$2:$C2766=C738),"""")"),361.0)</f>
        <v>361</v>
      </c>
      <c r="H738" s="8">
        <f t="shared" si="1"/>
        <v>-376</v>
      </c>
    </row>
    <row r="739">
      <c r="A739" s="10">
        <v>738.0</v>
      </c>
      <c r="B739" s="11" t="s">
        <v>826</v>
      </c>
      <c r="C739" s="10" t="s">
        <v>22</v>
      </c>
      <c r="D739" s="10" t="s">
        <v>23</v>
      </c>
      <c r="E739" s="15"/>
      <c r="F739" s="15" t="s">
        <v>382</v>
      </c>
      <c r="G739" s="13">
        <f>IFERROR(__xludf.DUMMYFUNCTION("if(counta(filter('Previous Rank'!$A$2:$A2766,'Previous Rank'!$B$2:$B2766=B739,'Previous Rank'!$C$2:$C2766=C739))=1,filter('Previous Rank'!$A$2:$A2766,'Previous Rank'!$B$2:$B2766=B739,'Previous Rank'!$C$2:$C2766=C739),"""")"),722.0)</f>
        <v>722</v>
      </c>
      <c r="H739" s="8">
        <f t="shared" si="1"/>
        <v>-16</v>
      </c>
    </row>
    <row r="740">
      <c r="A740" s="10">
        <v>739.0</v>
      </c>
      <c r="B740" s="11" t="s">
        <v>827</v>
      </c>
      <c r="C740" s="10" t="s">
        <v>22</v>
      </c>
      <c r="D740" s="10" t="s">
        <v>23</v>
      </c>
      <c r="E740" s="16"/>
      <c r="F740" s="16" t="s">
        <v>382</v>
      </c>
      <c r="G740" s="13">
        <f>IFERROR(__xludf.DUMMYFUNCTION("if(counta(filter('Previous Rank'!$A$2:$A2766,'Previous Rank'!$B$2:$B2766=B740,'Previous Rank'!$C$2:$C2766=C740))=1,filter('Previous Rank'!$A$2:$A2766,'Previous Rank'!$B$2:$B2766=B740,'Previous Rank'!$C$2:$C2766=C740),"""")"),723.0)</f>
        <v>723</v>
      </c>
      <c r="H740" s="8">
        <f t="shared" si="1"/>
        <v>-16</v>
      </c>
    </row>
    <row r="741">
      <c r="A741" s="10">
        <v>740.0</v>
      </c>
      <c r="B741" s="11" t="s">
        <v>828</v>
      </c>
      <c r="C741" s="10" t="s">
        <v>22</v>
      </c>
      <c r="D741" s="10" t="s">
        <v>85</v>
      </c>
      <c r="E741" s="15"/>
      <c r="F741" s="15" t="s">
        <v>382</v>
      </c>
      <c r="G741" s="13">
        <f>IFERROR(__xludf.DUMMYFUNCTION("if(counta(filter('Previous Rank'!$A$2:$A2766,'Previous Rank'!$B$2:$B2766=B741,'Previous Rank'!$C$2:$C2766=C741))=1,filter('Previous Rank'!$A$2:$A2766,'Previous Rank'!$B$2:$B2766=B741,'Previous Rank'!$C$2:$C2766=C741),"""")"),724.0)</f>
        <v>724</v>
      </c>
      <c r="H741" s="8">
        <f t="shared" si="1"/>
        <v>-16</v>
      </c>
    </row>
    <row r="742">
      <c r="A742" s="10">
        <v>741.0</v>
      </c>
      <c r="B742" s="11" t="s">
        <v>829</v>
      </c>
      <c r="C742" s="10" t="s">
        <v>22</v>
      </c>
      <c r="D742" s="10" t="s">
        <v>82</v>
      </c>
      <c r="E742" s="16"/>
      <c r="F742" s="16" t="s">
        <v>382</v>
      </c>
      <c r="G742" s="13">
        <f>IFERROR(__xludf.DUMMYFUNCTION("if(counta(filter('Previous Rank'!$A$2:$A2766,'Previous Rank'!$B$2:$B2766=B742,'Previous Rank'!$C$2:$C2766=C742))=1,filter('Previous Rank'!$A$2:$A2766,'Previous Rank'!$B$2:$B2766=B742,'Previous Rank'!$C$2:$C2766=C742),"""")"),725.0)</f>
        <v>725</v>
      </c>
      <c r="H742" s="8">
        <f t="shared" si="1"/>
        <v>-16</v>
      </c>
    </row>
    <row r="743">
      <c r="A743" s="10">
        <v>742.0</v>
      </c>
      <c r="B743" s="11" t="s">
        <v>830</v>
      </c>
      <c r="C743" s="10" t="s">
        <v>22</v>
      </c>
      <c r="D743" s="10" t="s">
        <v>12</v>
      </c>
      <c r="E743" s="15"/>
      <c r="F743" s="15" t="s">
        <v>382</v>
      </c>
      <c r="G743" s="13">
        <f>IFERROR(__xludf.DUMMYFUNCTION("if(counta(filter('Previous Rank'!$A$2:$A2766,'Previous Rank'!$B$2:$B2766=B743,'Previous Rank'!$C$2:$C2766=C743))=1,filter('Previous Rank'!$A$2:$A2766,'Previous Rank'!$B$2:$B2766=B743,'Previous Rank'!$C$2:$C2766=C743),"""")"),726.0)</f>
        <v>726</v>
      </c>
      <c r="H743" s="8">
        <f t="shared" si="1"/>
        <v>-16</v>
      </c>
    </row>
    <row r="744">
      <c r="A744" s="10">
        <v>743.0</v>
      </c>
      <c r="B744" s="11" t="s">
        <v>831</v>
      </c>
      <c r="C744" s="10" t="s">
        <v>79</v>
      </c>
      <c r="D744" s="10" t="s">
        <v>206</v>
      </c>
      <c r="E744" s="16"/>
      <c r="F744" s="16" t="s">
        <v>382</v>
      </c>
      <c r="G744" s="13">
        <f>IFERROR(__xludf.DUMMYFUNCTION("if(counta(filter('Previous Rank'!$A$2:$A2766,'Previous Rank'!$B$2:$B2766=B744,'Previous Rank'!$C$2:$C2766=C744))=1,filter('Previous Rank'!$A$2:$A2766,'Previous Rank'!$B$2:$B2766=B744,'Previous Rank'!$C$2:$C2766=C744),"""")"),727.0)</f>
        <v>727</v>
      </c>
      <c r="H744" s="8">
        <f t="shared" si="1"/>
        <v>-16</v>
      </c>
    </row>
    <row r="745">
      <c r="A745" s="10">
        <v>744.0</v>
      </c>
      <c r="B745" s="11" t="s">
        <v>832</v>
      </c>
      <c r="C745" s="10" t="s">
        <v>22</v>
      </c>
      <c r="D745" s="10" t="s">
        <v>129</v>
      </c>
      <c r="E745" s="15"/>
      <c r="F745" s="15" t="s">
        <v>382</v>
      </c>
      <c r="G745" s="13">
        <f>IFERROR(__xludf.DUMMYFUNCTION("if(counta(filter('Previous Rank'!$A$2:$A2766,'Previous Rank'!$B$2:$B2766=B745,'Previous Rank'!$C$2:$C2766=C745))=1,filter('Previous Rank'!$A$2:$A2766,'Previous Rank'!$B$2:$B2766=B745,'Previous Rank'!$C$2:$C2766=C745),"""")"),728.0)</f>
        <v>728</v>
      </c>
      <c r="H745" s="8">
        <f t="shared" si="1"/>
        <v>-16</v>
      </c>
    </row>
    <row r="746">
      <c r="A746" s="10">
        <v>745.0</v>
      </c>
      <c r="B746" s="11" t="s">
        <v>833</v>
      </c>
      <c r="C746" s="10" t="s">
        <v>79</v>
      </c>
      <c r="D746" s="10" t="s">
        <v>122</v>
      </c>
      <c r="E746" s="16"/>
      <c r="F746" s="16" t="s">
        <v>382</v>
      </c>
      <c r="G746" s="13">
        <f>IFERROR(__xludf.DUMMYFUNCTION("if(counta(filter('Previous Rank'!$A$2:$A2766,'Previous Rank'!$B$2:$B2766=B746,'Previous Rank'!$C$2:$C2766=C746))=1,filter('Previous Rank'!$A$2:$A2766,'Previous Rank'!$B$2:$B2766=B746,'Previous Rank'!$C$2:$C2766=C746),"""")"),729.0)</f>
        <v>729</v>
      </c>
      <c r="H746" s="8">
        <f t="shared" si="1"/>
        <v>-16</v>
      </c>
    </row>
    <row r="747">
      <c r="A747" s="10">
        <v>746.0</v>
      </c>
      <c r="B747" s="11" t="s">
        <v>834</v>
      </c>
      <c r="C747" s="10" t="s">
        <v>79</v>
      </c>
      <c r="D747" s="10" t="s">
        <v>206</v>
      </c>
      <c r="E747" s="15"/>
      <c r="F747" s="15" t="s">
        <v>382</v>
      </c>
      <c r="G747" s="13">
        <f>IFERROR(__xludf.DUMMYFUNCTION("if(counta(filter('Previous Rank'!$A$2:$A2766,'Previous Rank'!$B$2:$B2766=B747,'Previous Rank'!$C$2:$C2766=C747))=1,filter('Previous Rank'!$A$2:$A2766,'Previous Rank'!$B$2:$B2766=B747,'Previous Rank'!$C$2:$C2766=C747),"""")"),730.0)</f>
        <v>730</v>
      </c>
      <c r="H747" s="8">
        <f t="shared" si="1"/>
        <v>-16</v>
      </c>
    </row>
    <row r="748">
      <c r="A748" s="10">
        <v>747.0</v>
      </c>
      <c r="B748" s="11" t="s">
        <v>835</v>
      </c>
      <c r="C748" s="10" t="s">
        <v>22</v>
      </c>
      <c r="D748" s="10" t="s">
        <v>95</v>
      </c>
      <c r="E748" s="16"/>
      <c r="F748" s="16" t="s">
        <v>382</v>
      </c>
      <c r="G748" s="13">
        <f>IFERROR(__xludf.DUMMYFUNCTION("if(counta(filter('Previous Rank'!$A$2:$A2766,'Previous Rank'!$B$2:$B2766=B748,'Previous Rank'!$C$2:$C2766=C748))=1,filter('Previous Rank'!$A$2:$A2766,'Previous Rank'!$B$2:$B2766=B748,'Previous Rank'!$C$2:$C2766=C748),"""")"),731.0)</f>
        <v>731</v>
      </c>
      <c r="H748" s="8">
        <f t="shared" si="1"/>
        <v>-16</v>
      </c>
    </row>
    <row r="749">
      <c r="A749" s="10">
        <v>748.0</v>
      </c>
      <c r="B749" s="11" t="s">
        <v>836</v>
      </c>
      <c r="C749" s="10" t="s">
        <v>22</v>
      </c>
      <c r="D749" s="10" t="s">
        <v>18</v>
      </c>
      <c r="E749" s="15"/>
      <c r="F749" s="15" t="s">
        <v>382</v>
      </c>
      <c r="G749" s="13">
        <f>IFERROR(__xludf.DUMMYFUNCTION("if(counta(filter('Previous Rank'!$A$2:$A2766,'Previous Rank'!$B$2:$B2766=B749,'Previous Rank'!$C$2:$C2766=C749))=1,filter('Previous Rank'!$A$2:$A2766,'Previous Rank'!$B$2:$B2766=B749,'Previous Rank'!$C$2:$C2766=C749),"""")"),732.0)</f>
        <v>732</v>
      </c>
      <c r="H749" s="8">
        <f t="shared" si="1"/>
        <v>-16</v>
      </c>
    </row>
    <row r="750">
      <c r="A750" s="10">
        <v>749.0</v>
      </c>
      <c r="B750" s="11" t="s">
        <v>837</v>
      </c>
      <c r="C750" s="10" t="s">
        <v>22</v>
      </c>
      <c r="D750" s="10" t="s">
        <v>27</v>
      </c>
      <c r="E750" s="16"/>
      <c r="F750" s="16" t="s">
        <v>382</v>
      </c>
      <c r="G750" s="13">
        <f>IFERROR(__xludf.DUMMYFUNCTION("if(counta(filter('Previous Rank'!$A$2:$A2766,'Previous Rank'!$B$2:$B2766=B750,'Previous Rank'!$C$2:$C2766=C750))=1,filter('Previous Rank'!$A$2:$A2766,'Previous Rank'!$B$2:$B2766=B750,'Previous Rank'!$C$2:$C2766=C750),"""")"),733.0)</f>
        <v>733</v>
      </c>
      <c r="H750" s="8">
        <f t="shared" si="1"/>
        <v>-16</v>
      </c>
    </row>
    <row r="751">
      <c r="A751" s="10">
        <v>750.0</v>
      </c>
      <c r="B751" s="11" t="s">
        <v>838</v>
      </c>
      <c r="C751" s="10" t="s">
        <v>79</v>
      </c>
      <c r="D751" s="10" t="s">
        <v>18</v>
      </c>
      <c r="E751" s="15"/>
      <c r="F751" s="15" t="s">
        <v>382</v>
      </c>
      <c r="G751" s="13">
        <f>IFERROR(__xludf.DUMMYFUNCTION("if(counta(filter('Previous Rank'!$A$2:$A2766,'Previous Rank'!$B$2:$B2766=B751,'Previous Rank'!$C$2:$C2766=C751))=1,filter('Previous Rank'!$A$2:$A2766,'Previous Rank'!$B$2:$B2766=B751,'Previous Rank'!$C$2:$C2766=C751),"""")"),734.0)</f>
        <v>734</v>
      </c>
      <c r="H751" s="8">
        <f t="shared" si="1"/>
        <v>-16</v>
      </c>
    </row>
    <row r="752">
      <c r="A752" s="10">
        <v>751.0</v>
      </c>
      <c r="B752" s="11" t="s">
        <v>839</v>
      </c>
      <c r="C752" s="10" t="s">
        <v>22</v>
      </c>
      <c r="D752" s="10" t="s">
        <v>52</v>
      </c>
      <c r="E752" s="16"/>
      <c r="F752" s="16" t="s">
        <v>382</v>
      </c>
      <c r="G752" s="13">
        <f>IFERROR(__xludf.DUMMYFUNCTION("if(counta(filter('Previous Rank'!$A$2:$A2766,'Previous Rank'!$B$2:$B2766=B752,'Previous Rank'!$C$2:$C2766=C752))=1,filter('Previous Rank'!$A$2:$A2766,'Previous Rank'!$B$2:$B2766=B752,'Previous Rank'!$C$2:$C2766=C752),"""")"),735.0)</f>
        <v>735</v>
      </c>
      <c r="H752" s="8">
        <f t="shared" si="1"/>
        <v>-16</v>
      </c>
    </row>
    <row r="753">
      <c r="A753" s="10">
        <v>752.0</v>
      </c>
      <c r="B753" s="11" t="s">
        <v>840</v>
      </c>
      <c r="C753" s="10" t="s">
        <v>79</v>
      </c>
      <c r="D753" s="10" t="s">
        <v>42</v>
      </c>
      <c r="E753" s="15"/>
      <c r="F753" s="15" t="s">
        <v>382</v>
      </c>
      <c r="G753" s="13">
        <f>IFERROR(__xludf.DUMMYFUNCTION("if(counta(filter('Previous Rank'!$A$2:$A2766,'Previous Rank'!$B$2:$B2766=B753,'Previous Rank'!$C$2:$C2766=C753))=1,filter('Previous Rank'!$A$2:$A2766,'Previous Rank'!$B$2:$B2766=B753,'Previous Rank'!$C$2:$C2766=C753),"""")"),736.0)</f>
        <v>736</v>
      </c>
      <c r="H753" s="8">
        <f t="shared" si="1"/>
        <v>-16</v>
      </c>
    </row>
    <row r="754">
      <c r="A754" s="10">
        <v>753.0</v>
      </c>
      <c r="B754" s="11" t="s">
        <v>841</v>
      </c>
      <c r="C754" s="10" t="s">
        <v>79</v>
      </c>
      <c r="D754" s="10" t="s">
        <v>36</v>
      </c>
      <c r="E754" s="16"/>
      <c r="F754" s="16" t="s">
        <v>382</v>
      </c>
      <c r="G754" s="13">
        <f>IFERROR(__xludf.DUMMYFUNCTION("if(counta(filter('Previous Rank'!$A$2:$A2766,'Previous Rank'!$B$2:$B2766=B754,'Previous Rank'!$C$2:$C2766=C754))=1,filter('Previous Rank'!$A$2:$A2766,'Previous Rank'!$B$2:$B2766=B754,'Previous Rank'!$C$2:$C2766=C754),"""")"),737.0)</f>
        <v>737</v>
      </c>
      <c r="H754" s="8">
        <f t="shared" si="1"/>
        <v>-16</v>
      </c>
    </row>
    <row r="755">
      <c r="A755" s="10">
        <v>754.0</v>
      </c>
      <c r="B755" s="11" t="s">
        <v>842</v>
      </c>
      <c r="C755" s="10" t="s">
        <v>79</v>
      </c>
      <c r="D755" s="10" t="s">
        <v>67</v>
      </c>
      <c r="E755" s="15"/>
      <c r="F755" s="15" t="s">
        <v>382</v>
      </c>
      <c r="G755" s="13">
        <f>IFERROR(__xludf.DUMMYFUNCTION("if(counta(filter('Previous Rank'!$A$2:$A2766,'Previous Rank'!$B$2:$B2766=B755,'Previous Rank'!$C$2:$C2766=C755))=1,filter('Previous Rank'!$A$2:$A2766,'Previous Rank'!$B$2:$B2766=B755,'Previous Rank'!$C$2:$C2766=C755),"""")"),738.0)</f>
        <v>738</v>
      </c>
      <c r="H755" s="8">
        <f t="shared" si="1"/>
        <v>-16</v>
      </c>
    </row>
    <row r="756">
      <c r="A756" s="10">
        <v>755.0</v>
      </c>
      <c r="B756" s="11" t="s">
        <v>843</v>
      </c>
      <c r="C756" s="10" t="s">
        <v>22</v>
      </c>
      <c r="D756" s="10" t="s">
        <v>49</v>
      </c>
      <c r="E756" s="16"/>
      <c r="F756" s="16" t="s">
        <v>382</v>
      </c>
      <c r="G756" s="13">
        <f>IFERROR(__xludf.DUMMYFUNCTION("if(counta(filter('Previous Rank'!$A$2:$A2766,'Previous Rank'!$B$2:$B2766=B756,'Previous Rank'!$C$2:$C2766=C756))=1,filter('Previous Rank'!$A$2:$A2766,'Previous Rank'!$B$2:$B2766=B756,'Previous Rank'!$C$2:$C2766=C756),"""")"),739.0)</f>
        <v>739</v>
      </c>
      <c r="H756" s="8">
        <f t="shared" si="1"/>
        <v>-16</v>
      </c>
    </row>
    <row r="757">
      <c r="A757" s="10">
        <v>756.0</v>
      </c>
      <c r="B757" s="11" t="s">
        <v>844</v>
      </c>
      <c r="C757" s="10" t="s">
        <v>22</v>
      </c>
      <c r="D757" s="10" t="s">
        <v>36</v>
      </c>
      <c r="E757" s="15"/>
      <c r="F757" s="15" t="s">
        <v>382</v>
      </c>
      <c r="G757" s="13">
        <f>IFERROR(__xludf.DUMMYFUNCTION("if(counta(filter('Previous Rank'!$A$2:$A2766,'Previous Rank'!$B$2:$B2766=B757,'Previous Rank'!$C$2:$C2766=C757))=1,filter('Previous Rank'!$A$2:$A2766,'Previous Rank'!$B$2:$B2766=B757,'Previous Rank'!$C$2:$C2766=C757),"""")"),740.0)</f>
        <v>740</v>
      </c>
      <c r="H757" s="8">
        <f t="shared" si="1"/>
        <v>-16</v>
      </c>
    </row>
    <row r="758">
      <c r="A758" s="10">
        <v>757.0</v>
      </c>
      <c r="B758" s="11" t="s">
        <v>845</v>
      </c>
      <c r="C758" s="10" t="s">
        <v>22</v>
      </c>
      <c r="D758" s="10" t="s">
        <v>67</v>
      </c>
      <c r="E758" s="16"/>
      <c r="F758" s="16" t="s">
        <v>382</v>
      </c>
      <c r="G758" s="13">
        <f>IFERROR(__xludf.DUMMYFUNCTION("if(counta(filter('Previous Rank'!$A$2:$A2766,'Previous Rank'!$B$2:$B2766=B758,'Previous Rank'!$C$2:$C2766=C758))=1,filter('Previous Rank'!$A$2:$A2766,'Previous Rank'!$B$2:$B2766=B758,'Previous Rank'!$C$2:$C2766=C758),"""")"),741.0)</f>
        <v>741</v>
      </c>
      <c r="H758" s="8">
        <f t="shared" si="1"/>
        <v>-16</v>
      </c>
    </row>
    <row r="759">
      <c r="A759" s="10">
        <v>758.0</v>
      </c>
      <c r="B759" s="11" t="s">
        <v>846</v>
      </c>
      <c r="C759" s="10" t="s">
        <v>22</v>
      </c>
      <c r="D759" s="10" t="s">
        <v>137</v>
      </c>
      <c r="E759" s="15"/>
      <c r="F759" s="15" t="s">
        <v>382</v>
      </c>
      <c r="G759" s="13">
        <f>IFERROR(__xludf.DUMMYFUNCTION("if(counta(filter('Previous Rank'!$A$2:$A2766,'Previous Rank'!$B$2:$B2766=B759,'Previous Rank'!$C$2:$C2766=C759))=1,filter('Previous Rank'!$A$2:$A2766,'Previous Rank'!$B$2:$B2766=B759,'Previous Rank'!$C$2:$C2766=C759),"""")"),742.0)</f>
        <v>742</v>
      </c>
      <c r="H759" s="8">
        <f t="shared" si="1"/>
        <v>-16</v>
      </c>
    </row>
    <row r="760">
      <c r="A760" s="10">
        <v>759.0</v>
      </c>
      <c r="B760" s="11" t="s">
        <v>847</v>
      </c>
      <c r="C760" s="10" t="s">
        <v>22</v>
      </c>
      <c r="D760" s="10" t="s">
        <v>52</v>
      </c>
      <c r="E760" s="16"/>
      <c r="F760" s="16" t="s">
        <v>382</v>
      </c>
      <c r="G760" s="13">
        <f>IFERROR(__xludf.DUMMYFUNCTION("if(counta(filter('Previous Rank'!$A$2:$A2766,'Previous Rank'!$B$2:$B2766=B760,'Previous Rank'!$C$2:$C2766=C760))=1,filter('Previous Rank'!$A$2:$A2766,'Previous Rank'!$B$2:$B2766=B760,'Previous Rank'!$C$2:$C2766=C760),"""")"),743.0)</f>
        <v>743</v>
      </c>
      <c r="H760" s="8">
        <f t="shared" si="1"/>
        <v>-16</v>
      </c>
    </row>
    <row r="761">
      <c r="A761" s="10">
        <v>760.0</v>
      </c>
      <c r="B761" s="11" t="s">
        <v>848</v>
      </c>
      <c r="C761" s="10" t="s">
        <v>22</v>
      </c>
      <c r="D761" s="10" t="s">
        <v>46</v>
      </c>
      <c r="E761" s="15"/>
      <c r="F761" s="15" t="s">
        <v>382</v>
      </c>
      <c r="G761" s="13">
        <f>IFERROR(__xludf.DUMMYFUNCTION("if(counta(filter('Previous Rank'!$A$2:$A2766,'Previous Rank'!$B$2:$B2766=B761,'Previous Rank'!$C$2:$C2766=C761))=1,filter('Previous Rank'!$A$2:$A2766,'Previous Rank'!$B$2:$B2766=B761,'Previous Rank'!$C$2:$C2766=C761),"""")"),744.0)</f>
        <v>744</v>
      </c>
      <c r="H761" s="8">
        <f t="shared" si="1"/>
        <v>-16</v>
      </c>
    </row>
    <row r="762">
      <c r="A762" s="10">
        <v>761.0</v>
      </c>
      <c r="B762" s="11" t="s">
        <v>849</v>
      </c>
      <c r="C762" s="10" t="s">
        <v>79</v>
      </c>
      <c r="D762" s="10" t="s">
        <v>31</v>
      </c>
      <c r="E762" s="16"/>
      <c r="F762" s="16" t="s">
        <v>382</v>
      </c>
      <c r="G762" s="13">
        <f>IFERROR(__xludf.DUMMYFUNCTION("if(counta(filter('Previous Rank'!$A$2:$A2766,'Previous Rank'!$B$2:$B2766=B762,'Previous Rank'!$C$2:$C2766=C762))=1,filter('Previous Rank'!$A$2:$A2766,'Previous Rank'!$B$2:$B2766=B762,'Previous Rank'!$C$2:$C2766=C762),"""")"),745.0)</f>
        <v>745</v>
      </c>
      <c r="H762" s="8">
        <f t="shared" si="1"/>
        <v>-16</v>
      </c>
    </row>
    <row r="763">
      <c r="A763" s="10">
        <v>762.0</v>
      </c>
      <c r="B763" s="11" t="s">
        <v>850</v>
      </c>
      <c r="C763" s="10" t="s">
        <v>79</v>
      </c>
      <c r="D763" s="10" t="s">
        <v>73</v>
      </c>
      <c r="E763" s="15"/>
      <c r="F763" s="15" t="s">
        <v>382</v>
      </c>
      <c r="G763" s="13">
        <f>IFERROR(__xludf.DUMMYFUNCTION("if(counta(filter('Previous Rank'!$A$2:$A2766,'Previous Rank'!$B$2:$B2766=B763,'Previous Rank'!$C$2:$C2766=C763))=1,filter('Previous Rank'!$A$2:$A2766,'Previous Rank'!$B$2:$B2766=B763,'Previous Rank'!$C$2:$C2766=C763),"""")"),746.0)</f>
        <v>746</v>
      </c>
      <c r="H763" s="8">
        <f t="shared" si="1"/>
        <v>-16</v>
      </c>
    </row>
    <row r="764">
      <c r="A764" s="10">
        <v>763.0</v>
      </c>
      <c r="B764" s="11" t="s">
        <v>851</v>
      </c>
      <c r="C764" s="10" t="s">
        <v>22</v>
      </c>
      <c r="D764" s="10" t="s">
        <v>46</v>
      </c>
      <c r="E764" s="16"/>
      <c r="F764" s="16" t="s">
        <v>382</v>
      </c>
      <c r="G764" s="13">
        <f>IFERROR(__xludf.DUMMYFUNCTION("if(counta(filter('Previous Rank'!$A$2:$A2766,'Previous Rank'!$B$2:$B2766=B764,'Previous Rank'!$C$2:$C2766=C764))=1,filter('Previous Rank'!$A$2:$A2766,'Previous Rank'!$B$2:$B2766=B764,'Previous Rank'!$C$2:$C2766=C764),"""")"),747.0)</f>
        <v>747</v>
      </c>
      <c r="H764" s="8">
        <f t="shared" si="1"/>
        <v>-16</v>
      </c>
    </row>
    <row r="765">
      <c r="A765" s="10">
        <v>764.0</v>
      </c>
      <c r="B765" s="11" t="s">
        <v>852</v>
      </c>
      <c r="C765" s="10" t="s">
        <v>79</v>
      </c>
      <c r="D765" s="10" t="s">
        <v>82</v>
      </c>
      <c r="E765" s="15"/>
      <c r="F765" s="15" t="s">
        <v>382</v>
      </c>
      <c r="G765" s="13">
        <f>IFERROR(__xludf.DUMMYFUNCTION("if(counta(filter('Previous Rank'!$A$2:$A2766,'Previous Rank'!$B$2:$B2766=B765,'Previous Rank'!$C$2:$C2766=C765))=1,filter('Previous Rank'!$A$2:$A2766,'Previous Rank'!$B$2:$B2766=B765,'Previous Rank'!$C$2:$C2766=C765),"""")"),748.0)</f>
        <v>748</v>
      </c>
      <c r="H765" s="8">
        <f t="shared" si="1"/>
        <v>-16</v>
      </c>
    </row>
    <row r="766">
      <c r="A766" s="10">
        <v>765.0</v>
      </c>
      <c r="B766" s="11" t="s">
        <v>853</v>
      </c>
      <c r="C766" s="10" t="s">
        <v>79</v>
      </c>
      <c r="D766" s="10" t="s">
        <v>34</v>
      </c>
      <c r="E766" s="16"/>
      <c r="F766" s="16" t="s">
        <v>382</v>
      </c>
      <c r="G766" s="13">
        <f>IFERROR(__xludf.DUMMYFUNCTION("if(counta(filter('Previous Rank'!$A$2:$A2766,'Previous Rank'!$B$2:$B2766=B766,'Previous Rank'!$C$2:$C2766=C766))=1,filter('Previous Rank'!$A$2:$A2766,'Previous Rank'!$B$2:$B2766=B766,'Previous Rank'!$C$2:$C2766=C766),"""")"),749.0)</f>
        <v>749</v>
      </c>
      <c r="H766" s="8">
        <f t="shared" si="1"/>
        <v>-16</v>
      </c>
    </row>
    <row r="767">
      <c r="A767" s="10">
        <v>766.0</v>
      </c>
      <c r="B767" s="11" t="s">
        <v>854</v>
      </c>
      <c r="C767" s="10" t="s">
        <v>22</v>
      </c>
      <c r="D767" s="10" t="s">
        <v>120</v>
      </c>
      <c r="E767" s="15"/>
      <c r="F767" s="15" t="s">
        <v>382</v>
      </c>
      <c r="G767" s="13">
        <f>IFERROR(__xludf.DUMMYFUNCTION("if(counta(filter('Previous Rank'!$A$2:$A2766,'Previous Rank'!$B$2:$B2766=B767,'Previous Rank'!$C$2:$C2766=C767))=1,filter('Previous Rank'!$A$2:$A2766,'Previous Rank'!$B$2:$B2766=B767,'Previous Rank'!$C$2:$C2766=C767),"""")"),750.0)</f>
        <v>750</v>
      </c>
      <c r="H767" s="8">
        <f t="shared" si="1"/>
        <v>-16</v>
      </c>
    </row>
    <row r="768">
      <c r="A768" s="10">
        <v>767.0</v>
      </c>
      <c r="B768" s="11" t="s">
        <v>855</v>
      </c>
      <c r="C768" s="10" t="s">
        <v>79</v>
      </c>
      <c r="D768" s="10" t="s">
        <v>122</v>
      </c>
      <c r="E768" s="16"/>
      <c r="F768" s="16" t="s">
        <v>382</v>
      </c>
      <c r="G768" s="13">
        <f>IFERROR(__xludf.DUMMYFUNCTION("if(counta(filter('Previous Rank'!$A$2:$A2766,'Previous Rank'!$B$2:$B2766=B768,'Previous Rank'!$C$2:$C2766=C768))=1,filter('Previous Rank'!$A$2:$A2766,'Previous Rank'!$B$2:$B2766=B768,'Previous Rank'!$C$2:$C2766=C768),"""")"),751.0)</f>
        <v>751</v>
      </c>
      <c r="H768" s="8">
        <f t="shared" si="1"/>
        <v>-16</v>
      </c>
    </row>
    <row r="769">
      <c r="A769" s="10">
        <v>768.0</v>
      </c>
      <c r="B769" s="11" t="s">
        <v>856</v>
      </c>
      <c r="C769" s="10" t="s">
        <v>79</v>
      </c>
      <c r="D769" s="10" t="s">
        <v>25</v>
      </c>
      <c r="E769" s="15"/>
      <c r="F769" s="15" t="s">
        <v>382</v>
      </c>
      <c r="G769" s="13">
        <f>IFERROR(__xludf.DUMMYFUNCTION("if(counta(filter('Previous Rank'!$A$2:$A2766,'Previous Rank'!$B$2:$B2766=B769,'Previous Rank'!$C$2:$C2766=C769))=1,filter('Previous Rank'!$A$2:$A2766,'Previous Rank'!$B$2:$B2766=B769,'Previous Rank'!$C$2:$C2766=C769),"""")"),752.0)</f>
        <v>752</v>
      </c>
      <c r="H769" s="8">
        <f t="shared" si="1"/>
        <v>-16</v>
      </c>
    </row>
    <row r="770">
      <c r="A770" s="10">
        <v>769.0</v>
      </c>
      <c r="B770" s="11" t="s">
        <v>857</v>
      </c>
      <c r="C770" s="10" t="s">
        <v>79</v>
      </c>
      <c r="D770" s="10" t="s">
        <v>34</v>
      </c>
      <c r="E770" s="16"/>
      <c r="F770" s="16" t="s">
        <v>382</v>
      </c>
      <c r="G770" s="13">
        <f>IFERROR(__xludf.DUMMYFUNCTION("if(counta(filter('Previous Rank'!$A$2:$A2766,'Previous Rank'!$B$2:$B2766=B770,'Previous Rank'!$C$2:$C2766=C770))=1,filter('Previous Rank'!$A$2:$A2766,'Previous Rank'!$B$2:$B2766=B770,'Previous Rank'!$C$2:$C2766=C770),"""")"),753.0)</f>
        <v>753</v>
      </c>
      <c r="H770" s="8">
        <f t="shared" si="1"/>
        <v>-16</v>
      </c>
    </row>
    <row r="771">
      <c r="A771" s="10">
        <v>770.0</v>
      </c>
      <c r="B771" s="11" t="s">
        <v>858</v>
      </c>
      <c r="C771" s="10" t="s">
        <v>79</v>
      </c>
      <c r="D771" s="10" t="s">
        <v>206</v>
      </c>
      <c r="E771" s="15"/>
      <c r="F771" s="15" t="s">
        <v>382</v>
      </c>
      <c r="G771" s="13">
        <f>IFERROR(__xludf.DUMMYFUNCTION("if(counta(filter('Previous Rank'!$A$2:$A2766,'Previous Rank'!$B$2:$B2766=B771,'Previous Rank'!$C$2:$C2766=C771))=1,filter('Previous Rank'!$A$2:$A2766,'Previous Rank'!$B$2:$B2766=B771,'Previous Rank'!$C$2:$C2766=C771),"""")"),754.0)</f>
        <v>754</v>
      </c>
      <c r="H771" s="8">
        <f t="shared" si="1"/>
        <v>-16</v>
      </c>
    </row>
    <row r="772">
      <c r="A772" s="10">
        <v>771.0</v>
      </c>
      <c r="B772" s="11" t="s">
        <v>859</v>
      </c>
      <c r="C772" s="10" t="s">
        <v>79</v>
      </c>
      <c r="D772" s="10" t="s">
        <v>137</v>
      </c>
      <c r="E772" s="16"/>
      <c r="F772" s="16" t="s">
        <v>382</v>
      </c>
      <c r="G772" s="13">
        <f>IFERROR(__xludf.DUMMYFUNCTION("if(counta(filter('Previous Rank'!$A$2:$A2766,'Previous Rank'!$B$2:$B2766=B772,'Previous Rank'!$C$2:$C2766=C772))=1,filter('Previous Rank'!$A$2:$A2766,'Previous Rank'!$B$2:$B2766=B772,'Previous Rank'!$C$2:$C2766=C772),"""")"),755.0)</f>
        <v>755</v>
      </c>
      <c r="H772" s="8">
        <f t="shared" si="1"/>
        <v>-16</v>
      </c>
    </row>
    <row r="773">
      <c r="A773" s="10">
        <v>772.0</v>
      </c>
      <c r="B773" s="11" t="s">
        <v>860</v>
      </c>
      <c r="C773" s="10" t="s">
        <v>22</v>
      </c>
      <c r="D773" s="10" t="s">
        <v>12</v>
      </c>
      <c r="E773" s="15"/>
      <c r="F773" s="15" t="s">
        <v>382</v>
      </c>
      <c r="G773" s="13">
        <f>IFERROR(__xludf.DUMMYFUNCTION("if(counta(filter('Previous Rank'!$A$2:$A2766,'Previous Rank'!$B$2:$B2766=B773,'Previous Rank'!$C$2:$C2766=C773))=1,filter('Previous Rank'!$A$2:$A2766,'Previous Rank'!$B$2:$B2766=B773,'Previous Rank'!$C$2:$C2766=C773),"""")"),756.0)</f>
        <v>756</v>
      </c>
      <c r="H773" s="8">
        <f t="shared" si="1"/>
        <v>-16</v>
      </c>
    </row>
    <row r="774">
      <c r="A774" s="10">
        <v>773.0</v>
      </c>
      <c r="B774" s="11" t="s">
        <v>861</v>
      </c>
      <c r="C774" s="10" t="s">
        <v>220</v>
      </c>
      <c r="D774" s="10" t="s">
        <v>46</v>
      </c>
      <c r="E774" s="16"/>
      <c r="F774" s="16" t="s">
        <v>382</v>
      </c>
      <c r="G774" s="13">
        <f>IFERROR(__xludf.DUMMYFUNCTION("if(counta(filter('Previous Rank'!$A$2:$A2766,'Previous Rank'!$B$2:$B2766=B774,'Previous Rank'!$C$2:$C2766=C774))=1,filter('Previous Rank'!$A$2:$A2766,'Previous Rank'!$B$2:$B2766=B774,'Previous Rank'!$C$2:$C2766=C774),"""")"),757.0)</f>
        <v>757</v>
      </c>
      <c r="H774" s="8">
        <f t="shared" si="1"/>
        <v>-16</v>
      </c>
    </row>
    <row r="775">
      <c r="A775" s="10">
        <v>774.0</v>
      </c>
      <c r="B775" s="11" t="s">
        <v>862</v>
      </c>
      <c r="C775" s="10" t="s">
        <v>22</v>
      </c>
      <c r="D775" s="10" t="s">
        <v>67</v>
      </c>
      <c r="E775" s="15"/>
      <c r="F775" s="15" t="s">
        <v>382</v>
      </c>
      <c r="G775" s="13">
        <f>IFERROR(__xludf.DUMMYFUNCTION("if(counta(filter('Previous Rank'!$A$2:$A2766,'Previous Rank'!$B$2:$B2766=B775,'Previous Rank'!$C$2:$C2766=C775))=1,filter('Previous Rank'!$A$2:$A2766,'Previous Rank'!$B$2:$B2766=B775,'Previous Rank'!$C$2:$C2766=C775),"""")"),758.0)</f>
        <v>758</v>
      </c>
      <c r="H775" s="8">
        <f t="shared" si="1"/>
        <v>-16</v>
      </c>
    </row>
    <row r="776">
      <c r="A776" s="10">
        <v>775.0</v>
      </c>
      <c r="B776" s="11" t="s">
        <v>863</v>
      </c>
      <c r="C776" s="10" t="s">
        <v>79</v>
      </c>
      <c r="D776" s="10" t="s">
        <v>25</v>
      </c>
      <c r="E776" s="16"/>
      <c r="F776" s="16" t="s">
        <v>382</v>
      </c>
      <c r="G776" s="13">
        <f>IFERROR(__xludf.DUMMYFUNCTION("if(counta(filter('Previous Rank'!$A$2:$A2766,'Previous Rank'!$B$2:$B2766=B776,'Previous Rank'!$C$2:$C2766=C776))=1,filter('Previous Rank'!$A$2:$A2766,'Previous Rank'!$B$2:$B2766=B776,'Previous Rank'!$C$2:$C2766=C776),"""")"),759.0)</f>
        <v>759</v>
      </c>
      <c r="H776" s="8">
        <f t="shared" si="1"/>
        <v>-16</v>
      </c>
    </row>
    <row r="777">
      <c r="A777" s="10">
        <v>776.0</v>
      </c>
      <c r="B777" s="11" t="s">
        <v>864</v>
      </c>
      <c r="C777" s="10" t="s">
        <v>22</v>
      </c>
      <c r="D777" s="10" t="s">
        <v>137</v>
      </c>
      <c r="E777" s="15"/>
      <c r="F777" s="15" t="s">
        <v>382</v>
      </c>
      <c r="G777" s="13">
        <f>IFERROR(__xludf.DUMMYFUNCTION("if(counta(filter('Previous Rank'!$A$2:$A2766,'Previous Rank'!$B$2:$B2766=B777,'Previous Rank'!$C$2:$C2766=C777))=1,filter('Previous Rank'!$A$2:$A2766,'Previous Rank'!$B$2:$B2766=B777,'Previous Rank'!$C$2:$C2766=C777),"""")"),760.0)</f>
        <v>760</v>
      </c>
      <c r="H777" s="8">
        <f t="shared" si="1"/>
        <v>-16</v>
      </c>
    </row>
    <row r="778">
      <c r="A778" s="10">
        <v>777.0</v>
      </c>
      <c r="B778" s="11" t="s">
        <v>865</v>
      </c>
      <c r="C778" s="10" t="s">
        <v>22</v>
      </c>
      <c r="D778" s="10" t="s">
        <v>31</v>
      </c>
      <c r="E778" s="16"/>
      <c r="F778" s="16" t="s">
        <v>382</v>
      </c>
      <c r="G778" s="13">
        <f>IFERROR(__xludf.DUMMYFUNCTION("if(counta(filter('Previous Rank'!$A$2:$A2766,'Previous Rank'!$B$2:$B2766=B778,'Previous Rank'!$C$2:$C2766=C778))=1,filter('Previous Rank'!$A$2:$A2766,'Previous Rank'!$B$2:$B2766=B778,'Previous Rank'!$C$2:$C2766=C778),"""")"),761.0)</f>
        <v>761</v>
      </c>
      <c r="H778" s="8">
        <f t="shared" si="1"/>
        <v>-16</v>
      </c>
    </row>
    <row r="779">
      <c r="A779" s="10">
        <v>778.0</v>
      </c>
      <c r="B779" s="11" t="s">
        <v>866</v>
      </c>
      <c r="C779" s="10" t="s">
        <v>79</v>
      </c>
      <c r="D779" s="10" t="s">
        <v>23</v>
      </c>
      <c r="E779" s="15"/>
      <c r="F779" s="15" t="s">
        <v>382</v>
      </c>
      <c r="G779" s="13">
        <f>IFERROR(__xludf.DUMMYFUNCTION("if(counta(filter('Previous Rank'!$A$2:$A2766,'Previous Rank'!$B$2:$B2766=B779,'Previous Rank'!$C$2:$C2766=C779))=1,filter('Previous Rank'!$A$2:$A2766,'Previous Rank'!$B$2:$B2766=B779,'Previous Rank'!$C$2:$C2766=C779),"""")"),762.0)</f>
        <v>762</v>
      </c>
      <c r="H779" s="8">
        <f t="shared" si="1"/>
        <v>-16</v>
      </c>
    </row>
    <row r="780">
      <c r="A780" s="10">
        <v>779.0</v>
      </c>
      <c r="B780" s="11" t="s">
        <v>867</v>
      </c>
      <c r="C780" s="10" t="s">
        <v>22</v>
      </c>
      <c r="D780" s="10" t="s">
        <v>9</v>
      </c>
      <c r="E780" s="16"/>
      <c r="F780" s="16" t="s">
        <v>382</v>
      </c>
      <c r="G780" s="13">
        <f>IFERROR(__xludf.DUMMYFUNCTION("if(counta(filter('Previous Rank'!$A$2:$A2766,'Previous Rank'!$B$2:$B2766=B780,'Previous Rank'!$C$2:$C2766=C780))=1,filter('Previous Rank'!$A$2:$A2766,'Previous Rank'!$B$2:$B2766=B780,'Previous Rank'!$C$2:$C2766=C780),"""")"),763.0)</f>
        <v>763</v>
      </c>
      <c r="H780" s="8">
        <f t="shared" si="1"/>
        <v>-16</v>
      </c>
    </row>
    <row r="781">
      <c r="A781" s="10">
        <v>780.0</v>
      </c>
      <c r="B781" s="11" t="s">
        <v>868</v>
      </c>
      <c r="C781" s="10" t="s">
        <v>22</v>
      </c>
      <c r="D781" s="10" t="s">
        <v>23</v>
      </c>
      <c r="E781" s="15"/>
      <c r="F781" s="15" t="s">
        <v>382</v>
      </c>
      <c r="G781" s="13">
        <f>IFERROR(__xludf.DUMMYFUNCTION("if(counta(filter('Previous Rank'!$A$2:$A2766,'Previous Rank'!$B$2:$B2766=B781,'Previous Rank'!$C$2:$C2766=C781))=1,filter('Previous Rank'!$A$2:$A2766,'Previous Rank'!$B$2:$B2766=B781,'Previous Rank'!$C$2:$C2766=C781),"""")"),764.0)</f>
        <v>764</v>
      </c>
      <c r="H781" s="8">
        <f t="shared" si="1"/>
        <v>-16</v>
      </c>
    </row>
    <row r="782">
      <c r="A782" s="10">
        <v>781.0</v>
      </c>
      <c r="B782" s="11" t="s">
        <v>869</v>
      </c>
      <c r="C782" s="10" t="s">
        <v>22</v>
      </c>
      <c r="D782" s="10" t="s">
        <v>105</v>
      </c>
      <c r="E782" s="16"/>
      <c r="F782" s="16" t="s">
        <v>382</v>
      </c>
      <c r="G782" s="13">
        <f>IFERROR(__xludf.DUMMYFUNCTION("if(counta(filter('Previous Rank'!$A$2:$A2766,'Previous Rank'!$B$2:$B2766=B782,'Previous Rank'!$C$2:$C2766=C782))=1,filter('Previous Rank'!$A$2:$A2766,'Previous Rank'!$B$2:$B2766=B782,'Previous Rank'!$C$2:$C2766=C782),"""")"),765.0)</f>
        <v>765</v>
      </c>
      <c r="H782" s="8">
        <f t="shared" si="1"/>
        <v>-16</v>
      </c>
    </row>
    <row r="783">
      <c r="A783" s="10">
        <v>782.0</v>
      </c>
      <c r="B783" s="11" t="s">
        <v>870</v>
      </c>
      <c r="C783" s="10" t="s">
        <v>79</v>
      </c>
      <c r="D783" s="10" t="s">
        <v>82</v>
      </c>
      <c r="E783" s="15"/>
      <c r="F783" s="15" t="s">
        <v>382</v>
      </c>
      <c r="G783" s="13">
        <f>IFERROR(__xludf.DUMMYFUNCTION("if(counta(filter('Previous Rank'!$A$2:$A2766,'Previous Rank'!$B$2:$B2766=B783,'Previous Rank'!$C$2:$C2766=C783))=1,filter('Previous Rank'!$A$2:$A2766,'Previous Rank'!$B$2:$B2766=B783,'Previous Rank'!$C$2:$C2766=C783),"""")"),766.0)</f>
        <v>766</v>
      </c>
      <c r="H783" s="8">
        <f t="shared" si="1"/>
        <v>-16</v>
      </c>
    </row>
    <row r="784">
      <c r="A784" s="10">
        <v>783.0</v>
      </c>
      <c r="B784" s="11" t="s">
        <v>871</v>
      </c>
      <c r="C784" s="10" t="s">
        <v>22</v>
      </c>
      <c r="D784" s="10" t="s">
        <v>90</v>
      </c>
      <c r="E784" s="16"/>
      <c r="F784" s="16" t="s">
        <v>382</v>
      </c>
      <c r="G784" s="13">
        <f>IFERROR(__xludf.DUMMYFUNCTION("if(counta(filter('Previous Rank'!$A$2:$A2766,'Previous Rank'!$B$2:$B2766=B784,'Previous Rank'!$C$2:$C2766=C784))=1,filter('Previous Rank'!$A$2:$A2766,'Previous Rank'!$B$2:$B2766=B784,'Previous Rank'!$C$2:$C2766=C784),"""")"),767.0)</f>
        <v>767</v>
      </c>
      <c r="H784" s="8">
        <f t="shared" si="1"/>
        <v>-16</v>
      </c>
    </row>
    <row r="785">
      <c r="A785" s="10">
        <v>784.0</v>
      </c>
      <c r="B785" s="11" t="s">
        <v>872</v>
      </c>
      <c r="C785" s="10" t="s">
        <v>22</v>
      </c>
      <c r="D785" s="10" t="s">
        <v>113</v>
      </c>
      <c r="E785" s="15"/>
      <c r="F785" s="15" t="s">
        <v>382</v>
      </c>
      <c r="G785" s="13">
        <f>IFERROR(__xludf.DUMMYFUNCTION("if(counta(filter('Previous Rank'!$A$2:$A2766,'Previous Rank'!$B$2:$B2766=B785,'Previous Rank'!$C$2:$C2766=C785))=1,filter('Previous Rank'!$A$2:$A2766,'Previous Rank'!$B$2:$B2766=B785,'Previous Rank'!$C$2:$C2766=C785),"""")"),768.0)</f>
        <v>768</v>
      </c>
      <c r="H785" s="8">
        <f t="shared" si="1"/>
        <v>-16</v>
      </c>
    </row>
    <row r="786">
      <c r="A786" s="10">
        <v>785.0</v>
      </c>
      <c r="B786" s="11" t="s">
        <v>873</v>
      </c>
      <c r="C786" s="10" t="s">
        <v>220</v>
      </c>
      <c r="D786" s="10" t="s">
        <v>113</v>
      </c>
      <c r="E786" s="16"/>
      <c r="F786" s="16" t="s">
        <v>382</v>
      </c>
      <c r="G786" s="13">
        <f>IFERROR(__xludf.DUMMYFUNCTION("if(counta(filter('Previous Rank'!$A$2:$A2766,'Previous Rank'!$B$2:$B2766=B786,'Previous Rank'!$C$2:$C2766=C786))=1,filter('Previous Rank'!$A$2:$A2766,'Previous Rank'!$B$2:$B2766=B786,'Previous Rank'!$C$2:$C2766=C786),"""")"),769.0)</f>
        <v>769</v>
      </c>
      <c r="H786" s="8">
        <f t="shared" si="1"/>
        <v>-16</v>
      </c>
    </row>
    <row r="787">
      <c r="A787" s="10">
        <v>786.0</v>
      </c>
      <c r="B787" s="11" t="s">
        <v>874</v>
      </c>
      <c r="C787" s="10" t="s">
        <v>22</v>
      </c>
      <c r="D787" s="10" t="s">
        <v>105</v>
      </c>
      <c r="E787" s="15"/>
      <c r="F787" s="15" t="s">
        <v>382</v>
      </c>
      <c r="G787" s="13">
        <f>IFERROR(__xludf.DUMMYFUNCTION("if(counta(filter('Previous Rank'!$A$2:$A2766,'Previous Rank'!$B$2:$B2766=B787,'Previous Rank'!$C$2:$C2766=C787))=1,filter('Previous Rank'!$A$2:$A2766,'Previous Rank'!$B$2:$B2766=B787,'Previous Rank'!$C$2:$C2766=C787),"""")"),770.0)</f>
        <v>770</v>
      </c>
      <c r="H787" s="8">
        <f t="shared" si="1"/>
        <v>-16</v>
      </c>
    </row>
    <row r="788">
      <c r="A788" s="10">
        <v>787.0</v>
      </c>
      <c r="B788" s="11" t="s">
        <v>875</v>
      </c>
      <c r="C788" s="10" t="s">
        <v>79</v>
      </c>
      <c r="D788" s="10" t="s">
        <v>73</v>
      </c>
      <c r="E788" s="16"/>
      <c r="F788" s="16" t="s">
        <v>382</v>
      </c>
      <c r="G788" s="13">
        <f>IFERROR(__xludf.DUMMYFUNCTION("if(counta(filter('Previous Rank'!$A$2:$A2766,'Previous Rank'!$B$2:$B2766=B788,'Previous Rank'!$C$2:$C2766=C788))=1,filter('Previous Rank'!$A$2:$A2766,'Previous Rank'!$B$2:$B2766=B788,'Previous Rank'!$C$2:$C2766=C788),"""")"),771.0)</f>
        <v>771</v>
      </c>
      <c r="H788" s="8">
        <f t="shared" si="1"/>
        <v>-16</v>
      </c>
    </row>
    <row r="789">
      <c r="A789" s="10">
        <v>788.0</v>
      </c>
      <c r="B789" s="11" t="s">
        <v>876</v>
      </c>
      <c r="C789" s="10" t="s">
        <v>79</v>
      </c>
      <c r="D789" s="10" t="s">
        <v>23</v>
      </c>
      <c r="E789" s="15"/>
      <c r="F789" s="15" t="s">
        <v>382</v>
      </c>
      <c r="G789" s="13">
        <f>IFERROR(__xludf.DUMMYFUNCTION("if(counta(filter('Previous Rank'!$A$2:$A2766,'Previous Rank'!$B$2:$B2766=B789,'Previous Rank'!$C$2:$C2766=C789))=1,filter('Previous Rank'!$A$2:$A2766,'Previous Rank'!$B$2:$B2766=B789,'Previous Rank'!$C$2:$C2766=C789),"""")"),772.0)</f>
        <v>772</v>
      </c>
      <c r="H789" s="8">
        <f t="shared" si="1"/>
        <v>-16</v>
      </c>
    </row>
    <row r="790">
      <c r="A790" s="10">
        <v>789.0</v>
      </c>
      <c r="B790" s="11" t="s">
        <v>877</v>
      </c>
      <c r="C790" s="10" t="s">
        <v>22</v>
      </c>
      <c r="D790" s="10" t="s">
        <v>18</v>
      </c>
      <c r="E790" s="16"/>
      <c r="F790" s="16" t="s">
        <v>382</v>
      </c>
      <c r="G790" s="13">
        <f>IFERROR(__xludf.DUMMYFUNCTION("if(counta(filter('Previous Rank'!$A$2:$A2766,'Previous Rank'!$B$2:$B2766=B790,'Previous Rank'!$C$2:$C2766=C790))=1,filter('Previous Rank'!$A$2:$A2766,'Previous Rank'!$B$2:$B2766=B790,'Previous Rank'!$C$2:$C2766=C790),"""")"),773.0)</f>
        <v>773</v>
      </c>
      <c r="H790" s="8">
        <f t="shared" si="1"/>
        <v>-16</v>
      </c>
    </row>
    <row r="791">
      <c r="A791" s="10">
        <v>790.0</v>
      </c>
      <c r="B791" s="11" t="s">
        <v>878</v>
      </c>
      <c r="C791" s="10" t="s">
        <v>79</v>
      </c>
      <c r="D791" s="10" t="s">
        <v>122</v>
      </c>
      <c r="E791" s="15"/>
      <c r="F791" s="15" t="s">
        <v>382</v>
      </c>
      <c r="G791" s="13">
        <f>IFERROR(__xludf.DUMMYFUNCTION("if(counta(filter('Previous Rank'!$A$2:$A2766,'Previous Rank'!$B$2:$B2766=B791,'Previous Rank'!$C$2:$C2766=C791))=1,filter('Previous Rank'!$A$2:$A2766,'Previous Rank'!$B$2:$B2766=B791,'Previous Rank'!$C$2:$C2766=C791),"""")"),774.0)</f>
        <v>774</v>
      </c>
      <c r="H791" s="8">
        <f t="shared" si="1"/>
        <v>-16</v>
      </c>
    </row>
    <row r="792">
      <c r="A792" s="10">
        <v>791.0</v>
      </c>
      <c r="B792" s="11" t="s">
        <v>879</v>
      </c>
      <c r="C792" s="10" t="s">
        <v>79</v>
      </c>
      <c r="D792" s="10" t="s">
        <v>85</v>
      </c>
      <c r="E792" s="16"/>
      <c r="F792" s="16" t="s">
        <v>382</v>
      </c>
      <c r="G792" s="13">
        <f>IFERROR(__xludf.DUMMYFUNCTION("if(counta(filter('Previous Rank'!$A$2:$A2766,'Previous Rank'!$B$2:$B2766=B792,'Previous Rank'!$C$2:$C2766=C792))=1,filter('Previous Rank'!$A$2:$A2766,'Previous Rank'!$B$2:$B2766=B792,'Previous Rank'!$C$2:$C2766=C792),"""")"),775.0)</f>
        <v>775</v>
      </c>
      <c r="H792" s="8">
        <f t="shared" si="1"/>
        <v>-16</v>
      </c>
    </row>
    <row r="793">
      <c r="A793" s="10">
        <v>792.0</v>
      </c>
      <c r="B793" s="11" t="s">
        <v>880</v>
      </c>
      <c r="C793" s="10" t="s">
        <v>79</v>
      </c>
      <c r="D793" s="10" t="s">
        <v>73</v>
      </c>
      <c r="E793" s="15"/>
      <c r="F793" s="15" t="s">
        <v>382</v>
      </c>
      <c r="G793" s="13">
        <f>IFERROR(__xludf.DUMMYFUNCTION("if(counta(filter('Previous Rank'!$A$2:$A2766,'Previous Rank'!$B$2:$B2766=B793,'Previous Rank'!$C$2:$C2766=C793))=1,filter('Previous Rank'!$A$2:$A2766,'Previous Rank'!$B$2:$B2766=B793,'Previous Rank'!$C$2:$C2766=C793),"""")"),776.0)</f>
        <v>776</v>
      </c>
      <c r="H793" s="8">
        <f t="shared" si="1"/>
        <v>-16</v>
      </c>
    </row>
    <row r="794">
      <c r="A794" s="10">
        <v>793.0</v>
      </c>
      <c r="B794" s="11" t="s">
        <v>881</v>
      </c>
      <c r="C794" s="10" t="s">
        <v>79</v>
      </c>
      <c r="D794" s="10" t="s">
        <v>206</v>
      </c>
      <c r="E794" s="16"/>
      <c r="F794" s="16" t="s">
        <v>382</v>
      </c>
      <c r="G794" s="13">
        <f>IFERROR(__xludf.DUMMYFUNCTION("if(counta(filter('Previous Rank'!$A$2:$A2766,'Previous Rank'!$B$2:$B2766=B794,'Previous Rank'!$C$2:$C2766=C794))=1,filter('Previous Rank'!$A$2:$A2766,'Previous Rank'!$B$2:$B2766=B794,'Previous Rank'!$C$2:$C2766=C794),"""")"),777.0)</f>
        <v>777</v>
      </c>
      <c r="H794" s="8">
        <f t="shared" si="1"/>
        <v>-16</v>
      </c>
    </row>
    <row r="795">
      <c r="A795" s="10">
        <v>794.0</v>
      </c>
      <c r="B795" s="11" t="s">
        <v>882</v>
      </c>
      <c r="C795" s="10" t="s">
        <v>22</v>
      </c>
      <c r="D795" s="10" t="s">
        <v>9</v>
      </c>
      <c r="E795" s="15"/>
      <c r="F795" s="15" t="s">
        <v>382</v>
      </c>
      <c r="G795" s="13">
        <f>IFERROR(__xludf.DUMMYFUNCTION("if(counta(filter('Previous Rank'!$A$2:$A2766,'Previous Rank'!$B$2:$B2766=B795,'Previous Rank'!$C$2:$C2766=C795))=1,filter('Previous Rank'!$A$2:$A2766,'Previous Rank'!$B$2:$B2766=B795,'Previous Rank'!$C$2:$C2766=C795),"""")"),778.0)</f>
        <v>778</v>
      </c>
      <c r="H795" s="8">
        <f t="shared" si="1"/>
        <v>-16</v>
      </c>
    </row>
    <row r="796">
      <c r="A796" s="10">
        <v>795.0</v>
      </c>
      <c r="B796" s="11" t="s">
        <v>883</v>
      </c>
      <c r="C796" s="10" t="s">
        <v>22</v>
      </c>
      <c r="D796" s="10" t="s">
        <v>90</v>
      </c>
      <c r="E796" s="16"/>
      <c r="F796" s="16" t="s">
        <v>382</v>
      </c>
      <c r="G796" s="13">
        <f>IFERROR(__xludf.DUMMYFUNCTION("if(counta(filter('Previous Rank'!$A$2:$A2766,'Previous Rank'!$B$2:$B2766=B796,'Previous Rank'!$C$2:$C2766=C796))=1,filter('Previous Rank'!$A$2:$A2766,'Previous Rank'!$B$2:$B2766=B796,'Previous Rank'!$C$2:$C2766=C796),"""")"),779.0)</f>
        <v>779</v>
      </c>
      <c r="H796" s="8">
        <f t="shared" si="1"/>
        <v>-16</v>
      </c>
    </row>
    <row r="797">
      <c r="A797" s="10">
        <v>796.0</v>
      </c>
      <c r="B797" s="11" t="s">
        <v>884</v>
      </c>
      <c r="C797" s="10" t="s">
        <v>22</v>
      </c>
      <c r="D797" s="10" t="s">
        <v>206</v>
      </c>
      <c r="E797" s="15"/>
      <c r="F797" s="15" t="s">
        <v>382</v>
      </c>
      <c r="G797" s="13">
        <f>IFERROR(__xludf.DUMMYFUNCTION("if(counta(filter('Previous Rank'!$A$2:$A2766,'Previous Rank'!$B$2:$B2766=B797,'Previous Rank'!$C$2:$C2766=C797))=1,filter('Previous Rank'!$A$2:$A2766,'Previous Rank'!$B$2:$B2766=B797,'Previous Rank'!$C$2:$C2766=C797),"""")"),780.0)</f>
        <v>780</v>
      </c>
      <c r="H797" s="8">
        <f t="shared" si="1"/>
        <v>-16</v>
      </c>
    </row>
    <row r="798">
      <c r="A798" s="10">
        <v>797.0</v>
      </c>
      <c r="B798" s="11" t="s">
        <v>885</v>
      </c>
      <c r="C798" s="10" t="s">
        <v>22</v>
      </c>
      <c r="D798" s="10" t="s">
        <v>73</v>
      </c>
      <c r="E798" s="16"/>
      <c r="F798" s="16" t="s">
        <v>382</v>
      </c>
      <c r="G798" s="13">
        <f>IFERROR(__xludf.DUMMYFUNCTION("if(counta(filter('Previous Rank'!$A$2:$A2766,'Previous Rank'!$B$2:$B2766=B798,'Previous Rank'!$C$2:$C2766=C798))=1,filter('Previous Rank'!$A$2:$A2766,'Previous Rank'!$B$2:$B2766=B798,'Previous Rank'!$C$2:$C2766=C798),"""")"),781.0)</f>
        <v>781</v>
      </c>
      <c r="H798" s="8">
        <f t="shared" si="1"/>
        <v>-16</v>
      </c>
    </row>
    <row r="799">
      <c r="A799" s="10">
        <v>798.0</v>
      </c>
      <c r="B799" s="11" t="s">
        <v>886</v>
      </c>
      <c r="C799" s="10" t="s">
        <v>79</v>
      </c>
      <c r="D799" s="10" t="s">
        <v>82</v>
      </c>
      <c r="E799" s="15"/>
      <c r="F799" s="15" t="s">
        <v>382</v>
      </c>
      <c r="G799" s="13">
        <f>IFERROR(__xludf.DUMMYFUNCTION("if(counta(filter('Previous Rank'!$A$2:$A2766,'Previous Rank'!$B$2:$B2766=B799,'Previous Rank'!$C$2:$C2766=C799))=1,filter('Previous Rank'!$A$2:$A2766,'Previous Rank'!$B$2:$B2766=B799,'Previous Rank'!$C$2:$C2766=C799),"""")"),782.0)</f>
        <v>782</v>
      </c>
      <c r="H799" s="8">
        <f t="shared" si="1"/>
        <v>-16</v>
      </c>
    </row>
    <row r="800">
      <c r="A800" s="10">
        <v>799.0</v>
      </c>
      <c r="B800" s="11" t="s">
        <v>887</v>
      </c>
      <c r="C800" s="10" t="s">
        <v>22</v>
      </c>
      <c r="D800" s="10" t="s">
        <v>120</v>
      </c>
      <c r="E800" s="16"/>
      <c r="F800" s="16" t="s">
        <v>382</v>
      </c>
      <c r="G800" s="13">
        <f>IFERROR(__xludf.DUMMYFUNCTION("if(counta(filter('Previous Rank'!$A$2:$A2766,'Previous Rank'!$B$2:$B2766=B800,'Previous Rank'!$C$2:$C2766=C800))=1,filter('Previous Rank'!$A$2:$A2766,'Previous Rank'!$B$2:$B2766=B800,'Previous Rank'!$C$2:$C2766=C800),"""")"),783.0)</f>
        <v>783</v>
      </c>
      <c r="H800" s="8">
        <f t="shared" si="1"/>
        <v>-16</v>
      </c>
    </row>
    <row r="801">
      <c r="A801" s="10">
        <v>800.0</v>
      </c>
      <c r="B801" s="11" t="s">
        <v>888</v>
      </c>
      <c r="C801" s="10" t="s">
        <v>22</v>
      </c>
      <c r="D801" s="10" t="s">
        <v>9</v>
      </c>
      <c r="E801" s="15"/>
      <c r="F801" s="15" t="s">
        <v>382</v>
      </c>
      <c r="G801" s="13">
        <f>IFERROR(__xludf.DUMMYFUNCTION("if(counta(filter('Previous Rank'!$A$2:$A2766,'Previous Rank'!$B$2:$B2766=B801,'Previous Rank'!$C$2:$C2766=C801))=1,filter('Previous Rank'!$A$2:$A2766,'Previous Rank'!$B$2:$B2766=B801,'Previous Rank'!$C$2:$C2766=C801),"""")"),784.0)</f>
        <v>784</v>
      </c>
      <c r="H801" s="8">
        <f t="shared" si="1"/>
        <v>-16</v>
      </c>
    </row>
    <row r="802">
      <c r="A802" s="10">
        <v>801.0</v>
      </c>
      <c r="B802" s="11" t="s">
        <v>889</v>
      </c>
      <c r="C802" s="10" t="s">
        <v>22</v>
      </c>
      <c r="D802" s="10" t="s">
        <v>46</v>
      </c>
      <c r="E802" s="16"/>
      <c r="F802" s="16" t="s">
        <v>382</v>
      </c>
      <c r="G802" s="13">
        <f>IFERROR(__xludf.DUMMYFUNCTION("if(counta(filter('Previous Rank'!$A$2:$A2766,'Previous Rank'!$B$2:$B2766=B802,'Previous Rank'!$C$2:$C2766=C802))=1,filter('Previous Rank'!$A$2:$A2766,'Previous Rank'!$B$2:$B2766=B802,'Previous Rank'!$C$2:$C2766=C802),"""")"),785.0)</f>
        <v>785</v>
      </c>
      <c r="H802" s="8">
        <f t="shared" si="1"/>
        <v>-16</v>
      </c>
    </row>
    <row r="803">
      <c r="A803" s="10">
        <v>802.0</v>
      </c>
      <c r="B803" s="11" t="s">
        <v>890</v>
      </c>
      <c r="C803" s="10" t="s">
        <v>79</v>
      </c>
      <c r="D803" s="10" t="s">
        <v>122</v>
      </c>
      <c r="E803" s="15"/>
      <c r="F803" s="15" t="s">
        <v>382</v>
      </c>
      <c r="G803" s="13">
        <f>IFERROR(__xludf.DUMMYFUNCTION("if(counta(filter('Previous Rank'!$A$2:$A2766,'Previous Rank'!$B$2:$B2766=B803,'Previous Rank'!$C$2:$C2766=C803))=1,filter('Previous Rank'!$A$2:$A2766,'Previous Rank'!$B$2:$B2766=B803,'Previous Rank'!$C$2:$C2766=C803),"""")"),786.0)</f>
        <v>786</v>
      </c>
      <c r="H803" s="8">
        <f t="shared" si="1"/>
        <v>-16</v>
      </c>
    </row>
    <row r="804">
      <c r="A804" s="10">
        <v>803.0</v>
      </c>
      <c r="B804" s="11" t="s">
        <v>891</v>
      </c>
      <c r="C804" s="10" t="s">
        <v>22</v>
      </c>
      <c r="D804" s="10" t="s">
        <v>99</v>
      </c>
      <c r="E804" s="16"/>
      <c r="F804" s="16" t="s">
        <v>382</v>
      </c>
      <c r="G804" s="13">
        <f>IFERROR(__xludf.DUMMYFUNCTION("if(counta(filter('Previous Rank'!$A$2:$A2766,'Previous Rank'!$B$2:$B2766=B804,'Previous Rank'!$C$2:$C2766=C804))=1,filter('Previous Rank'!$A$2:$A2766,'Previous Rank'!$B$2:$B2766=B804,'Previous Rank'!$C$2:$C2766=C804),"""")"),787.0)</f>
        <v>787</v>
      </c>
      <c r="H804" s="8">
        <f t="shared" si="1"/>
        <v>-16</v>
      </c>
    </row>
    <row r="805">
      <c r="A805" s="10">
        <v>804.0</v>
      </c>
      <c r="B805" s="11" t="s">
        <v>892</v>
      </c>
      <c r="C805" s="10" t="s">
        <v>22</v>
      </c>
      <c r="D805" s="10" t="s">
        <v>129</v>
      </c>
      <c r="E805" s="15"/>
      <c r="F805" s="15" t="s">
        <v>382</v>
      </c>
      <c r="G805" s="13">
        <f>IFERROR(__xludf.DUMMYFUNCTION("if(counta(filter('Previous Rank'!$A$2:$A2766,'Previous Rank'!$B$2:$B2766=B805,'Previous Rank'!$C$2:$C2766=C805))=1,filter('Previous Rank'!$A$2:$A2766,'Previous Rank'!$B$2:$B2766=B805,'Previous Rank'!$C$2:$C2766=C805),"""")"),788.0)</f>
        <v>788</v>
      </c>
      <c r="H805" s="8">
        <f t="shared" si="1"/>
        <v>-16</v>
      </c>
    </row>
    <row r="806">
      <c r="A806" s="10">
        <v>805.0</v>
      </c>
      <c r="B806" s="11" t="s">
        <v>893</v>
      </c>
      <c r="C806" s="10" t="s">
        <v>22</v>
      </c>
      <c r="D806" s="10" t="s">
        <v>137</v>
      </c>
      <c r="E806" s="16"/>
      <c r="F806" s="16" t="s">
        <v>382</v>
      </c>
      <c r="G806" s="13">
        <f>IFERROR(__xludf.DUMMYFUNCTION("if(counta(filter('Previous Rank'!$A$2:$A2766,'Previous Rank'!$B$2:$B2766=B806,'Previous Rank'!$C$2:$C2766=C806))=1,filter('Previous Rank'!$A$2:$A2766,'Previous Rank'!$B$2:$B2766=B806,'Previous Rank'!$C$2:$C2766=C806),"""")"),790.0)</f>
        <v>790</v>
      </c>
      <c r="H806" s="8">
        <f t="shared" si="1"/>
        <v>-15</v>
      </c>
    </row>
    <row r="807">
      <c r="A807" s="10">
        <v>806.0</v>
      </c>
      <c r="B807" s="11" t="s">
        <v>894</v>
      </c>
      <c r="C807" s="10" t="s">
        <v>79</v>
      </c>
      <c r="D807" s="10" t="s">
        <v>42</v>
      </c>
      <c r="E807" s="15"/>
      <c r="F807" s="15" t="s">
        <v>382</v>
      </c>
      <c r="G807" s="13">
        <f>IFERROR(__xludf.DUMMYFUNCTION("if(counta(filter('Previous Rank'!$A$2:$A2766,'Previous Rank'!$B$2:$B2766=B807,'Previous Rank'!$C$2:$C2766=C807))=1,filter('Previous Rank'!$A$2:$A2766,'Previous Rank'!$B$2:$B2766=B807,'Previous Rank'!$C$2:$C2766=C807),"""")"),791.0)</f>
        <v>791</v>
      </c>
      <c r="H807" s="8">
        <f t="shared" si="1"/>
        <v>-15</v>
      </c>
    </row>
    <row r="808">
      <c r="A808" s="10">
        <v>807.0</v>
      </c>
      <c r="B808" s="11" t="s">
        <v>895</v>
      </c>
      <c r="C808" s="10" t="s">
        <v>22</v>
      </c>
      <c r="D808" s="10" t="s">
        <v>15</v>
      </c>
      <c r="E808" s="16"/>
      <c r="F808" s="16" t="s">
        <v>382</v>
      </c>
      <c r="G808" s="13">
        <f>IFERROR(__xludf.DUMMYFUNCTION("if(counta(filter('Previous Rank'!$A$2:$A2766,'Previous Rank'!$B$2:$B2766=B808,'Previous Rank'!$C$2:$C2766=C808))=1,filter('Previous Rank'!$A$2:$A2766,'Previous Rank'!$B$2:$B2766=B808,'Previous Rank'!$C$2:$C2766=C808),"""")"),792.0)</f>
        <v>792</v>
      </c>
      <c r="H808" s="8">
        <f t="shared" si="1"/>
        <v>-15</v>
      </c>
    </row>
    <row r="809">
      <c r="A809" s="10">
        <v>808.0</v>
      </c>
      <c r="B809" s="11" t="s">
        <v>896</v>
      </c>
      <c r="C809" s="10" t="s">
        <v>22</v>
      </c>
      <c r="D809" s="10" t="s">
        <v>15</v>
      </c>
      <c r="E809" s="15"/>
      <c r="F809" s="15" t="s">
        <v>382</v>
      </c>
      <c r="G809" s="13">
        <f>IFERROR(__xludf.DUMMYFUNCTION("if(counta(filter('Previous Rank'!$A$2:$A2766,'Previous Rank'!$B$2:$B2766=B809,'Previous Rank'!$C$2:$C2766=C809))=1,filter('Previous Rank'!$A$2:$A2766,'Previous Rank'!$B$2:$B2766=B809,'Previous Rank'!$C$2:$C2766=C809),"""")"),793.0)</f>
        <v>793</v>
      </c>
      <c r="H809" s="8">
        <f t="shared" si="1"/>
        <v>-15</v>
      </c>
    </row>
    <row r="810">
      <c r="A810" s="10">
        <v>809.0</v>
      </c>
      <c r="B810" s="11" t="s">
        <v>897</v>
      </c>
      <c r="C810" s="10" t="s">
        <v>79</v>
      </c>
      <c r="D810" s="10" t="s">
        <v>90</v>
      </c>
      <c r="E810" s="16"/>
      <c r="F810" s="16" t="s">
        <v>382</v>
      </c>
      <c r="G810" s="13">
        <f>IFERROR(__xludf.DUMMYFUNCTION("if(counta(filter('Previous Rank'!$A$2:$A2766,'Previous Rank'!$B$2:$B2766=B810,'Previous Rank'!$C$2:$C2766=C810))=1,filter('Previous Rank'!$A$2:$A2766,'Previous Rank'!$B$2:$B2766=B810,'Previous Rank'!$C$2:$C2766=C810),"""")"),794.0)</f>
        <v>794</v>
      </c>
      <c r="H810" s="8">
        <f t="shared" si="1"/>
        <v>-15</v>
      </c>
    </row>
    <row r="811">
      <c r="A811" s="10">
        <v>810.0</v>
      </c>
      <c r="B811" s="11" t="s">
        <v>898</v>
      </c>
      <c r="C811" s="10" t="s">
        <v>22</v>
      </c>
      <c r="D811" s="10" t="s">
        <v>15</v>
      </c>
      <c r="E811" s="15"/>
      <c r="F811" s="15" t="s">
        <v>382</v>
      </c>
      <c r="G811" s="13">
        <f>IFERROR(__xludf.DUMMYFUNCTION("if(counta(filter('Previous Rank'!$A$2:$A2766,'Previous Rank'!$B$2:$B2766=B811,'Previous Rank'!$C$2:$C2766=C811))=1,filter('Previous Rank'!$A$2:$A2766,'Previous Rank'!$B$2:$B2766=B811,'Previous Rank'!$C$2:$C2766=C811),"""")"),795.0)</f>
        <v>795</v>
      </c>
      <c r="H811" s="8">
        <f t="shared" si="1"/>
        <v>-15</v>
      </c>
    </row>
    <row r="812">
      <c r="A812" s="10">
        <v>811.0</v>
      </c>
      <c r="B812" s="11" t="s">
        <v>899</v>
      </c>
      <c r="C812" s="10" t="s">
        <v>79</v>
      </c>
      <c r="D812" s="10" t="s">
        <v>71</v>
      </c>
      <c r="E812" s="16"/>
      <c r="F812" s="16" t="s">
        <v>382</v>
      </c>
      <c r="G812" s="13">
        <f>IFERROR(__xludf.DUMMYFUNCTION("if(counta(filter('Previous Rank'!$A$2:$A2766,'Previous Rank'!$B$2:$B2766=B812,'Previous Rank'!$C$2:$C2766=C812))=1,filter('Previous Rank'!$A$2:$A2766,'Previous Rank'!$B$2:$B2766=B812,'Previous Rank'!$C$2:$C2766=C812),"""")"),796.0)</f>
        <v>796</v>
      </c>
      <c r="H812" s="8">
        <f t="shared" si="1"/>
        <v>-15</v>
      </c>
    </row>
    <row r="813">
      <c r="A813" s="10">
        <v>812.0</v>
      </c>
      <c r="B813" s="11" t="s">
        <v>900</v>
      </c>
      <c r="C813" s="10" t="s">
        <v>22</v>
      </c>
      <c r="D813" s="10" t="s">
        <v>137</v>
      </c>
      <c r="E813" s="15"/>
      <c r="F813" s="15" t="s">
        <v>382</v>
      </c>
      <c r="G813" s="13">
        <f>IFERROR(__xludf.DUMMYFUNCTION("if(counta(filter('Previous Rank'!$A$2:$A2766,'Previous Rank'!$B$2:$B2766=B813,'Previous Rank'!$C$2:$C2766=C813))=1,filter('Previous Rank'!$A$2:$A2766,'Previous Rank'!$B$2:$B2766=B813,'Previous Rank'!$C$2:$C2766=C813),"""")"),797.0)</f>
        <v>797</v>
      </c>
      <c r="H813" s="8">
        <f t="shared" si="1"/>
        <v>-15</v>
      </c>
    </row>
    <row r="814">
      <c r="A814" s="10">
        <v>813.0</v>
      </c>
      <c r="B814" s="11" t="s">
        <v>901</v>
      </c>
      <c r="C814" s="10" t="s">
        <v>79</v>
      </c>
      <c r="D814" s="10" t="s">
        <v>34</v>
      </c>
      <c r="E814" s="16"/>
      <c r="F814" s="16" t="s">
        <v>382</v>
      </c>
      <c r="G814" s="13">
        <f>IFERROR(__xludf.DUMMYFUNCTION("if(counta(filter('Previous Rank'!$A$2:$A2766,'Previous Rank'!$B$2:$B2766=B814,'Previous Rank'!$C$2:$C2766=C814))=1,filter('Previous Rank'!$A$2:$A2766,'Previous Rank'!$B$2:$B2766=B814,'Previous Rank'!$C$2:$C2766=C814),"""")"),798.0)</f>
        <v>798</v>
      </c>
      <c r="H814" s="8">
        <f t="shared" si="1"/>
        <v>-15</v>
      </c>
    </row>
    <row r="815">
      <c r="A815" s="10">
        <v>814.0</v>
      </c>
      <c r="B815" s="11" t="s">
        <v>902</v>
      </c>
      <c r="C815" s="10" t="s">
        <v>22</v>
      </c>
      <c r="D815" s="10" t="s">
        <v>42</v>
      </c>
      <c r="E815" s="15"/>
      <c r="F815" s="15" t="s">
        <v>382</v>
      </c>
      <c r="G815" s="13">
        <f>IFERROR(__xludf.DUMMYFUNCTION("if(counta(filter('Previous Rank'!$A$2:$A2766,'Previous Rank'!$B$2:$B2766=B815,'Previous Rank'!$C$2:$C2766=C815))=1,filter('Previous Rank'!$A$2:$A2766,'Previous Rank'!$B$2:$B2766=B815,'Previous Rank'!$C$2:$C2766=C815),"""")"),799.0)</f>
        <v>799</v>
      </c>
      <c r="H815" s="8">
        <f t="shared" si="1"/>
        <v>-15</v>
      </c>
    </row>
    <row r="816">
      <c r="A816" s="10">
        <v>815.0</v>
      </c>
      <c r="B816" s="11" t="s">
        <v>903</v>
      </c>
      <c r="C816" s="10" t="s">
        <v>22</v>
      </c>
      <c r="D816" s="10" t="s">
        <v>120</v>
      </c>
      <c r="E816" s="16"/>
      <c r="F816" s="16" t="s">
        <v>382</v>
      </c>
      <c r="G816" s="13">
        <f>IFERROR(__xludf.DUMMYFUNCTION("if(counta(filter('Previous Rank'!$A$2:$A2766,'Previous Rank'!$B$2:$B2766=B816,'Previous Rank'!$C$2:$C2766=C816))=1,filter('Previous Rank'!$A$2:$A2766,'Previous Rank'!$B$2:$B2766=B816,'Previous Rank'!$C$2:$C2766=C816),"""")"),800.0)</f>
        <v>800</v>
      </c>
      <c r="H816" s="8">
        <f t="shared" si="1"/>
        <v>-15</v>
      </c>
    </row>
    <row r="817">
      <c r="A817" s="10">
        <v>816.0</v>
      </c>
      <c r="B817" s="11" t="s">
        <v>904</v>
      </c>
      <c r="C817" s="10" t="s">
        <v>22</v>
      </c>
      <c r="D817" s="10" t="s">
        <v>67</v>
      </c>
      <c r="E817" s="15"/>
      <c r="F817" s="15" t="s">
        <v>382</v>
      </c>
      <c r="G817" s="13">
        <f>IFERROR(__xludf.DUMMYFUNCTION("if(counta(filter('Previous Rank'!$A$2:$A2766,'Previous Rank'!$B$2:$B2766=B817,'Previous Rank'!$C$2:$C2766=C817))=1,filter('Previous Rank'!$A$2:$A2766,'Previous Rank'!$B$2:$B2766=B817,'Previous Rank'!$C$2:$C2766=C817),"""")"),801.0)</f>
        <v>801</v>
      </c>
      <c r="H817" s="8">
        <f t="shared" si="1"/>
        <v>-15</v>
      </c>
    </row>
    <row r="818">
      <c r="A818" s="10">
        <v>817.0</v>
      </c>
      <c r="B818" s="11" t="s">
        <v>905</v>
      </c>
      <c r="C818" s="10" t="s">
        <v>22</v>
      </c>
      <c r="D818" s="10" t="s">
        <v>206</v>
      </c>
      <c r="E818" s="16"/>
      <c r="F818" s="16" t="s">
        <v>382</v>
      </c>
      <c r="G818" s="13">
        <f>IFERROR(__xludf.DUMMYFUNCTION("if(counta(filter('Previous Rank'!$A$2:$A2766,'Previous Rank'!$B$2:$B2766=B818,'Previous Rank'!$C$2:$C2766=C818))=1,filter('Previous Rank'!$A$2:$A2766,'Previous Rank'!$B$2:$B2766=B818,'Previous Rank'!$C$2:$C2766=C818),"""")"),802.0)</f>
        <v>802</v>
      </c>
      <c r="H818" s="8">
        <f t="shared" si="1"/>
        <v>-15</v>
      </c>
    </row>
    <row r="819">
      <c r="A819" s="10">
        <v>818.0</v>
      </c>
      <c r="B819" s="11" t="s">
        <v>906</v>
      </c>
      <c r="C819" s="10" t="s">
        <v>22</v>
      </c>
      <c r="D819" s="10" t="s">
        <v>12</v>
      </c>
      <c r="E819" s="15"/>
      <c r="F819" s="15" t="s">
        <v>382</v>
      </c>
      <c r="G819" s="13">
        <f>IFERROR(__xludf.DUMMYFUNCTION("if(counta(filter('Previous Rank'!$A$2:$A2766,'Previous Rank'!$B$2:$B2766=B819,'Previous Rank'!$C$2:$C2766=C819))=1,filter('Previous Rank'!$A$2:$A2766,'Previous Rank'!$B$2:$B2766=B819,'Previous Rank'!$C$2:$C2766=C819),"""")"),803.0)</f>
        <v>803</v>
      </c>
      <c r="H819" s="8">
        <f t="shared" si="1"/>
        <v>-15</v>
      </c>
    </row>
    <row r="820">
      <c r="A820" s="10">
        <v>819.0</v>
      </c>
      <c r="B820" s="11" t="s">
        <v>907</v>
      </c>
      <c r="C820" s="10" t="s">
        <v>22</v>
      </c>
      <c r="D820" s="10" t="s">
        <v>18</v>
      </c>
      <c r="E820" s="16"/>
      <c r="F820" s="16" t="s">
        <v>382</v>
      </c>
      <c r="G820" s="13">
        <f>IFERROR(__xludf.DUMMYFUNCTION("if(counta(filter('Previous Rank'!$A$2:$A2766,'Previous Rank'!$B$2:$B2766=B820,'Previous Rank'!$C$2:$C2766=C820))=1,filter('Previous Rank'!$A$2:$A2766,'Previous Rank'!$B$2:$B2766=B820,'Previous Rank'!$C$2:$C2766=C820),"""")"),804.0)</f>
        <v>804</v>
      </c>
      <c r="H820" s="8">
        <f t="shared" si="1"/>
        <v>-15</v>
      </c>
    </row>
    <row r="821">
      <c r="A821" s="10">
        <v>820.0</v>
      </c>
      <c r="B821" s="11" t="s">
        <v>908</v>
      </c>
      <c r="C821" s="10" t="s">
        <v>22</v>
      </c>
      <c r="D821" s="10" t="s">
        <v>31</v>
      </c>
      <c r="E821" s="15"/>
      <c r="F821" s="15" t="s">
        <v>382</v>
      </c>
      <c r="G821" s="13">
        <f>IFERROR(__xludf.DUMMYFUNCTION("if(counta(filter('Previous Rank'!$A$2:$A2766,'Previous Rank'!$B$2:$B2766=B821,'Previous Rank'!$C$2:$C2766=C821))=1,filter('Previous Rank'!$A$2:$A2766,'Previous Rank'!$B$2:$B2766=B821,'Previous Rank'!$C$2:$C2766=C821),"""")"),805.0)</f>
        <v>805</v>
      </c>
      <c r="H821" s="8">
        <f t="shared" si="1"/>
        <v>-15</v>
      </c>
    </row>
    <row r="822">
      <c r="A822" s="10">
        <v>821.0</v>
      </c>
      <c r="B822" s="11" t="s">
        <v>909</v>
      </c>
      <c r="C822" s="10" t="s">
        <v>79</v>
      </c>
      <c r="D822" s="10" t="s">
        <v>120</v>
      </c>
      <c r="E822" s="16"/>
      <c r="F822" s="16" t="s">
        <v>382</v>
      </c>
      <c r="G822" s="13">
        <f>IFERROR(__xludf.DUMMYFUNCTION("if(counta(filter('Previous Rank'!$A$2:$A2766,'Previous Rank'!$B$2:$B2766=B822,'Previous Rank'!$C$2:$C2766=C822))=1,filter('Previous Rank'!$A$2:$A2766,'Previous Rank'!$B$2:$B2766=B822,'Previous Rank'!$C$2:$C2766=C822),"""")"),806.0)</f>
        <v>806</v>
      </c>
      <c r="H822" s="8">
        <f t="shared" si="1"/>
        <v>-15</v>
      </c>
    </row>
    <row r="823">
      <c r="A823" s="10">
        <v>822.0</v>
      </c>
      <c r="B823" s="11" t="s">
        <v>910</v>
      </c>
      <c r="C823" s="10" t="s">
        <v>22</v>
      </c>
      <c r="D823" s="10" t="s">
        <v>122</v>
      </c>
      <c r="E823" s="15"/>
      <c r="F823" s="15" t="s">
        <v>382</v>
      </c>
      <c r="G823" s="13">
        <f>IFERROR(__xludf.DUMMYFUNCTION("if(counta(filter('Previous Rank'!$A$2:$A2766,'Previous Rank'!$B$2:$B2766=B823,'Previous Rank'!$C$2:$C2766=C823))=1,filter('Previous Rank'!$A$2:$A2766,'Previous Rank'!$B$2:$B2766=B823,'Previous Rank'!$C$2:$C2766=C823),"""")"),807.0)</f>
        <v>807</v>
      </c>
      <c r="H823" s="8">
        <f t="shared" si="1"/>
        <v>-15</v>
      </c>
    </row>
    <row r="824">
      <c r="A824" s="10">
        <v>823.0</v>
      </c>
      <c r="B824" s="11" t="s">
        <v>911</v>
      </c>
      <c r="C824" s="10" t="s">
        <v>22</v>
      </c>
      <c r="D824" s="10" t="s">
        <v>206</v>
      </c>
      <c r="E824" s="16"/>
      <c r="F824" s="16" t="s">
        <v>382</v>
      </c>
      <c r="G824" s="13">
        <f>IFERROR(__xludf.DUMMYFUNCTION("if(counta(filter('Previous Rank'!$A$2:$A2766,'Previous Rank'!$B$2:$B2766=B824,'Previous Rank'!$C$2:$C2766=C824))=1,filter('Previous Rank'!$A$2:$A2766,'Previous Rank'!$B$2:$B2766=B824,'Previous Rank'!$C$2:$C2766=C824),"""")"),808.0)</f>
        <v>808</v>
      </c>
      <c r="H824" s="8">
        <f t="shared" si="1"/>
        <v>-15</v>
      </c>
    </row>
    <row r="825">
      <c r="A825" s="10">
        <v>824.0</v>
      </c>
      <c r="B825" s="11" t="s">
        <v>912</v>
      </c>
      <c r="C825" s="10" t="s">
        <v>22</v>
      </c>
      <c r="D825" s="10" t="s">
        <v>137</v>
      </c>
      <c r="E825" s="15"/>
      <c r="F825" s="15" t="s">
        <v>382</v>
      </c>
      <c r="G825" s="13">
        <f>IFERROR(__xludf.DUMMYFUNCTION("if(counta(filter('Previous Rank'!$A$2:$A2766,'Previous Rank'!$B$2:$B2766=B825,'Previous Rank'!$C$2:$C2766=C825))=1,filter('Previous Rank'!$A$2:$A2766,'Previous Rank'!$B$2:$B2766=B825,'Previous Rank'!$C$2:$C2766=C825),"""")"),809.0)</f>
        <v>809</v>
      </c>
      <c r="H825" s="8">
        <f t="shared" si="1"/>
        <v>-15</v>
      </c>
    </row>
    <row r="826">
      <c r="A826" s="10">
        <v>825.0</v>
      </c>
      <c r="B826" s="11" t="s">
        <v>913</v>
      </c>
      <c r="C826" s="10" t="s">
        <v>22</v>
      </c>
      <c r="D826" s="10" t="s">
        <v>46</v>
      </c>
      <c r="E826" s="16"/>
      <c r="F826" s="16" t="s">
        <v>382</v>
      </c>
      <c r="G826" s="13">
        <f>IFERROR(__xludf.DUMMYFUNCTION("if(counta(filter('Previous Rank'!$A$2:$A2766,'Previous Rank'!$B$2:$B2766=B826,'Previous Rank'!$C$2:$C2766=C826))=1,filter('Previous Rank'!$A$2:$A2766,'Previous Rank'!$B$2:$B2766=B826,'Previous Rank'!$C$2:$C2766=C826),"""")"),810.0)</f>
        <v>810</v>
      </c>
      <c r="H826" s="8">
        <f t="shared" si="1"/>
        <v>-15</v>
      </c>
    </row>
    <row r="827">
      <c r="A827" s="10">
        <v>826.0</v>
      </c>
      <c r="B827" s="11" t="s">
        <v>914</v>
      </c>
      <c r="C827" s="10" t="s">
        <v>79</v>
      </c>
      <c r="D827" s="10" t="s">
        <v>52</v>
      </c>
      <c r="E827" s="15"/>
      <c r="F827" s="15" t="s">
        <v>382</v>
      </c>
      <c r="G827" s="13">
        <f>IFERROR(__xludf.DUMMYFUNCTION("if(counta(filter('Previous Rank'!$A$2:$A2766,'Previous Rank'!$B$2:$B2766=B827,'Previous Rank'!$C$2:$C2766=C827))=1,filter('Previous Rank'!$A$2:$A2766,'Previous Rank'!$B$2:$B2766=B827,'Previous Rank'!$C$2:$C2766=C827),"""")"),811.0)</f>
        <v>811</v>
      </c>
      <c r="H827" s="8">
        <f t="shared" si="1"/>
        <v>-15</v>
      </c>
    </row>
    <row r="828">
      <c r="A828" s="10">
        <v>827.0</v>
      </c>
      <c r="B828" s="11" t="s">
        <v>915</v>
      </c>
      <c r="C828" s="10" t="s">
        <v>22</v>
      </c>
      <c r="D828" s="10" t="s">
        <v>90</v>
      </c>
      <c r="E828" s="16"/>
      <c r="F828" s="16" t="s">
        <v>382</v>
      </c>
      <c r="G828" s="13">
        <f>IFERROR(__xludf.DUMMYFUNCTION("if(counta(filter('Previous Rank'!$A$2:$A2766,'Previous Rank'!$B$2:$B2766=B828,'Previous Rank'!$C$2:$C2766=C828))=1,filter('Previous Rank'!$A$2:$A2766,'Previous Rank'!$B$2:$B2766=B828,'Previous Rank'!$C$2:$C2766=C828),"""")"),812.0)</f>
        <v>812</v>
      </c>
      <c r="H828" s="8">
        <f t="shared" si="1"/>
        <v>-15</v>
      </c>
    </row>
    <row r="829">
      <c r="A829" s="10">
        <v>828.0</v>
      </c>
      <c r="B829" s="11" t="s">
        <v>916</v>
      </c>
      <c r="C829" s="10" t="s">
        <v>22</v>
      </c>
      <c r="D829" s="10" t="s">
        <v>82</v>
      </c>
      <c r="E829" s="15"/>
      <c r="F829" s="15" t="s">
        <v>382</v>
      </c>
      <c r="G829" s="13">
        <f>IFERROR(__xludf.DUMMYFUNCTION("if(counta(filter('Previous Rank'!$A$2:$A2766,'Previous Rank'!$B$2:$B2766=B829,'Previous Rank'!$C$2:$C2766=C829))=1,filter('Previous Rank'!$A$2:$A2766,'Previous Rank'!$B$2:$B2766=B829,'Previous Rank'!$C$2:$C2766=C829),"""")"),813.0)</f>
        <v>813</v>
      </c>
      <c r="H829" s="8">
        <f t="shared" si="1"/>
        <v>-15</v>
      </c>
    </row>
    <row r="830">
      <c r="A830" s="10">
        <v>829.0</v>
      </c>
      <c r="B830" s="11" t="s">
        <v>917</v>
      </c>
      <c r="C830" s="10" t="s">
        <v>22</v>
      </c>
      <c r="D830" s="10" t="s">
        <v>105</v>
      </c>
      <c r="E830" s="16"/>
      <c r="F830" s="16" t="s">
        <v>382</v>
      </c>
      <c r="G830" s="13">
        <f>IFERROR(__xludf.DUMMYFUNCTION("if(counta(filter('Previous Rank'!$A$2:$A2766,'Previous Rank'!$B$2:$B2766=B830,'Previous Rank'!$C$2:$C2766=C830))=1,filter('Previous Rank'!$A$2:$A2766,'Previous Rank'!$B$2:$B2766=B830,'Previous Rank'!$C$2:$C2766=C830),"""")"),814.0)</f>
        <v>814</v>
      </c>
      <c r="H830" s="8">
        <f t="shared" si="1"/>
        <v>-15</v>
      </c>
    </row>
    <row r="831">
      <c r="A831" s="10">
        <v>830.0</v>
      </c>
      <c r="B831" s="11" t="s">
        <v>918</v>
      </c>
      <c r="C831" s="10" t="s">
        <v>22</v>
      </c>
      <c r="D831" s="10" t="s">
        <v>140</v>
      </c>
      <c r="E831" s="15"/>
      <c r="F831" s="15" t="s">
        <v>382</v>
      </c>
      <c r="G831" s="13">
        <f>IFERROR(__xludf.DUMMYFUNCTION("if(counta(filter('Previous Rank'!$A$2:$A2766,'Previous Rank'!$B$2:$B2766=B831,'Previous Rank'!$C$2:$C2766=C831))=1,filter('Previous Rank'!$A$2:$A2766,'Previous Rank'!$B$2:$B2766=B831,'Previous Rank'!$C$2:$C2766=C831),"""")"),815.0)</f>
        <v>815</v>
      </c>
      <c r="H831" s="8">
        <f t="shared" si="1"/>
        <v>-15</v>
      </c>
    </row>
    <row r="832">
      <c r="A832" s="10">
        <v>831.0</v>
      </c>
      <c r="B832" s="11" t="s">
        <v>919</v>
      </c>
      <c r="C832" s="10" t="s">
        <v>22</v>
      </c>
      <c r="D832" s="10" t="s">
        <v>140</v>
      </c>
      <c r="E832" s="16"/>
      <c r="F832" s="16" t="s">
        <v>382</v>
      </c>
      <c r="G832" s="13">
        <f>IFERROR(__xludf.DUMMYFUNCTION("if(counta(filter('Previous Rank'!$A$2:$A2766,'Previous Rank'!$B$2:$B2766=B832,'Previous Rank'!$C$2:$C2766=C832))=1,filter('Previous Rank'!$A$2:$A2766,'Previous Rank'!$B$2:$B2766=B832,'Previous Rank'!$C$2:$C2766=C832),"""")"),816.0)</f>
        <v>816</v>
      </c>
      <c r="H832" s="8">
        <f t="shared" si="1"/>
        <v>-15</v>
      </c>
    </row>
    <row r="833">
      <c r="A833" s="10">
        <v>832.0</v>
      </c>
      <c r="B833" s="11" t="s">
        <v>920</v>
      </c>
      <c r="C833" s="10" t="s">
        <v>22</v>
      </c>
      <c r="D833" s="10" t="s">
        <v>67</v>
      </c>
      <c r="E833" s="15"/>
      <c r="F833" s="15" t="s">
        <v>382</v>
      </c>
      <c r="G833" s="13">
        <f>IFERROR(__xludf.DUMMYFUNCTION("if(counta(filter('Previous Rank'!$A$2:$A2766,'Previous Rank'!$B$2:$B2766=B833,'Previous Rank'!$C$2:$C2766=C833))=1,filter('Previous Rank'!$A$2:$A2766,'Previous Rank'!$B$2:$B2766=B833,'Previous Rank'!$C$2:$C2766=C833),"""")"),817.0)</f>
        <v>817</v>
      </c>
      <c r="H833" s="8">
        <f t="shared" si="1"/>
        <v>-15</v>
      </c>
    </row>
    <row r="834">
      <c r="A834" s="10">
        <v>833.0</v>
      </c>
      <c r="B834" s="11" t="s">
        <v>921</v>
      </c>
      <c r="C834" s="10" t="s">
        <v>22</v>
      </c>
      <c r="D834" s="10" t="s">
        <v>140</v>
      </c>
      <c r="E834" s="16"/>
      <c r="F834" s="16" t="s">
        <v>382</v>
      </c>
      <c r="G834" s="13">
        <f>IFERROR(__xludf.DUMMYFUNCTION("if(counta(filter('Previous Rank'!$A$2:$A2766,'Previous Rank'!$B$2:$B2766=B834,'Previous Rank'!$C$2:$C2766=C834))=1,filter('Previous Rank'!$A$2:$A2766,'Previous Rank'!$B$2:$B2766=B834,'Previous Rank'!$C$2:$C2766=C834),"""")"),818.0)</f>
        <v>818</v>
      </c>
      <c r="H834" s="8">
        <f t="shared" si="1"/>
        <v>-15</v>
      </c>
    </row>
    <row r="835">
      <c r="A835" s="10">
        <v>834.0</v>
      </c>
      <c r="B835" s="11" t="s">
        <v>922</v>
      </c>
      <c r="C835" s="10" t="s">
        <v>22</v>
      </c>
      <c r="D835" s="10" t="s">
        <v>90</v>
      </c>
      <c r="E835" s="15"/>
      <c r="F835" s="15" t="s">
        <v>382</v>
      </c>
      <c r="G835" s="13">
        <f>IFERROR(__xludf.DUMMYFUNCTION("if(counta(filter('Previous Rank'!$A$2:$A2766,'Previous Rank'!$B$2:$B2766=B835,'Previous Rank'!$C$2:$C2766=C835))=1,filter('Previous Rank'!$A$2:$A2766,'Previous Rank'!$B$2:$B2766=B835,'Previous Rank'!$C$2:$C2766=C835),"""")"),819.0)</f>
        <v>819</v>
      </c>
      <c r="H835" s="8">
        <f t="shared" si="1"/>
        <v>-15</v>
      </c>
    </row>
    <row r="836">
      <c r="A836" s="10">
        <v>835.0</v>
      </c>
      <c r="B836" s="11" t="s">
        <v>923</v>
      </c>
      <c r="C836" s="10" t="s">
        <v>79</v>
      </c>
      <c r="D836" s="10" t="s">
        <v>46</v>
      </c>
      <c r="E836" s="16"/>
      <c r="F836" s="16" t="s">
        <v>382</v>
      </c>
      <c r="G836" s="13">
        <f>IFERROR(__xludf.DUMMYFUNCTION("if(counta(filter('Previous Rank'!$A$2:$A2766,'Previous Rank'!$B$2:$B2766=B836,'Previous Rank'!$C$2:$C2766=C836))=1,filter('Previous Rank'!$A$2:$A2766,'Previous Rank'!$B$2:$B2766=B836,'Previous Rank'!$C$2:$C2766=C836),"""")"),820.0)</f>
        <v>820</v>
      </c>
      <c r="H836" s="8">
        <f t="shared" si="1"/>
        <v>-15</v>
      </c>
    </row>
    <row r="837">
      <c r="A837" s="10">
        <v>836.0</v>
      </c>
      <c r="B837" s="11" t="s">
        <v>924</v>
      </c>
      <c r="C837" s="10" t="s">
        <v>22</v>
      </c>
      <c r="D837" s="10" t="s">
        <v>85</v>
      </c>
      <c r="E837" s="15"/>
      <c r="F837" s="15" t="s">
        <v>382</v>
      </c>
      <c r="G837" s="13">
        <f>IFERROR(__xludf.DUMMYFUNCTION("if(counta(filter('Previous Rank'!$A$2:$A2766,'Previous Rank'!$B$2:$B2766=B837,'Previous Rank'!$C$2:$C2766=C837))=1,filter('Previous Rank'!$A$2:$A2766,'Previous Rank'!$B$2:$B2766=B837,'Previous Rank'!$C$2:$C2766=C837),"""")"),821.0)</f>
        <v>821</v>
      </c>
      <c r="H837" s="8">
        <f t="shared" si="1"/>
        <v>-15</v>
      </c>
    </row>
    <row r="838">
      <c r="A838" s="10">
        <v>837.0</v>
      </c>
      <c r="B838" s="11" t="s">
        <v>925</v>
      </c>
      <c r="C838" s="10" t="s">
        <v>22</v>
      </c>
      <c r="D838" s="10" t="s">
        <v>34</v>
      </c>
      <c r="E838" s="16"/>
      <c r="F838" s="16" t="s">
        <v>382</v>
      </c>
      <c r="G838" s="13">
        <f>IFERROR(__xludf.DUMMYFUNCTION("if(counta(filter('Previous Rank'!$A$2:$A2766,'Previous Rank'!$B$2:$B2766=B838,'Previous Rank'!$C$2:$C2766=C838))=1,filter('Previous Rank'!$A$2:$A2766,'Previous Rank'!$B$2:$B2766=B838,'Previous Rank'!$C$2:$C2766=C838),"""")"),822.0)</f>
        <v>822</v>
      </c>
      <c r="H838" s="8">
        <f t="shared" si="1"/>
        <v>-15</v>
      </c>
    </row>
    <row r="839">
      <c r="A839" s="10">
        <v>838.0</v>
      </c>
      <c r="B839" s="11" t="s">
        <v>926</v>
      </c>
      <c r="C839" s="10" t="s">
        <v>79</v>
      </c>
      <c r="D839" s="10" t="s">
        <v>9</v>
      </c>
      <c r="E839" s="15"/>
      <c r="F839" s="15" t="s">
        <v>382</v>
      </c>
      <c r="G839" s="13">
        <f>IFERROR(__xludf.DUMMYFUNCTION("if(counta(filter('Previous Rank'!$A$2:$A2766,'Previous Rank'!$B$2:$B2766=B839,'Previous Rank'!$C$2:$C2766=C839))=1,filter('Previous Rank'!$A$2:$A2766,'Previous Rank'!$B$2:$B2766=B839,'Previous Rank'!$C$2:$C2766=C839),"""")"),823.0)</f>
        <v>823</v>
      </c>
      <c r="H839" s="8">
        <f t="shared" si="1"/>
        <v>-15</v>
      </c>
    </row>
    <row r="840">
      <c r="A840" s="10">
        <v>839.0</v>
      </c>
      <c r="B840" s="11" t="s">
        <v>927</v>
      </c>
      <c r="C840" s="10" t="s">
        <v>22</v>
      </c>
      <c r="D840" s="10" t="s">
        <v>95</v>
      </c>
      <c r="E840" s="16"/>
      <c r="F840" s="16" t="s">
        <v>382</v>
      </c>
      <c r="G840" s="13">
        <f>IFERROR(__xludf.DUMMYFUNCTION("if(counta(filter('Previous Rank'!$A$2:$A2766,'Previous Rank'!$B$2:$B2766=B840,'Previous Rank'!$C$2:$C2766=C840))=1,filter('Previous Rank'!$A$2:$A2766,'Previous Rank'!$B$2:$B2766=B840,'Previous Rank'!$C$2:$C2766=C840),"""")"),824.0)</f>
        <v>824</v>
      </c>
      <c r="H840" s="8">
        <f t="shared" si="1"/>
        <v>-15</v>
      </c>
    </row>
    <row r="841">
      <c r="A841" s="10">
        <v>840.0</v>
      </c>
      <c r="B841" s="11" t="s">
        <v>928</v>
      </c>
      <c r="C841" s="10" t="s">
        <v>22</v>
      </c>
      <c r="D841" s="10" t="s">
        <v>85</v>
      </c>
      <c r="E841" s="15"/>
      <c r="F841" s="15" t="s">
        <v>382</v>
      </c>
      <c r="G841" s="13">
        <f>IFERROR(__xludf.DUMMYFUNCTION("if(counta(filter('Previous Rank'!$A$2:$A2766,'Previous Rank'!$B$2:$B2766=B841,'Previous Rank'!$C$2:$C2766=C841))=1,filter('Previous Rank'!$A$2:$A2766,'Previous Rank'!$B$2:$B2766=B841,'Previous Rank'!$C$2:$C2766=C841),"""")"),825.0)</f>
        <v>825</v>
      </c>
      <c r="H841" s="8">
        <f t="shared" si="1"/>
        <v>-15</v>
      </c>
    </row>
    <row r="842">
      <c r="A842" s="10">
        <v>841.0</v>
      </c>
      <c r="B842" s="11" t="s">
        <v>929</v>
      </c>
      <c r="C842" s="10" t="s">
        <v>22</v>
      </c>
      <c r="D842" s="10" t="s">
        <v>12</v>
      </c>
      <c r="E842" s="16"/>
      <c r="F842" s="16" t="s">
        <v>382</v>
      </c>
      <c r="G842" s="13">
        <f>IFERROR(__xludf.DUMMYFUNCTION("if(counta(filter('Previous Rank'!$A$2:$A2766,'Previous Rank'!$B$2:$B2766=B842,'Previous Rank'!$C$2:$C2766=C842))=1,filter('Previous Rank'!$A$2:$A2766,'Previous Rank'!$B$2:$B2766=B842,'Previous Rank'!$C$2:$C2766=C842),"""")"),826.0)</f>
        <v>826</v>
      </c>
      <c r="H842" s="8">
        <f t="shared" si="1"/>
        <v>-15</v>
      </c>
    </row>
    <row r="843">
      <c r="A843" s="10">
        <v>842.0</v>
      </c>
      <c r="B843" s="11" t="s">
        <v>930</v>
      </c>
      <c r="C843" s="10" t="s">
        <v>22</v>
      </c>
      <c r="D843" s="10" t="s">
        <v>67</v>
      </c>
      <c r="E843" s="15"/>
      <c r="F843" s="15" t="s">
        <v>382</v>
      </c>
      <c r="G843" s="13">
        <f>IFERROR(__xludf.DUMMYFUNCTION("if(counta(filter('Previous Rank'!$A$2:$A2766,'Previous Rank'!$B$2:$B2766=B843,'Previous Rank'!$C$2:$C2766=C843))=1,filter('Previous Rank'!$A$2:$A2766,'Previous Rank'!$B$2:$B2766=B843,'Previous Rank'!$C$2:$C2766=C843),"""")"),827.0)</f>
        <v>827</v>
      </c>
      <c r="H843" s="8">
        <f t="shared" si="1"/>
        <v>-15</v>
      </c>
    </row>
    <row r="844">
      <c r="A844" s="10">
        <v>843.0</v>
      </c>
      <c r="B844" s="11" t="s">
        <v>931</v>
      </c>
      <c r="C844" s="10" t="s">
        <v>22</v>
      </c>
      <c r="D844" s="10" t="s">
        <v>140</v>
      </c>
      <c r="E844" s="16"/>
      <c r="F844" s="16" t="s">
        <v>382</v>
      </c>
      <c r="G844" s="13">
        <f>IFERROR(__xludf.DUMMYFUNCTION("if(counta(filter('Previous Rank'!$A$2:$A2766,'Previous Rank'!$B$2:$B2766=B844,'Previous Rank'!$C$2:$C2766=C844))=1,filter('Previous Rank'!$A$2:$A2766,'Previous Rank'!$B$2:$B2766=B844,'Previous Rank'!$C$2:$C2766=C844),"""")"),828.0)</f>
        <v>828</v>
      </c>
      <c r="H844" s="8">
        <f t="shared" si="1"/>
        <v>-15</v>
      </c>
    </row>
    <row r="845">
      <c r="A845" s="10">
        <v>844.0</v>
      </c>
      <c r="B845" s="11" t="s">
        <v>932</v>
      </c>
      <c r="C845" s="10" t="s">
        <v>22</v>
      </c>
      <c r="D845" s="10" t="s">
        <v>25</v>
      </c>
      <c r="E845" s="15"/>
      <c r="F845" s="15" t="s">
        <v>382</v>
      </c>
      <c r="G845" s="13">
        <f>IFERROR(__xludf.DUMMYFUNCTION("if(counta(filter('Previous Rank'!$A$2:$A2766,'Previous Rank'!$B$2:$B2766=B845,'Previous Rank'!$C$2:$C2766=C845))=1,filter('Previous Rank'!$A$2:$A2766,'Previous Rank'!$B$2:$B2766=B845,'Previous Rank'!$C$2:$C2766=C845),"""")"),829.0)</f>
        <v>829</v>
      </c>
      <c r="H845" s="8">
        <f t="shared" si="1"/>
        <v>-15</v>
      </c>
    </row>
    <row r="846">
      <c r="A846" s="10">
        <v>845.0</v>
      </c>
      <c r="B846" s="11" t="s">
        <v>933</v>
      </c>
      <c r="C846" s="10" t="s">
        <v>79</v>
      </c>
      <c r="D846" s="10" t="s">
        <v>140</v>
      </c>
      <c r="E846" s="16"/>
      <c r="F846" s="16" t="s">
        <v>382</v>
      </c>
      <c r="G846" s="13">
        <f>IFERROR(__xludf.DUMMYFUNCTION("if(counta(filter('Previous Rank'!$A$2:$A2766,'Previous Rank'!$B$2:$B2766=B846,'Previous Rank'!$C$2:$C2766=C846))=1,filter('Previous Rank'!$A$2:$A2766,'Previous Rank'!$B$2:$B2766=B846,'Previous Rank'!$C$2:$C2766=C846),"""")"),830.0)</f>
        <v>830</v>
      </c>
      <c r="H846" s="8">
        <f t="shared" si="1"/>
        <v>-15</v>
      </c>
    </row>
    <row r="847">
      <c r="A847" s="10">
        <v>846.0</v>
      </c>
      <c r="B847" s="11" t="s">
        <v>934</v>
      </c>
      <c r="C847" s="10" t="s">
        <v>22</v>
      </c>
      <c r="D847" s="10" t="s">
        <v>206</v>
      </c>
      <c r="E847" s="15"/>
      <c r="F847" s="15" t="s">
        <v>382</v>
      </c>
      <c r="G847" s="13">
        <f>IFERROR(__xludf.DUMMYFUNCTION("if(counta(filter('Previous Rank'!$A$2:$A2766,'Previous Rank'!$B$2:$B2766=B847,'Previous Rank'!$C$2:$C2766=C847))=1,filter('Previous Rank'!$A$2:$A2766,'Previous Rank'!$B$2:$B2766=B847,'Previous Rank'!$C$2:$C2766=C847),"""")"),831.0)</f>
        <v>831</v>
      </c>
      <c r="H847" s="8">
        <f t="shared" si="1"/>
        <v>-15</v>
      </c>
    </row>
    <row r="848">
      <c r="A848" s="10">
        <v>847.0</v>
      </c>
      <c r="B848" s="11" t="s">
        <v>935</v>
      </c>
      <c r="C848" s="10" t="s">
        <v>79</v>
      </c>
      <c r="D848" s="10" t="s">
        <v>46</v>
      </c>
      <c r="E848" s="16"/>
      <c r="F848" s="16" t="s">
        <v>382</v>
      </c>
      <c r="G848" s="13">
        <f>IFERROR(__xludf.DUMMYFUNCTION("if(counta(filter('Previous Rank'!$A$2:$A2766,'Previous Rank'!$B$2:$B2766=B848,'Previous Rank'!$C$2:$C2766=C848))=1,filter('Previous Rank'!$A$2:$A2766,'Previous Rank'!$B$2:$B2766=B848,'Previous Rank'!$C$2:$C2766=C848),"""")"),832.0)</f>
        <v>832</v>
      </c>
      <c r="H848" s="8">
        <f t="shared" si="1"/>
        <v>-15</v>
      </c>
    </row>
    <row r="849">
      <c r="A849" s="10">
        <v>848.0</v>
      </c>
      <c r="B849" s="11" t="s">
        <v>936</v>
      </c>
      <c r="C849" s="10" t="s">
        <v>22</v>
      </c>
      <c r="D849" s="10" t="s">
        <v>52</v>
      </c>
      <c r="E849" s="15"/>
      <c r="F849" s="15" t="s">
        <v>382</v>
      </c>
      <c r="G849" s="13">
        <f>IFERROR(__xludf.DUMMYFUNCTION("if(counta(filter('Previous Rank'!$A$2:$A2766,'Previous Rank'!$B$2:$B2766=B849,'Previous Rank'!$C$2:$C2766=C849))=1,filter('Previous Rank'!$A$2:$A2766,'Previous Rank'!$B$2:$B2766=B849,'Previous Rank'!$C$2:$C2766=C849),"""")"),833.0)</f>
        <v>833</v>
      </c>
      <c r="H849" s="8">
        <f t="shared" si="1"/>
        <v>-15</v>
      </c>
    </row>
    <row r="850">
      <c r="A850" s="10">
        <v>849.0</v>
      </c>
      <c r="B850" s="11" t="s">
        <v>937</v>
      </c>
      <c r="C850" s="10" t="s">
        <v>79</v>
      </c>
      <c r="D850" s="10" t="s">
        <v>137</v>
      </c>
      <c r="E850" s="16"/>
      <c r="F850" s="16" t="s">
        <v>382</v>
      </c>
      <c r="G850" s="13">
        <f>IFERROR(__xludf.DUMMYFUNCTION("if(counta(filter('Previous Rank'!$A$2:$A2766,'Previous Rank'!$B$2:$B2766=B850,'Previous Rank'!$C$2:$C2766=C850))=1,filter('Previous Rank'!$A$2:$A2766,'Previous Rank'!$B$2:$B2766=B850,'Previous Rank'!$C$2:$C2766=C850),"""")"),834.0)</f>
        <v>834</v>
      </c>
      <c r="H850" s="8">
        <f t="shared" si="1"/>
        <v>-15</v>
      </c>
    </row>
    <row r="851">
      <c r="A851" s="10">
        <v>850.0</v>
      </c>
      <c r="B851" s="11" t="s">
        <v>938</v>
      </c>
      <c r="C851" s="10" t="s">
        <v>22</v>
      </c>
      <c r="D851" s="10" t="s">
        <v>9</v>
      </c>
      <c r="E851" s="15"/>
      <c r="F851" s="15"/>
      <c r="G851" s="13">
        <f>IFERROR(__xludf.DUMMYFUNCTION("if(counta(filter('Previous Rank'!$A$2:$A2766,'Previous Rank'!$B$2:$B2766=B851,'Previous Rank'!$C$2:$C2766=C851))=1,filter('Previous Rank'!$A$2:$A2766,'Previous Rank'!$B$2:$B2766=B851,'Previous Rank'!$C$2:$C2766=C851),"""")"),835.0)</f>
        <v>835</v>
      </c>
      <c r="H851" s="8">
        <f t="shared" si="1"/>
        <v>-15</v>
      </c>
    </row>
    <row r="852">
      <c r="A852" s="10">
        <v>851.0</v>
      </c>
      <c r="B852" s="11" t="s">
        <v>939</v>
      </c>
      <c r="C852" s="10" t="s">
        <v>22</v>
      </c>
      <c r="D852" s="10" t="s">
        <v>49</v>
      </c>
      <c r="E852" s="16"/>
      <c r="F852" s="16" t="s">
        <v>382</v>
      </c>
      <c r="G852" s="13">
        <f>IFERROR(__xludf.DUMMYFUNCTION("if(counta(filter('Previous Rank'!$A$2:$A2766,'Previous Rank'!$B$2:$B2766=B852,'Previous Rank'!$C$2:$C2766=C852))=1,filter('Previous Rank'!$A$2:$A2766,'Previous Rank'!$B$2:$B2766=B852,'Previous Rank'!$C$2:$C2766=C852),"""")"),836.0)</f>
        <v>836</v>
      </c>
      <c r="H852" s="8">
        <f t="shared" si="1"/>
        <v>-15</v>
      </c>
    </row>
    <row r="853">
      <c r="A853" s="10">
        <v>852.0</v>
      </c>
      <c r="B853" s="11" t="s">
        <v>940</v>
      </c>
      <c r="C853" s="10" t="s">
        <v>22</v>
      </c>
      <c r="D853" s="10" t="s">
        <v>25</v>
      </c>
      <c r="E853" s="15"/>
      <c r="F853" s="15" t="s">
        <v>382</v>
      </c>
      <c r="G853" s="13">
        <f>IFERROR(__xludf.DUMMYFUNCTION("if(counta(filter('Previous Rank'!$A$2:$A2766,'Previous Rank'!$B$2:$B2766=B853,'Previous Rank'!$C$2:$C2766=C853))=1,filter('Previous Rank'!$A$2:$A2766,'Previous Rank'!$B$2:$B2766=B853,'Previous Rank'!$C$2:$C2766=C853),"""")"),837.0)</f>
        <v>837</v>
      </c>
      <c r="H853" s="8">
        <f t="shared" si="1"/>
        <v>-15</v>
      </c>
    </row>
    <row r="854">
      <c r="A854" s="10">
        <v>853.0</v>
      </c>
      <c r="B854" s="11" t="s">
        <v>941</v>
      </c>
      <c r="C854" s="10" t="s">
        <v>79</v>
      </c>
      <c r="D854" s="10" t="s">
        <v>36</v>
      </c>
      <c r="E854" s="16"/>
      <c r="F854" s="16" t="s">
        <v>382</v>
      </c>
      <c r="G854" s="13">
        <f>IFERROR(__xludf.DUMMYFUNCTION("if(counta(filter('Previous Rank'!$A$2:$A2766,'Previous Rank'!$B$2:$B2766=B854,'Previous Rank'!$C$2:$C2766=C854))=1,filter('Previous Rank'!$A$2:$A2766,'Previous Rank'!$B$2:$B2766=B854,'Previous Rank'!$C$2:$C2766=C854),"""")"),838.0)</f>
        <v>838</v>
      </c>
      <c r="H854" s="8">
        <f t="shared" si="1"/>
        <v>-15</v>
      </c>
    </row>
    <row r="855">
      <c r="A855" s="10">
        <v>854.0</v>
      </c>
      <c r="B855" s="11" t="s">
        <v>942</v>
      </c>
      <c r="C855" s="10" t="s">
        <v>22</v>
      </c>
      <c r="D855" s="10" t="s">
        <v>73</v>
      </c>
      <c r="E855" s="15">
        <v>243.9</v>
      </c>
      <c r="F855" s="15">
        <v>1.2</v>
      </c>
      <c r="G855" s="13">
        <f>IFERROR(__xludf.DUMMYFUNCTION("if(counta(filter('Previous Rank'!$A$2:$A2766,'Previous Rank'!$B$2:$B2766=B855,'Previous Rank'!$C$2:$C2766=C855))=1,filter('Previous Rank'!$A$2:$A2766,'Previous Rank'!$B$2:$B2766=B855,'Previous Rank'!$C$2:$C2766=C855),"""")"),839.0)</f>
        <v>839</v>
      </c>
      <c r="H855" s="8">
        <f t="shared" si="1"/>
        <v>-15</v>
      </c>
    </row>
    <row r="856">
      <c r="A856" s="10">
        <v>855.0</v>
      </c>
      <c r="B856" s="11" t="s">
        <v>943</v>
      </c>
      <c r="C856" s="10" t="s">
        <v>79</v>
      </c>
      <c r="D856" s="10" t="s">
        <v>113</v>
      </c>
      <c r="E856" s="16"/>
      <c r="F856" s="16" t="s">
        <v>382</v>
      </c>
      <c r="G856" s="13">
        <f>IFERROR(__xludf.DUMMYFUNCTION("if(counta(filter('Previous Rank'!$A$2:$A2766,'Previous Rank'!$B$2:$B2766=B856,'Previous Rank'!$C$2:$C2766=C856))=1,filter('Previous Rank'!$A$2:$A2766,'Previous Rank'!$B$2:$B2766=B856,'Previous Rank'!$C$2:$C2766=C856),"""")"),840.0)</f>
        <v>840</v>
      </c>
      <c r="H856" s="8">
        <f t="shared" si="1"/>
        <v>-15</v>
      </c>
    </row>
    <row r="857">
      <c r="A857" s="10">
        <v>856.0</v>
      </c>
      <c r="B857" s="11" t="s">
        <v>944</v>
      </c>
      <c r="C857" s="10" t="s">
        <v>22</v>
      </c>
      <c r="D857" s="10" t="s">
        <v>27</v>
      </c>
      <c r="E857" s="15"/>
      <c r="F857" s="15" t="s">
        <v>382</v>
      </c>
      <c r="G857" s="13">
        <f>IFERROR(__xludf.DUMMYFUNCTION("if(counta(filter('Previous Rank'!$A$2:$A2766,'Previous Rank'!$B$2:$B2766=B857,'Previous Rank'!$C$2:$C2766=C857))=1,filter('Previous Rank'!$A$2:$A2766,'Previous Rank'!$B$2:$B2766=B857,'Previous Rank'!$C$2:$C2766=C857),"""")"),841.0)</f>
        <v>841</v>
      </c>
      <c r="H857" s="8">
        <f t="shared" si="1"/>
        <v>-15</v>
      </c>
    </row>
    <row r="858">
      <c r="A858" s="10">
        <v>857.0</v>
      </c>
      <c r="B858" s="11" t="s">
        <v>945</v>
      </c>
      <c r="C858" s="10" t="s">
        <v>22</v>
      </c>
      <c r="D858" s="10" t="s">
        <v>99</v>
      </c>
      <c r="E858" s="16"/>
      <c r="F858" s="16" t="s">
        <v>382</v>
      </c>
      <c r="G858" s="13">
        <f>IFERROR(__xludf.DUMMYFUNCTION("if(counta(filter('Previous Rank'!$A$2:$A2766,'Previous Rank'!$B$2:$B2766=B858,'Previous Rank'!$C$2:$C2766=C858))=1,filter('Previous Rank'!$A$2:$A2766,'Previous Rank'!$B$2:$B2766=B858,'Previous Rank'!$C$2:$C2766=C858),"""")"),842.0)</f>
        <v>842</v>
      </c>
      <c r="H858" s="8">
        <f t="shared" si="1"/>
        <v>-15</v>
      </c>
    </row>
    <row r="859">
      <c r="A859" s="10">
        <v>858.0</v>
      </c>
      <c r="B859" s="11" t="s">
        <v>946</v>
      </c>
      <c r="C859" s="10" t="s">
        <v>22</v>
      </c>
      <c r="D859" s="10" t="s">
        <v>12</v>
      </c>
      <c r="E859" s="15"/>
      <c r="F859" s="15" t="s">
        <v>382</v>
      </c>
      <c r="G859" s="13">
        <f>IFERROR(__xludf.DUMMYFUNCTION("if(counta(filter('Previous Rank'!$A$2:$A2766,'Previous Rank'!$B$2:$B2766=B859,'Previous Rank'!$C$2:$C2766=C859))=1,filter('Previous Rank'!$A$2:$A2766,'Previous Rank'!$B$2:$B2766=B859,'Previous Rank'!$C$2:$C2766=C859),"""")"),843.0)</f>
        <v>843</v>
      </c>
      <c r="H859" s="8">
        <f t="shared" si="1"/>
        <v>-15</v>
      </c>
    </row>
    <row r="860">
      <c r="A860" s="10">
        <v>859.0</v>
      </c>
      <c r="B860" s="11" t="s">
        <v>947</v>
      </c>
      <c r="C860" s="10" t="s">
        <v>79</v>
      </c>
      <c r="D860" s="10" t="s">
        <v>49</v>
      </c>
      <c r="E860" s="16"/>
      <c r="F860" s="16" t="s">
        <v>382</v>
      </c>
      <c r="G860" s="13">
        <f>IFERROR(__xludf.DUMMYFUNCTION("if(counta(filter('Previous Rank'!$A$2:$A2766,'Previous Rank'!$B$2:$B2766=B860,'Previous Rank'!$C$2:$C2766=C860))=1,filter('Previous Rank'!$A$2:$A2766,'Previous Rank'!$B$2:$B2766=B860,'Previous Rank'!$C$2:$C2766=C860),"""")"),844.0)</f>
        <v>844</v>
      </c>
      <c r="H860" s="8">
        <f t="shared" si="1"/>
        <v>-15</v>
      </c>
    </row>
    <row r="861">
      <c r="A861" s="10">
        <v>860.0</v>
      </c>
      <c r="B861" s="11" t="s">
        <v>948</v>
      </c>
      <c r="C861" s="10" t="s">
        <v>22</v>
      </c>
      <c r="D861" s="10" t="s">
        <v>113</v>
      </c>
      <c r="E861" s="15"/>
      <c r="F861" s="15" t="s">
        <v>382</v>
      </c>
      <c r="G861" s="13">
        <f>IFERROR(__xludf.DUMMYFUNCTION("if(counta(filter('Previous Rank'!$A$2:$A2766,'Previous Rank'!$B$2:$B2766=B861,'Previous Rank'!$C$2:$C2766=C861))=1,filter('Previous Rank'!$A$2:$A2766,'Previous Rank'!$B$2:$B2766=B861,'Previous Rank'!$C$2:$C2766=C861),"""")"),845.0)</f>
        <v>845</v>
      </c>
      <c r="H861" s="8">
        <f t="shared" si="1"/>
        <v>-15</v>
      </c>
    </row>
    <row r="862">
      <c r="A862" s="10">
        <v>861.0</v>
      </c>
      <c r="B862" s="11" t="s">
        <v>949</v>
      </c>
      <c r="C862" s="10" t="s">
        <v>79</v>
      </c>
      <c r="D862" s="10" t="s">
        <v>67</v>
      </c>
      <c r="E862" s="16"/>
      <c r="F862" s="16" t="s">
        <v>382</v>
      </c>
      <c r="G862" s="13">
        <f>IFERROR(__xludf.DUMMYFUNCTION("if(counta(filter('Previous Rank'!$A$2:$A2766,'Previous Rank'!$B$2:$B2766=B862,'Previous Rank'!$C$2:$C2766=C862))=1,filter('Previous Rank'!$A$2:$A2766,'Previous Rank'!$B$2:$B2766=B862,'Previous Rank'!$C$2:$C2766=C862),"""")"),846.0)</f>
        <v>846</v>
      </c>
      <c r="H862" s="8">
        <f t="shared" si="1"/>
        <v>-15</v>
      </c>
    </row>
    <row r="863">
      <c r="A863" s="10">
        <v>862.0</v>
      </c>
      <c r="B863" s="11" t="s">
        <v>950</v>
      </c>
      <c r="C863" s="10" t="s">
        <v>79</v>
      </c>
      <c r="D863" s="10" t="s">
        <v>52</v>
      </c>
      <c r="E863" s="15"/>
      <c r="F863" s="15" t="s">
        <v>382</v>
      </c>
      <c r="G863" s="13">
        <f>IFERROR(__xludf.DUMMYFUNCTION("if(counta(filter('Previous Rank'!$A$2:$A2766,'Previous Rank'!$B$2:$B2766=B863,'Previous Rank'!$C$2:$C2766=C863))=1,filter('Previous Rank'!$A$2:$A2766,'Previous Rank'!$B$2:$B2766=B863,'Previous Rank'!$C$2:$C2766=C863),"""")"),847.0)</f>
        <v>847</v>
      </c>
      <c r="H863" s="8">
        <f t="shared" si="1"/>
        <v>-15</v>
      </c>
    </row>
    <row r="864">
      <c r="A864" s="10">
        <v>863.0</v>
      </c>
      <c r="B864" s="11" t="s">
        <v>951</v>
      </c>
      <c r="C864" s="10" t="s">
        <v>22</v>
      </c>
      <c r="D864" s="10" t="s">
        <v>113</v>
      </c>
      <c r="E864" s="16"/>
      <c r="F864" s="16" t="s">
        <v>382</v>
      </c>
      <c r="G864" s="13">
        <f>IFERROR(__xludf.DUMMYFUNCTION("if(counta(filter('Previous Rank'!$A$2:$A2766,'Previous Rank'!$B$2:$B2766=B864,'Previous Rank'!$C$2:$C2766=C864))=1,filter('Previous Rank'!$A$2:$A2766,'Previous Rank'!$B$2:$B2766=B864,'Previous Rank'!$C$2:$C2766=C864),"""")"),848.0)</f>
        <v>848</v>
      </c>
      <c r="H864" s="8">
        <f t="shared" si="1"/>
        <v>-15</v>
      </c>
    </row>
    <row r="865">
      <c r="A865" s="10">
        <v>864.0</v>
      </c>
      <c r="B865" s="11" t="s">
        <v>952</v>
      </c>
      <c r="C865" s="10" t="s">
        <v>22</v>
      </c>
      <c r="D865" s="10" t="s">
        <v>15</v>
      </c>
      <c r="E865" s="15"/>
      <c r="F865" s="15" t="s">
        <v>382</v>
      </c>
      <c r="G865" s="13">
        <f>IFERROR(__xludf.DUMMYFUNCTION("if(counta(filter('Previous Rank'!$A$2:$A2766,'Previous Rank'!$B$2:$B2766=B865,'Previous Rank'!$C$2:$C2766=C865))=1,filter('Previous Rank'!$A$2:$A2766,'Previous Rank'!$B$2:$B2766=B865,'Previous Rank'!$C$2:$C2766=C865),"""")"),849.0)</f>
        <v>849</v>
      </c>
      <c r="H865" s="8">
        <f t="shared" si="1"/>
        <v>-15</v>
      </c>
    </row>
    <row r="866">
      <c r="A866" s="10">
        <v>865.0</v>
      </c>
      <c r="B866" s="11" t="s">
        <v>953</v>
      </c>
      <c r="C866" s="10" t="s">
        <v>22</v>
      </c>
      <c r="D866" s="10" t="s">
        <v>9</v>
      </c>
      <c r="E866" s="16"/>
      <c r="F866" s="16" t="s">
        <v>382</v>
      </c>
      <c r="G866" s="13">
        <f>IFERROR(__xludf.DUMMYFUNCTION("if(counta(filter('Previous Rank'!$A$2:$A2766,'Previous Rank'!$B$2:$B2766=B866,'Previous Rank'!$C$2:$C2766=C866))=1,filter('Previous Rank'!$A$2:$A2766,'Previous Rank'!$B$2:$B2766=B866,'Previous Rank'!$C$2:$C2766=C866),"""")"),850.0)</f>
        <v>850</v>
      </c>
      <c r="H866" s="8">
        <f t="shared" si="1"/>
        <v>-15</v>
      </c>
    </row>
    <row r="867">
      <c r="A867" s="10">
        <v>866.0</v>
      </c>
      <c r="B867" s="11" t="s">
        <v>954</v>
      </c>
      <c r="C867" s="10" t="s">
        <v>22</v>
      </c>
      <c r="D867" s="10" t="s">
        <v>85</v>
      </c>
      <c r="E867" s="15"/>
      <c r="F867" s="15" t="s">
        <v>382</v>
      </c>
      <c r="G867" s="13">
        <f>IFERROR(__xludf.DUMMYFUNCTION("if(counta(filter('Previous Rank'!$A$2:$A2766,'Previous Rank'!$B$2:$B2766=B867,'Previous Rank'!$C$2:$C2766=C867))=1,filter('Previous Rank'!$A$2:$A2766,'Previous Rank'!$B$2:$B2766=B867,'Previous Rank'!$C$2:$C2766=C867),"""")"),851.0)</f>
        <v>851</v>
      </c>
      <c r="H867" s="8">
        <f t="shared" si="1"/>
        <v>-15</v>
      </c>
    </row>
    <row r="868">
      <c r="A868" s="10">
        <v>867.0</v>
      </c>
      <c r="B868" s="11" t="s">
        <v>955</v>
      </c>
      <c r="C868" s="10" t="s">
        <v>22</v>
      </c>
      <c r="D868" s="10" t="s">
        <v>105</v>
      </c>
      <c r="E868" s="16"/>
      <c r="F868" s="16" t="s">
        <v>382</v>
      </c>
      <c r="G868" s="13">
        <f>IFERROR(__xludf.DUMMYFUNCTION("if(counta(filter('Previous Rank'!$A$2:$A2766,'Previous Rank'!$B$2:$B2766=B868,'Previous Rank'!$C$2:$C2766=C868))=1,filter('Previous Rank'!$A$2:$A2766,'Previous Rank'!$B$2:$B2766=B868,'Previous Rank'!$C$2:$C2766=C868),"""")"),852.0)</f>
        <v>852</v>
      </c>
      <c r="H868" s="8">
        <f t="shared" si="1"/>
        <v>-15</v>
      </c>
    </row>
    <row r="869">
      <c r="A869" s="10">
        <v>868.0</v>
      </c>
      <c r="B869" s="11" t="s">
        <v>956</v>
      </c>
      <c r="C869" s="10" t="s">
        <v>22</v>
      </c>
      <c r="D869" s="10" t="s">
        <v>31</v>
      </c>
      <c r="E869" s="15"/>
      <c r="F869" s="15" t="s">
        <v>382</v>
      </c>
      <c r="G869" s="13">
        <f>IFERROR(__xludf.DUMMYFUNCTION("if(counta(filter('Previous Rank'!$A$2:$A2766,'Previous Rank'!$B$2:$B2766=B869,'Previous Rank'!$C$2:$C2766=C869))=1,filter('Previous Rank'!$A$2:$A2766,'Previous Rank'!$B$2:$B2766=B869,'Previous Rank'!$C$2:$C2766=C869),"""")"),853.0)</f>
        <v>853</v>
      </c>
      <c r="H869" s="8">
        <f t="shared" si="1"/>
        <v>-15</v>
      </c>
    </row>
    <row r="870">
      <c r="A870" s="10">
        <v>869.0</v>
      </c>
      <c r="B870" s="11" t="s">
        <v>957</v>
      </c>
      <c r="C870" s="10" t="s">
        <v>22</v>
      </c>
      <c r="D870" s="10" t="s">
        <v>129</v>
      </c>
      <c r="E870" s="16"/>
      <c r="F870" s="16" t="s">
        <v>382</v>
      </c>
      <c r="G870" s="13">
        <f>IFERROR(__xludf.DUMMYFUNCTION("if(counta(filter('Previous Rank'!$A$2:$A2766,'Previous Rank'!$B$2:$B2766=B870,'Previous Rank'!$C$2:$C2766=C870))=1,filter('Previous Rank'!$A$2:$A2766,'Previous Rank'!$B$2:$B2766=B870,'Previous Rank'!$C$2:$C2766=C870),"""")"),854.0)</f>
        <v>854</v>
      </c>
      <c r="H870" s="8">
        <f t="shared" si="1"/>
        <v>-15</v>
      </c>
    </row>
    <row r="871">
      <c r="A871" s="10">
        <v>870.0</v>
      </c>
      <c r="B871" s="11" t="s">
        <v>958</v>
      </c>
      <c r="C871" s="10" t="s">
        <v>22</v>
      </c>
      <c r="D871" s="10" t="s">
        <v>90</v>
      </c>
      <c r="E871" s="15"/>
      <c r="F871" s="15" t="s">
        <v>382</v>
      </c>
      <c r="G871" s="13">
        <f>IFERROR(__xludf.DUMMYFUNCTION("if(counta(filter('Previous Rank'!$A$2:$A2766,'Previous Rank'!$B$2:$B2766=B871,'Previous Rank'!$C$2:$C2766=C871))=1,filter('Previous Rank'!$A$2:$A2766,'Previous Rank'!$B$2:$B2766=B871,'Previous Rank'!$C$2:$C2766=C871),"""")"),855.0)</f>
        <v>855</v>
      </c>
      <c r="H871" s="8">
        <f t="shared" si="1"/>
        <v>-15</v>
      </c>
    </row>
    <row r="872">
      <c r="A872" s="10">
        <v>871.0</v>
      </c>
      <c r="B872" s="11" t="s">
        <v>959</v>
      </c>
      <c r="C872" s="10" t="s">
        <v>22</v>
      </c>
      <c r="D872" s="10" t="s">
        <v>27</v>
      </c>
      <c r="E872" s="16"/>
      <c r="F872" s="16" t="s">
        <v>382</v>
      </c>
      <c r="G872" s="13">
        <f>IFERROR(__xludf.DUMMYFUNCTION("if(counta(filter('Previous Rank'!$A$2:$A2766,'Previous Rank'!$B$2:$B2766=B872,'Previous Rank'!$C$2:$C2766=C872))=1,filter('Previous Rank'!$A$2:$A2766,'Previous Rank'!$B$2:$B2766=B872,'Previous Rank'!$C$2:$C2766=C872),"""")"),856.0)</f>
        <v>856</v>
      </c>
      <c r="H872" s="8">
        <f t="shared" si="1"/>
        <v>-15</v>
      </c>
    </row>
    <row r="873">
      <c r="A873" s="10">
        <v>872.0</v>
      </c>
      <c r="B873" s="11" t="s">
        <v>960</v>
      </c>
      <c r="C873" s="10" t="s">
        <v>79</v>
      </c>
      <c r="D873" s="10" t="s">
        <v>99</v>
      </c>
      <c r="E873" s="15"/>
      <c r="F873" s="15" t="s">
        <v>382</v>
      </c>
      <c r="G873" s="13">
        <f>IFERROR(__xludf.DUMMYFUNCTION("if(counta(filter('Previous Rank'!$A$2:$A2766,'Previous Rank'!$B$2:$B2766=B873,'Previous Rank'!$C$2:$C2766=C873))=1,filter('Previous Rank'!$A$2:$A2766,'Previous Rank'!$B$2:$B2766=B873,'Previous Rank'!$C$2:$C2766=C873),"""")"),857.0)</f>
        <v>857</v>
      </c>
      <c r="H873" s="8">
        <f t="shared" si="1"/>
        <v>-15</v>
      </c>
    </row>
    <row r="874">
      <c r="A874" s="10">
        <v>873.0</v>
      </c>
      <c r="B874" s="11" t="s">
        <v>961</v>
      </c>
      <c r="C874" s="10" t="s">
        <v>22</v>
      </c>
      <c r="D874" s="10" t="s">
        <v>36</v>
      </c>
      <c r="E874" s="16"/>
      <c r="F874" s="16" t="s">
        <v>382</v>
      </c>
      <c r="G874" s="13">
        <f>IFERROR(__xludf.DUMMYFUNCTION("if(counta(filter('Previous Rank'!$A$2:$A2766,'Previous Rank'!$B$2:$B2766=B874,'Previous Rank'!$C$2:$C2766=C874))=1,filter('Previous Rank'!$A$2:$A2766,'Previous Rank'!$B$2:$B2766=B874,'Previous Rank'!$C$2:$C2766=C874),"""")"),858.0)</f>
        <v>858</v>
      </c>
      <c r="H874" s="8">
        <f t="shared" si="1"/>
        <v>-15</v>
      </c>
    </row>
    <row r="875">
      <c r="A875" s="10">
        <v>874.0</v>
      </c>
      <c r="B875" s="11" t="s">
        <v>962</v>
      </c>
      <c r="C875" s="10" t="s">
        <v>79</v>
      </c>
      <c r="D875" s="10" t="s">
        <v>90</v>
      </c>
      <c r="E875" s="15"/>
      <c r="F875" s="15" t="s">
        <v>382</v>
      </c>
      <c r="G875" s="13">
        <f>IFERROR(__xludf.DUMMYFUNCTION("if(counta(filter('Previous Rank'!$A$2:$A2766,'Previous Rank'!$B$2:$B2766=B875,'Previous Rank'!$C$2:$C2766=C875))=1,filter('Previous Rank'!$A$2:$A2766,'Previous Rank'!$B$2:$B2766=B875,'Previous Rank'!$C$2:$C2766=C875),"""")"),859.0)</f>
        <v>859</v>
      </c>
      <c r="H875" s="8">
        <f t="shared" si="1"/>
        <v>-15</v>
      </c>
    </row>
    <row r="876">
      <c r="A876" s="10">
        <v>875.0</v>
      </c>
      <c r="B876" s="11" t="s">
        <v>963</v>
      </c>
      <c r="C876" s="10" t="s">
        <v>22</v>
      </c>
      <c r="D876" s="10" t="s">
        <v>36</v>
      </c>
      <c r="E876" s="16"/>
      <c r="F876" s="16" t="s">
        <v>382</v>
      </c>
      <c r="G876" s="13">
        <f>IFERROR(__xludf.DUMMYFUNCTION("if(counta(filter('Previous Rank'!$A$2:$A2766,'Previous Rank'!$B$2:$B2766=B876,'Previous Rank'!$C$2:$C2766=C876))=1,filter('Previous Rank'!$A$2:$A2766,'Previous Rank'!$B$2:$B2766=B876,'Previous Rank'!$C$2:$C2766=C876),"""")"),860.0)</f>
        <v>860</v>
      </c>
      <c r="H876" s="8">
        <f t="shared" si="1"/>
        <v>-15</v>
      </c>
    </row>
    <row r="877">
      <c r="A877" s="10">
        <v>876.0</v>
      </c>
      <c r="B877" s="11" t="s">
        <v>964</v>
      </c>
      <c r="C877" s="10" t="s">
        <v>22</v>
      </c>
      <c r="D877" s="10" t="s">
        <v>34</v>
      </c>
      <c r="E877" s="15"/>
      <c r="F877" s="15" t="s">
        <v>382</v>
      </c>
      <c r="G877" s="13">
        <f>IFERROR(__xludf.DUMMYFUNCTION("if(counta(filter('Previous Rank'!$A$2:$A2766,'Previous Rank'!$B$2:$B2766=B877,'Previous Rank'!$C$2:$C2766=C877))=1,filter('Previous Rank'!$A$2:$A2766,'Previous Rank'!$B$2:$B2766=B877,'Previous Rank'!$C$2:$C2766=C877),"""")"),861.0)</f>
        <v>861</v>
      </c>
      <c r="H877" s="8">
        <f t="shared" si="1"/>
        <v>-15</v>
      </c>
    </row>
    <row r="878">
      <c r="A878" s="10">
        <v>877.0</v>
      </c>
      <c r="B878" s="11" t="s">
        <v>965</v>
      </c>
      <c r="C878" s="10" t="s">
        <v>79</v>
      </c>
      <c r="D878" s="10" t="s">
        <v>18</v>
      </c>
      <c r="E878" s="16"/>
      <c r="F878" s="16" t="s">
        <v>382</v>
      </c>
      <c r="G878" s="13">
        <f>IFERROR(__xludf.DUMMYFUNCTION("if(counta(filter('Previous Rank'!$A$2:$A2766,'Previous Rank'!$B$2:$B2766=B878,'Previous Rank'!$C$2:$C2766=C878))=1,filter('Previous Rank'!$A$2:$A2766,'Previous Rank'!$B$2:$B2766=B878,'Previous Rank'!$C$2:$C2766=C878),"""")"),862.0)</f>
        <v>862</v>
      </c>
      <c r="H878" s="8">
        <f t="shared" si="1"/>
        <v>-15</v>
      </c>
    </row>
    <row r="879">
      <c r="A879" s="10">
        <v>878.0</v>
      </c>
      <c r="B879" s="11" t="s">
        <v>966</v>
      </c>
      <c r="C879" s="10" t="s">
        <v>79</v>
      </c>
      <c r="D879" s="10" t="s">
        <v>42</v>
      </c>
      <c r="E879" s="15"/>
      <c r="F879" s="15" t="s">
        <v>382</v>
      </c>
      <c r="G879" s="13">
        <f>IFERROR(__xludf.DUMMYFUNCTION("if(counta(filter('Previous Rank'!$A$2:$A2766,'Previous Rank'!$B$2:$B2766=B879,'Previous Rank'!$C$2:$C2766=C879))=1,filter('Previous Rank'!$A$2:$A2766,'Previous Rank'!$B$2:$B2766=B879,'Previous Rank'!$C$2:$C2766=C879),"""")"),863.0)</f>
        <v>863</v>
      </c>
      <c r="H879" s="8">
        <f t="shared" si="1"/>
        <v>-15</v>
      </c>
    </row>
    <row r="880">
      <c r="A880" s="10">
        <v>879.0</v>
      </c>
      <c r="B880" s="11" t="s">
        <v>967</v>
      </c>
      <c r="C880" s="10" t="s">
        <v>22</v>
      </c>
      <c r="D880" s="10" t="s">
        <v>140</v>
      </c>
      <c r="E880" s="16"/>
      <c r="F880" s="16" t="s">
        <v>382</v>
      </c>
      <c r="G880" s="13">
        <f>IFERROR(__xludf.DUMMYFUNCTION("if(counta(filter('Previous Rank'!$A$2:$A2766,'Previous Rank'!$B$2:$B2766=B880,'Previous Rank'!$C$2:$C2766=C880))=1,filter('Previous Rank'!$A$2:$A2766,'Previous Rank'!$B$2:$B2766=B880,'Previous Rank'!$C$2:$C2766=C880),"""")"),864.0)</f>
        <v>864</v>
      </c>
      <c r="H880" s="8">
        <f t="shared" si="1"/>
        <v>-15</v>
      </c>
    </row>
    <row r="881">
      <c r="A881" s="10">
        <v>880.0</v>
      </c>
      <c r="B881" s="11" t="s">
        <v>968</v>
      </c>
      <c r="C881" s="10" t="s">
        <v>22</v>
      </c>
      <c r="D881" s="10" t="s">
        <v>27</v>
      </c>
      <c r="E881" s="15"/>
      <c r="F881" s="15" t="s">
        <v>382</v>
      </c>
      <c r="G881" s="13">
        <f>IFERROR(__xludf.DUMMYFUNCTION("if(counta(filter('Previous Rank'!$A$2:$A2766,'Previous Rank'!$B$2:$B2766=B881,'Previous Rank'!$C$2:$C2766=C881))=1,filter('Previous Rank'!$A$2:$A2766,'Previous Rank'!$B$2:$B2766=B881,'Previous Rank'!$C$2:$C2766=C881),"""")"),865.0)</f>
        <v>865</v>
      </c>
      <c r="H881" s="8">
        <f t="shared" si="1"/>
        <v>-15</v>
      </c>
    </row>
    <row r="882">
      <c r="A882" s="10">
        <v>881.0</v>
      </c>
      <c r="B882" s="11" t="s">
        <v>969</v>
      </c>
      <c r="C882" s="10" t="s">
        <v>22</v>
      </c>
      <c r="D882" s="10" t="s">
        <v>9</v>
      </c>
      <c r="E882" s="16"/>
      <c r="F882" s="16" t="s">
        <v>382</v>
      </c>
      <c r="G882" s="13">
        <f>IFERROR(__xludf.DUMMYFUNCTION("if(counta(filter('Previous Rank'!$A$2:$A2766,'Previous Rank'!$B$2:$B2766=B882,'Previous Rank'!$C$2:$C2766=C882))=1,filter('Previous Rank'!$A$2:$A2766,'Previous Rank'!$B$2:$B2766=B882,'Previous Rank'!$C$2:$C2766=C882),"""")"),866.0)</f>
        <v>866</v>
      </c>
      <c r="H882" s="8">
        <f t="shared" si="1"/>
        <v>-15</v>
      </c>
    </row>
    <row r="883">
      <c r="A883" s="10">
        <v>882.0</v>
      </c>
      <c r="B883" s="11" t="s">
        <v>970</v>
      </c>
      <c r="C883" s="10" t="s">
        <v>22</v>
      </c>
      <c r="D883" s="10" t="s">
        <v>36</v>
      </c>
      <c r="E883" s="15"/>
      <c r="F883" s="15" t="s">
        <v>382</v>
      </c>
      <c r="G883" s="13">
        <f>IFERROR(__xludf.DUMMYFUNCTION("if(counta(filter('Previous Rank'!$A$2:$A2766,'Previous Rank'!$B$2:$B2766=B883,'Previous Rank'!$C$2:$C2766=C883))=1,filter('Previous Rank'!$A$2:$A2766,'Previous Rank'!$B$2:$B2766=B883,'Previous Rank'!$C$2:$C2766=C883),"""")"),867.0)</f>
        <v>867</v>
      </c>
      <c r="H883" s="8">
        <f t="shared" si="1"/>
        <v>-15</v>
      </c>
    </row>
    <row r="884">
      <c r="A884" s="10">
        <v>883.0</v>
      </c>
      <c r="B884" s="11" t="s">
        <v>971</v>
      </c>
      <c r="C884" s="10" t="s">
        <v>22</v>
      </c>
      <c r="D884" s="10" t="s">
        <v>129</v>
      </c>
      <c r="E884" s="16"/>
      <c r="F884" s="16" t="s">
        <v>382</v>
      </c>
      <c r="G884" s="13">
        <f>IFERROR(__xludf.DUMMYFUNCTION("if(counta(filter('Previous Rank'!$A$2:$A2766,'Previous Rank'!$B$2:$B2766=B884,'Previous Rank'!$C$2:$C2766=C884))=1,filter('Previous Rank'!$A$2:$A2766,'Previous Rank'!$B$2:$B2766=B884,'Previous Rank'!$C$2:$C2766=C884),"""")"),868.0)</f>
        <v>868</v>
      </c>
      <c r="H884" s="8">
        <f t="shared" si="1"/>
        <v>-15</v>
      </c>
    </row>
    <row r="885">
      <c r="A885" s="10">
        <v>884.0</v>
      </c>
      <c r="B885" s="11" t="s">
        <v>972</v>
      </c>
      <c r="C885" s="10" t="s">
        <v>79</v>
      </c>
      <c r="D885" s="10" t="s">
        <v>105</v>
      </c>
      <c r="E885" s="15"/>
      <c r="F885" s="15"/>
      <c r="G885" s="13">
        <f>IFERROR(__xludf.DUMMYFUNCTION("if(counta(filter('Previous Rank'!$A$2:$A2766,'Previous Rank'!$B$2:$B2766=B885,'Previous Rank'!$C$2:$C2766=C885))=1,filter('Previous Rank'!$A$2:$A2766,'Previous Rank'!$B$2:$B2766=B885,'Previous Rank'!$C$2:$C2766=C885),"""")"),869.0)</f>
        <v>869</v>
      </c>
      <c r="H885" s="8">
        <f t="shared" si="1"/>
        <v>-15</v>
      </c>
    </row>
    <row r="886">
      <c r="A886" s="10">
        <v>885.0</v>
      </c>
      <c r="B886" s="11" t="s">
        <v>973</v>
      </c>
      <c r="C886" s="10" t="s">
        <v>22</v>
      </c>
      <c r="D886" s="10" t="s">
        <v>34</v>
      </c>
      <c r="E886" s="16"/>
      <c r="F886" s="16" t="s">
        <v>382</v>
      </c>
      <c r="G886" s="13">
        <f>IFERROR(__xludf.DUMMYFUNCTION("if(counta(filter('Previous Rank'!$A$2:$A2766,'Previous Rank'!$B$2:$B2766=B886,'Previous Rank'!$C$2:$C2766=C886))=1,filter('Previous Rank'!$A$2:$A2766,'Previous Rank'!$B$2:$B2766=B886,'Previous Rank'!$C$2:$C2766=C886),"""")"),870.0)</f>
        <v>870</v>
      </c>
      <c r="H886" s="8">
        <f t="shared" si="1"/>
        <v>-15</v>
      </c>
    </row>
    <row r="887">
      <c r="A887" s="10">
        <v>886.0</v>
      </c>
      <c r="B887" s="11" t="s">
        <v>974</v>
      </c>
      <c r="C887" s="10" t="s">
        <v>79</v>
      </c>
      <c r="D887" s="10" t="s">
        <v>95</v>
      </c>
      <c r="E887" s="15"/>
      <c r="F887" s="15" t="s">
        <v>382</v>
      </c>
      <c r="G887" s="13">
        <f>IFERROR(__xludf.DUMMYFUNCTION("if(counta(filter('Previous Rank'!$A$2:$A2766,'Previous Rank'!$B$2:$B2766=B887,'Previous Rank'!$C$2:$C2766=C887))=1,filter('Previous Rank'!$A$2:$A2766,'Previous Rank'!$B$2:$B2766=B887,'Previous Rank'!$C$2:$C2766=C887),"""")"),871.0)</f>
        <v>871</v>
      </c>
      <c r="H887" s="8">
        <f t="shared" si="1"/>
        <v>-15</v>
      </c>
    </row>
    <row r="888">
      <c r="A888" s="10">
        <v>887.0</v>
      </c>
      <c r="B888" s="11" t="s">
        <v>975</v>
      </c>
      <c r="C888" s="10" t="s">
        <v>22</v>
      </c>
      <c r="D888" s="10" t="s">
        <v>95</v>
      </c>
      <c r="E888" s="16"/>
      <c r="F888" s="16" t="s">
        <v>382</v>
      </c>
      <c r="G888" s="13">
        <f>IFERROR(__xludf.DUMMYFUNCTION("if(counta(filter('Previous Rank'!$A$2:$A2766,'Previous Rank'!$B$2:$B2766=B888,'Previous Rank'!$C$2:$C2766=C888))=1,filter('Previous Rank'!$A$2:$A2766,'Previous Rank'!$B$2:$B2766=B888,'Previous Rank'!$C$2:$C2766=C888),"""")"),872.0)</f>
        <v>872</v>
      </c>
      <c r="H888" s="8">
        <f t="shared" si="1"/>
        <v>-15</v>
      </c>
    </row>
    <row r="889">
      <c r="A889" s="10">
        <v>888.0</v>
      </c>
      <c r="B889" s="11" t="s">
        <v>976</v>
      </c>
      <c r="C889" s="10" t="s">
        <v>22</v>
      </c>
      <c r="D889" s="10" t="s">
        <v>52</v>
      </c>
      <c r="E889" s="15"/>
      <c r="F889" s="15" t="s">
        <v>382</v>
      </c>
      <c r="G889" s="13">
        <f>IFERROR(__xludf.DUMMYFUNCTION("if(counta(filter('Previous Rank'!$A$2:$A2766,'Previous Rank'!$B$2:$B2766=B889,'Previous Rank'!$C$2:$C2766=C889))=1,filter('Previous Rank'!$A$2:$A2766,'Previous Rank'!$B$2:$B2766=B889,'Previous Rank'!$C$2:$C2766=C889),"""")"),873.0)</f>
        <v>873</v>
      </c>
      <c r="H889" s="8">
        <f t="shared" si="1"/>
        <v>-15</v>
      </c>
    </row>
    <row r="890">
      <c r="A890" s="10">
        <v>889.0</v>
      </c>
      <c r="B890" s="11" t="s">
        <v>977</v>
      </c>
      <c r="C890" s="10" t="s">
        <v>79</v>
      </c>
      <c r="D890" s="10" t="s">
        <v>120</v>
      </c>
      <c r="E890" s="16"/>
      <c r="F890" s="16" t="s">
        <v>382</v>
      </c>
      <c r="G890" s="13">
        <f>IFERROR(__xludf.DUMMYFUNCTION("if(counta(filter('Previous Rank'!$A$2:$A2766,'Previous Rank'!$B$2:$B2766=B890,'Previous Rank'!$C$2:$C2766=C890))=1,filter('Previous Rank'!$A$2:$A2766,'Previous Rank'!$B$2:$B2766=B890,'Previous Rank'!$C$2:$C2766=C890),"""")"),874.0)</f>
        <v>874</v>
      </c>
      <c r="H890" s="8">
        <f t="shared" si="1"/>
        <v>-15</v>
      </c>
    </row>
    <row r="891">
      <c r="A891" s="10">
        <v>890.0</v>
      </c>
      <c r="B891" s="11" t="s">
        <v>978</v>
      </c>
      <c r="C891" s="10" t="s">
        <v>22</v>
      </c>
      <c r="D891" s="10" t="s">
        <v>122</v>
      </c>
      <c r="E891" s="15"/>
      <c r="F891" s="15" t="s">
        <v>382</v>
      </c>
      <c r="G891" s="13">
        <f>IFERROR(__xludf.DUMMYFUNCTION("if(counta(filter('Previous Rank'!$A$2:$A2766,'Previous Rank'!$B$2:$B2766=B891,'Previous Rank'!$C$2:$C2766=C891))=1,filter('Previous Rank'!$A$2:$A2766,'Previous Rank'!$B$2:$B2766=B891,'Previous Rank'!$C$2:$C2766=C891),"""")"),875.0)</f>
        <v>875</v>
      </c>
      <c r="H891" s="8">
        <f t="shared" si="1"/>
        <v>-15</v>
      </c>
    </row>
    <row r="892">
      <c r="A892" s="10">
        <v>891.0</v>
      </c>
      <c r="B892" s="11" t="s">
        <v>979</v>
      </c>
      <c r="C892" s="10" t="s">
        <v>79</v>
      </c>
      <c r="D892" s="10" t="s">
        <v>206</v>
      </c>
      <c r="E892" s="16"/>
      <c r="F892" s="16" t="s">
        <v>382</v>
      </c>
      <c r="G892" s="13">
        <f>IFERROR(__xludf.DUMMYFUNCTION("if(counta(filter('Previous Rank'!$A$2:$A2766,'Previous Rank'!$B$2:$B2766=B892,'Previous Rank'!$C$2:$C2766=C892))=1,filter('Previous Rank'!$A$2:$A2766,'Previous Rank'!$B$2:$B2766=B892,'Previous Rank'!$C$2:$C2766=C892),"""")"),876.0)</f>
        <v>876</v>
      </c>
      <c r="H892" s="8">
        <f t="shared" si="1"/>
        <v>-15</v>
      </c>
    </row>
    <row r="893">
      <c r="A893" s="10">
        <v>892.0</v>
      </c>
      <c r="B893" s="11" t="s">
        <v>980</v>
      </c>
      <c r="C893" s="10" t="s">
        <v>22</v>
      </c>
      <c r="D893" s="10" t="s">
        <v>67</v>
      </c>
      <c r="E893" s="15"/>
      <c r="F893" s="15" t="s">
        <v>382</v>
      </c>
      <c r="G893" s="13">
        <f>IFERROR(__xludf.DUMMYFUNCTION("if(counta(filter('Previous Rank'!$A$2:$A2766,'Previous Rank'!$B$2:$B2766=B893,'Previous Rank'!$C$2:$C2766=C893))=1,filter('Previous Rank'!$A$2:$A2766,'Previous Rank'!$B$2:$B2766=B893,'Previous Rank'!$C$2:$C2766=C893),"""")"),877.0)</f>
        <v>877</v>
      </c>
      <c r="H893" s="8">
        <f t="shared" si="1"/>
        <v>-15</v>
      </c>
    </row>
    <row r="894">
      <c r="A894" s="10">
        <v>893.0</v>
      </c>
      <c r="B894" s="11" t="s">
        <v>981</v>
      </c>
      <c r="C894" s="10" t="s">
        <v>22</v>
      </c>
      <c r="D894" s="10" t="s">
        <v>82</v>
      </c>
      <c r="E894" s="16"/>
      <c r="F894" s="16" t="s">
        <v>382</v>
      </c>
      <c r="G894" s="13">
        <f>IFERROR(__xludf.DUMMYFUNCTION("if(counta(filter('Previous Rank'!$A$2:$A2766,'Previous Rank'!$B$2:$B2766=B894,'Previous Rank'!$C$2:$C2766=C894))=1,filter('Previous Rank'!$A$2:$A2766,'Previous Rank'!$B$2:$B2766=B894,'Previous Rank'!$C$2:$C2766=C894),"""")"),878.0)</f>
        <v>878</v>
      </c>
      <c r="H894" s="8">
        <f t="shared" si="1"/>
        <v>-15</v>
      </c>
    </row>
    <row r="895">
      <c r="A895" s="10">
        <v>894.0</v>
      </c>
      <c r="B895" s="11" t="s">
        <v>982</v>
      </c>
      <c r="C895" s="10" t="s">
        <v>22</v>
      </c>
      <c r="D895" s="10" t="s">
        <v>23</v>
      </c>
      <c r="E895" s="15"/>
      <c r="F895" s="15" t="s">
        <v>382</v>
      </c>
      <c r="G895" s="13">
        <f>IFERROR(__xludf.DUMMYFUNCTION("if(counta(filter('Previous Rank'!$A$2:$A2766,'Previous Rank'!$B$2:$B2766=B895,'Previous Rank'!$C$2:$C2766=C895))=1,filter('Previous Rank'!$A$2:$A2766,'Previous Rank'!$B$2:$B2766=B895,'Previous Rank'!$C$2:$C2766=C895),"""")"),879.0)</f>
        <v>879</v>
      </c>
      <c r="H895" s="8">
        <f t="shared" si="1"/>
        <v>-15</v>
      </c>
    </row>
    <row r="896">
      <c r="A896" s="10">
        <v>895.0</v>
      </c>
      <c r="B896" s="11" t="s">
        <v>983</v>
      </c>
      <c r="C896" s="10" t="s">
        <v>79</v>
      </c>
      <c r="D896" s="10" t="s">
        <v>113</v>
      </c>
      <c r="E896" s="16"/>
      <c r="F896" s="16" t="s">
        <v>382</v>
      </c>
      <c r="G896" s="13">
        <f>IFERROR(__xludf.DUMMYFUNCTION("if(counta(filter('Previous Rank'!$A$2:$A2766,'Previous Rank'!$B$2:$B2766=B896,'Previous Rank'!$C$2:$C2766=C896))=1,filter('Previous Rank'!$A$2:$A2766,'Previous Rank'!$B$2:$B2766=B896,'Previous Rank'!$C$2:$C2766=C896),"""")"),880.0)</f>
        <v>880</v>
      </c>
      <c r="H896" s="8">
        <f t="shared" si="1"/>
        <v>-15</v>
      </c>
    </row>
    <row r="897">
      <c r="A897" s="10">
        <v>896.0</v>
      </c>
      <c r="B897" s="11" t="s">
        <v>984</v>
      </c>
      <c r="C897" s="10" t="s">
        <v>22</v>
      </c>
      <c r="D897" s="10" t="s">
        <v>27</v>
      </c>
      <c r="E897" s="15"/>
      <c r="F897" s="15" t="s">
        <v>382</v>
      </c>
      <c r="G897" s="13">
        <f>IFERROR(__xludf.DUMMYFUNCTION("if(counta(filter('Previous Rank'!$A$2:$A2766,'Previous Rank'!$B$2:$B2766=B897,'Previous Rank'!$C$2:$C2766=C897))=1,filter('Previous Rank'!$A$2:$A2766,'Previous Rank'!$B$2:$B2766=B897,'Previous Rank'!$C$2:$C2766=C897),"""")"),881.0)</f>
        <v>881</v>
      </c>
      <c r="H897" s="8">
        <f t="shared" si="1"/>
        <v>-15</v>
      </c>
    </row>
    <row r="898">
      <c r="A898" s="10">
        <v>897.0</v>
      </c>
      <c r="B898" s="11" t="s">
        <v>985</v>
      </c>
      <c r="C898" s="10" t="s">
        <v>79</v>
      </c>
      <c r="D898" s="10" t="s">
        <v>71</v>
      </c>
      <c r="E898" s="16"/>
      <c r="F898" s="16" t="s">
        <v>382</v>
      </c>
      <c r="G898" s="13">
        <f>IFERROR(__xludf.DUMMYFUNCTION("if(counta(filter('Previous Rank'!$A$2:$A2766,'Previous Rank'!$B$2:$B2766=B898,'Previous Rank'!$C$2:$C2766=C898))=1,filter('Previous Rank'!$A$2:$A2766,'Previous Rank'!$B$2:$B2766=B898,'Previous Rank'!$C$2:$C2766=C898),"""")"),882.0)</f>
        <v>882</v>
      </c>
      <c r="H898" s="8">
        <f t="shared" si="1"/>
        <v>-15</v>
      </c>
    </row>
    <row r="899">
      <c r="A899" s="10">
        <v>898.0</v>
      </c>
      <c r="B899" s="11" t="s">
        <v>986</v>
      </c>
      <c r="C899" s="10" t="s">
        <v>220</v>
      </c>
      <c r="D899" s="10" t="s">
        <v>82</v>
      </c>
      <c r="E899" s="15"/>
      <c r="F899" s="15" t="s">
        <v>382</v>
      </c>
      <c r="G899" s="13">
        <f>IFERROR(__xludf.DUMMYFUNCTION("if(counta(filter('Previous Rank'!$A$2:$A2766,'Previous Rank'!$B$2:$B2766=B899,'Previous Rank'!$C$2:$C2766=C899))=1,filter('Previous Rank'!$A$2:$A2766,'Previous Rank'!$B$2:$B2766=B899,'Previous Rank'!$C$2:$C2766=C899),"""")"),883.0)</f>
        <v>883</v>
      </c>
      <c r="H899" s="8">
        <f t="shared" si="1"/>
        <v>-15</v>
      </c>
    </row>
    <row r="900">
      <c r="A900" s="10">
        <v>899.0</v>
      </c>
      <c r="B900" s="11" t="s">
        <v>987</v>
      </c>
      <c r="C900" s="10" t="s">
        <v>79</v>
      </c>
      <c r="D900" s="10" t="s">
        <v>129</v>
      </c>
      <c r="E900" s="16"/>
      <c r="F900" s="16" t="s">
        <v>382</v>
      </c>
      <c r="G900" s="13">
        <f>IFERROR(__xludf.DUMMYFUNCTION("if(counta(filter('Previous Rank'!$A$2:$A2766,'Previous Rank'!$B$2:$B2766=B900,'Previous Rank'!$C$2:$C2766=C900))=1,filter('Previous Rank'!$A$2:$A2766,'Previous Rank'!$B$2:$B2766=B900,'Previous Rank'!$C$2:$C2766=C900),"""")"),884.0)</f>
        <v>884</v>
      </c>
      <c r="H900" s="8">
        <f t="shared" si="1"/>
        <v>-15</v>
      </c>
    </row>
    <row r="901">
      <c r="A901" s="10">
        <v>900.0</v>
      </c>
      <c r="B901" s="11" t="s">
        <v>988</v>
      </c>
      <c r="C901" s="10" t="s">
        <v>79</v>
      </c>
      <c r="D901" s="10" t="s">
        <v>23</v>
      </c>
      <c r="E901" s="15"/>
      <c r="F901" s="15" t="s">
        <v>382</v>
      </c>
      <c r="G901" s="13">
        <f>IFERROR(__xludf.DUMMYFUNCTION("if(counta(filter('Previous Rank'!$A$2:$A2766,'Previous Rank'!$B$2:$B2766=B901,'Previous Rank'!$C$2:$C2766=C901))=1,filter('Previous Rank'!$A$2:$A2766,'Previous Rank'!$B$2:$B2766=B901,'Previous Rank'!$C$2:$C2766=C901),"""")"),885.0)</f>
        <v>885</v>
      </c>
      <c r="H901" s="8">
        <f t="shared" si="1"/>
        <v>-15</v>
      </c>
    </row>
    <row r="902">
      <c r="A902" s="10">
        <v>901.0</v>
      </c>
      <c r="B902" s="11" t="s">
        <v>989</v>
      </c>
      <c r="C902" s="10" t="s">
        <v>22</v>
      </c>
      <c r="D902" s="10" t="s">
        <v>18</v>
      </c>
      <c r="E902" s="16"/>
      <c r="F902" s="16" t="s">
        <v>382</v>
      </c>
      <c r="G902" s="13">
        <f>IFERROR(__xludf.DUMMYFUNCTION("if(counta(filter('Previous Rank'!$A$2:$A2766,'Previous Rank'!$B$2:$B2766=B902,'Previous Rank'!$C$2:$C2766=C902))=1,filter('Previous Rank'!$A$2:$A2766,'Previous Rank'!$B$2:$B2766=B902,'Previous Rank'!$C$2:$C2766=C902),"""")"),886.0)</f>
        <v>886</v>
      </c>
      <c r="H902" s="8">
        <f t="shared" si="1"/>
        <v>-15</v>
      </c>
    </row>
    <row r="903">
      <c r="A903" s="10">
        <v>902.0</v>
      </c>
      <c r="B903" s="11" t="s">
        <v>990</v>
      </c>
      <c r="C903" s="10" t="s">
        <v>22</v>
      </c>
      <c r="D903" s="10" t="s">
        <v>71</v>
      </c>
      <c r="E903" s="15"/>
      <c r="F903" s="15" t="s">
        <v>382</v>
      </c>
      <c r="G903" s="13">
        <f>IFERROR(__xludf.DUMMYFUNCTION("if(counta(filter('Previous Rank'!$A$2:$A2766,'Previous Rank'!$B$2:$B2766=B903,'Previous Rank'!$C$2:$C2766=C903))=1,filter('Previous Rank'!$A$2:$A2766,'Previous Rank'!$B$2:$B2766=B903,'Previous Rank'!$C$2:$C2766=C903),"""")"),887.0)</f>
        <v>887</v>
      </c>
      <c r="H903" s="8">
        <f t="shared" si="1"/>
        <v>-15</v>
      </c>
    </row>
    <row r="904">
      <c r="A904" s="10">
        <v>903.0</v>
      </c>
      <c r="B904" s="11" t="s">
        <v>991</v>
      </c>
      <c r="C904" s="10" t="s">
        <v>79</v>
      </c>
      <c r="D904" s="10" t="s">
        <v>49</v>
      </c>
      <c r="E904" s="16"/>
      <c r="F904" s="16" t="s">
        <v>382</v>
      </c>
      <c r="G904" s="13">
        <f>IFERROR(__xludf.DUMMYFUNCTION("if(counta(filter('Previous Rank'!$A$2:$A2766,'Previous Rank'!$B$2:$B2766=B904,'Previous Rank'!$C$2:$C2766=C904))=1,filter('Previous Rank'!$A$2:$A2766,'Previous Rank'!$B$2:$B2766=B904,'Previous Rank'!$C$2:$C2766=C904),"""")"),888.0)</f>
        <v>888</v>
      </c>
      <c r="H904" s="8">
        <f t="shared" si="1"/>
        <v>-15</v>
      </c>
    </row>
    <row r="905">
      <c r="A905" s="10">
        <v>904.0</v>
      </c>
      <c r="B905" s="11" t="s">
        <v>992</v>
      </c>
      <c r="C905" s="10" t="s">
        <v>22</v>
      </c>
      <c r="D905" s="10" t="s">
        <v>49</v>
      </c>
      <c r="E905" s="15"/>
      <c r="F905" s="15" t="s">
        <v>382</v>
      </c>
      <c r="G905" s="13">
        <f>IFERROR(__xludf.DUMMYFUNCTION("if(counta(filter('Previous Rank'!$A$2:$A2766,'Previous Rank'!$B$2:$B2766=B905,'Previous Rank'!$C$2:$C2766=C905))=1,filter('Previous Rank'!$A$2:$A2766,'Previous Rank'!$B$2:$B2766=B905,'Previous Rank'!$C$2:$C2766=C905),"""")"),889.0)</f>
        <v>889</v>
      </c>
      <c r="H905" s="8">
        <f t="shared" si="1"/>
        <v>-15</v>
      </c>
    </row>
    <row r="906">
      <c r="A906" s="10">
        <v>905.0</v>
      </c>
      <c r="B906" s="11" t="s">
        <v>993</v>
      </c>
      <c r="C906" s="10" t="s">
        <v>22</v>
      </c>
      <c r="D906" s="10" t="s">
        <v>129</v>
      </c>
      <c r="E906" s="16"/>
      <c r="F906" s="16" t="s">
        <v>382</v>
      </c>
      <c r="G906" s="13">
        <f>IFERROR(__xludf.DUMMYFUNCTION("if(counta(filter('Previous Rank'!$A$2:$A2766,'Previous Rank'!$B$2:$B2766=B906,'Previous Rank'!$C$2:$C2766=C906))=1,filter('Previous Rank'!$A$2:$A2766,'Previous Rank'!$B$2:$B2766=B906,'Previous Rank'!$C$2:$C2766=C906),"""")"),890.0)</f>
        <v>890</v>
      </c>
      <c r="H906" s="8">
        <f t="shared" si="1"/>
        <v>-15</v>
      </c>
    </row>
    <row r="907">
      <c r="A907" s="10">
        <v>906.0</v>
      </c>
      <c r="B907" s="11" t="s">
        <v>994</v>
      </c>
      <c r="C907" s="10" t="s">
        <v>22</v>
      </c>
      <c r="D907" s="10" t="s">
        <v>42</v>
      </c>
      <c r="E907" s="15"/>
      <c r="F907" s="15" t="s">
        <v>382</v>
      </c>
      <c r="G907" s="13">
        <f>IFERROR(__xludf.DUMMYFUNCTION("if(counta(filter('Previous Rank'!$A$2:$A2766,'Previous Rank'!$B$2:$B2766=B907,'Previous Rank'!$C$2:$C2766=C907))=1,filter('Previous Rank'!$A$2:$A2766,'Previous Rank'!$B$2:$B2766=B907,'Previous Rank'!$C$2:$C2766=C907),"""")"),891.0)</f>
        <v>891</v>
      </c>
      <c r="H907" s="8">
        <f t="shared" si="1"/>
        <v>-15</v>
      </c>
    </row>
    <row r="908">
      <c r="A908" s="10">
        <v>907.0</v>
      </c>
      <c r="B908" s="11" t="s">
        <v>995</v>
      </c>
      <c r="C908" s="10" t="s">
        <v>22</v>
      </c>
      <c r="D908" s="10" t="s">
        <v>99</v>
      </c>
      <c r="E908" s="16"/>
      <c r="F908" s="16" t="s">
        <v>382</v>
      </c>
      <c r="G908" s="13">
        <f>IFERROR(__xludf.DUMMYFUNCTION("if(counta(filter('Previous Rank'!$A$2:$A2766,'Previous Rank'!$B$2:$B2766=B908,'Previous Rank'!$C$2:$C2766=C908))=1,filter('Previous Rank'!$A$2:$A2766,'Previous Rank'!$B$2:$B2766=B908,'Previous Rank'!$C$2:$C2766=C908),"""")"),892.0)</f>
        <v>892</v>
      </c>
      <c r="H908" s="8">
        <f t="shared" si="1"/>
        <v>-15</v>
      </c>
    </row>
    <row r="909">
      <c r="A909" s="10">
        <v>908.0</v>
      </c>
      <c r="B909" s="11" t="s">
        <v>996</v>
      </c>
      <c r="C909" s="10" t="s">
        <v>79</v>
      </c>
      <c r="D909" s="10" t="s">
        <v>99</v>
      </c>
      <c r="E909" s="15"/>
      <c r="F909" s="15" t="s">
        <v>382</v>
      </c>
      <c r="G909" s="13">
        <f>IFERROR(__xludf.DUMMYFUNCTION("if(counta(filter('Previous Rank'!$A$2:$A2766,'Previous Rank'!$B$2:$B2766=B909,'Previous Rank'!$C$2:$C2766=C909))=1,filter('Previous Rank'!$A$2:$A2766,'Previous Rank'!$B$2:$B2766=B909,'Previous Rank'!$C$2:$C2766=C909),"""")"),893.0)</f>
        <v>893</v>
      </c>
      <c r="H909" s="8">
        <f t="shared" si="1"/>
        <v>-15</v>
      </c>
    </row>
    <row r="910">
      <c r="A910" s="10">
        <v>909.0</v>
      </c>
      <c r="B910" s="11" t="s">
        <v>997</v>
      </c>
      <c r="C910" s="10" t="s">
        <v>220</v>
      </c>
      <c r="D910" s="10" t="s">
        <v>206</v>
      </c>
      <c r="E910" s="16"/>
      <c r="F910" s="16" t="s">
        <v>382</v>
      </c>
      <c r="G910" s="13">
        <f>IFERROR(__xludf.DUMMYFUNCTION("if(counta(filter('Previous Rank'!$A$2:$A2766,'Previous Rank'!$B$2:$B2766=B910,'Previous Rank'!$C$2:$C2766=C910))=1,filter('Previous Rank'!$A$2:$A2766,'Previous Rank'!$B$2:$B2766=B910,'Previous Rank'!$C$2:$C2766=C910),"""")"),894.0)</f>
        <v>894</v>
      </c>
      <c r="H910" s="8">
        <f t="shared" si="1"/>
        <v>-15</v>
      </c>
    </row>
    <row r="911">
      <c r="A911" s="10">
        <v>910.0</v>
      </c>
      <c r="B911" s="11" t="s">
        <v>998</v>
      </c>
      <c r="C911" s="10" t="s">
        <v>22</v>
      </c>
      <c r="D911" s="10" t="s">
        <v>99</v>
      </c>
      <c r="E911" s="15"/>
      <c r="F911" s="15" t="s">
        <v>382</v>
      </c>
      <c r="G911" s="13">
        <f>IFERROR(__xludf.DUMMYFUNCTION("if(counta(filter('Previous Rank'!$A$2:$A2766,'Previous Rank'!$B$2:$B2766=B911,'Previous Rank'!$C$2:$C2766=C911))=1,filter('Previous Rank'!$A$2:$A2766,'Previous Rank'!$B$2:$B2766=B911,'Previous Rank'!$C$2:$C2766=C911),"""")"),895.0)</f>
        <v>895</v>
      </c>
      <c r="H911" s="8">
        <f t="shared" si="1"/>
        <v>-15</v>
      </c>
    </row>
    <row r="912">
      <c r="A912" s="10">
        <v>911.0</v>
      </c>
      <c r="B912" s="11" t="s">
        <v>999</v>
      </c>
      <c r="C912" s="10" t="s">
        <v>79</v>
      </c>
      <c r="D912" s="10" t="s">
        <v>15</v>
      </c>
      <c r="E912" s="16"/>
      <c r="F912" s="16" t="s">
        <v>382</v>
      </c>
      <c r="G912" s="13">
        <f>IFERROR(__xludf.DUMMYFUNCTION("if(counta(filter('Previous Rank'!$A$2:$A2766,'Previous Rank'!$B$2:$B2766=B912,'Previous Rank'!$C$2:$C2766=C912))=1,filter('Previous Rank'!$A$2:$A2766,'Previous Rank'!$B$2:$B2766=B912,'Previous Rank'!$C$2:$C2766=C912),"""")"),896.0)</f>
        <v>896</v>
      </c>
      <c r="H912" s="8">
        <f t="shared" si="1"/>
        <v>-15</v>
      </c>
    </row>
    <row r="913">
      <c r="A913" s="10">
        <v>912.0</v>
      </c>
      <c r="B913" s="11" t="s">
        <v>1000</v>
      </c>
      <c r="C913" s="10" t="s">
        <v>79</v>
      </c>
      <c r="D913" s="10" t="s">
        <v>129</v>
      </c>
      <c r="E913" s="15"/>
      <c r="F913" s="15" t="s">
        <v>382</v>
      </c>
      <c r="G913" s="13">
        <f>IFERROR(__xludf.DUMMYFUNCTION("if(counta(filter('Previous Rank'!$A$2:$A2766,'Previous Rank'!$B$2:$B2766=B913,'Previous Rank'!$C$2:$C2766=C913))=1,filter('Previous Rank'!$A$2:$A2766,'Previous Rank'!$B$2:$B2766=B913,'Previous Rank'!$C$2:$C2766=C913),"""")"),897.0)</f>
        <v>897</v>
      </c>
      <c r="H913" s="8">
        <f t="shared" si="1"/>
        <v>-15</v>
      </c>
    </row>
    <row r="914">
      <c r="A914" s="10">
        <v>913.0</v>
      </c>
      <c r="B914" s="11" t="s">
        <v>1001</v>
      </c>
      <c r="C914" s="10" t="s">
        <v>79</v>
      </c>
      <c r="D914" s="10" t="s">
        <v>52</v>
      </c>
      <c r="E914" s="16"/>
      <c r="F914" s="16" t="s">
        <v>382</v>
      </c>
      <c r="G914" s="13">
        <f>IFERROR(__xludf.DUMMYFUNCTION("if(counta(filter('Previous Rank'!$A$2:$A2766,'Previous Rank'!$B$2:$B2766=B914,'Previous Rank'!$C$2:$C2766=C914))=1,filter('Previous Rank'!$A$2:$A2766,'Previous Rank'!$B$2:$B2766=B914,'Previous Rank'!$C$2:$C2766=C914),"""")"),898.0)</f>
        <v>898</v>
      </c>
      <c r="H914" s="8">
        <f t="shared" si="1"/>
        <v>-15</v>
      </c>
    </row>
    <row r="915">
      <c r="A915" s="10">
        <v>914.0</v>
      </c>
      <c r="B915" s="11" t="s">
        <v>1002</v>
      </c>
      <c r="C915" s="10" t="s">
        <v>22</v>
      </c>
      <c r="D915" s="10" t="s">
        <v>113</v>
      </c>
      <c r="E915" s="15"/>
      <c r="F915" s="15" t="s">
        <v>382</v>
      </c>
      <c r="G915" s="13">
        <f>IFERROR(__xludf.DUMMYFUNCTION("if(counta(filter('Previous Rank'!$A$2:$A2766,'Previous Rank'!$B$2:$B2766=B915,'Previous Rank'!$C$2:$C2766=C915))=1,filter('Previous Rank'!$A$2:$A2766,'Previous Rank'!$B$2:$B2766=B915,'Previous Rank'!$C$2:$C2766=C915),"""")"),899.0)</f>
        <v>899</v>
      </c>
      <c r="H915" s="8">
        <f t="shared" si="1"/>
        <v>-15</v>
      </c>
    </row>
    <row r="916">
      <c r="A916" s="10">
        <v>915.0</v>
      </c>
      <c r="B916" s="11" t="s">
        <v>1003</v>
      </c>
      <c r="C916" s="10" t="s">
        <v>79</v>
      </c>
      <c r="D916" s="10" t="s">
        <v>49</v>
      </c>
      <c r="E916" s="16"/>
      <c r="F916" s="16" t="s">
        <v>382</v>
      </c>
      <c r="G916" s="13">
        <f>IFERROR(__xludf.DUMMYFUNCTION("if(counta(filter('Previous Rank'!$A$2:$A2766,'Previous Rank'!$B$2:$B2766=B916,'Previous Rank'!$C$2:$C2766=C916))=1,filter('Previous Rank'!$A$2:$A2766,'Previous Rank'!$B$2:$B2766=B916,'Previous Rank'!$C$2:$C2766=C916),"""")"),900.0)</f>
        <v>900</v>
      </c>
      <c r="H916" s="8">
        <f t="shared" si="1"/>
        <v>-15</v>
      </c>
    </row>
    <row r="917">
      <c r="A917" s="10">
        <v>916.0</v>
      </c>
      <c r="B917" s="11" t="s">
        <v>1004</v>
      </c>
      <c r="C917" s="10" t="s">
        <v>22</v>
      </c>
      <c r="D917" s="10" t="s">
        <v>90</v>
      </c>
      <c r="E917" s="15"/>
      <c r="F917" s="15" t="s">
        <v>382</v>
      </c>
      <c r="G917" s="13">
        <f>IFERROR(__xludf.DUMMYFUNCTION("if(counta(filter('Previous Rank'!$A$2:$A2766,'Previous Rank'!$B$2:$B2766=B917,'Previous Rank'!$C$2:$C2766=C917))=1,filter('Previous Rank'!$A$2:$A2766,'Previous Rank'!$B$2:$B2766=B917,'Previous Rank'!$C$2:$C2766=C917),"""")"),901.0)</f>
        <v>901</v>
      </c>
      <c r="H917" s="8">
        <f t="shared" si="1"/>
        <v>-15</v>
      </c>
    </row>
    <row r="918">
      <c r="A918" s="10">
        <v>917.0</v>
      </c>
      <c r="B918" s="11" t="s">
        <v>1005</v>
      </c>
      <c r="C918" s="10" t="s">
        <v>22</v>
      </c>
      <c r="D918" s="10" t="s">
        <v>31</v>
      </c>
      <c r="E918" s="16"/>
      <c r="F918" s="16" t="s">
        <v>382</v>
      </c>
      <c r="G918" s="13">
        <f>IFERROR(__xludf.DUMMYFUNCTION("if(counta(filter('Previous Rank'!$A$2:$A2766,'Previous Rank'!$B$2:$B2766=B918,'Previous Rank'!$C$2:$C2766=C918))=1,filter('Previous Rank'!$A$2:$A2766,'Previous Rank'!$B$2:$B2766=B918,'Previous Rank'!$C$2:$C2766=C918),"""")"),902.0)</f>
        <v>902</v>
      </c>
      <c r="H918" s="8">
        <f t="shared" si="1"/>
        <v>-15</v>
      </c>
    </row>
    <row r="919">
      <c r="A919" s="10">
        <v>918.0</v>
      </c>
      <c r="B919" s="11" t="s">
        <v>1006</v>
      </c>
      <c r="C919" s="10" t="s">
        <v>22</v>
      </c>
      <c r="D919" s="10" t="s">
        <v>71</v>
      </c>
      <c r="E919" s="15"/>
      <c r="F919" s="15" t="s">
        <v>382</v>
      </c>
      <c r="G919" s="13">
        <f>IFERROR(__xludf.DUMMYFUNCTION("if(counta(filter('Previous Rank'!$A$2:$A2766,'Previous Rank'!$B$2:$B2766=B919,'Previous Rank'!$C$2:$C2766=C919))=1,filter('Previous Rank'!$A$2:$A2766,'Previous Rank'!$B$2:$B2766=B919,'Previous Rank'!$C$2:$C2766=C919),"""")"),903.0)</f>
        <v>903</v>
      </c>
      <c r="H919" s="8">
        <f t="shared" si="1"/>
        <v>-15</v>
      </c>
    </row>
    <row r="920">
      <c r="A920" s="10">
        <v>919.0</v>
      </c>
      <c r="B920" s="11" t="s">
        <v>1007</v>
      </c>
      <c r="C920" s="10" t="s">
        <v>22</v>
      </c>
      <c r="D920" s="10" t="s">
        <v>46</v>
      </c>
      <c r="E920" s="16"/>
      <c r="F920" s="16" t="s">
        <v>382</v>
      </c>
      <c r="G920" s="13">
        <f>IFERROR(__xludf.DUMMYFUNCTION("if(counta(filter('Previous Rank'!$A$2:$A2766,'Previous Rank'!$B$2:$B2766=B920,'Previous Rank'!$C$2:$C2766=C920))=1,filter('Previous Rank'!$A$2:$A2766,'Previous Rank'!$B$2:$B2766=B920,'Previous Rank'!$C$2:$C2766=C920),"""")"),904.0)</f>
        <v>904</v>
      </c>
      <c r="H920" s="8">
        <f t="shared" si="1"/>
        <v>-15</v>
      </c>
    </row>
    <row r="921">
      <c r="A921" s="10">
        <v>920.0</v>
      </c>
      <c r="B921" s="11" t="s">
        <v>1008</v>
      </c>
      <c r="C921" s="10" t="s">
        <v>79</v>
      </c>
      <c r="D921" s="10" t="s">
        <v>95</v>
      </c>
      <c r="E921" s="15"/>
      <c r="F921" s="15" t="s">
        <v>382</v>
      </c>
      <c r="G921" s="13">
        <f>IFERROR(__xludf.DUMMYFUNCTION("if(counta(filter('Previous Rank'!$A$2:$A2766,'Previous Rank'!$B$2:$B2766=B921,'Previous Rank'!$C$2:$C2766=C921))=1,filter('Previous Rank'!$A$2:$A2766,'Previous Rank'!$B$2:$B2766=B921,'Previous Rank'!$C$2:$C2766=C921),"""")"),905.0)</f>
        <v>905</v>
      </c>
      <c r="H921" s="8">
        <f t="shared" si="1"/>
        <v>-15</v>
      </c>
    </row>
    <row r="922">
      <c r="A922" s="10">
        <v>921.0</v>
      </c>
      <c r="B922" s="11" t="s">
        <v>1009</v>
      </c>
      <c r="C922" s="10" t="s">
        <v>22</v>
      </c>
      <c r="D922" s="10" t="s">
        <v>34</v>
      </c>
      <c r="E922" s="16"/>
      <c r="F922" s="16" t="s">
        <v>382</v>
      </c>
      <c r="G922" s="13">
        <f>IFERROR(__xludf.DUMMYFUNCTION("if(counta(filter('Previous Rank'!$A$2:$A2766,'Previous Rank'!$B$2:$B2766=B922,'Previous Rank'!$C$2:$C2766=C922))=1,filter('Previous Rank'!$A$2:$A2766,'Previous Rank'!$B$2:$B2766=B922,'Previous Rank'!$C$2:$C2766=C922),"""")"),906.0)</f>
        <v>906</v>
      </c>
      <c r="H922" s="8">
        <f t="shared" si="1"/>
        <v>-15</v>
      </c>
    </row>
    <row r="923">
      <c r="A923" s="10">
        <v>922.0</v>
      </c>
      <c r="B923" s="11" t="s">
        <v>1010</v>
      </c>
      <c r="C923" s="10" t="s">
        <v>22</v>
      </c>
      <c r="D923" s="10" t="s">
        <v>140</v>
      </c>
      <c r="E923" s="15"/>
      <c r="F923" s="15" t="s">
        <v>382</v>
      </c>
      <c r="G923" s="13">
        <f>IFERROR(__xludf.DUMMYFUNCTION("if(counta(filter('Previous Rank'!$A$2:$A2766,'Previous Rank'!$B$2:$B2766=B923,'Previous Rank'!$C$2:$C2766=C923))=1,filter('Previous Rank'!$A$2:$A2766,'Previous Rank'!$B$2:$B2766=B923,'Previous Rank'!$C$2:$C2766=C923),"""")"),907.0)</f>
        <v>907</v>
      </c>
      <c r="H923" s="8">
        <f t="shared" si="1"/>
        <v>-15</v>
      </c>
    </row>
    <row r="924">
      <c r="A924" s="10">
        <v>923.0</v>
      </c>
      <c r="B924" s="11" t="s">
        <v>1011</v>
      </c>
      <c r="C924" s="10" t="s">
        <v>79</v>
      </c>
      <c r="D924" s="10" t="s">
        <v>42</v>
      </c>
      <c r="E924" s="16"/>
      <c r="F924" s="16" t="s">
        <v>382</v>
      </c>
      <c r="G924" s="13">
        <f>IFERROR(__xludf.DUMMYFUNCTION("if(counta(filter('Previous Rank'!$A$2:$A2766,'Previous Rank'!$B$2:$B2766=B924,'Previous Rank'!$C$2:$C2766=C924))=1,filter('Previous Rank'!$A$2:$A2766,'Previous Rank'!$B$2:$B2766=B924,'Previous Rank'!$C$2:$C2766=C924),"""")"),908.0)</f>
        <v>908</v>
      </c>
      <c r="H924" s="8">
        <f t="shared" si="1"/>
        <v>-15</v>
      </c>
    </row>
    <row r="925">
      <c r="A925" s="10">
        <v>924.0</v>
      </c>
      <c r="B925" s="11" t="s">
        <v>1012</v>
      </c>
      <c r="C925" s="10" t="s">
        <v>79</v>
      </c>
      <c r="D925" s="10" t="s">
        <v>120</v>
      </c>
      <c r="E925" s="12"/>
      <c r="F925" s="12" t="s">
        <v>382</v>
      </c>
      <c r="G925" s="13">
        <f>IFERROR(__xludf.DUMMYFUNCTION("if(counta(filter('Previous Rank'!$A$2:$A2766,'Previous Rank'!$B$2:$B2766=B925,'Previous Rank'!$C$2:$C2766=C925))=1,filter('Previous Rank'!$A$2:$A2766,'Previous Rank'!$B$2:$B2766=B925,'Previous Rank'!$C$2:$C2766=C925),"""")"),909.0)</f>
        <v>909</v>
      </c>
      <c r="H925" s="8">
        <f t="shared" si="1"/>
        <v>-15</v>
      </c>
    </row>
    <row r="926">
      <c r="A926" s="10">
        <v>925.0</v>
      </c>
      <c r="B926" s="11" t="s">
        <v>1013</v>
      </c>
      <c r="C926" s="10" t="s">
        <v>22</v>
      </c>
      <c r="D926" s="10" t="s">
        <v>46</v>
      </c>
      <c r="E926" s="16"/>
      <c r="F926" s="16" t="s">
        <v>382</v>
      </c>
      <c r="G926" s="13">
        <f>IFERROR(__xludf.DUMMYFUNCTION("if(counta(filter('Previous Rank'!$A$2:$A2766,'Previous Rank'!$B$2:$B2766=B926,'Previous Rank'!$C$2:$C2766=C926))=1,filter('Previous Rank'!$A$2:$A2766,'Previous Rank'!$B$2:$B2766=B926,'Previous Rank'!$C$2:$C2766=C926),"""")"),910.0)</f>
        <v>910</v>
      </c>
      <c r="H926" s="8">
        <f t="shared" si="1"/>
        <v>-15</v>
      </c>
    </row>
    <row r="927">
      <c r="A927" s="10">
        <v>926.0</v>
      </c>
      <c r="B927" s="11" t="s">
        <v>1014</v>
      </c>
      <c r="C927" s="10" t="s">
        <v>79</v>
      </c>
      <c r="D927" s="10" t="s">
        <v>113</v>
      </c>
      <c r="E927" s="15"/>
      <c r="F927" s="15"/>
      <c r="G927" s="13">
        <f>IFERROR(__xludf.DUMMYFUNCTION("if(counta(filter('Previous Rank'!$A$2:$A2766,'Previous Rank'!$B$2:$B2766=B927,'Previous Rank'!$C$2:$C2766=C927))=1,filter('Previous Rank'!$A$2:$A2766,'Previous Rank'!$B$2:$B2766=B927,'Previous Rank'!$C$2:$C2766=C927),"""")"),911.0)</f>
        <v>911</v>
      </c>
      <c r="H927" s="8">
        <f t="shared" si="1"/>
        <v>-15</v>
      </c>
    </row>
    <row r="928">
      <c r="A928" s="10">
        <v>927.0</v>
      </c>
      <c r="B928" s="11" t="s">
        <v>1015</v>
      </c>
      <c r="C928" s="10" t="s">
        <v>22</v>
      </c>
      <c r="D928" s="10" t="s">
        <v>15</v>
      </c>
      <c r="E928" s="16"/>
      <c r="F928" s="16" t="s">
        <v>382</v>
      </c>
      <c r="G928" s="13">
        <f>IFERROR(__xludf.DUMMYFUNCTION("if(counta(filter('Previous Rank'!$A$2:$A2766,'Previous Rank'!$B$2:$B2766=B928,'Previous Rank'!$C$2:$C2766=C928))=1,filter('Previous Rank'!$A$2:$A2766,'Previous Rank'!$B$2:$B2766=B928,'Previous Rank'!$C$2:$C2766=C928),"""")"),912.0)</f>
        <v>912</v>
      </c>
      <c r="H928" s="8">
        <f t="shared" si="1"/>
        <v>-15</v>
      </c>
    </row>
    <row r="929">
      <c r="A929" s="10">
        <v>928.0</v>
      </c>
      <c r="B929" s="11" t="s">
        <v>1016</v>
      </c>
      <c r="C929" s="10" t="s">
        <v>22</v>
      </c>
      <c r="D929" s="10" t="s">
        <v>137</v>
      </c>
      <c r="E929" s="15"/>
      <c r="F929" s="15" t="s">
        <v>382</v>
      </c>
      <c r="G929" s="13">
        <f>IFERROR(__xludf.DUMMYFUNCTION("if(counta(filter('Previous Rank'!$A$2:$A2766,'Previous Rank'!$B$2:$B2766=B929,'Previous Rank'!$C$2:$C2766=C929))=1,filter('Previous Rank'!$A$2:$A2766,'Previous Rank'!$B$2:$B2766=B929,'Previous Rank'!$C$2:$C2766=C929),"""")"),913.0)</f>
        <v>913</v>
      </c>
      <c r="H929" s="8">
        <f t="shared" si="1"/>
        <v>-15</v>
      </c>
    </row>
    <row r="930">
      <c r="A930" s="10">
        <v>929.0</v>
      </c>
      <c r="B930" s="11" t="s">
        <v>1017</v>
      </c>
      <c r="C930" s="10" t="s">
        <v>79</v>
      </c>
      <c r="D930" s="10" t="s">
        <v>95</v>
      </c>
      <c r="E930" s="16"/>
      <c r="F930" s="16" t="s">
        <v>382</v>
      </c>
      <c r="G930" s="13">
        <f>IFERROR(__xludf.DUMMYFUNCTION("if(counta(filter('Previous Rank'!$A$2:$A2766,'Previous Rank'!$B$2:$B2766=B930,'Previous Rank'!$C$2:$C2766=C930))=1,filter('Previous Rank'!$A$2:$A2766,'Previous Rank'!$B$2:$B2766=B930,'Previous Rank'!$C$2:$C2766=C930),"""")"),914.0)</f>
        <v>914</v>
      </c>
      <c r="H930" s="8">
        <f t="shared" si="1"/>
        <v>-15</v>
      </c>
    </row>
    <row r="931">
      <c r="A931" s="10">
        <v>930.0</v>
      </c>
      <c r="B931" s="11" t="s">
        <v>1018</v>
      </c>
      <c r="C931" s="10" t="s">
        <v>22</v>
      </c>
      <c r="D931" s="10" t="s">
        <v>71</v>
      </c>
      <c r="E931" s="15"/>
      <c r="F931" s="15" t="s">
        <v>382</v>
      </c>
      <c r="G931" s="13">
        <f>IFERROR(__xludf.DUMMYFUNCTION("if(counta(filter('Previous Rank'!$A$2:$A2766,'Previous Rank'!$B$2:$B2766=B931,'Previous Rank'!$C$2:$C2766=C931))=1,filter('Previous Rank'!$A$2:$A2766,'Previous Rank'!$B$2:$B2766=B931,'Previous Rank'!$C$2:$C2766=C931),"""")"),915.0)</f>
        <v>915</v>
      </c>
      <c r="H931" s="8">
        <f t="shared" si="1"/>
        <v>-15</v>
      </c>
    </row>
    <row r="932">
      <c r="A932" s="10">
        <v>931.0</v>
      </c>
      <c r="B932" s="11" t="s">
        <v>1019</v>
      </c>
      <c r="C932" s="10" t="s">
        <v>79</v>
      </c>
      <c r="D932" s="10" t="s">
        <v>34</v>
      </c>
      <c r="E932" s="16"/>
      <c r="F932" s="16" t="s">
        <v>382</v>
      </c>
      <c r="G932" s="13">
        <f>IFERROR(__xludf.DUMMYFUNCTION("if(counta(filter('Previous Rank'!$A$2:$A2766,'Previous Rank'!$B$2:$B2766=B932,'Previous Rank'!$C$2:$C2766=C932))=1,filter('Previous Rank'!$A$2:$A2766,'Previous Rank'!$B$2:$B2766=B932,'Previous Rank'!$C$2:$C2766=C932),"""")"),916.0)</f>
        <v>916</v>
      </c>
      <c r="H932" s="8">
        <f t="shared" si="1"/>
        <v>-15</v>
      </c>
    </row>
    <row r="933">
      <c r="A933" s="10">
        <v>932.0</v>
      </c>
      <c r="B933" s="11" t="s">
        <v>1020</v>
      </c>
      <c r="C933" s="10" t="s">
        <v>220</v>
      </c>
      <c r="D933" s="10" t="s">
        <v>71</v>
      </c>
      <c r="E933" s="15"/>
      <c r="F933" s="15" t="s">
        <v>382</v>
      </c>
      <c r="G933" s="13">
        <f>IFERROR(__xludf.DUMMYFUNCTION("if(counta(filter('Previous Rank'!$A$2:$A2766,'Previous Rank'!$B$2:$B2766=B933,'Previous Rank'!$C$2:$C2766=C933))=1,filter('Previous Rank'!$A$2:$A2766,'Previous Rank'!$B$2:$B2766=B933,'Previous Rank'!$C$2:$C2766=C933),"""")"),917.0)</f>
        <v>917</v>
      </c>
      <c r="H933" s="8">
        <f t="shared" si="1"/>
        <v>-15</v>
      </c>
    </row>
    <row r="934">
      <c r="A934" s="10">
        <v>933.0</v>
      </c>
      <c r="B934" s="11" t="s">
        <v>1021</v>
      </c>
      <c r="C934" s="10" t="s">
        <v>22</v>
      </c>
      <c r="D934" s="10" t="s">
        <v>52</v>
      </c>
      <c r="E934" s="16"/>
      <c r="F934" s="16" t="s">
        <v>382</v>
      </c>
      <c r="G934" s="13">
        <f>IFERROR(__xludf.DUMMYFUNCTION("if(counta(filter('Previous Rank'!$A$2:$A2766,'Previous Rank'!$B$2:$B2766=B934,'Previous Rank'!$C$2:$C2766=C934))=1,filter('Previous Rank'!$A$2:$A2766,'Previous Rank'!$B$2:$B2766=B934,'Previous Rank'!$C$2:$C2766=C934),"""")"),918.0)</f>
        <v>918</v>
      </c>
      <c r="H934" s="8">
        <f t="shared" si="1"/>
        <v>-15</v>
      </c>
    </row>
    <row r="935">
      <c r="A935" s="10">
        <v>934.0</v>
      </c>
      <c r="B935" s="11" t="s">
        <v>1022</v>
      </c>
      <c r="C935" s="10" t="s">
        <v>22</v>
      </c>
      <c r="D935" s="10" t="s">
        <v>95</v>
      </c>
      <c r="E935" s="15"/>
      <c r="F935" s="15" t="s">
        <v>382</v>
      </c>
      <c r="G935" s="13">
        <f>IFERROR(__xludf.DUMMYFUNCTION("if(counta(filter('Previous Rank'!$A$2:$A2766,'Previous Rank'!$B$2:$B2766=B935,'Previous Rank'!$C$2:$C2766=C935))=1,filter('Previous Rank'!$A$2:$A2766,'Previous Rank'!$B$2:$B2766=B935,'Previous Rank'!$C$2:$C2766=C935),"""")"),919.0)</f>
        <v>919</v>
      </c>
      <c r="H935" s="8">
        <f t="shared" si="1"/>
        <v>-15</v>
      </c>
    </row>
    <row r="936">
      <c r="A936" s="10">
        <v>935.0</v>
      </c>
      <c r="B936" s="11" t="s">
        <v>1023</v>
      </c>
      <c r="C936" s="10" t="s">
        <v>79</v>
      </c>
      <c r="D936" s="10" t="s">
        <v>15</v>
      </c>
      <c r="E936" s="16"/>
      <c r="F936" s="16" t="s">
        <v>382</v>
      </c>
      <c r="G936" s="13">
        <f>IFERROR(__xludf.DUMMYFUNCTION("if(counta(filter('Previous Rank'!$A$2:$A2766,'Previous Rank'!$B$2:$B2766=B936,'Previous Rank'!$C$2:$C2766=C936))=1,filter('Previous Rank'!$A$2:$A2766,'Previous Rank'!$B$2:$B2766=B936,'Previous Rank'!$C$2:$C2766=C936),"""")"),920.0)</f>
        <v>920</v>
      </c>
      <c r="H936" s="8">
        <f t="shared" si="1"/>
        <v>-15</v>
      </c>
    </row>
    <row r="937">
      <c r="A937" s="10">
        <v>936.0</v>
      </c>
      <c r="B937" s="11" t="s">
        <v>1024</v>
      </c>
      <c r="C937" s="10" t="s">
        <v>79</v>
      </c>
      <c r="D937" s="10" t="s">
        <v>113</v>
      </c>
      <c r="E937" s="15"/>
      <c r="F937" s="15" t="s">
        <v>382</v>
      </c>
      <c r="G937" s="13">
        <f>IFERROR(__xludf.DUMMYFUNCTION("if(counta(filter('Previous Rank'!$A$2:$A2766,'Previous Rank'!$B$2:$B2766=B937,'Previous Rank'!$C$2:$C2766=C937))=1,filter('Previous Rank'!$A$2:$A2766,'Previous Rank'!$B$2:$B2766=B937,'Previous Rank'!$C$2:$C2766=C937),"""")"),921.0)</f>
        <v>921</v>
      </c>
      <c r="H937" s="8">
        <f t="shared" si="1"/>
        <v>-15</v>
      </c>
    </row>
    <row r="938">
      <c r="A938" s="10">
        <v>937.0</v>
      </c>
      <c r="B938" s="11" t="s">
        <v>1025</v>
      </c>
      <c r="C938" s="10" t="s">
        <v>22</v>
      </c>
      <c r="D938" s="10" t="s">
        <v>137</v>
      </c>
      <c r="E938" s="16"/>
      <c r="F938" s="16" t="s">
        <v>382</v>
      </c>
      <c r="G938" s="13">
        <f>IFERROR(__xludf.DUMMYFUNCTION("if(counta(filter('Previous Rank'!$A$2:$A2766,'Previous Rank'!$B$2:$B2766=B938,'Previous Rank'!$C$2:$C2766=C938))=1,filter('Previous Rank'!$A$2:$A2766,'Previous Rank'!$B$2:$B2766=B938,'Previous Rank'!$C$2:$C2766=C938),"""")"),922.0)</f>
        <v>922</v>
      </c>
      <c r="H938" s="8">
        <f t="shared" si="1"/>
        <v>-15</v>
      </c>
    </row>
    <row r="939">
      <c r="A939" s="10">
        <v>938.0</v>
      </c>
      <c r="B939" s="11" t="s">
        <v>1026</v>
      </c>
      <c r="C939" s="10" t="s">
        <v>22</v>
      </c>
      <c r="D939" s="10" t="s">
        <v>46</v>
      </c>
      <c r="E939" s="15"/>
      <c r="F939" s="15" t="s">
        <v>382</v>
      </c>
      <c r="G939" s="13">
        <f>IFERROR(__xludf.DUMMYFUNCTION("if(counta(filter('Previous Rank'!$A$2:$A2766,'Previous Rank'!$B$2:$B2766=B939,'Previous Rank'!$C$2:$C2766=C939))=1,filter('Previous Rank'!$A$2:$A2766,'Previous Rank'!$B$2:$B2766=B939,'Previous Rank'!$C$2:$C2766=C939),"""")"),923.0)</f>
        <v>923</v>
      </c>
      <c r="H939" s="8">
        <f t="shared" si="1"/>
        <v>-15</v>
      </c>
    </row>
    <row r="940">
      <c r="A940" s="10">
        <v>939.0</v>
      </c>
      <c r="B940" s="11" t="s">
        <v>1027</v>
      </c>
      <c r="C940" s="10" t="s">
        <v>79</v>
      </c>
      <c r="D940" s="10" t="s">
        <v>122</v>
      </c>
      <c r="E940" s="16"/>
      <c r="F940" s="16" t="s">
        <v>382</v>
      </c>
      <c r="G940" s="13">
        <f>IFERROR(__xludf.DUMMYFUNCTION("if(counta(filter('Previous Rank'!$A$2:$A2766,'Previous Rank'!$B$2:$B2766=B940,'Previous Rank'!$C$2:$C2766=C940))=1,filter('Previous Rank'!$A$2:$A2766,'Previous Rank'!$B$2:$B2766=B940,'Previous Rank'!$C$2:$C2766=C940),"""")"),924.0)</f>
        <v>924</v>
      </c>
      <c r="H940" s="8">
        <f t="shared" si="1"/>
        <v>-15</v>
      </c>
    </row>
    <row r="941">
      <c r="A941" s="10">
        <v>940.0</v>
      </c>
      <c r="B941" s="11" t="s">
        <v>1028</v>
      </c>
      <c r="C941" s="10" t="s">
        <v>22</v>
      </c>
      <c r="D941" s="10" t="s">
        <v>90</v>
      </c>
      <c r="E941" s="15"/>
      <c r="F941" s="15" t="s">
        <v>382</v>
      </c>
      <c r="G941" s="13">
        <f>IFERROR(__xludf.DUMMYFUNCTION("if(counta(filter('Previous Rank'!$A$2:$A2766,'Previous Rank'!$B$2:$B2766=B941,'Previous Rank'!$C$2:$C2766=C941))=1,filter('Previous Rank'!$A$2:$A2766,'Previous Rank'!$B$2:$B2766=B941,'Previous Rank'!$C$2:$C2766=C941),"""")"),925.0)</f>
        <v>925</v>
      </c>
      <c r="H941" s="8">
        <f t="shared" si="1"/>
        <v>-15</v>
      </c>
    </row>
    <row r="942">
      <c r="A942" s="10">
        <v>941.0</v>
      </c>
      <c r="B942" s="11" t="s">
        <v>1029</v>
      </c>
      <c r="C942" s="10" t="s">
        <v>22</v>
      </c>
      <c r="D942" s="10" t="s">
        <v>18</v>
      </c>
      <c r="E942" s="16"/>
      <c r="F942" s="16" t="s">
        <v>382</v>
      </c>
      <c r="G942" s="13">
        <f>IFERROR(__xludf.DUMMYFUNCTION("if(counta(filter('Previous Rank'!$A$2:$A2766,'Previous Rank'!$B$2:$B2766=B942,'Previous Rank'!$C$2:$C2766=C942))=1,filter('Previous Rank'!$A$2:$A2766,'Previous Rank'!$B$2:$B2766=B942,'Previous Rank'!$C$2:$C2766=C942),"""")"),926.0)</f>
        <v>926</v>
      </c>
      <c r="H942" s="8">
        <f t="shared" si="1"/>
        <v>-15</v>
      </c>
    </row>
    <row r="943">
      <c r="A943" s="10">
        <v>942.0</v>
      </c>
      <c r="B943" s="11" t="s">
        <v>1030</v>
      </c>
      <c r="C943" s="10" t="s">
        <v>79</v>
      </c>
      <c r="D943" s="10" t="s">
        <v>95</v>
      </c>
      <c r="E943" s="15"/>
      <c r="F943" s="15" t="s">
        <v>382</v>
      </c>
      <c r="G943" s="13">
        <f>IFERROR(__xludf.DUMMYFUNCTION("if(counta(filter('Previous Rank'!$A$2:$A2766,'Previous Rank'!$B$2:$B2766=B943,'Previous Rank'!$C$2:$C2766=C943))=1,filter('Previous Rank'!$A$2:$A2766,'Previous Rank'!$B$2:$B2766=B943,'Previous Rank'!$C$2:$C2766=C943),"""")"),927.0)</f>
        <v>927</v>
      </c>
      <c r="H943" s="8">
        <f t="shared" si="1"/>
        <v>-15</v>
      </c>
    </row>
    <row r="944">
      <c r="A944" s="10">
        <v>943.0</v>
      </c>
      <c r="B944" s="11" t="s">
        <v>1031</v>
      </c>
      <c r="C944" s="10" t="s">
        <v>22</v>
      </c>
      <c r="D944" s="10" t="s">
        <v>18</v>
      </c>
      <c r="E944" s="16"/>
      <c r="F944" s="16" t="s">
        <v>382</v>
      </c>
      <c r="G944" s="13">
        <f>IFERROR(__xludf.DUMMYFUNCTION("if(counta(filter('Previous Rank'!$A$2:$A2766,'Previous Rank'!$B$2:$B2766=B944,'Previous Rank'!$C$2:$C2766=C944))=1,filter('Previous Rank'!$A$2:$A2766,'Previous Rank'!$B$2:$B2766=B944,'Previous Rank'!$C$2:$C2766=C944),"""")"),928.0)</f>
        <v>928</v>
      </c>
      <c r="H944" s="8">
        <f t="shared" si="1"/>
        <v>-15</v>
      </c>
    </row>
    <row r="945">
      <c r="A945" s="10">
        <v>944.0</v>
      </c>
      <c r="B945" s="11" t="s">
        <v>1032</v>
      </c>
      <c r="C945" s="10" t="s">
        <v>79</v>
      </c>
      <c r="D945" s="10" t="s">
        <v>206</v>
      </c>
      <c r="E945" s="15"/>
      <c r="F945" s="15"/>
      <c r="G945" s="13">
        <f>IFERROR(__xludf.DUMMYFUNCTION("if(counta(filter('Previous Rank'!$A$2:$A2766,'Previous Rank'!$B$2:$B2766=B945,'Previous Rank'!$C$2:$C2766=C945))=1,filter('Previous Rank'!$A$2:$A2766,'Previous Rank'!$B$2:$B2766=B945,'Previous Rank'!$C$2:$C2766=C945),"""")"),929.0)</f>
        <v>929</v>
      </c>
      <c r="H945" s="8">
        <f t="shared" si="1"/>
        <v>-15</v>
      </c>
    </row>
    <row r="946">
      <c r="A946" s="10">
        <v>945.0</v>
      </c>
      <c r="B946" s="11" t="s">
        <v>1033</v>
      </c>
      <c r="C946" s="10" t="s">
        <v>22</v>
      </c>
      <c r="D946" s="10" t="s">
        <v>105</v>
      </c>
      <c r="E946" s="16"/>
      <c r="F946" s="16" t="s">
        <v>382</v>
      </c>
      <c r="G946" s="13">
        <f>IFERROR(__xludf.DUMMYFUNCTION("if(counta(filter('Previous Rank'!$A$2:$A2766,'Previous Rank'!$B$2:$B2766=B946,'Previous Rank'!$C$2:$C2766=C946))=1,filter('Previous Rank'!$A$2:$A2766,'Previous Rank'!$B$2:$B2766=B946,'Previous Rank'!$C$2:$C2766=C946),"""")"),930.0)</f>
        <v>930</v>
      </c>
      <c r="H946" s="8">
        <f t="shared" si="1"/>
        <v>-15</v>
      </c>
    </row>
    <row r="947">
      <c r="A947" s="10">
        <v>946.0</v>
      </c>
      <c r="B947" s="11" t="s">
        <v>1034</v>
      </c>
      <c r="C947" s="10" t="s">
        <v>22</v>
      </c>
      <c r="D947" s="10" t="s">
        <v>9</v>
      </c>
      <c r="E947" s="15"/>
      <c r="F947" s="15" t="s">
        <v>382</v>
      </c>
      <c r="G947" s="13">
        <f>IFERROR(__xludf.DUMMYFUNCTION("if(counta(filter('Previous Rank'!$A$2:$A2766,'Previous Rank'!$B$2:$B2766=B947,'Previous Rank'!$C$2:$C2766=C947))=1,filter('Previous Rank'!$A$2:$A2766,'Previous Rank'!$B$2:$B2766=B947,'Previous Rank'!$C$2:$C2766=C947),"""")"),931.0)</f>
        <v>931</v>
      </c>
      <c r="H947" s="8">
        <f t="shared" si="1"/>
        <v>-15</v>
      </c>
    </row>
    <row r="948">
      <c r="A948" s="10">
        <v>947.0</v>
      </c>
      <c r="B948" s="11" t="s">
        <v>1035</v>
      </c>
      <c r="C948" s="10" t="s">
        <v>79</v>
      </c>
      <c r="D948" s="10" t="s">
        <v>42</v>
      </c>
      <c r="E948" s="16"/>
      <c r="F948" s="16" t="s">
        <v>382</v>
      </c>
      <c r="G948" s="13">
        <f>IFERROR(__xludf.DUMMYFUNCTION("if(counta(filter('Previous Rank'!$A$2:$A2766,'Previous Rank'!$B$2:$B2766=B948,'Previous Rank'!$C$2:$C2766=C948))=1,filter('Previous Rank'!$A$2:$A2766,'Previous Rank'!$B$2:$B2766=B948,'Previous Rank'!$C$2:$C2766=C948),"""")"),932.0)</f>
        <v>932</v>
      </c>
      <c r="H948" s="8">
        <f t="shared" si="1"/>
        <v>-15</v>
      </c>
    </row>
    <row r="949">
      <c r="A949" s="10">
        <v>948.0</v>
      </c>
      <c r="B949" s="11" t="s">
        <v>1036</v>
      </c>
      <c r="C949" s="10" t="s">
        <v>79</v>
      </c>
      <c r="D949" s="10" t="s">
        <v>122</v>
      </c>
      <c r="E949" s="15"/>
      <c r="F949" s="15" t="s">
        <v>382</v>
      </c>
      <c r="G949" s="13">
        <f>IFERROR(__xludf.DUMMYFUNCTION("if(counta(filter('Previous Rank'!$A$2:$A2766,'Previous Rank'!$B$2:$B2766=B949,'Previous Rank'!$C$2:$C2766=C949))=1,filter('Previous Rank'!$A$2:$A2766,'Previous Rank'!$B$2:$B2766=B949,'Previous Rank'!$C$2:$C2766=C949),"""")"),933.0)</f>
        <v>933</v>
      </c>
      <c r="H949" s="8">
        <f t="shared" si="1"/>
        <v>-15</v>
      </c>
    </row>
    <row r="950">
      <c r="A950" s="10">
        <v>949.0</v>
      </c>
      <c r="B950" s="11" t="s">
        <v>1037</v>
      </c>
      <c r="C950" s="10" t="s">
        <v>79</v>
      </c>
      <c r="D950" s="10" t="s">
        <v>105</v>
      </c>
      <c r="E950" s="16"/>
      <c r="F950" s="16" t="s">
        <v>382</v>
      </c>
      <c r="G950" s="13">
        <f>IFERROR(__xludf.DUMMYFUNCTION("if(counta(filter('Previous Rank'!$A$2:$A2766,'Previous Rank'!$B$2:$B2766=B950,'Previous Rank'!$C$2:$C2766=C950))=1,filter('Previous Rank'!$A$2:$A2766,'Previous Rank'!$B$2:$B2766=B950,'Previous Rank'!$C$2:$C2766=C950),"""")"),934.0)</f>
        <v>934</v>
      </c>
      <c r="H950" s="8">
        <f t="shared" si="1"/>
        <v>-15</v>
      </c>
    </row>
    <row r="951">
      <c r="A951" s="10">
        <v>950.0</v>
      </c>
      <c r="B951" s="11" t="s">
        <v>1038</v>
      </c>
      <c r="C951" s="10" t="s">
        <v>79</v>
      </c>
      <c r="D951" s="10" t="s">
        <v>122</v>
      </c>
      <c r="E951" s="15"/>
      <c r="F951" s="15" t="s">
        <v>382</v>
      </c>
      <c r="G951" s="13">
        <f>IFERROR(__xludf.DUMMYFUNCTION("if(counta(filter('Previous Rank'!$A$2:$A2766,'Previous Rank'!$B$2:$B2766=B951,'Previous Rank'!$C$2:$C2766=C951))=1,filter('Previous Rank'!$A$2:$A2766,'Previous Rank'!$B$2:$B2766=B951,'Previous Rank'!$C$2:$C2766=C951),"""")"),935.0)</f>
        <v>935</v>
      </c>
      <c r="H951" s="8">
        <f t="shared" si="1"/>
        <v>-15</v>
      </c>
    </row>
    <row r="952">
      <c r="A952" s="10">
        <v>951.0</v>
      </c>
      <c r="B952" s="11" t="s">
        <v>1039</v>
      </c>
      <c r="C952" s="10" t="s">
        <v>79</v>
      </c>
      <c r="D952" s="10" t="s">
        <v>71</v>
      </c>
      <c r="E952" s="16"/>
      <c r="F952" s="16" t="s">
        <v>382</v>
      </c>
      <c r="G952" s="13">
        <f>IFERROR(__xludf.DUMMYFUNCTION("if(counta(filter('Previous Rank'!$A$2:$A2766,'Previous Rank'!$B$2:$B2766=B952,'Previous Rank'!$C$2:$C2766=C952))=1,filter('Previous Rank'!$A$2:$A2766,'Previous Rank'!$B$2:$B2766=B952,'Previous Rank'!$C$2:$C2766=C952),"""")"),936.0)</f>
        <v>936</v>
      </c>
      <c r="H952" s="8">
        <f t="shared" si="1"/>
        <v>-15</v>
      </c>
    </row>
    <row r="953">
      <c r="A953" s="10">
        <v>952.0</v>
      </c>
      <c r="B953" s="11" t="s">
        <v>1040</v>
      </c>
      <c r="C953" s="10" t="s">
        <v>79</v>
      </c>
      <c r="D953" s="10" t="s">
        <v>34</v>
      </c>
      <c r="E953" s="15"/>
      <c r="F953" s="15" t="s">
        <v>382</v>
      </c>
      <c r="G953" s="13">
        <f>IFERROR(__xludf.DUMMYFUNCTION("if(counta(filter('Previous Rank'!$A$2:$A2766,'Previous Rank'!$B$2:$B2766=B953,'Previous Rank'!$C$2:$C2766=C953))=1,filter('Previous Rank'!$A$2:$A2766,'Previous Rank'!$B$2:$B2766=B953,'Previous Rank'!$C$2:$C2766=C953),"""")"),937.0)</f>
        <v>937</v>
      </c>
      <c r="H953" s="8">
        <f t="shared" si="1"/>
        <v>-15</v>
      </c>
    </row>
    <row r="954">
      <c r="A954" s="10">
        <v>953.0</v>
      </c>
      <c r="B954" s="11" t="s">
        <v>1041</v>
      </c>
      <c r="C954" s="10" t="s">
        <v>79</v>
      </c>
      <c r="D954" s="10" t="s">
        <v>85</v>
      </c>
      <c r="E954" s="16"/>
      <c r="F954" s="16" t="s">
        <v>382</v>
      </c>
      <c r="G954" s="13">
        <f>IFERROR(__xludf.DUMMYFUNCTION("if(counta(filter('Previous Rank'!$A$2:$A2766,'Previous Rank'!$B$2:$B2766=B954,'Previous Rank'!$C$2:$C2766=C954))=1,filter('Previous Rank'!$A$2:$A2766,'Previous Rank'!$B$2:$B2766=B954,'Previous Rank'!$C$2:$C2766=C954),"""")"),938.0)</f>
        <v>938</v>
      </c>
      <c r="H954" s="8">
        <f t="shared" si="1"/>
        <v>-15</v>
      </c>
    </row>
    <row r="955">
      <c r="A955" s="10">
        <v>954.0</v>
      </c>
      <c r="B955" s="11" t="s">
        <v>1042</v>
      </c>
      <c r="C955" s="10" t="s">
        <v>22</v>
      </c>
      <c r="D955" s="10" t="s">
        <v>15</v>
      </c>
      <c r="E955" s="15"/>
      <c r="F955" s="15" t="s">
        <v>382</v>
      </c>
      <c r="G955" s="13">
        <f>IFERROR(__xludf.DUMMYFUNCTION("if(counta(filter('Previous Rank'!$A$2:$A2766,'Previous Rank'!$B$2:$B2766=B955,'Previous Rank'!$C$2:$C2766=C955))=1,filter('Previous Rank'!$A$2:$A2766,'Previous Rank'!$B$2:$B2766=B955,'Previous Rank'!$C$2:$C2766=C955),"""")"),939.0)</f>
        <v>939</v>
      </c>
      <c r="H955" s="8">
        <f t="shared" si="1"/>
        <v>-15</v>
      </c>
    </row>
    <row r="956">
      <c r="A956" s="10">
        <v>955.0</v>
      </c>
      <c r="B956" s="11" t="s">
        <v>1043</v>
      </c>
      <c r="C956" s="10" t="s">
        <v>22</v>
      </c>
      <c r="D956" s="10" t="s">
        <v>52</v>
      </c>
      <c r="E956" s="16"/>
      <c r="F956" s="16" t="s">
        <v>382</v>
      </c>
      <c r="G956" s="13">
        <f>IFERROR(__xludf.DUMMYFUNCTION("if(counta(filter('Previous Rank'!$A$2:$A2766,'Previous Rank'!$B$2:$B2766=B956,'Previous Rank'!$C$2:$C2766=C956))=1,filter('Previous Rank'!$A$2:$A2766,'Previous Rank'!$B$2:$B2766=B956,'Previous Rank'!$C$2:$C2766=C956),"""")"),940.0)</f>
        <v>940</v>
      </c>
      <c r="H956" s="8">
        <f t="shared" si="1"/>
        <v>-15</v>
      </c>
    </row>
    <row r="957">
      <c r="A957" s="10">
        <v>956.0</v>
      </c>
      <c r="B957" s="11" t="s">
        <v>1044</v>
      </c>
      <c r="C957" s="10" t="s">
        <v>22</v>
      </c>
      <c r="D957" s="10" t="s">
        <v>67</v>
      </c>
      <c r="E957" s="15"/>
      <c r="F957" s="15" t="s">
        <v>382</v>
      </c>
      <c r="G957" s="13">
        <f>IFERROR(__xludf.DUMMYFUNCTION("if(counta(filter('Previous Rank'!$A$2:$A2766,'Previous Rank'!$B$2:$B2766=B957,'Previous Rank'!$C$2:$C2766=C957))=1,filter('Previous Rank'!$A$2:$A2766,'Previous Rank'!$B$2:$B2766=B957,'Previous Rank'!$C$2:$C2766=C957),"""")"),941.0)</f>
        <v>941</v>
      </c>
      <c r="H957" s="8">
        <f t="shared" si="1"/>
        <v>-15</v>
      </c>
    </row>
    <row r="958">
      <c r="A958" s="10">
        <v>957.0</v>
      </c>
      <c r="B958" s="11" t="s">
        <v>1045</v>
      </c>
      <c r="C958" s="10" t="s">
        <v>22</v>
      </c>
      <c r="D958" s="10" t="s">
        <v>36</v>
      </c>
      <c r="E958" s="16"/>
      <c r="F958" s="16" t="s">
        <v>382</v>
      </c>
      <c r="G958" s="13">
        <f>IFERROR(__xludf.DUMMYFUNCTION("if(counta(filter('Previous Rank'!$A$2:$A2766,'Previous Rank'!$B$2:$B2766=B958,'Previous Rank'!$C$2:$C2766=C958))=1,filter('Previous Rank'!$A$2:$A2766,'Previous Rank'!$B$2:$B2766=B958,'Previous Rank'!$C$2:$C2766=C958),"""")"),942.0)</f>
        <v>942</v>
      </c>
      <c r="H958" s="8">
        <f t="shared" si="1"/>
        <v>-15</v>
      </c>
    </row>
    <row r="959">
      <c r="A959" s="10">
        <v>958.0</v>
      </c>
      <c r="B959" s="11" t="s">
        <v>1046</v>
      </c>
      <c r="C959" s="10" t="s">
        <v>79</v>
      </c>
      <c r="D959" s="10" t="s">
        <v>46</v>
      </c>
      <c r="E959" s="15"/>
      <c r="F959" s="15" t="s">
        <v>382</v>
      </c>
      <c r="G959" s="13">
        <f>IFERROR(__xludf.DUMMYFUNCTION("if(counta(filter('Previous Rank'!$A$2:$A2766,'Previous Rank'!$B$2:$B2766=B959,'Previous Rank'!$C$2:$C2766=C959))=1,filter('Previous Rank'!$A$2:$A2766,'Previous Rank'!$B$2:$B2766=B959,'Previous Rank'!$C$2:$C2766=C959),"""")"),943.0)</f>
        <v>943</v>
      </c>
      <c r="H959" s="8">
        <f t="shared" si="1"/>
        <v>-15</v>
      </c>
    </row>
    <row r="960">
      <c r="A960" s="10">
        <v>959.0</v>
      </c>
      <c r="B960" s="11" t="s">
        <v>1047</v>
      </c>
      <c r="C960" s="10" t="s">
        <v>79</v>
      </c>
      <c r="D960" s="10" t="s">
        <v>42</v>
      </c>
      <c r="E960" s="16"/>
      <c r="F960" s="16" t="s">
        <v>382</v>
      </c>
      <c r="G960" s="13">
        <f>IFERROR(__xludf.DUMMYFUNCTION("if(counta(filter('Previous Rank'!$A$2:$A2766,'Previous Rank'!$B$2:$B2766=B960,'Previous Rank'!$C$2:$C2766=C960))=1,filter('Previous Rank'!$A$2:$A2766,'Previous Rank'!$B$2:$B2766=B960,'Previous Rank'!$C$2:$C2766=C960),"""")"),944.0)</f>
        <v>944</v>
      </c>
      <c r="H960" s="8">
        <f t="shared" si="1"/>
        <v>-15</v>
      </c>
    </row>
    <row r="961">
      <c r="A961" s="10">
        <v>960.0</v>
      </c>
      <c r="B961" s="11" t="s">
        <v>1048</v>
      </c>
      <c r="C961" s="10" t="s">
        <v>22</v>
      </c>
      <c r="D961" s="10" t="s">
        <v>52</v>
      </c>
      <c r="E961" s="15"/>
      <c r="F961" s="15" t="s">
        <v>382</v>
      </c>
      <c r="G961" s="13">
        <f>IFERROR(__xludf.DUMMYFUNCTION("if(counta(filter('Previous Rank'!$A$2:$A2766,'Previous Rank'!$B$2:$B2766=B961,'Previous Rank'!$C$2:$C2766=C961))=1,filter('Previous Rank'!$A$2:$A2766,'Previous Rank'!$B$2:$B2766=B961,'Previous Rank'!$C$2:$C2766=C961),"""")"),945.0)</f>
        <v>945</v>
      </c>
      <c r="H961" s="8">
        <f t="shared" si="1"/>
        <v>-15</v>
      </c>
    </row>
    <row r="962">
      <c r="A962" s="10">
        <v>961.0</v>
      </c>
      <c r="B962" s="11" t="s">
        <v>1049</v>
      </c>
      <c r="C962" s="10" t="s">
        <v>22</v>
      </c>
      <c r="D962" s="10" t="s">
        <v>113</v>
      </c>
      <c r="E962" s="16"/>
      <c r="F962" s="16" t="s">
        <v>382</v>
      </c>
      <c r="G962" s="13">
        <f>IFERROR(__xludf.DUMMYFUNCTION("if(counta(filter('Previous Rank'!$A$2:$A2766,'Previous Rank'!$B$2:$B2766=B962,'Previous Rank'!$C$2:$C2766=C962))=1,filter('Previous Rank'!$A$2:$A2766,'Previous Rank'!$B$2:$B2766=B962,'Previous Rank'!$C$2:$C2766=C962),"""")"),946.0)</f>
        <v>946</v>
      </c>
      <c r="H962" s="8">
        <f t="shared" si="1"/>
        <v>-15</v>
      </c>
    </row>
    <row r="963">
      <c r="A963" s="10">
        <v>962.0</v>
      </c>
      <c r="B963" s="11" t="s">
        <v>1050</v>
      </c>
      <c r="C963" s="10" t="s">
        <v>22</v>
      </c>
      <c r="D963" s="10" t="s">
        <v>52</v>
      </c>
      <c r="E963" s="15"/>
      <c r="F963" s="15" t="s">
        <v>382</v>
      </c>
      <c r="G963" s="13">
        <f>IFERROR(__xludf.DUMMYFUNCTION("if(counta(filter('Previous Rank'!$A$2:$A2766,'Previous Rank'!$B$2:$B2766=B963,'Previous Rank'!$C$2:$C2766=C963))=1,filter('Previous Rank'!$A$2:$A2766,'Previous Rank'!$B$2:$B2766=B963,'Previous Rank'!$C$2:$C2766=C963),"""")"),947.0)</f>
        <v>947</v>
      </c>
      <c r="H963" s="8">
        <f t="shared" si="1"/>
        <v>-15</v>
      </c>
    </row>
    <row r="964">
      <c r="A964" s="10">
        <v>963.0</v>
      </c>
      <c r="B964" s="11" t="s">
        <v>1051</v>
      </c>
      <c r="C964" s="10" t="s">
        <v>22</v>
      </c>
      <c r="D964" s="10" t="s">
        <v>36</v>
      </c>
      <c r="E964" s="16"/>
      <c r="F964" s="16" t="s">
        <v>382</v>
      </c>
      <c r="G964" s="13">
        <f>IFERROR(__xludf.DUMMYFUNCTION("if(counta(filter('Previous Rank'!$A$2:$A2766,'Previous Rank'!$B$2:$B2766=B964,'Previous Rank'!$C$2:$C2766=C964))=1,filter('Previous Rank'!$A$2:$A2766,'Previous Rank'!$B$2:$B2766=B964,'Previous Rank'!$C$2:$C2766=C964),"""")"),948.0)</f>
        <v>948</v>
      </c>
      <c r="H964" s="8">
        <f t="shared" si="1"/>
        <v>-15</v>
      </c>
    </row>
    <row r="965">
      <c r="A965" s="10">
        <v>964.0</v>
      </c>
      <c r="B965" s="11" t="s">
        <v>1052</v>
      </c>
      <c r="C965" s="10" t="s">
        <v>22</v>
      </c>
      <c r="D965" s="10" t="s">
        <v>122</v>
      </c>
      <c r="E965" s="15"/>
      <c r="F965" s="15" t="s">
        <v>382</v>
      </c>
      <c r="G965" s="13">
        <f>IFERROR(__xludf.DUMMYFUNCTION("if(counta(filter('Previous Rank'!$A$2:$A2766,'Previous Rank'!$B$2:$B2766=B965,'Previous Rank'!$C$2:$C2766=C965))=1,filter('Previous Rank'!$A$2:$A2766,'Previous Rank'!$B$2:$B2766=B965,'Previous Rank'!$C$2:$C2766=C965),"""")"),949.0)</f>
        <v>949</v>
      </c>
      <c r="H965" s="8">
        <f t="shared" si="1"/>
        <v>-15</v>
      </c>
    </row>
    <row r="966">
      <c r="A966" s="10">
        <v>965.0</v>
      </c>
      <c r="B966" s="11" t="s">
        <v>1053</v>
      </c>
      <c r="C966" s="10" t="s">
        <v>22</v>
      </c>
      <c r="D966" s="10" t="s">
        <v>120</v>
      </c>
      <c r="E966" s="16"/>
      <c r="F966" s="16" t="s">
        <v>382</v>
      </c>
      <c r="G966" s="13">
        <f>IFERROR(__xludf.DUMMYFUNCTION("if(counta(filter('Previous Rank'!$A$2:$A2766,'Previous Rank'!$B$2:$B2766=B966,'Previous Rank'!$C$2:$C2766=C966))=1,filter('Previous Rank'!$A$2:$A2766,'Previous Rank'!$B$2:$B2766=B966,'Previous Rank'!$C$2:$C2766=C966),"""")"),950.0)</f>
        <v>950</v>
      </c>
      <c r="H966" s="8">
        <f t="shared" si="1"/>
        <v>-15</v>
      </c>
    </row>
    <row r="967">
      <c r="A967" s="10">
        <v>966.0</v>
      </c>
      <c r="B967" s="11" t="s">
        <v>1054</v>
      </c>
      <c r="C967" s="10" t="s">
        <v>22</v>
      </c>
      <c r="D967" s="10" t="s">
        <v>18</v>
      </c>
      <c r="E967" s="15"/>
      <c r="F967" s="15" t="s">
        <v>382</v>
      </c>
      <c r="G967" s="13">
        <f>IFERROR(__xludf.DUMMYFUNCTION("if(counta(filter('Previous Rank'!$A$2:$A2766,'Previous Rank'!$B$2:$B2766=B967,'Previous Rank'!$C$2:$C2766=C967))=1,filter('Previous Rank'!$A$2:$A2766,'Previous Rank'!$B$2:$B2766=B967,'Previous Rank'!$C$2:$C2766=C967),"""")"),951.0)</f>
        <v>951</v>
      </c>
      <c r="H967" s="8">
        <f t="shared" si="1"/>
        <v>-15</v>
      </c>
    </row>
    <row r="968">
      <c r="A968" s="10">
        <v>967.0</v>
      </c>
      <c r="B968" s="11" t="s">
        <v>1055</v>
      </c>
      <c r="C968" s="10" t="s">
        <v>79</v>
      </c>
      <c r="D968" s="10" t="s">
        <v>137</v>
      </c>
      <c r="E968" s="16"/>
      <c r="F968" s="16" t="s">
        <v>382</v>
      </c>
      <c r="G968" s="13">
        <f>IFERROR(__xludf.DUMMYFUNCTION("if(counta(filter('Previous Rank'!$A$2:$A2766,'Previous Rank'!$B$2:$B2766=B968,'Previous Rank'!$C$2:$C2766=C968))=1,filter('Previous Rank'!$A$2:$A2766,'Previous Rank'!$B$2:$B2766=B968,'Previous Rank'!$C$2:$C2766=C968),"""")"),952.0)</f>
        <v>952</v>
      </c>
      <c r="H968" s="8">
        <f t="shared" si="1"/>
        <v>-15</v>
      </c>
    </row>
    <row r="969">
      <c r="A969" s="10">
        <v>968.0</v>
      </c>
      <c r="B969" s="11" t="s">
        <v>1056</v>
      </c>
      <c r="C969" s="10" t="s">
        <v>22</v>
      </c>
      <c r="D969" s="10" t="s">
        <v>82</v>
      </c>
      <c r="E969" s="15"/>
      <c r="F969" s="15" t="s">
        <v>382</v>
      </c>
      <c r="G969" s="13">
        <f>IFERROR(__xludf.DUMMYFUNCTION("if(counta(filter('Previous Rank'!$A$2:$A2766,'Previous Rank'!$B$2:$B2766=B969,'Previous Rank'!$C$2:$C2766=C969))=1,filter('Previous Rank'!$A$2:$A2766,'Previous Rank'!$B$2:$B2766=B969,'Previous Rank'!$C$2:$C2766=C969),"""")"),953.0)</f>
        <v>953</v>
      </c>
      <c r="H969" s="8">
        <f t="shared" si="1"/>
        <v>-15</v>
      </c>
    </row>
    <row r="970">
      <c r="A970" s="10">
        <v>969.0</v>
      </c>
      <c r="B970" s="11" t="s">
        <v>1057</v>
      </c>
      <c r="C970" s="10" t="s">
        <v>22</v>
      </c>
      <c r="D970" s="10" t="s">
        <v>12</v>
      </c>
      <c r="E970" s="16"/>
      <c r="F970" s="16" t="s">
        <v>382</v>
      </c>
      <c r="G970" s="13">
        <f>IFERROR(__xludf.DUMMYFUNCTION("if(counta(filter('Previous Rank'!$A$2:$A2766,'Previous Rank'!$B$2:$B2766=B970,'Previous Rank'!$C$2:$C2766=C970))=1,filter('Previous Rank'!$A$2:$A2766,'Previous Rank'!$B$2:$B2766=B970,'Previous Rank'!$C$2:$C2766=C970),"""")"),954.0)</f>
        <v>954</v>
      </c>
      <c r="H970" s="8">
        <f t="shared" si="1"/>
        <v>-15</v>
      </c>
    </row>
    <row r="971">
      <c r="A971" s="10">
        <v>970.0</v>
      </c>
      <c r="B971" s="11" t="s">
        <v>1058</v>
      </c>
      <c r="C971" s="10" t="s">
        <v>22</v>
      </c>
      <c r="D971" s="10" t="s">
        <v>113</v>
      </c>
      <c r="E971" s="15"/>
      <c r="F971" s="15" t="s">
        <v>382</v>
      </c>
      <c r="G971" s="13">
        <f>IFERROR(__xludf.DUMMYFUNCTION("if(counta(filter('Previous Rank'!$A$2:$A2766,'Previous Rank'!$B$2:$B2766=B971,'Previous Rank'!$C$2:$C2766=C971))=1,filter('Previous Rank'!$A$2:$A2766,'Previous Rank'!$B$2:$B2766=B971,'Previous Rank'!$C$2:$C2766=C971),"""")"),955.0)</f>
        <v>955</v>
      </c>
      <c r="H971" s="8">
        <f t="shared" si="1"/>
        <v>-15</v>
      </c>
    </row>
    <row r="972">
      <c r="A972" s="10">
        <v>971.0</v>
      </c>
      <c r="B972" s="11" t="s">
        <v>1059</v>
      </c>
      <c r="C972" s="10" t="s">
        <v>79</v>
      </c>
      <c r="D972" s="10" t="s">
        <v>18</v>
      </c>
      <c r="E972" s="16"/>
      <c r="F972" s="16" t="s">
        <v>382</v>
      </c>
      <c r="G972" s="13">
        <f>IFERROR(__xludf.DUMMYFUNCTION("if(counta(filter('Previous Rank'!$A$2:$A2766,'Previous Rank'!$B$2:$B2766=B972,'Previous Rank'!$C$2:$C2766=C972))=1,filter('Previous Rank'!$A$2:$A2766,'Previous Rank'!$B$2:$B2766=B972,'Previous Rank'!$C$2:$C2766=C972),"""")"),956.0)</f>
        <v>956</v>
      </c>
      <c r="H972" s="8">
        <f t="shared" si="1"/>
        <v>-15</v>
      </c>
    </row>
    <row r="973">
      <c r="A973" s="10">
        <v>972.0</v>
      </c>
      <c r="B973" s="11" t="s">
        <v>1060</v>
      </c>
      <c r="C973" s="10" t="s">
        <v>79</v>
      </c>
      <c r="D973" s="10" t="s">
        <v>95</v>
      </c>
      <c r="E973" s="15"/>
      <c r="F973" s="15" t="s">
        <v>382</v>
      </c>
      <c r="G973" s="13">
        <f>IFERROR(__xludf.DUMMYFUNCTION("if(counta(filter('Previous Rank'!$A$2:$A2766,'Previous Rank'!$B$2:$B2766=B973,'Previous Rank'!$C$2:$C2766=C973))=1,filter('Previous Rank'!$A$2:$A2766,'Previous Rank'!$B$2:$B2766=B973,'Previous Rank'!$C$2:$C2766=C973),"""")"),957.0)</f>
        <v>957</v>
      </c>
      <c r="H973" s="8">
        <f t="shared" si="1"/>
        <v>-15</v>
      </c>
    </row>
    <row r="974">
      <c r="A974" s="10">
        <v>973.0</v>
      </c>
      <c r="B974" s="11" t="s">
        <v>1061</v>
      </c>
      <c r="C974" s="10" t="s">
        <v>79</v>
      </c>
      <c r="D974" s="10" t="s">
        <v>120</v>
      </c>
      <c r="E974" s="16"/>
      <c r="F974" s="16" t="s">
        <v>382</v>
      </c>
      <c r="G974" s="13">
        <f>IFERROR(__xludf.DUMMYFUNCTION("if(counta(filter('Previous Rank'!$A$2:$A2766,'Previous Rank'!$B$2:$B2766=B974,'Previous Rank'!$C$2:$C2766=C974))=1,filter('Previous Rank'!$A$2:$A2766,'Previous Rank'!$B$2:$B2766=B974,'Previous Rank'!$C$2:$C2766=C974),"""")"),958.0)</f>
        <v>958</v>
      </c>
      <c r="H974" s="8">
        <f t="shared" si="1"/>
        <v>-15</v>
      </c>
    </row>
    <row r="975">
      <c r="A975" s="10">
        <v>974.0</v>
      </c>
      <c r="B975" s="11" t="s">
        <v>1062</v>
      </c>
      <c r="C975" s="10" t="s">
        <v>79</v>
      </c>
      <c r="D975" s="10" t="s">
        <v>31</v>
      </c>
      <c r="E975" s="15"/>
      <c r="F975" s="15" t="s">
        <v>382</v>
      </c>
      <c r="G975" s="13">
        <f>IFERROR(__xludf.DUMMYFUNCTION("if(counta(filter('Previous Rank'!$A$2:$A2766,'Previous Rank'!$B$2:$B2766=B975,'Previous Rank'!$C$2:$C2766=C975))=1,filter('Previous Rank'!$A$2:$A2766,'Previous Rank'!$B$2:$B2766=B975,'Previous Rank'!$C$2:$C2766=C975),"""")"),959.0)</f>
        <v>959</v>
      </c>
      <c r="H975" s="8">
        <f t="shared" si="1"/>
        <v>-15</v>
      </c>
    </row>
    <row r="976">
      <c r="A976" s="10">
        <v>975.0</v>
      </c>
      <c r="B976" s="11" t="s">
        <v>1063</v>
      </c>
      <c r="C976" s="10" t="s">
        <v>22</v>
      </c>
      <c r="D976" s="10" t="s">
        <v>49</v>
      </c>
      <c r="E976" s="16"/>
      <c r="F976" s="16" t="s">
        <v>382</v>
      </c>
      <c r="G976" s="13">
        <f>IFERROR(__xludf.DUMMYFUNCTION("if(counta(filter('Previous Rank'!$A$2:$A2766,'Previous Rank'!$B$2:$B2766=B976,'Previous Rank'!$C$2:$C2766=C976))=1,filter('Previous Rank'!$A$2:$A2766,'Previous Rank'!$B$2:$B2766=B976,'Previous Rank'!$C$2:$C2766=C976),"""")"),960.0)</f>
        <v>960</v>
      </c>
      <c r="H976" s="8">
        <f t="shared" si="1"/>
        <v>-15</v>
      </c>
    </row>
    <row r="977">
      <c r="A977" s="10">
        <v>976.0</v>
      </c>
      <c r="B977" s="11" t="s">
        <v>1064</v>
      </c>
      <c r="C977" s="10" t="s">
        <v>79</v>
      </c>
      <c r="D977" s="10" t="s">
        <v>120</v>
      </c>
      <c r="E977" s="15"/>
      <c r="F977" s="15" t="s">
        <v>382</v>
      </c>
      <c r="G977" s="13">
        <f>IFERROR(__xludf.DUMMYFUNCTION("if(counta(filter('Previous Rank'!$A$2:$A2766,'Previous Rank'!$B$2:$B2766=B977,'Previous Rank'!$C$2:$C2766=C977))=1,filter('Previous Rank'!$A$2:$A2766,'Previous Rank'!$B$2:$B2766=B977,'Previous Rank'!$C$2:$C2766=C977),"""")"),961.0)</f>
        <v>961</v>
      </c>
      <c r="H977" s="8">
        <f t="shared" si="1"/>
        <v>-15</v>
      </c>
    </row>
    <row r="978">
      <c r="A978" s="10">
        <v>977.0</v>
      </c>
      <c r="B978" s="11" t="s">
        <v>1065</v>
      </c>
      <c r="C978" s="10" t="s">
        <v>22</v>
      </c>
      <c r="D978" s="10" t="s">
        <v>122</v>
      </c>
      <c r="E978" s="16"/>
      <c r="F978" s="16" t="s">
        <v>382</v>
      </c>
      <c r="G978" s="13">
        <f>IFERROR(__xludf.DUMMYFUNCTION("if(counta(filter('Previous Rank'!$A$2:$A2766,'Previous Rank'!$B$2:$B2766=B978,'Previous Rank'!$C$2:$C2766=C978))=1,filter('Previous Rank'!$A$2:$A2766,'Previous Rank'!$B$2:$B2766=B978,'Previous Rank'!$C$2:$C2766=C978),"""")"),962.0)</f>
        <v>962</v>
      </c>
      <c r="H978" s="8">
        <f t="shared" si="1"/>
        <v>-15</v>
      </c>
    </row>
    <row r="979">
      <c r="A979" s="10">
        <v>978.0</v>
      </c>
      <c r="B979" s="11" t="s">
        <v>1066</v>
      </c>
      <c r="C979" s="10" t="s">
        <v>79</v>
      </c>
      <c r="D979" s="10" t="s">
        <v>34</v>
      </c>
      <c r="E979" s="15"/>
      <c r="F979" s="15" t="s">
        <v>382</v>
      </c>
      <c r="G979" s="13">
        <f>IFERROR(__xludf.DUMMYFUNCTION("if(counta(filter('Previous Rank'!$A$2:$A2766,'Previous Rank'!$B$2:$B2766=B979,'Previous Rank'!$C$2:$C2766=C979))=1,filter('Previous Rank'!$A$2:$A2766,'Previous Rank'!$B$2:$B2766=B979,'Previous Rank'!$C$2:$C2766=C979),"""")"),963.0)</f>
        <v>963</v>
      </c>
      <c r="H979" s="8">
        <f t="shared" si="1"/>
        <v>-15</v>
      </c>
    </row>
    <row r="980">
      <c r="A980" s="10">
        <v>979.0</v>
      </c>
      <c r="B980" s="11" t="s">
        <v>1067</v>
      </c>
      <c r="C980" s="10" t="s">
        <v>22</v>
      </c>
      <c r="D980" s="10" t="s">
        <v>15</v>
      </c>
      <c r="E980" s="16"/>
      <c r="F980" s="16" t="s">
        <v>382</v>
      </c>
      <c r="G980" s="13">
        <f>IFERROR(__xludf.DUMMYFUNCTION("if(counta(filter('Previous Rank'!$A$2:$A2766,'Previous Rank'!$B$2:$B2766=B980,'Previous Rank'!$C$2:$C2766=C980))=1,filter('Previous Rank'!$A$2:$A2766,'Previous Rank'!$B$2:$B2766=B980,'Previous Rank'!$C$2:$C2766=C980),"""")"),964.0)</f>
        <v>964</v>
      </c>
      <c r="H980" s="8">
        <f t="shared" si="1"/>
        <v>-15</v>
      </c>
    </row>
    <row r="981">
      <c r="A981" s="10">
        <v>980.0</v>
      </c>
      <c r="B981" s="11" t="s">
        <v>1068</v>
      </c>
      <c r="C981" s="10" t="s">
        <v>22</v>
      </c>
      <c r="D981" s="10" t="s">
        <v>42</v>
      </c>
      <c r="E981" s="15"/>
      <c r="F981" s="15" t="s">
        <v>382</v>
      </c>
      <c r="G981" s="13">
        <f>IFERROR(__xludf.DUMMYFUNCTION("if(counta(filter('Previous Rank'!$A$2:$A2766,'Previous Rank'!$B$2:$B2766=B981,'Previous Rank'!$C$2:$C2766=C981))=1,filter('Previous Rank'!$A$2:$A2766,'Previous Rank'!$B$2:$B2766=B981,'Previous Rank'!$C$2:$C2766=C981),"""")"),965.0)</f>
        <v>965</v>
      </c>
      <c r="H981" s="8">
        <f t="shared" si="1"/>
        <v>-15</v>
      </c>
    </row>
    <row r="982">
      <c r="A982" s="10">
        <v>981.0</v>
      </c>
      <c r="B982" s="11" t="s">
        <v>1069</v>
      </c>
      <c r="C982" s="10" t="s">
        <v>22</v>
      </c>
      <c r="D982" s="10" t="s">
        <v>105</v>
      </c>
      <c r="E982" s="16"/>
      <c r="F982" s="16" t="s">
        <v>382</v>
      </c>
      <c r="G982" s="13">
        <f>IFERROR(__xludf.DUMMYFUNCTION("if(counta(filter('Previous Rank'!$A$2:$A2766,'Previous Rank'!$B$2:$B2766=B982,'Previous Rank'!$C$2:$C2766=C982))=1,filter('Previous Rank'!$A$2:$A2766,'Previous Rank'!$B$2:$B2766=B982,'Previous Rank'!$C$2:$C2766=C982),"""")"),966.0)</f>
        <v>966</v>
      </c>
      <c r="H982" s="8">
        <f t="shared" si="1"/>
        <v>-15</v>
      </c>
    </row>
    <row r="983">
      <c r="A983" s="10">
        <v>982.0</v>
      </c>
      <c r="B983" s="11" t="s">
        <v>1070</v>
      </c>
      <c r="C983" s="10" t="s">
        <v>79</v>
      </c>
      <c r="D983" s="10" t="s">
        <v>129</v>
      </c>
      <c r="E983" s="15"/>
      <c r="F983" s="15" t="s">
        <v>382</v>
      </c>
      <c r="G983" s="13">
        <f>IFERROR(__xludf.DUMMYFUNCTION("if(counta(filter('Previous Rank'!$A$2:$A2766,'Previous Rank'!$B$2:$B2766=B983,'Previous Rank'!$C$2:$C2766=C983))=1,filter('Previous Rank'!$A$2:$A2766,'Previous Rank'!$B$2:$B2766=B983,'Previous Rank'!$C$2:$C2766=C983),"""")"),967.0)</f>
        <v>967</v>
      </c>
      <c r="H983" s="8">
        <f t="shared" si="1"/>
        <v>-15</v>
      </c>
    </row>
    <row r="984">
      <c r="A984" s="10">
        <v>983.0</v>
      </c>
      <c r="B984" s="11" t="s">
        <v>1071</v>
      </c>
      <c r="C984" s="10" t="s">
        <v>22</v>
      </c>
      <c r="D984" s="10" t="s">
        <v>42</v>
      </c>
      <c r="E984" s="16"/>
      <c r="F984" s="16" t="s">
        <v>382</v>
      </c>
      <c r="G984" s="13">
        <f>IFERROR(__xludf.DUMMYFUNCTION("if(counta(filter('Previous Rank'!$A$2:$A2766,'Previous Rank'!$B$2:$B2766=B984,'Previous Rank'!$C$2:$C2766=C984))=1,filter('Previous Rank'!$A$2:$A2766,'Previous Rank'!$B$2:$B2766=B984,'Previous Rank'!$C$2:$C2766=C984),"""")"),968.0)</f>
        <v>968</v>
      </c>
      <c r="H984" s="8">
        <f t="shared" si="1"/>
        <v>-15</v>
      </c>
    </row>
    <row r="985">
      <c r="A985" s="10">
        <v>984.0</v>
      </c>
      <c r="B985" s="11" t="s">
        <v>1072</v>
      </c>
      <c r="C985" s="10" t="s">
        <v>22</v>
      </c>
      <c r="D985" s="10" t="s">
        <v>34</v>
      </c>
      <c r="E985" s="15"/>
      <c r="F985" s="15" t="s">
        <v>382</v>
      </c>
      <c r="G985" s="13">
        <f>IFERROR(__xludf.DUMMYFUNCTION("if(counta(filter('Previous Rank'!$A$2:$A2766,'Previous Rank'!$B$2:$B2766=B985,'Previous Rank'!$C$2:$C2766=C985))=1,filter('Previous Rank'!$A$2:$A2766,'Previous Rank'!$B$2:$B2766=B985,'Previous Rank'!$C$2:$C2766=C985),"""")"),969.0)</f>
        <v>969</v>
      </c>
      <c r="H985" s="8">
        <f t="shared" si="1"/>
        <v>-15</v>
      </c>
    </row>
    <row r="986">
      <c r="A986" s="10">
        <v>985.0</v>
      </c>
      <c r="B986" s="11" t="s">
        <v>1073</v>
      </c>
      <c r="C986" s="10" t="s">
        <v>22</v>
      </c>
      <c r="D986" s="10" t="s">
        <v>137</v>
      </c>
      <c r="E986" s="16"/>
      <c r="F986" s="16" t="s">
        <v>382</v>
      </c>
      <c r="G986" s="13">
        <f>IFERROR(__xludf.DUMMYFUNCTION("if(counta(filter('Previous Rank'!$A$2:$A2766,'Previous Rank'!$B$2:$B2766=B986,'Previous Rank'!$C$2:$C2766=C986))=1,filter('Previous Rank'!$A$2:$A2766,'Previous Rank'!$B$2:$B2766=B986,'Previous Rank'!$C$2:$C2766=C986),"""")"),970.0)</f>
        <v>970</v>
      </c>
      <c r="H986" s="8">
        <f t="shared" si="1"/>
        <v>-15</v>
      </c>
    </row>
    <row r="987">
      <c r="A987" s="10">
        <v>986.0</v>
      </c>
      <c r="B987" s="11" t="s">
        <v>1074</v>
      </c>
      <c r="C987" s="10" t="s">
        <v>22</v>
      </c>
      <c r="D987" s="10" t="s">
        <v>120</v>
      </c>
      <c r="E987" s="15"/>
      <c r="F987" s="15" t="s">
        <v>382</v>
      </c>
      <c r="G987" s="13">
        <f>IFERROR(__xludf.DUMMYFUNCTION("if(counta(filter('Previous Rank'!$A$2:$A2766,'Previous Rank'!$B$2:$B2766=B987,'Previous Rank'!$C$2:$C2766=C987))=1,filter('Previous Rank'!$A$2:$A2766,'Previous Rank'!$B$2:$B2766=B987,'Previous Rank'!$C$2:$C2766=C987),"""")"),971.0)</f>
        <v>971</v>
      </c>
      <c r="H987" s="8">
        <f t="shared" si="1"/>
        <v>-15</v>
      </c>
    </row>
    <row r="988">
      <c r="A988" s="10">
        <v>987.0</v>
      </c>
      <c r="B988" s="11" t="s">
        <v>1075</v>
      </c>
      <c r="C988" s="10" t="s">
        <v>79</v>
      </c>
      <c r="D988" s="10" t="s">
        <v>129</v>
      </c>
      <c r="E988" s="16"/>
      <c r="F988" s="16" t="s">
        <v>382</v>
      </c>
      <c r="G988" s="13">
        <f>IFERROR(__xludf.DUMMYFUNCTION("if(counta(filter('Previous Rank'!$A$2:$A2766,'Previous Rank'!$B$2:$B2766=B988,'Previous Rank'!$C$2:$C2766=C988))=1,filter('Previous Rank'!$A$2:$A2766,'Previous Rank'!$B$2:$B2766=B988,'Previous Rank'!$C$2:$C2766=C988),"""")"),972.0)</f>
        <v>972</v>
      </c>
      <c r="H988" s="8">
        <f t="shared" si="1"/>
        <v>-15</v>
      </c>
    </row>
    <row r="989">
      <c r="A989" s="10">
        <v>988.0</v>
      </c>
      <c r="B989" s="11" t="s">
        <v>1076</v>
      </c>
      <c r="C989" s="10" t="s">
        <v>22</v>
      </c>
      <c r="D989" s="10" t="s">
        <v>15</v>
      </c>
      <c r="E989" s="15"/>
      <c r="F989" s="15" t="s">
        <v>382</v>
      </c>
      <c r="G989" s="13">
        <f>IFERROR(__xludf.DUMMYFUNCTION("if(counta(filter('Previous Rank'!$A$2:$A2766,'Previous Rank'!$B$2:$B2766=B989,'Previous Rank'!$C$2:$C2766=C989))=1,filter('Previous Rank'!$A$2:$A2766,'Previous Rank'!$B$2:$B2766=B989,'Previous Rank'!$C$2:$C2766=C989),"""")"),973.0)</f>
        <v>973</v>
      </c>
      <c r="H989" s="8">
        <f t="shared" si="1"/>
        <v>-15</v>
      </c>
    </row>
    <row r="990">
      <c r="A990" s="10">
        <v>989.0</v>
      </c>
      <c r="B990" s="11" t="s">
        <v>1077</v>
      </c>
      <c r="C990" s="10" t="s">
        <v>22</v>
      </c>
      <c r="D990" s="10" t="s">
        <v>18</v>
      </c>
      <c r="E990" s="16"/>
      <c r="F990" s="16" t="s">
        <v>382</v>
      </c>
      <c r="G990" s="13">
        <f>IFERROR(__xludf.DUMMYFUNCTION("if(counta(filter('Previous Rank'!$A$2:$A2766,'Previous Rank'!$B$2:$B2766=B990,'Previous Rank'!$C$2:$C2766=C990))=1,filter('Previous Rank'!$A$2:$A2766,'Previous Rank'!$B$2:$B2766=B990,'Previous Rank'!$C$2:$C2766=C990),"""")"),974.0)</f>
        <v>974</v>
      </c>
      <c r="H990" s="8">
        <f t="shared" si="1"/>
        <v>-15</v>
      </c>
    </row>
    <row r="991">
      <c r="A991" s="10">
        <v>990.0</v>
      </c>
      <c r="B991" s="11" t="s">
        <v>1078</v>
      </c>
      <c r="C991" s="10" t="s">
        <v>79</v>
      </c>
      <c r="D991" s="10" t="s">
        <v>31</v>
      </c>
      <c r="E991" s="15"/>
      <c r="F991" s="15" t="s">
        <v>382</v>
      </c>
      <c r="G991" s="13">
        <f>IFERROR(__xludf.DUMMYFUNCTION("if(counta(filter('Previous Rank'!$A$2:$A2766,'Previous Rank'!$B$2:$B2766=B991,'Previous Rank'!$C$2:$C2766=C991))=1,filter('Previous Rank'!$A$2:$A2766,'Previous Rank'!$B$2:$B2766=B991,'Previous Rank'!$C$2:$C2766=C991),"""")"),975.0)</f>
        <v>975</v>
      </c>
      <c r="H991" s="8">
        <f t="shared" si="1"/>
        <v>-15</v>
      </c>
    </row>
    <row r="992">
      <c r="A992" s="10">
        <v>991.0</v>
      </c>
      <c r="B992" s="11" t="s">
        <v>1079</v>
      </c>
      <c r="C992" s="10" t="s">
        <v>22</v>
      </c>
      <c r="D992" s="10" t="s">
        <v>105</v>
      </c>
      <c r="E992" s="16"/>
      <c r="F992" s="16" t="s">
        <v>382</v>
      </c>
      <c r="G992" s="13">
        <f>IFERROR(__xludf.DUMMYFUNCTION("if(counta(filter('Previous Rank'!$A$2:$A2766,'Previous Rank'!$B$2:$B2766=B992,'Previous Rank'!$C$2:$C2766=C992))=1,filter('Previous Rank'!$A$2:$A2766,'Previous Rank'!$B$2:$B2766=B992,'Previous Rank'!$C$2:$C2766=C992),"""")"),976.0)</f>
        <v>976</v>
      </c>
      <c r="H992" s="8">
        <f t="shared" si="1"/>
        <v>-15</v>
      </c>
    </row>
    <row r="993">
      <c r="A993" s="10">
        <v>992.0</v>
      </c>
      <c r="B993" s="11" t="s">
        <v>1080</v>
      </c>
      <c r="C993" s="10" t="s">
        <v>22</v>
      </c>
      <c r="D993" s="10" t="s">
        <v>49</v>
      </c>
      <c r="E993" s="15"/>
      <c r="F993" s="15" t="s">
        <v>382</v>
      </c>
      <c r="G993" s="13">
        <f>IFERROR(__xludf.DUMMYFUNCTION("if(counta(filter('Previous Rank'!$A$2:$A2766,'Previous Rank'!$B$2:$B2766=B993,'Previous Rank'!$C$2:$C2766=C993))=1,filter('Previous Rank'!$A$2:$A2766,'Previous Rank'!$B$2:$B2766=B993,'Previous Rank'!$C$2:$C2766=C993),"""")"),977.0)</f>
        <v>977</v>
      </c>
      <c r="H993" s="8">
        <f t="shared" si="1"/>
        <v>-15</v>
      </c>
    </row>
    <row r="994">
      <c r="A994" s="10">
        <v>993.0</v>
      </c>
      <c r="B994" s="11" t="s">
        <v>1081</v>
      </c>
      <c r="C994" s="10" t="s">
        <v>22</v>
      </c>
      <c r="D994" s="10" t="s">
        <v>99</v>
      </c>
      <c r="E994" s="16"/>
      <c r="F994" s="16" t="s">
        <v>382</v>
      </c>
      <c r="G994" s="13">
        <f>IFERROR(__xludf.DUMMYFUNCTION("if(counta(filter('Previous Rank'!$A$2:$A2766,'Previous Rank'!$B$2:$B2766=B994,'Previous Rank'!$C$2:$C2766=C994))=1,filter('Previous Rank'!$A$2:$A2766,'Previous Rank'!$B$2:$B2766=B994,'Previous Rank'!$C$2:$C2766=C994),"""")"),978.0)</f>
        <v>978</v>
      </c>
      <c r="H994" s="8">
        <f t="shared" si="1"/>
        <v>-15</v>
      </c>
    </row>
    <row r="995">
      <c r="A995" s="10">
        <v>994.0</v>
      </c>
      <c r="B995" s="11" t="s">
        <v>1082</v>
      </c>
      <c r="C995" s="10" t="s">
        <v>79</v>
      </c>
      <c r="D995" s="10" t="s">
        <v>129</v>
      </c>
      <c r="E995" s="15"/>
      <c r="F995" s="15" t="s">
        <v>382</v>
      </c>
      <c r="G995" s="13">
        <f>IFERROR(__xludf.DUMMYFUNCTION("if(counta(filter('Previous Rank'!$A$2:$A2766,'Previous Rank'!$B$2:$B2766=B995,'Previous Rank'!$C$2:$C2766=C995))=1,filter('Previous Rank'!$A$2:$A2766,'Previous Rank'!$B$2:$B2766=B995,'Previous Rank'!$C$2:$C2766=C995),"""")"),979.0)</f>
        <v>979</v>
      </c>
      <c r="H995" s="8">
        <f t="shared" si="1"/>
        <v>-15</v>
      </c>
    </row>
    <row r="996">
      <c r="A996" s="10">
        <v>995.0</v>
      </c>
      <c r="B996" s="11" t="s">
        <v>1083</v>
      </c>
      <c r="C996" s="10" t="s">
        <v>22</v>
      </c>
      <c r="D996" s="10" t="s">
        <v>122</v>
      </c>
      <c r="E996" s="16"/>
      <c r="F996" s="16" t="s">
        <v>382</v>
      </c>
      <c r="G996" s="13">
        <f>IFERROR(__xludf.DUMMYFUNCTION("if(counta(filter('Previous Rank'!$A$2:$A2766,'Previous Rank'!$B$2:$B2766=B996,'Previous Rank'!$C$2:$C2766=C996))=1,filter('Previous Rank'!$A$2:$A2766,'Previous Rank'!$B$2:$B2766=B996,'Previous Rank'!$C$2:$C2766=C996),"""")"),980.0)</f>
        <v>980</v>
      </c>
      <c r="H996" s="8">
        <f t="shared" si="1"/>
        <v>-15</v>
      </c>
    </row>
    <row r="997">
      <c r="A997" s="10">
        <v>996.0</v>
      </c>
      <c r="B997" s="11" t="s">
        <v>1084</v>
      </c>
      <c r="C997" s="10" t="s">
        <v>22</v>
      </c>
      <c r="D997" s="10" t="s">
        <v>122</v>
      </c>
      <c r="E997" s="15"/>
      <c r="F997" s="15" t="s">
        <v>382</v>
      </c>
      <c r="G997" s="13">
        <f>IFERROR(__xludf.DUMMYFUNCTION("if(counta(filter('Previous Rank'!$A$2:$A2766,'Previous Rank'!$B$2:$B2766=B997,'Previous Rank'!$C$2:$C2766=C997))=1,filter('Previous Rank'!$A$2:$A2766,'Previous Rank'!$B$2:$B2766=B997,'Previous Rank'!$C$2:$C2766=C997),"""")"),981.0)</f>
        <v>981</v>
      </c>
      <c r="H997" s="8">
        <f t="shared" si="1"/>
        <v>-15</v>
      </c>
    </row>
    <row r="998">
      <c r="A998" s="10">
        <v>997.0</v>
      </c>
      <c r="B998" s="11" t="s">
        <v>1085</v>
      </c>
      <c r="C998" s="10" t="s">
        <v>22</v>
      </c>
      <c r="D998" s="10" t="s">
        <v>9</v>
      </c>
      <c r="E998" s="16"/>
      <c r="F998" s="16" t="s">
        <v>382</v>
      </c>
      <c r="G998" s="13">
        <f>IFERROR(__xludf.DUMMYFUNCTION("if(counta(filter('Previous Rank'!$A$2:$A2766,'Previous Rank'!$B$2:$B2766=B998,'Previous Rank'!$C$2:$C2766=C998))=1,filter('Previous Rank'!$A$2:$A2766,'Previous Rank'!$B$2:$B2766=B998,'Previous Rank'!$C$2:$C2766=C998),"""")"),982.0)</f>
        <v>982</v>
      </c>
      <c r="H998" s="8">
        <f t="shared" si="1"/>
        <v>-15</v>
      </c>
    </row>
    <row r="999">
      <c r="A999" s="10">
        <v>998.0</v>
      </c>
      <c r="B999" s="11" t="s">
        <v>1086</v>
      </c>
      <c r="C999" s="10" t="s">
        <v>22</v>
      </c>
      <c r="D999" s="10" t="s">
        <v>52</v>
      </c>
      <c r="E999" s="15"/>
      <c r="F999" s="15" t="s">
        <v>382</v>
      </c>
      <c r="G999" s="13">
        <f>IFERROR(__xludf.DUMMYFUNCTION("if(counta(filter('Previous Rank'!$A$2:$A2766,'Previous Rank'!$B$2:$B2766=B999,'Previous Rank'!$C$2:$C2766=C999))=1,filter('Previous Rank'!$A$2:$A2766,'Previous Rank'!$B$2:$B2766=B999,'Previous Rank'!$C$2:$C2766=C999),"""")"),983.0)</f>
        <v>983</v>
      </c>
      <c r="H999" s="8">
        <f t="shared" si="1"/>
        <v>-15</v>
      </c>
    </row>
    <row r="1000">
      <c r="A1000" s="10">
        <v>999.0</v>
      </c>
      <c r="B1000" s="11" t="s">
        <v>1087</v>
      </c>
      <c r="C1000" s="10" t="s">
        <v>79</v>
      </c>
      <c r="D1000" s="10" t="s">
        <v>34</v>
      </c>
      <c r="E1000" s="16"/>
      <c r="F1000" s="16" t="s">
        <v>382</v>
      </c>
      <c r="G1000" s="13">
        <f>IFERROR(__xludf.DUMMYFUNCTION("if(counta(filter('Previous Rank'!$A$2:$A2766,'Previous Rank'!$B$2:$B2766=B1000,'Previous Rank'!$C$2:$C2766=C1000))=1,filter('Previous Rank'!$A$2:$A2766,'Previous Rank'!$B$2:$B2766=B1000,'Previous Rank'!$C$2:$C2766=C1000),"""")"),984.0)</f>
        <v>984</v>
      </c>
      <c r="H1000" s="8">
        <f t="shared" si="1"/>
        <v>-15</v>
      </c>
    </row>
    <row r="1001">
      <c r="A1001" s="10">
        <v>1000.0</v>
      </c>
      <c r="B1001" s="11" t="s">
        <v>1088</v>
      </c>
      <c r="C1001" s="10" t="s">
        <v>22</v>
      </c>
      <c r="D1001" s="10" t="s">
        <v>23</v>
      </c>
      <c r="E1001" s="15"/>
      <c r="F1001" s="15" t="s">
        <v>382</v>
      </c>
      <c r="G1001" s="13">
        <f>IFERROR(__xludf.DUMMYFUNCTION("if(counta(filter('Previous Rank'!$A$2:$A2766,'Previous Rank'!$B$2:$B2766=B1001,'Previous Rank'!$C$2:$C2766=C1001))=1,filter('Previous Rank'!$A$2:$A2766,'Previous Rank'!$B$2:$B2766=B1001,'Previous Rank'!$C$2:$C2766=C1001),"""")"),985.0)</f>
        <v>985</v>
      </c>
      <c r="H1001" s="8">
        <f t="shared" si="1"/>
        <v>-15</v>
      </c>
    </row>
    <row r="1002">
      <c r="A1002" s="10">
        <v>1001.0</v>
      </c>
      <c r="B1002" s="11" t="s">
        <v>1089</v>
      </c>
      <c r="C1002" s="10" t="s">
        <v>22</v>
      </c>
      <c r="D1002" s="10" t="s">
        <v>31</v>
      </c>
      <c r="E1002" s="16"/>
      <c r="F1002" s="16" t="s">
        <v>382</v>
      </c>
      <c r="G1002" s="13">
        <f>IFERROR(__xludf.DUMMYFUNCTION("if(counta(filter('Previous Rank'!$A$2:$A2766,'Previous Rank'!$B$2:$B2766=B1002,'Previous Rank'!$C$2:$C2766=C1002))=1,filter('Previous Rank'!$A$2:$A2766,'Previous Rank'!$B$2:$B2766=B1002,'Previous Rank'!$C$2:$C2766=C1002),"""")"),986.0)</f>
        <v>986</v>
      </c>
      <c r="H1002" s="8">
        <f t="shared" si="1"/>
        <v>-15</v>
      </c>
    </row>
    <row r="1003">
      <c r="A1003" s="10">
        <v>1002.0</v>
      </c>
      <c r="B1003" s="11" t="s">
        <v>1090</v>
      </c>
      <c r="C1003" s="10" t="s">
        <v>79</v>
      </c>
      <c r="D1003" s="10" t="s">
        <v>140</v>
      </c>
      <c r="E1003" s="15"/>
      <c r="F1003" s="15" t="s">
        <v>382</v>
      </c>
      <c r="G1003" s="13">
        <f>IFERROR(__xludf.DUMMYFUNCTION("if(counta(filter('Previous Rank'!$A$2:$A2766,'Previous Rank'!$B$2:$B2766=B1003,'Previous Rank'!$C$2:$C2766=C1003))=1,filter('Previous Rank'!$A$2:$A2766,'Previous Rank'!$B$2:$B2766=B1003,'Previous Rank'!$C$2:$C2766=C1003),"""")"),987.0)</f>
        <v>987</v>
      </c>
      <c r="H1003" s="8">
        <f t="shared" si="1"/>
        <v>-15</v>
      </c>
    </row>
    <row r="1004">
      <c r="A1004" s="10">
        <v>1003.0</v>
      </c>
      <c r="B1004" s="11" t="s">
        <v>1091</v>
      </c>
      <c r="C1004" s="10" t="s">
        <v>22</v>
      </c>
      <c r="D1004" s="10" t="s">
        <v>90</v>
      </c>
      <c r="E1004" s="16"/>
      <c r="F1004" s="16" t="s">
        <v>382</v>
      </c>
      <c r="G1004" s="13">
        <f>IFERROR(__xludf.DUMMYFUNCTION("if(counta(filter('Previous Rank'!$A$2:$A2766,'Previous Rank'!$B$2:$B2766=B1004,'Previous Rank'!$C$2:$C2766=C1004))=1,filter('Previous Rank'!$A$2:$A2766,'Previous Rank'!$B$2:$B2766=B1004,'Previous Rank'!$C$2:$C2766=C1004),"""")"),988.0)</f>
        <v>988</v>
      </c>
      <c r="H1004" s="8">
        <f t="shared" si="1"/>
        <v>-15</v>
      </c>
    </row>
    <row r="1005">
      <c r="A1005" s="10">
        <v>1004.0</v>
      </c>
      <c r="B1005" s="11" t="s">
        <v>1092</v>
      </c>
      <c r="C1005" s="10" t="s">
        <v>79</v>
      </c>
      <c r="D1005" s="10" t="s">
        <v>42</v>
      </c>
      <c r="E1005" s="15"/>
      <c r="F1005" s="15" t="s">
        <v>382</v>
      </c>
      <c r="G1005" s="13">
        <f>IFERROR(__xludf.DUMMYFUNCTION("if(counta(filter('Previous Rank'!$A$2:$A2766,'Previous Rank'!$B$2:$B2766=B1005,'Previous Rank'!$C$2:$C2766=C1005))=1,filter('Previous Rank'!$A$2:$A2766,'Previous Rank'!$B$2:$B2766=B1005,'Previous Rank'!$C$2:$C2766=C1005),"""")"),989.0)</f>
        <v>989</v>
      </c>
      <c r="H1005" s="8">
        <f t="shared" si="1"/>
        <v>-15</v>
      </c>
    </row>
    <row r="1006">
      <c r="A1006" s="10">
        <v>1005.0</v>
      </c>
      <c r="B1006" s="11" t="s">
        <v>1093</v>
      </c>
      <c r="C1006" s="10" t="s">
        <v>22</v>
      </c>
      <c r="D1006" s="10" t="s">
        <v>52</v>
      </c>
      <c r="E1006" s="16"/>
      <c r="F1006" s="16" t="s">
        <v>382</v>
      </c>
      <c r="G1006" s="13">
        <f>IFERROR(__xludf.DUMMYFUNCTION("if(counta(filter('Previous Rank'!$A$2:$A2766,'Previous Rank'!$B$2:$B2766=B1006,'Previous Rank'!$C$2:$C2766=C1006))=1,filter('Previous Rank'!$A$2:$A2766,'Previous Rank'!$B$2:$B2766=B1006,'Previous Rank'!$C$2:$C2766=C1006),"""")"),990.0)</f>
        <v>990</v>
      </c>
      <c r="H1006" s="8">
        <f t="shared" si="1"/>
        <v>-15</v>
      </c>
    </row>
    <row r="1007">
      <c r="A1007" s="10">
        <v>1006.0</v>
      </c>
      <c r="B1007" s="11" t="s">
        <v>1094</v>
      </c>
      <c r="C1007" s="10" t="s">
        <v>22</v>
      </c>
      <c r="D1007" s="10" t="s">
        <v>42</v>
      </c>
      <c r="E1007" s="15"/>
      <c r="F1007" s="15" t="s">
        <v>382</v>
      </c>
      <c r="G1007" s="13">
        <f>IFERROR(__xludf.DUMMYFUNCTION("if(counta(filter('Previous Rank'!$A$2:$A2766,'Previous Rank'!$B$2:$B2766=B1007,'Previous Rank'!$C$2:$C2766=C1007))=1,filter('Previous Rank'!$A$2:$A2766,'Previous Rank'!$B$2:$B2766=B1007,'Previous Rank'!$C$2:$C2766=C1007),"""")"),991.0)</f>
        <v>991</v>
      </c>
      <c r="H1007" s="8">
        <f t="shared" si="1"/>
        <v>-15</v>
      </c>
    </row>
    <row r="1008">
      <c r="A1008" s="10">
        <v>1007.0</v>
      </c>
      <c r="B1008" s="11" t="s">
        <v>1095</v>
      </c>
      <c r="C1008" s="10" t="s">
        <v>79</v>
      </c>
      <c r="D1008" s="10" t="s">
        <v>27</v>
      </c>
      <c r="E1008" s="16"/>
      <c r="F1008" s="16" t="s">
        <v>382</v>
      </c>
      <c r="G1008" s="13">
        <f>IFERROR(__xludf.DUMMYFUNCTION("if(counta(filter('Previous Rank'!$A$2:$A2766,'Previous Rank'!$B$2:$B2766=B1008,'Previous Rank'!$C$2:$C2766=C1008))=1,filter('Previous Rank'!$A$2:$A2766,'Previous Rank'!$B$2:$B2766=B1008,'Previous Rank'!$C$2:$C2766=C1008),"""")"),992.0)</f>
        <v>992</v>
      </c>
      <c r="H1008" s="8">
        <f t="shared" si="1"/>
        <v>-15</v>
      </c>
    </row>
    <row r="1009">
      <c r="A1009" s="10">
        <v>1008.0</v>
      </c>
      <c r="B1009" s="11" t="s">
        <v>1096</v>
      </c>
      <c r="C1009" s="10" t="s">
        <v>79</v>
      </c>
      <c r="D1009" s="10" t="s">
        <v>113</v>
      </c>
      <c r="E1009" s="15"/>
      <c r="F1009" s="15" t="s">
        <v>382</v>
      </c>
      <c r="G1009" s="13">
        <f>IFERROR(__xludf.DUMMYFUNCTION("if(counta(filter('Previous Rank'!$A$2:$A2766,'Previous Rank'!$B$2:$B2766=B1009,'Previous Rank'!$C$2:$C2766=C1009))=1,filter('Previous Rank'!$A$2:$A2766,'Previous Rank'!$B$2:$B2766=B1009,'Previous Rank'!$C$2:$C2766=C1009),"""")"),993.0)</f>
        <v>993</v>
      </c>
      <c r="H1009" s="8">
        <f t="shared" si="1"/>
        <v>-15</v>
      </c>
    </row>
    <row r="1010">
      <c r="A1010" s="10">
        <v>1009.0</v>
      </c>
      <c r="B1010" s="11" t="s">
        <v>1097</v>
      </c>
      <c r="C1010" s="10" t="s">
        <v>22</v>
      </c>
      <c r="D1010" s="10" t="s">
        <v>36</v>
      </c>
      <c r="E1010" s="16"/>
      <c r="F1010" s="16" t="s">
        <v>382</v>
      </c>
      <c r="G1010" s="13">
        <f>IFERROR(__xludf.DUMMYFUNCTION("if(counta(filter('Previous Rank'!$A$2:$A2766,'Previous Rank'!$B$2:$B2766=B1010,'Previous Rank'!$C$2:$C2766=C1010))=1,filter('Previous Rank'!$A$2:$A2766,'Previous Rank'!$B$2:$B2766=B1010,'Previous Rank'!$C$2:$C2766=C1010),"""")"),994.0)</f>
        <v>994</v>
      </c>
      <c r="H1010" s="8">
        <f t="shared" si="1"/>
        <v>-15</v>
      </c>
    </row>
    <row r="1011">
      <c r="A1011" s="10">
        <v>1010.0</v>
      </c>
      <c r="B1011" s="11" t="s">
        <v>1098</v>
      </c>
      <c r="C1011" s="10" t="s">
        <v>79</v>
      </c>
      <c r="D1011" s="10" t="s">
        <v>206</v>
      </c>
      <c r="E1011" s="15"/>
      <c r="F1011" s="15" t="s">
        <v>382</v>
      </c>
      <c r="G1011" s="13">
        <f>IFERROR(__xludf.DUMMYFUNCTION("if(counta(filter('Previous Rank'!$A$2:$A2766,'Previous Rank'!$B$2:$B2766=B1011,'Previous Rank'!$C$2:$C2766=C1011))=1,filter('Previous Rank'!$A$2:$A2766,'Previous Rank'!$B$2:$B2766=B1011,'Previous Rank'!$C$2:$C2766=C1011),"""")"),995.0)</f>
        <v>995</v>
      </c>
      <c r="H1011" s="8">
        <f t="shared" si="1"/>
        <v>-15</v>
      </c>
    </row>
    <row r="1012">
      <c r="A1012" s="10">
        <v>1011.0</v>
      </c>
      <c r="B1012" s="11" t="s">
        <v>1099</v>
      </c>
      <c r="C1012" s="10" t="s">
        <v>22</v>
      </c>
      <c r="D1012" s="10" t="s">
        <v>113</v>
      </c>
      <c r="E1012" s="16"/>
      <c r="F1012" s="16" t="s">
        <v>382</v>
      </c>
      <c r="G1012" s="13">
        <f>IFERROR(__xludf.DUMMYFUNCTION("if(counta(filter('Previous Rank'!$A$2:$A2766,'Previous Rank'!$B$2:$B2766=B1012,'Previous Rank'!$C$2:$C2766=C1012))=1,filter('Previous Rank'!$A$2:$A2766,'Previous Rank'!$B$2:$B2766=B1012,'Previous Rank'!$C$2:$C2766=C1012),"""")"),996.0)</f>
        <v>996</v>
      </c>
      <c r="H1012" s="8">
        <f t="shared" si="1"/>
        <v>-15</v>
      </c>
    </row>
    <row r="1013">
      <c r="A1013" s="10">
        <v>1012.0</v>
      </c>
      <c r="B1013" s="11" t="s">
        <v>1100</v>
      </c>
      <c r="C1013" s="10" t="s">
        <v>220</v>
      </c>
      <c r="D1013" s="10" t="s">
        <v>99</v>
      </c>
      <c r="E1013" s="15"/>
      <c r="F1013" s="15" t="s">
        <v>382</v>
      </c>
      <c r="G1013" s="13">
        <f>IFERROR(__xludf.DUMMYFUNCTION("if(counta(filter('Previous Rank'!$A$2:$A2766,'Previous Rank'!$B$2:$B2766=B1013,'Previous Rank'!$C$2:$C2766=C1013))=1,filter('Previous Rank'!$A$2:$A2766,'Previous Rank'!$B$2:$B2766=B1013,'Previous Rank'!$C$2:$C2766=C1013),"""")"),997.0)</f>
        <v>997</v>
      </c>
      <c r="H1013" s="8">
        <f t="shared" si="1"/>
        <v>-15</v>
      </c>
    </row>
    <row r="1014">
      <c r="A1014" s="10">
        <v>1013.0</v>
      </c>
      <c r="B1014" s="11" t="s">
        <v>1101</v>
      </c>
      <c r="C1014" s="10" t="s">
        <v>22</v>
      </c>
      <c r="D1014" s="10" t="s">
        <v>99</v>
      </c>
      <c r="E1014" s="16"/>
      <c r="F1014" s="16" t="s">
        <v>382</v>
      </c>
      <c r="G1014" s="13">
        <f>IFERROR(__xludf.DUMMYFUNCTION("if(counta(filter('Previous Rank'!$A$2:$A2766,'Previous Rank'!$B$2:$B2766=B1014,'Previous Rank'!$C$2:$C2766=C1014))=1,filter('Previous Rank'!$A$2:$A2766,'Previous Rank'!$B$2:$B2766=B1014,'Previous Rank'!$C$2:$C2766=C1014),"""")"),998.0)</f>
        <v>998</v>
      </c>
      <c r="H1014" s="8">
        <f t="shared" si="1"/>
        <v>-15</v>
      </c>
    </row>
    <row r="1015">
      <c r="A1015" s="10">
        <v>1014.0</v>
      </c>
      <c r="B1015" s="11" t="s">
        <v>1102</v>
      </c>
      <c r="C1015" s="10" t="s">
        <v>22</v>
      </c>
      <c r="D1015" s="10" t="s">
        <v>18</v>
      </c>
      <c r="E1015" s="15"/>
      <c r="F1015" s="15" t="s">
        <v>382</v>
      </c>
      <c r="G1015" s="13">
        <f>IFERROR(__xludf.DUMMYFUNCTION("if(counta(filter('Previous Rank'!$A$2:$A2766,'Previous Rank'!$B$2:$B2766=B1015,'Previous Rank'!$C$2:$C2766=C1015))=1,filter('Previous Rank'!$A$2:$A2766,'Previous Rank'!$B$2:$B2766=B1015,'Previous Rank'!$C$2:$C2766=C1015),"""")"),999.0)</f>
        <v>999</v>
      </c>
      <c r="H1015" s="8">
        <f t="shared" si="1"/>
        <v>-15</v>
      </c>
    </row>
    <row r="1016">
      <c r="A1016" s="10">
        <v>1015.0</v>
      </c>
      <c r="B1016" s="11" t="s">
        <v>1103</v>
      </c>
      <c r="C1016" s="10" t="s">
        <v>22</v>
      </c>
      <c r="D1016" s="10" t="s">
        <v>31</v>
      </c>
      <c r="E1016" s="16"/>
      <c r="F1016" s="16" t="s">
        <v>382</v>
      </c>
      <c r="G1016" s="13">
        <f>IFERROR(__xludf.DUMMYFUNCTION("if(counta(filter('Previous Rank'!$A$2:$A2766,'Previous Rank'!$B$2:$B2766=B1016,'Previous Rank'!$C$2:$C2766=C1016))=1,filter('Previous Rank'!$A$2:$A2766,'Previous Rank'!$B$2:$B2766=B1016,'Previous Rank'!$C$2:$C2766=C1016),"""")"),1000.0)</f>
        <v>1000</v>
      </c>
      <c r="H1016" s="8">
        <f t="shared" si="1"/>
        <v>-15</v>
      </c>
    </row>
    <row r="1017">
      <c r="A1017" s="10">
        <v>1016.0</v>
      </c>
      <c r="B1017" s="11" t="s">
        <v>1104</v>
      </c>
      <c r="C1017" s="10" t="s">
        <v>22</v>
      </c>
      <c r="D1017" s="10" t="s">
        <v>12</v>
      </c>
      <c r="E1017" s="15"/>
      <c r="F1017" s="15" t="s">
        <v>382</v>
      </c>
      <c r="G1017" s="13">
        <f>IFERROR(__xludf.DUMMYFUNCTION("if(counta(filter('Previous Rank'!$A$2:$A2766,'Previous Rank'!$B$2:$B2766=B1017,'Previous Rank'!$C$2:$C2766=C1017))=1,filter('Previous Rank'!$A$2:$A2766,'Previous Rank'!$B$2:$B2766=B1017,'Previous Rank'!$C$2:$C2766=C1017),"""")"),1001.0)</f>
        <v>1001</v>
      </c>
      <c r="H1017" s="8">
        <f t="shared" si="1"/>
        <v>-15</v>
      </c>
    </row>
    <row r="1018">
      <c r="A1018" s="10">
        <v>1017.0</v>
      </c>
      <c r="B1018" s="11" t="s">
        <v>1105</v>
      </c>
      <c r="C1018" s="10" t="s">
        <v>22</v>
      </c>
      <c r="D1018" s="10" t="s">
        <v>15</v>
      </c>
      <c r="E1018" s="16"/>
      <c r="F1018" s="16" t="s">
        <v>382</v>
      </c>
      <c r="G1018" s="13">
        <f>IFERROR(__xludf.DUMMYFUNCTION("if(counta(filter('Previous Rank'!$A$2:$A2766,'Previous Rank'!$B$2:$B2766=B1018,'Previous Rank'!$C$2:$C2766=C1018))=1,filter('Previous Rank'!$A$2:$A2766,'Previous Rank'!$B$2:$B2766=B1018,'Previous Rank'!$C$2:$C2766=C1018),"""")"),1002.0)</f>
        <v>1002</v>
      </c>
      <c r="H1018" s="8">
        <f t="shared" si="1"/>
        <v>-15</v>
      </c>
    </row>
    <row r="1019">
      <c r="A1019" s="10">
        <v>1018.0</v>
      </c>
      <c r="B1019" s="11" t="s">
        <v>1106</v>
      </c>
      <c r="C1019" s="10" t="s">
        <v>22</v>
      </c>
      <c r="D1019" s="10" t="s">
        <v>25</v>
      </c>
      <c r="E1019" s="15"/>
      <c r="F1019" s="15" t="s">
        <v>382</v>
      </c>
      <c r="G1019" s="13">
        <f>IFERROR(__xludf.DUMMYFUNCTION("if(counta(filter('Previous Rank'!$A$2:$A2766,'Previous Rank'!$B$2:$B2766=B1019,'Previous Rank'!$C$2:$C2766=C1019))=1,filter('Previous Rank'!$A$2:$A2766,'Previous Rank'!$B$2:$B2766=B1019,'Previous Rank'!$C$2:$C2766=C1019),"""")"),1003.0)</f>
        <v>1003</v>
      </c>
      <c r="H1019" s="8">
        <f t="shared" si="1"/>
        <v>-15</v>
      </c>
    </row>
    <row r="1020">
      <c r="A1020" s="10">
        <v>1019.0</v>
      </c>
      <c r="B1020" s="11" t="s">
        <v>1107</v>
      </c>
      <c r="C1020" s="10" t="s">
        <v>79</v>
      </c>
      <c r="D1020" s="10" t="s">
        <v>99</v>
      </c>
      <c r="E1020" s="16"/>
      <c r="F1020" s="16" t="s">
        <v>382</v>
      </c>
      <c r="G1020" s="13">
        <f>IFERROR(__xludf.DUMMYFUNCTION("if(counta(filter('Previous Rank'!$A$2:$A2766,'Previous Rank'!$B$2:$B2766=B1020,'Previous Rank'!$C$2:$C2766=C1020))=1,filter('Previous Rank'!$A$2:$A2766,'Previous Rank'!$B$2:$B2766=B1020,'Previous Rank'!$C$2:$C2766=C1020),"""")"),1004.0)</f>
        <v>1004</v>
      </c>
      <c r="H1020" s="8">
        <f t="shared" si="1"/>
        <v>-15</v>
      </c>
    </row>
    <row r="1021">
      <c r="A1021" s="10">
        <v>1020.0</v>
      </c>
      <c r="B1021" s="11" t="s">
        <v>1108</v>
      </c>
      <c r="C1021" s="10" t="s">
        <v>79</v>
      </c>
      <c r="D1021" s="10" t="s">
        <v>206</v>
      </c>
      <c r="E1021" s="15"/>
      <c r="F1021" s="15" t="s">
        <v>382</v>
      </c>
      <c r="G1021" s="13">
        <f>IFERROR(__xludf.DUMMYFUNCTION("if(counta(filter('Previous Rank'!$A$2:$A2766,'Previous Rank'!$B$2:$B2766=B1021,'Previous Rank'!$C$2:$C2766=C1021))=1,filter('Previous Rank'!$A$2:$A2766,'Previous Rank'!$B$2:$B2766=B1021,'Previous Rank'!$C$2:$C2766=C1021),"""")"),1005.0)</f>
        <v>1005</v>
      </c>
      <c r="H1021" s="8">
        <f t="shared" si="1"/>
        <v>-15</v>
      </c>
    </row>
    <row r="1022">
      <c r="A1022" s="10">
        <v>1021.0</v>
      </c>
      <c r="B1022" s="11" t="s">
        <v>1109</v>
      </c>
      <c r="C1022" s="10" t="s">
        <v>22</v>
      </c>
      <c r="D1022" s="10" t="s">
        <v>85</v>
      </c>
      <c r="E1022" s="16"/>
      <c r="F1022" s="16" t="s">
        <v>382</v>
      </c>
      <c r="G1022" s="13">
        <f>IFERROR(__xludf.DUMMYFUNCTION("if(counta(filter('Previous Rank'!$A$2:$A2766,'Previous Rank'!$B$2:$B2766=B1022,'Previous Rank'!$C$2:$C2766=C1022))=1,filter('Previous Rank'!$A$2:$A2766,'Previous Rank'!$B$2:$B2766=B1022,'Previous Rank'!$C$2:$C2766=C1022),"""")"),1006.0)</f>
        <v>1006</v>
      </c>
      <c r="H1022" s="8">
        <f t="shared" si="1"/>
        <v>-15</v>
      </c>
    </row>
    <row r="1023">
      <c r="A1023" s="10">
        <v>1022.0</v>
      </c>
      <c r="B1023" s="11" t="s">
        <v>1110</v>
      </c>
      <c r="C1023" s="10" t="s">
        <v>22</v>
      </c>
      <c r="D1023" s="10" t="s">
        <v>206</v>
      </c>
      <c r="E1023" s="15"/>
      <c r="F1023" s="15" t="s">
        <v>382</v>
      </c>
      <c r="G1023" s="13">
        <f>IFERROR(__xludf.DUMMYFUNCTION("if(counta(filter('Previous Rank'!$A$2:$A2766,'Previous Rank'!$B$2:$B2766=B1023,'Previous Rank'!$C$2:$C2766=C1023))=1,filter('Previous Rank'!$A$2:$A2766,'Previous Rank'!$B$2:$B2766=B1023,'Previous Rank'!$C$2:$C2766=C1023),"""")"),1007.0)</f>
        <v>1007</v>
      </c>
      <c r="H1023" s="8">
        <f t="shared" si="1"/>
        <v>-15</v>
      </c>
    </row>
    <row r="1024">
      <c r="A1024" s="10">
        <v>1023.0</v>
      </c>
      <c r="B1024" s="11" t="s">
        <v>1111</v>
      </c>
      <c r="C1024" s="10" t="s">
        <v>79</v>
      </c>
      <c r="D1024" s="10" t="s">
        <v>206</v>
      </c>
      <c r="E1024" s="16"/>
      <c r="F1024" s="16" t="s">
        <v>382</v>
      </c>
      <c r="G1024" s="13">
        <f>IFERROR(__xludf.DUMMYFUNCTION("if(counta(filter('Previous Rank'!$A$2:$A2766,'Previous Rank'!$B$2:$B2766=B1024,'Previous Rank'!$C$2:$C2766=C1024))=1,filter('Previous Rank'!$A$2:$A2766,'Previous Rank'!$B$2:$B2766=B1024,'Previous Rank'!$C$2:$C2766=C1024),"""")"),1008.0)</f>
        <v>1008</v>
      </c>
      <c r="H1024" s="8">
        <f t="shared" si="1"/>
        <v>-15</v>
      </c>
    </row>
    <row r="1025">
      <c r="A1025" s="10">
        <v>1024.0</v>
      </c>
      <c r="B1025" s="11" t="s">
        <v>1112</v>
      </c>
      <c r="C1025" s="10" t="s">
        <v>22</v>
      </c>
      <c r="D1025" s="10" t="s">
        <v>31</v>
      </c>
      <c r="E1025" s="15"/>
      <c r="F1025" s="15" t="s">
        <v>382</v>
      </c>
      <c r="G1025" s="13">
        <f>IFERROR(__xludf.DUMMYFUNCTION("if(counta(filter('Previous Rank'!$A$2:$A2766,'Previous Rank'!$B$2:$B2766=B1025,'Previous Rank'!$C$2:$C2766=C1025))=1,filter('Previous Rank'!$A$2:$A2766,'Previous Rank'!$B$2:$B2766=B1025,'Previous Rank'!$C$2:$C2766=C1025),"""")"),1009.0)</f>
        <v>1009</v>
      </c>
      <c r="H1025" s="8">
        <f t="shared" si="1"/>
        <v>-15</v>
      </c>
    </row>
    <row r="1026">
      <c r="A1026" s="10">
        <v>1025.0</v>
      </c>
      <c r="B1026" s="11" t="s">
        <v>1113</v>
      </c>
      <c r="C1026" s="10" t="s">
        <v>22</v>
      </c>
      <c r="D1026" s="10" t="s">
        <v>122</v>
      </c>
      <c r="E1026" s="16"/>
      <c r="F1026" s="16" t="s">
        <v>382</v>
      </c>
      <c r="G1026" s="13">
        <f>IFERROR(__xludf.DUMMYFUNCTION("if(counta(filter('Previous Rank'!$A$2:$A2766,'Previous Rank'!$B$2:$B2766=B1026,'Previous Rank'!$C$2:$C2766=C1026))=1,filter('Previous Rank'!$A$2:$A2766,'Previous Rank'!$B$2:$B2766=B1026,'Previous Rank'!$C$2:$C2766=C1026),"""")"),1010.0)</f>
        <v>1010</v>
      </c>
      <c r="H1026" s="8">
        <f t="shared" si="1"/>
        <v>-15</v>
      </c>
    </row>
    <row r="1027">
      <c r="A1027" s="10">
        <v>1026.0</v>
      </c>
      <c r="B1027" s="11" t="s">
        <v>1114</v>
      </c>
      <c r="C1027" s="10" t="s">
        <v>22</v>
      </c>
      <c r="D1027" s="10" t="s">
        <v>36</v>
      </c>
      <c r="E1027" s="15"/>
      <c r="F1027" s="15" t="s">
        <v>382</v>
      </c>
      <c r="G1027" s="13">
        <f>IFERROR(__xludf.DUMMYFUNCTION("if(counta(filter('Previous Rank'!$A$2:$A2766,'Previous Rank'!$B$2:$B2766=B1027,'Previous Rank'!$C$2:$C2766=C1027))=1,filter('Previous Rank'!$A$2:$A2766,'Previous Rank'!$B$2:$B2766=B1027,'Previous Rank'!$C$2:$C2766=C1027),"""")"),1011.0)</f>
        <v>1011</v>
      </c>
      <c r="H1027" s="8">
        <f t="shared" si="1"/>
        <v>-15</v>
      </c>
    </row>
    <row r="1028">
      <c r="A1028" s="10">
        <v>1027.0</v>
      </c>
      <c r="B1028" s="11" t="s">
        <v>1115</v>
      </c>
      <c r="C1028" s="10" t="s">
        <v>22</v>
      </c>
      <c r="D1028" s="10" t="s">
        <v>46</v>
      </c>
      <c r="E1028" s="16"/>
      <c r="F1028" s="16" t="s">
        <v>382</v>
      </c>
      <c r="G1028" s="13">
        <f>IFERROR(__xludf.DUMMYFUNCTION("if(counta(filter('Previous Rank'!$A$2:$A2766,'Previous Rank'!$B$2:$B2766=B1028,'Previous Rank'!$C$2:$C2766=C1028))=1,filter('Previous Rank'!$A$2:$A2766,'Previous Rank'!$B$2:$B2766=B1028,'Previous Rank'!$C$2:$C2766=C1028),"""")"),1012.0)</f>
        <v>1012</v>
      </c>
      <c r="H1028" s="8">
        <f t="shared" si="1"/>
        <v>-15</v>
      </c>
    </row>
    <row r="1029">
      <c r="A1029" s="10">
        <v>1028.0</v>
      </c>
      <c r="B1029" s="11" t="s">
        <v>1116</v>
      </c>
      <c r="C1029" s="10" t="s">
        <v>79</v>
      </c>
      <c r="D1029" s="10" t="s">
        <v>129</v>
      </c>
      <c r="E1029" s="15"/>
      <c r="F1029" s="15"/>
      <c r="G1029" s="13">
        <f>IFERROR(__xludf.DUMMYFUNCTION("if(counta(filter('Previous Rank'!$A$2:$A2766,'Previous Rank'!$B$2:$B2766=B1029,'Previous Rank'!$C$2:$C2766=C1029))=1,filter('Previous Rank'!$A$2:$A2766,'Previous Rank'!$B$2:$B2766=B1029,'Previous Rank'!$C$2:$C2766=C1029),"""")"),1013.0)</f>
        <v>1013</v>
      </c>
      <c r="H1029" s="8">
        <f t="shared" si="1"/>
        <v>-15</v>
      </c>
    </row>
    <row r="1030">
      <c r="A1030" s="10">
        <v>1029.0</v>
      </c>
      <c r="B1030" s="11" t="s">
        <v>1117</v>
      </c>
      <c r="C1030" s="10" t="s">
        <v>22</v>
      </c>
      <c r="D1030" s="10" t="s">
        <v>34</v>
      </c>
      <c r="E1030" s="16"/>
      <c r="F1030" s="16" t="s">
        <v>382</v>
      </c>
      <c r="G1030" s="13">
        <f>IFERROR(__xludf.DUMMYFUNCTION("if(counta(filter('Previous Rank'!$A$2:$A2766,'Previous Rank'!$B$2:$B2766=B1030,'Previous Rank'!$C$2:$C2766=C1030))=1,filter('Previous Rank'!$A$2:$A2766,'Previous Rank'!$B$2:$B2766=B1030,'Previous Rank'!$C$2:$C2766=C1030),"""")"),1014.0)</f>
        <v>1014</v>
      </c>
      <c r="H1030" s="8">
        <f t="shared" si="1"/>
        <v>-15</v>
      </c>
    </row>
    <row r="1031">
      <c r="A1031" s="10">
        <v>1030.0</v>
      </c>
      <c r="B1031" s="11" t="s">
        <v>1118</v>
      </c>
      <c r="C1031" s="10" t="s">
        <v>22</v>
      </c>
      <c r="D1031" s="10" t="s">
        <v>113</v>
      </c>
      <c r="E1031" s="15"/>
      <c r="F1031" s="15" t="s">
        <v>382</v>
      </c>
      <c r="G1031" s="13">
        <f>IFERROR(__xludf.DUMMYFUNCTION("if(counta(filter('Previous Rank'!$A$2:$A2766,'Previous Rank'!$B$2:$B2766=B1031,'Previous Rank'!$C$2:$C2766=C1031))=1,filter('Previous Rank'!$A$2:$A2766,'Previous Rank'!$B$2:$B2766=B1031,'Previous Rank'!$C$2:$C2766=C1031),"""")"),1015.0)</f>
        <v>1015</v>
      </c>
      <c r="H1031" s="8">
        <f t="shared" si="1"/>
        <v>-15</v>
      </c>
    </row>
    <row r="1032">
      <c r="A1032" s="10">
        <v>1031.0</v>
      </c>
      <c r="B1032" s="11" t="s">
        <v>1119</v>
      </c>
      <c r="C1032" s="10" t="s">
        <v>22</v>
      </c>
      <c r="D1032" s="10" t="s">
        <v>46</v>
      </c>
      <c r="E1032" s="16"/>
      <c r="F1032" s="16" t="s">
        <v>382</v>
      </c>
      <c r="G1032" s="13">
        <f>IFERROR(__xludf.DUMMYFUNCTION("if(counta(filter('Previous Rank'!$A$2:$A2766,'Previous Rank'!$B$2:$B2766=B1032,'Previous Rank'!$C$2:$C2766=C1032))=1,filter('Previous Rank'!$A$2:$A2766,'Previous Rank'!$B$2:$B2766=B1032,'Previous Rank'!$C$2:$C2766=C1032),"""")"),1016.0)</f>
        <v>1016</v>
      </c>
      <c r="H1032" s="8">
        <f t="shared" si="1"/>
        <v>-15</v>
      </c>
    </row>
    <row r="1033">
      <c r="A1033" s="10">
        <v>1032.0</v>
      </c>
      <c r="B1033" s="11" t="s">
        <v>1120</v>
      </c>
      <c r="C1033" s="10" t="s">
        <v>22</v>
      </c>
      <c r="D1033" s="10" t="s">
        <v>140</v>
      </c>
      <c r="E1033" s="15"/>
      <c r="F1033" s="15" t="s">
        <v>382</v>
      </c>
      <c r="G1033" s="13">
        <f>IFERROR(__xludf.DUMMYFUNCTION("if(counta(filter('Previous Rank'!$A$2:$A2766,'Previous Rank'!$B$2:$B2766=B1033,'Previous Rank'!$C$2:$C2766=C1033))=1,filter('Previous Rank'!$A$2:$A2766,'Previous Rank'!$B$2:$B2766=B1033,'Previous Rank'!$C$2:$C2766=C1033),"""")"),1017.0)</f>
        <v>1017</v>
      </c>
      <c r="H1033" s="8">
        <f t="shared" si="1"/>
        <v>-15</v>
      </c>
    </row>
    <row r="1034">
      <c r="A1034" s="10">
        <v>1033.0</v>
      </c>
      <c r="B1034" s="11" t="s">
        <v>1121</v>
      </c>
      <c r="C1034" s="10" t="s">
        <v>22</v>
      </c>
      <c r="D1034" s="10" t="s">
        <v>71</v>
      </c>
      <c r="E1034" s="16"/>
      <c r="F1034" s="16" t="s">
        <v>382</v>
      </c>
      <c r="G1034" s="13">
        <f>IFERROR(__xludf.DUMMYFUNCTION("if(counta(filter('Previous Rank'!$A$2:$A2766,'Previous Rank'!$B$2:$B2766=B1034,'Previous Rank'!$C$2:$C2766=C1034))=1,filter('Previous Rank'!$A$2:$A2766,'Previous Rank'!$B$2:$B2766=B1034,'Previous Rank'!$C$2:$C2766=C1034),"""")"),1018.0)</f>
        <v>1018</v>
      </c>
      <c r="H1034" s="8">
        <f t="shared" si="1"/>
        <v>-15</v>
      </c>
    </row>
    <row r="1035">
      <c r="A1035" s="10">
        <v>1034.0</v>
      </c>
      <c r="B1035" s="11" t="s">
        <v>1122</v>
      </c>
      <c r="C1035" s="10" t="s">
        <v>22</v>
      </c>
      <c r="D1035" s="10" t="s">
        <v>105</v>
      </c>
      <c r="E1035" s="15"/>
      <c r="F1035" s="15" t="s">
        <v>382</v>
      </c>
      <c r="G1035" s="13">
        <f>IFERROR(__xludf.DUMMYFUNCTION("if(counta(filter('Previous Rank'!$A$2:$A2766,'Previous Rank'!$B$2:$B2766=B1035,'Previous Rank'!$C$2:$C2766=C1035))=1,filter('Previous Rank'!$A$2:$A2766,'Previous Rank'!$B$2:$B2766=B1035,'Previous Rank'!$C$2:$C2766=C1035),"""")"),1019.0)</f>
        <v>1019</v>
      </c>
      <c r="H1035" s="8">
        <f t="shared" si="1"/>
        <v>-15</v>
      </c>
    </row>
    <row r="1036">
      <c r="A1036" s="10">
        <v>1035.0</v>
      </c>
      <c r="B1036" s="11" t="s">
        <v>1123</v>
      </c>
      <c r="C1036" s="10" t="s">
        <v>79</v>
      </c>
      <c r="D1036" s="10" t="s">
        <v>27</v>
      </c>
      <c r="E1036" s="16"/>
      <c r="F1036" s="16" t="s">
        <v>382</v>
      </c>
      <c r="G1036" s="13">
        <f>IFERROR(__xludf.DUMMYFUNCTION("if(counta(filter('Previous Rank'!$A$2:$A2766,'Previous Rank'!$B$2:$B2766=B1036,'Previous Rank'!$C$2:$C2766=C1036))=1,filter('Previous Rank'!$A$2:$A2766,'Previous Rank'!$B$2:$B2766=B1036,'Previous Rank'!$C$2:$C2766=C1036),"""")"),1020.0)</f>
        <v>1020</v>
      </c>
      <c r="H1036" s="8">
        <f t="shared" si="1"/>
        <v>-15</v>
      </c>
    </row>
    <row r="1037">
      <c r="A1037" s="10">
        <v>1036.0</v>
      </c>
      <c r="B1037" s="11" t="s">
        <v>1124</v>
      </c>
      <c r="C1037" s="10" t="s">
        <v>22</v>
      </c>
      <c r="D1037" s="10" t="s">
        <v>34</v>
      </c>
      <c r="E1037" s="15"/>
      <c r="F1037" s="15" t="s">
        <v>382</v>
      </c>
      <c r="G1037" s="13">
        <f>IFERROR(__xludf.DUMMYFUNCTION("if(counta(filter('Previous Rank'!$A$2:$A2766,'Previous Rank'!$B$2:$B2766=B1037,'Previous Rank'!$C$2:$C2766=C1037))=1,filter('Previous Rank'!$A$2:$A2766,'Previous Rank'!$B$2:$B2766=B1037,'Previous Rank'!$C$2:$C2766=C1037),"""")"),1021.0)</f>
        <v>1021</v>
      </c>
      <c r="H1037" s="8">
        <f t="shared" si="1"/>
        <v>-15</v>
      </c>
    </row>
    <row r="1038">
      <c r="A1038" s="10">
        <v>1037.0</v>
      </c>
      <c r="B1038" s="11" t="s">
        <v>1125</v>
      </c>
      <c r="C1038" s="10" t="s">
        <v>22</v>
      </c>
      <c r="D1038" s="10" t="s">
        <v>95</v>
      </c>
      <c r="E1038" s="16"/>
      <c r="F1038" s="16" t="s">
        <v>382</v>
      </c>
      <c r="G1038" s="13">
        <f>IFERROR(__xludf.DUMMYFUNCTION("if(counta(filter('Previous Rank'!$A$2:$A2766,'Previous Rank'!$B$2:$B2766=B1038,'Previous Rank'!$C$2:$C2766=C1038))=1,filter('Previous Rank'!$A$2:$A2766,'Previous Rank'!$B$2:$B2766=B1038,'Previous Rank'!$C$2:$C2766=C1038),"""")"),1022.0)</f>
        <v>1022</v>
      </c>
      <c r="H1038" s="8">
        <f t="shared" si="1"/>
        <v>-15</v>
      </c>
    </row>
    <row r="1039">
      <c r="A1039" s="10">
        <v>1038.0</v>
      </c>
      <c r="B1039" s="11" t="s">
        <v>1126</v>
      </c>
      <c r="C1039" s="10" t="s">
        <v>22</v>
      </c>
      <c r="D1039" s="10" t="s">
        <v>82</v>
      </c>
      <c r="E1039" s="15"/>
      <c r="F1039" s="15" t="s">
        <v>382</v>
      </c>
      <c r="G1039" s="13">
        <f>IFERROR(__xludf.DUMMYFUNCTION("if(counta(filter('Previous Rank'!$A$2:$A2766,'Previous Rank'!$B$2:$B2766=B1039,'Previous Rank'!$C$2:$C2766=C1039))=1,filter('Previous Rank'!$A$2:$A2766,'Previous Rank'!$B$2:$B2766=B1039,'Previous Rank'!$C$2:$C2766=C1039),"""")"),1023.0)</f>
        <v>1023</v>
      </c>
      <c r="H1039" s="8">
        <f t="shared" si="1"/>
        <v>-15</v>
      </c>
    </row>
    <row r="1040">
      <c r="A1040" s="10">
        <v>1039.0</v>
      </c>
      <c r="B1040" s="11" t="s">
        <v>1127</v>
      </c>
      <c r="C1040" s="10" t="s">
        <v>22</v>
      </c>
      <c r="D1040" s="10" t="s">
        <v>49</v>
      </c>
      <c r="E1040" s="16"/>
      <c r="F1040" s="16" t="s">
        <v>382</v>
      </c>
      <c r="G1040" s="13">
        <f>IFERROR(__xludf.DUMMYFUNCTION("if(counta(filter('Previous Rank'!$A$2:$A2766,'Previous Rank'!$B$2:$B2766=B1040,'Previous Rank'!$C$2:$C2766=C1040))=1,filter('Previous Rank'!$A$2:$A2766,'Previous Rank'!$B$2:$B2766=B1040,'Previous Rank'!$C$2:$C2766=C1040),"""")"),1024.0)</f>
        <v>1024</v>
      </c>
      <c r="H1040" s="8">
        <f t="shared" si="1"/>
        <v>-15</v>
      </c>
    </row>
    <row r="1041">
      <c r="A1041" s="10">
        <v>1040.0</v>
      </c>
      <c r="B1041" s="11" t="s">
        <v>1128</v>
      </c>
      <c r="C1041" s="10" t="s">
        <v>79</v>
      </c>
      <c r="D1041" s="10" t="s">
        <v>31</v>
      </c>
      <c r="E1041" s="15"/>
      <c r="F1041" s="15" t="s">
        <v>382</v>
      </c>
      <c r="G1041" s="13">
        <f>IFERROR(__xludf.DUMMYFUNCTION("if(counta(filter('Previous Rank'!$A$2:$A2766,'Previous Rank'!$B$2:$B2766=B1041,'Previous Rank'!$C$2:$C2766=C1041))=1,filter('Previous Rank'!$A$2:$A2766,'Previous Rank'!$B$2:$B2766=B1041,'Previous Rank'!$C$2:$C2766=C1041),"""")"),1025.0)</f>
        <v>1025</v>
      </c>
      <c r="H1041" s="8">
        <f t="shared" si="1"/>
        <v>-15</v>
      </c>
    </row>
    <row r="1042">
      <c r="A1042" s="10">
        <v>1041.0</v>
      </c>
      <c r="B1042" s="11" t="s">
        <v>1129</v>
      </c>
      <c r="C1042" s="10" t="s">
        <v>22</v>
      </c>
      <c r="D1042" s="10" t="s">
        <v>67</v>
      </c>
      <c r="E1042" s="16"/>
      <c r="F1042" s="16" t="s">
        <v>382</v>
      </c>
      <c r="G1042" s="13">
        <f>IFERROR(__xludf.DUMMYFUNCTION("if(counta(filter('Previous Rank'!$A$2:$A2766,'Previous Rank'!$B$2:$B2766=B1042,'Previous Rank'!$C$2:$C2766=C1042))=1,filter('Previous Rank'!$A$2:$A2766,'Previous Rank'!$B$2:$B2766=B1042,'Previous Rank'!$C$2:$C2766=C1042),"""")"),1026.0)</f>
        <v>1026</v>
      </c>
      <c r="H1042" s="8">
        <f t="shared" si="1"/>
        <v>-15</v>
      </c>
    </row>
    <row r="1043">
      <c r="A1043" s="10">
        <v>1042.0</v>
      </c>
      <c r="B1043" s="11" t="s">
        <v>1130</v>
      </c>
      <c r="C1043" s="10" t="s">
        <v>22</v>
      </c>
      <c r="D1043" s="10" t="s">
        <v>25</v>
      </c>
      <c r="E1043" s="15"/>
      <c r="F1043" s="15" t="s">
        <v>382</v>
      </c>
      <c r="G1043" s="13">
        <f>IFERROR(__xludf.DUMMYFUNCTION("if(counta(filter('Previous Rank'!$A$2:$A2766,'Previous Rank'!$B$2:$B2766=B1043,'Previous Rank'!$C$2:$C2766=C1043))=1,filter('Previous Rank'!$A$2:$A2766,'Previous Rank'!$B$2:$B2766=B1043,'Previous Rank'!$C$2:$C2766=C1043),"""")"),1027.0)</f>
        <v>1027</v>
      </c>
      <c r="H1043" s="8">
        <f t="shared" si="1"/>
        <v>-15</v>
      </c>
    </row>
    <row r="1044">
      <c r="A1044" s="10">
        <v>1043.0</v>
      </c>
      <c r="B1044" s="11" t="s">
        <v>1131</v>
      </c>
      <c r="C1044" s="10" t="s">
        <v>22</v>
      </c>
      <c r="D1044" s="10" t="s">
        <v>42</v>
      </c>
      <c r="E1044" s="16"/>
      <c r="F1044" s="16" t="s">
        <v>382</v>
      </c>
      <c r="G1044" s="13">
        <f>IFERROR(__xludf.DUMMYFUNCTION("if(counta(filter('Previous Rank'!$A$2:$A2766,'Previous Rank'!$B$2:$B2766=B1044,'Previous Rank'!$C$2:$C2766=C1044))=1,filter('Previous Rank'!$A$2:$A2766,'Previous Rank'!$B$2:$B2766=B1044,'Previous Rank'!$C$2:$C2766=C1044),"""")"),1028.0)</f>
        <v>1028</v>
      </c>
      <c r="H1044" s="8">
        <f t="shared" si="1"/>
        <v>-15</v>
      </c>
    </row>
    <row r="1045">
      <c r="A1045" s="10">
        <v>1044.0</v>
      </c>
      <c r="B1045" s="11" t="s">
        <v>1132</v>
      </c>
      <c r="C1045" s="10" t="s">
        <v>79</v>
      </c>
      <c r="D1045" s="10" t="s">
        <v>52</v>
      </c>
      <c r="E1045" s="15"/>
      <c r="F1045" s="15" t="s">
        <v>382</v>
      </c>
      <c r="G1045" s="13">
        <f>IFERROR(__xludf.DUMMYFUNCTION("if(counta(filter('Previous Rank'!$A$2:$A2766,'Previous Rank'!$B$2:$B2766=B1045,'Previous Rank'!$C$2:$C2766=C1045))=1,filter('Previous Rank'!$A$2:$A2766,'Previous Rank'!$B$2:$B2766=B1045,'Previous Rank'!$C$2:$C2766=C1045),"""")"),1029.0)</f>
        <v>1029</v>
      </c>
      <c r="H1045" s="8">
        <f t="shared" si="1"/>
        <v>-15</v>
      </c>
    </row>
    <row r="1046">
      <c r="A1046" s="10">
        <v>1045.0</v>
      </c>
      <c r="B1046" s="11" t="s">
        <v>1133</v>
      </c>
      <c r="C1046" s="10" t="s">
        <v>22</v>
      </c>
      <c r="D1046" s="10" t="s">
        <v>18</v>
      </c>
      <c r="E1046" s="16"/>
      <c r="F1046" s="16" t="s">
        <v>382</v>
      </c>
      <c r="G1046" s="13">
        <f>IFERROR(__xludf.DUMMYFUNCTION("if(counta(filter('Previous Rank'!$A$2:$A2766,'Previous Rank'!$B$2:$B2766=B1046,'Previous Rank'!$C$2:$C2766=C1046))=1,filter('Previous Rank'!$A$2:$A2766,'Previous Rank'!$B$2:$B2766=B1046,'Previous Rank'!$C$2:$C2766=C1046),"""")"),1030.0)</f>
        <v>1030</v>
      </c>
      <c r="H1046" s="8">
        <f t="shared" si="1"/>
        <v>-15</v>
      </c>
    </row>
    <row r="1047">
      <c r="A1047" s="10">
        <v>1046.0</v>
      </c>
      <c r="B1047" s="11" t="s">
        <v>1134</v>
      </c>
      <c r="C1047" s="10" t="s">
        <v>22</v>
      </c>
      <c r="D1047" s="10" t="s">
        <v>137</v>
      </c>
      <c r="E1047" s="15"/>
      <c r="F1047" s="15" t="s">
        <v>382</v>
      </c>
      <c r="G1047" s="13">
        <f>IFERROR(__xludf.DUMMYFUNCTION("if(counta(filter('Previous Rank'!$A$2:$A2766,'Previous Rank'!$B$2:$B2766=B1047,'Previous Rank'!$C$2:$C2766=C1047))=1,filter('Previous Rank'!$A$2:$A2766,'Previous Rank'!$B$2:$B2766=B1047,'Previous Rank'!$C$2:$C2766=C1047),"""")"),1031.0)</f>
        <v>1031</v>
      </c>
      <c r="H1047" s="8">
        <f t="shared" si="1"/>
        <v>-15</v>
      </c>
    </row>
    <row r="1048">
      <c r="A1048" s="10">
        <v>1047.0</v>
      </c>
      <c r="B1048" s="11" t="s">
        <v>1135</v>
      </c>
      <c r="C1048" s="10" t="s">
        <v>79</v>
      </c>
      <c r="D1048" s="10" t="s">
        <v>82</v>
      </c>
      <c r="E1048" s="16"/>
      <c r="F1048" s="16" t="s">
        <v>382</v>
      </c>
      <c r="G1048" s="13">
        <f>IFERROR(__xludf.DUMMYFUNCTION("if(counta(filter('Previous Rank'!$A$2:$A2766,'Previous Rank'!$B$2:$B2766=B1048,'Previous Rank'!$C$2:$C2766=C1048))=1,filter('Previous Rank'!$A$2:$A2766,'Previous Rank'!$B$2:$B2766=B1048,'Previous Rank'!$C$2:$C2766=C1048),"""")"),1032.0)</f>
        <v>1032</v>
      </c>
      <c r="H1048" s="8">
        <f t="shared" si="1"/>
        <v>-15</v>
      </c>
    </row>
    <row r="1049">
      <c r="A1049" s="10">
        <v>1048.0</v>
      </c>
      <c r="B1049" s="11" t="s">
        <v>1136</v>
      </c>
      <c r="C1049" s="10" t="s">
        <v>22</v>
      </c>
      <c r="D1049" s="10" t="s">
        <v>67</v>
      </c>
      <c r="E1049" s="15"/>
      <c r="F1049" s="15" t="s">
        <v>382</v>
      </c>
      <c r="G1049" s="13">
        <f>IFERROR(__xludf.DUMMYFUNCTION("if(counta(filter('Previous Rank'!$A$2:$A2766,'Previous Rank'!$B$2:$B2766=B1049,'Previous Rank'!$C$2:$C2766=C1049))=1,filter('Previous Rank'!$A$2:$A2766,'Previous Rank'!$B$2:$B2766=B1049,'Previous Rank'!$C$2:$C2766=C1049),"""")"),1033.0)</f>
        <v>1033</v>
      </c>
      <c r="H1049" s="8">
        <f t="shared" si="1"/>
        <v>-15</v>
      </c>
    </row>
    <row r="1050">
      <c r="A1050" s="10">
        <v>1049.0</v>
      </c>
      <c r="B1050" s="11" t="s">
        <v>1137</v>
      </c>
      <c r="C1050" s="10" t="s">
        <v>22</v>
      </c>
      <c r="D1050" s="10" t="s">
        <v>95</v>
      </c>
      <c r="E1050" s="16"/>
      <c r="F1050" s="16" t="s">
        <v>382</v>
      </c>
      <c r="G1050" s="13">
        <f>IFERROR(__xludf.DUMMYFUNCTION("if(counta(filter('Previous Rank'!$A$2:$A2766,'Previous Rank'!$B$2:$B2766=B1050,'Previous Rank'!$C$2:$C2766=C1050))=1,filter('Previous Rank'!$A$2:$A2766,'Previous Rank'!$B$2:$B2766=B1050,'Previous Rank'!$C$2:$C2766=C1050),"""")"),1034.0)</f>
        <v>1034</v>
      </c>
      <c r="H1050" s="8">
        <f t="shared" si="1"/>
        <v>-15</v>
      </c>
    </row>
    <row r="1051">
      <c r="A1051" s="10">
        <v>1050.0</v>
      </c>
      <c r="B1051" s="11" t="s">
        <v>1138</v>
      </c>
      <c r="C1051" s="10" t="s">
        <v>79</v>
      </c>
      <c r="D1051" s="10" t="s">
        <v>105</v>
      </c>
      <c r="E1051" s="15"/>
      <c r="F1051" s="15" t="s">
        <v>382</v>
      </c>
      <c r="G1051" s="13">
        <f>IFERROR(__xludf.DUMMYFUNCTION("if(counta(filter('Previous Rank'!$A$2:$A2766,'Previous Rank'!$B$2:$B2766=B1051,'Previous Rank'!$C$2:$C2766=C1051))=1,filter('Previous Rank'!$A$2:$A2766,'Previous Rank'!$B$2:$B2766=B1051,'Previous Rank'!$C$2:$C2766=C1051),"""")"),1035.0)</f>
        <v>1035</v>
      </c>
      <c r="H1051" s="8">
        <f t="shared" si="1"/>
        <v>-15</v>
      </c>
    </row>
    <row r="1052">
      <c r="A1052" s="10">
        <v>1051.0</v>
      </c>
      <c r="B1052" s="11" t="s">
        <v>1139</v>
      </c>
      <c r="C1052" s="10" t="s">
        <v>22</v>
      </c>
      <c r="D1052" s="10" t="s">
        <v>105</v>
      </c>
      <c r="E1052" s="16"/>
      <c r="F1052" s="16" t="s">
        <v>382</v>
      </c>
      <c r="G1052" s="13">
        <f>IFERROR(__xludf.DUMMYFUNCTION("if(counta(filter('Previous Rank'!$A$2:$A2766,'Previous Rank'!$B$2:$B2766=B1052,'Previous Rank'!$C$2:$C2766=C1052))=1,filter('Previous Rank'!$A$2:$A2766,'Previous Rank'!$B$2:$B2766=B1052,'Previous Rank'!$C$2:$C2766=C1052),"""")"),1036.0)</f>
        <v>1036</v>
      </c>
      <c r="H1052" s="8">
        <f t="shared" si="1"/>
        <v>-15</v>
      </c>
    </row>
    <row r="1053">
      <c r="A1053" s="10">
        <v>1052.0</v>
      </c>
      <c r="B1053" s="11" t="s">
        <v>1140</v>
      </c>
      <c r="C1053" s="10" t="s">
        <v>79</v>
      </c>
      <c r="D1053" s="10" t="s">
        <v>73</v>
      </c>
      <c r="E1053" s="15"/>
      <c r="F1053" s="15" t="s">
        <v>382</v>
      </c>
      <c r="G1053" s="13">
        <f>IFERROR(__xludf.DUMMYFUNCTION("if(counta(filter('Previous Rank'!$A$2:$A2766,'Previous Rank'!$B$2:$B2766=B1053,'Previous Rank'!$C$2:$C2766=C1053))=1,filter('Previous Rank'!$A$2:$A2766,'Previous Rank'!$B$2:$B2766=B1053,'Previous Rank'!$C$2:$C2766=C1053),"""")"),1037.0)</f>
        <v>1037</v>
      </c>
      <c r="H1053" s="8">
        <f t="shared" si="1"/>
        <v>-15</v>
      </c>
    </row>
    <row r="1054">
      <c r="A1054" s="10">
        <v>1053.0</v>
      </c>
      <c r="B1054" s="11" t="s">
        <v>1141</v>
      </c>
      <c r="C1054" s="10" t="s">
        <v>22</v>
      </c>
      <c r="D1054" s="10" t="s">
        <v>23</v>
      </c>
      <c r="E1054" s="16"/>
      <c r="F1054" s="16"/>
      <c r="G1054" s="13">
        <f>IFERROR(__xludf.DUMMYFUNCTION("if(counta(filter('Previous Rank'!$A$2:$A2766,'Previous Rank'!$B$2:$B2766=B1054,'Previous Rank'!$C$2:$C2766=C1054))=1,filter('Previous Rank'!$A$2:$A2766,'Previous Rank'!$B$2:$B2766=B1054,'Previous Rank'!$C$2:$C2766=C1054),"""")"),1038.0)</f>
        <v>1038</v>
      </c>
      <c r="H1054" s="8">
        <f t="shared" si="1"/>
        <v>-15</v>
      </c>
    </row>
    <row r="1055">
      <c r="A1055" s="10">
        <v>1054.0</v>
      </c>
      <c r="B1055" s="11" t="s">
        <v>1142</v>
      </c>
      <c r="C1055" s="10" t="s">
        <v>79</v>
      </c>
      <c r="D1055" s="10" t="s">
        <v>27</v>
      </c>
      <c r="E1055" s="15"/>
      <c r="F1055" s="15" t="s">
        <v>382</v>
      </c>
      <c r="G1055" s="13">
        <f>IFERROR(__xludf.DUMMYFUNCTION("if(counta(filter('Previous Rank'!$A$2:$A2766,'Previous Rank'!$B$2:$B2766=B1055,'Previous Rank'!$C$2:$C2766=C1055))=1,filter('Previous Rank'!$A$2:$A2766,'Previous Rank'!$B$2:$B2766=B1055,'Previous Rank'!$C$2:$C2766=C1055),"""")"),1039.0)</f>
        <v>1039</v>
      </c>
      <c r="H1055" s="8">
        <f t="shared" si="1"/>
        <v>-15</v>
      </c>
    </row>
    <row r="1056">
      <c r="A1056" s="10">
        <v>1055.0</v>
      </c>
      <c r="B1056" s="11" t="s">
        <v>1143</v>
      </c>
      <c r="C1056" s="10" t="s">
        <v>22</v>
      </c>
      <c r="D1056" s="10" t="s">
        <v>137</v>
      </c>
      <c r="E1056" s="16"/>
      <c r="F1056" s="16" t="s">
        <v>382</v>
      </c>
      <c r="G1056" s="13">
        <f>IFERROR(__xludf.DUMMYFUNCTION("if(counta(filter('Previous Rank'!$A$2:$A2766,'Previous Rank'!$B$2:$B2766=B1056,'Previous Rank'!$C$2:$C2766=C1056))=1,filter('Previous Rank'!$A$2:$A2766,'Previous Rank'!$B$2:$B2766=B1056,'Previous Rank'!$C$2:$C2766=C1056),"""")"),1040.0)</f>
        <v>1040</v>
      </c>
      <c r="H1056" s="8">
        <f t="shared" si="1"/>
        <v>-15</v>
      </c>
    </row>
    <row r="1057">
      <c r="A1057" s="10">
        <v>1056.0</v>
      </c>
      <c r="B1057" s="11" t="s">
        <v>1144</v>
      </c>
      <c r="C1057" s="10" t="s">
        <v>79</v>
      </c>
      <c r="D1057" s="10" t="s">
        <v>12</v>
      </c>
      <c r="E1057" s="15"/>
      <c r="F1057" s="15" t="s">
        <v>382</v>
      </c>
      <c r="G1057" s="13">
        <f>IFERROR(__xludf.DUMMYFUNCTION("if(counta(filter('Previous Rank'!$A$2:$A2766,'Previous Rank'!$B$2:$B2766=B1057,'Previous Rank'!$C$2:$C2766=C1057))=1,filter('Previous Rank'!$A$2:$A2766,'Previous Rank'!$B$2:$B2766=B1057,'Previous Rank'!$C$2:$C2766=C1057),"""")"),1041.0)</f>
        <v>1041</v>
      </c>
      <c r="H1057" s="8">
        <f t="shared" si="1"/>
        <v>-15</v>
      </c>
    </row>
    <row r="1058">
      <c r="A1058" s="10">
        <v>1057.0</v>
      </c>
      <c r="B1058" s="11" t="s">
        <v>1145</v>
      </c>
      <c r="C1058" s="10" t="s">
        <v>22</v>
      </c>
      <c r="D1058" s="10" t="s">
        <v>137</v>
      </c>
      <c r="E1058" s="16"/>
      <c r="F1058" s="16" t="s">
        <v>382</v>
      </c>
      <c r="G1058" s="13">
        <f>IFERROR(__xludf.DUMMYFUNCTION("if(counta(filter('Previous Rank'!$A$2:$A2766,'Previous Rank'!$B$2:$B2766=B1058,'Previous Rank'!$C$2:$C2766=C1058))=1,filter('Previous Rank'!$A$2:$A2766,'Previous Rank'!$B$2:$B2766=B1058,'Previous Rank'!$C$2:$C2766=C1058),"""")"),1042.0)</f>
        <v>1042</v>
      </c>
      <c r="H1058" s="8">
        <f t="shared" si="1"/>
        <v>-15</v>
      </c>
    </row>
    <row r="1059">
      <c r="A1059" s="10">
        <v>1058.0</v>
      </c>
      <c r="B1059" s="11" t="s">
        <v>1146</v>
      </c>
      <c r="C1059" s="10" t="s">
        <v>79</v>
      </c>
      <c r="D1059" s="10" t="s">
        <v>122</v>
      </c>
      <c r="E1059" s="15"/>
      <c r="F1059" s="15" t="s">
        <v>382</v>
      </c>
      <c r="G1059" s="13">
        <f>IFERROR(__xludf.DUMMYFUNCTION("if(counta(filter('Previous Rank'!$A$2:$A2766,'Previous Rank'!$B$2:$B2766=B1059,'Previous Rank'!$C$2:$C2766=C1059))=1,filter('Previous Rank'!$A$2:$A2766,'Previous Rank'!$B$2:$B2766=B1059,'Previous Rank'!$C$2:$C2766=C1059),"""")"),1043.0)</f>
        <v>1043</v>
      </c>
      <c r="H1059" s="8">
        <f t="shared" si="1"/>
        <v>-15</v>
      </c>
    </row>
    <row r="1060">
      <c r="A1060" s="10">
        <v>1059.0</v>
      </c>
      <c r="B1060" s="11" t="s">
        <v>1147</v>
      </c>
      <c r="C1060" s="10" t="s">
        <v>22</v>
      </c>
      <c r="D1060" s="10" t="s">
        <v>49</v>
      </c>
      <c r="E1060" s="16"/>
      <c r="F1060" s="16" t="s">
        <v>382</v>
      </c>
      <c r="G1060" s="13">
        <f>IFERROR(__xludf.DUMMYFUNCTION("if(counta(filter('Previous Rank'!$A$2:$A2766,'Previous Rank'!$B$2:$B2766=B1060,'Previous Rank'!$C$2:$C2766=C1060))=1,filter('Previous Rank'!$A$2:$A2766,'Previous Rank'!$B$2:$B2766=B1060,'Previous Rank'!$C$2:$C2766=C1060),"""")"),1044.0)</f>
        <v>1044</v>
      </c>
      <c r="H1060" s="8">
        <f t="shared" si="1"/>
        <v>-15</v>
      </c>
    </row>
    <row r="1061">
      <c r="A1061" s="10">
        <v>1060.0</v>
      </c>
      <c r="B1061" s="11" t="s">
        <v>1148</v>
      </c>
      <c r="C1061" s="10" t="s">
        <v>79</v>
      </c>
      <c r="D1061" s="10" t="s">
        <v>113</v>
      </c>
      <c r="E1061" s="15"/>
      <c r="F1061" s="15" t="s">
        <v>382</v>
      </c>
      <c r="G1061" s="13">
        <f>IFERROR(__xludf.DUMMYFUNCTION("if(counta(filter('Previous Rank'!$A$2:$A2766,'Previous Rank'!$B$2:$B2766=B1061,'Previous Rank'!$C$2:$C2766=C1061))=1,filter('Previous Rank'!$A$2:$A2766,'Previous Rank'!$B$2:$B2766=B1061,'Previous Rank'!$C$2:$C2766=C1061),"""")"),1045.0)</f>
        <v>1045</v>
      </c>
      <c r="H1061" s="8">
        <f t="shared" si="1"/>
        <v>-15</v>
      </c>
    </row>
    <row r="1062">
      <c r="A1062" s="10">
        <v>1061.0</v>
      </c>
      <c r="B1062" s="11" t="s">
        <v>1149</v>
      </c>
      <c r="C1062" s="10" t="s">
        <v>79</v>
      </c>
      <c r="D1062" s="10" t="s">
        <v>129</v>
      </c>
      <c r="E1062" s="16"/>
      <c r="F1062" s="16" t="s">
        <v>382</v>
      </c>
      <c r="G1062" s="13">
        <f>IFERROR(__xludf.DUMMYFUNCTION("if(counta(filter('Previous Rank'!$A$2:$A2766,'Previous Rank'!$B$2:$B2766=B1062,'Previous Rank'!$C$2:$C2766=C1062))=1,filter('Previous Rank'!$A$2:$A2766,'Previous Rank'!$B$2:$B2766=B1062,'Previous Rank'!$C$2:$C2766=C1062),"""")"),1046.0)</f>
        <v>1046</v>
      </c>
      <c r="H1062" s="8">
        <f t="shared" si="1"/>
        <v>-15</v>
      </c>
    </row>
    <row r="1063">
      <c r="A1063" s="10">
        <v>1062.0</v>
      </c>
      <c r="B1063" s="11" t="s">
        <v>1150</v>
      </c>
      <c r="C1063" s="10" t="s">
        <v>22</v>
      </c>
      <c r="D1063" s="10" t="s">
        <v>25</v>
      </c>
      <c r="E1063" s="15"/>
      <c r="F1063" s="15" t="s">
        <v>382</v>
      </c>
      <c r="G1063" s="13">
        <f>IFERROR(__xludf.DUMMYFUNCTION("if(counta(filter('Previous Rank'!$A$2:$A2766,'Previous Rank'!$B$2:$B2766=B1063,'Previous Rank'!$C$2:$C2766=C1063))=1,filter('Previous Rank'!$A$2:$A2766,'Previous Rank'!$B$2:$B2766=B1063,'Previous Rank'!$C$2:$C2766=C1063),"""")"),1047.0)</f>
        <v>1047</v>
      </c>
      <c r="H1063" s="8">
        <f t="shared" si="1"/>
        <v>-15</v>
      </c>
    </row>
    <row r="1064">
      <c r="A1064" s="10">
        <v>1063.0</v>
      </c>
      <c r="B1064" s="11" t="s">
        <v>1151</v>
      </c>
      <c r="C1064" s="10" t="s">
        <v>79</v>
      </c>
      <c r="D1064" s="10" t="s">
        <v>113</v>
      </c>
      <c r="E1064" s="16"/>
      <c r="F1064" s="16" t="s">
        <v>382</v>
      </c>
      <c r="G1064" s="13">
        <f>IFERROR(__xludf.DUMMYFUNCTION("if(counta(filter('Previous Rank'!$A$2:$A2766,'Previous Rank'!$B$2:$B2766=B1064,'Previous Rank'!$C$2:$C2766=C1064))=1,filter('Previous Rank'!$A$2:$A2766,'Previous Rank'!$B$2:$B2766=B1064,'Previous Rank'!$C$2:$C2766=C1064),"""")"),1048.0)</f>
        <v>1048</v>
      </c>
      <c r="H1064" s="8">
        <f t="shared" si="1"/>
        <v>-15</v>
      </c>
    </row>
    <row r="1065">
      <c r="A1065" s="10">
        <v>1064.0</v>
      </c>
      <c r="B1065" s="11" t="s">
        <v>1152</v>
      </c>
      <c r="C1065" s="10" t="s">
        <v>79</v>
      </c>
      <c r="D1065" s="10" t="s">
        <v>49</v>
      </c>
      <c r="E1065" s="15"/>
      <c r="F1065" s="15" t="s">
        <v>382</v>
      </c>
      <c r="G1065" s="13">
        <f>IFERROR(__xludf.DUMMYFUNCTION("if(counta(filter('Previous Rank'!$A$2:$A2766,'Previous Rank'!$B$2:$B2766=B1065,'Previous Rank'!$C$2:$C2766=C1065))=1,filter('Previous Rank'!$A$2:$A2766,'Previous Rank'!$B$2:$B2766=B1065,'Previous Rank'!$C$2:$C2766=C1065),"""")"),1049.0)</f>
        <v>1049</v>
      </c>
      <c r="H1065" s="8">
        <f t="shared" si="1"/>
        <v>-15</v>
      </c>
    </row>
    <row r="1066">
      <c r="A1066" s="10">
        <v>1065.0</v>
      </c>
      <c r="B1066" s="11" t="s">
        <v>1153</v>
      </c>
      <c r="C1066" s="10" t="s">
        <v>22</v>
      </c>
      <c r="D1066" s="10" t="s">
        <v>120</v>
      </c>
      <c r="E1066" s="16"/>
      <c r="F1066" s="16" t="s">
        <v>382</v>
      </c>
      <c r="G1066" s="13">
        <f>IFERROR(__xludf.DUMMYFUNCTION("if(counta(filter('Previous Rank'!$A$2:$A2766,'Previous Rank'!$B$2:$B2766=B1066,'Previous Rank'!$C$2:$C2766=C1066))=1,filter('Previous Rank'!$A$2:$A2766,'Previous Rank'!$B$2:$B2766=B1066,'Previous Rank'!$C$2:$C2766=C1066),"""")"),1050.0)</f>
        <v>1050</v>
      </c>
      <c r="H1066" s="8">
        <f t="shared" si="1"/>
        <v>-15</v>
      </c>
    </row>
    <row r="1067">
      <c r="A1067" s="10">
        <v>1066.0</v>
      </c>
      <c r="B1067" s="11" t="s">
        <v>1154</v>
      </c>
      <c r="C1067" s="10" t="s">
        <v>22</v>
      </c>
      <c r="D1067" s="10" t="s">
        <v>49</v>
      </c>
      <c r="E1067" s="15"/>
      <c r="F1067" s="15" t="s">
        <v>382</v>
      </c>
      <c r="G1067" s="13">
        <f>IFERROR(__xludf.DUMMYFUNCTION("if(counta(filter('Previous Rank'!$A$2:$A2766,'Previous Rank'!$B$2:$B2766=B1067,'Previous Rank'!$C$2:$C2766=C1067))=1,filter('Previous Rank'!$A$2:$A2766,'Previous Rank'!$B$2:$B2766=B1067,'Previous Rank'!$C$2:$C2766=C1067),"""")"),1051.0)</f>
        <v>1051</v>
      </c>
      <c r="H1067" s="8">
        <f t="shared" si="1"/>
        <v>-15</v>
      </c>
    </row>
    <row r="1068">
      <c r="A1068" s="10">
        <v>1067.0</v>
      </c>
      <c r="B1068" s="11" t="s">
        <v>1155</v>
      </c>
      <c r="C1068" s="10" t="s">
        <v>79</v>
      </c>
      <c r="D1068" s="10" t="s">
        <v>46</v>
      </c>
      <c r="E1068" s="16"/>
      <c r="F1068" s="16" t="s">
        <v>382</v>
      </c>
      <c r="G1068" s="13">
        <f>IFERROR(__xludf.DUMMYFUNCTION("if(counta(filter('Previous Rank'!$A$2:$A2766,'Previous Rank'!$B$2:$B2766=B1068,'Previous Rank'!$C$2:$C2766=C1068))=1,filter('Previous Rank'!$A$2:$A2766,'Previous Rank'!$B$2:$B2766=B1068,'Previous Rank'!$C$2:$C2766=C1068),"""")"),1052.0)</f>
        <v>1052</v>
      </c>
      <c r="H1068" s="8">
        <f t="shared" si="1"/>
        <v>-15</v>
      </c>
    </row>
    <row r="1069">
      <c r="A1069" s="10">
        <v>1068.0</v>
      </c>
      <c r="B1069" s="11" t="s">
        <v>1156</v>
      </c>
      <c r="C1069" s="10" t="s">
        <v>79</v>
      </c>
      <c r="D1069" s="10" t="s">
        <v>122</v>
      </c>
      <c r="E1069" s="15"/>
      <c r="F1069" s="15" t="s">
        <v>382</v>
      </c>
      <c r="G1069" s="13">
        <f>IFERROR(__xludf.DUMMYFUNCTION("if(counta(filter('Previous Rank'!$A$2:$A2766,'Previous Rank'!$B$2:$B2766=B1069,'Previous Rank'!$C$2:$C2766=C1069))=1,filter('Previous Rank'!$A$2:$A2766,'Previous Rank'!$B$2:$B2766=B1069,'Previous Rank'!$C$2:$C2766=C1069),"""")"),1053.0)</f>
        <v>1053</v>
      </c>
      <c r="H1069" s="8">
        <f t="shared" si="1"/>
        <v>-15</v>
      </c>
    </row>
    <row r="1070">
      <c r="A1070" s="10">
        <v>1069.0</v>
      </c>
      <c r="B1070" s="11" t="s">
        <v>1157</v>
      </c>
      <c r="C1070" s="10" t="s">
        <v>22</v>
      </c>
      <c r="D1070" s="10" t="s">
        <v>67</v>
      </c>
      <c r="E1070" s="16"/>
      <c r="F1070" s="16" t="s">
        <v>382</v>
      </c>
      <c r="G1070" s="13">
        <f>IFERROR(__xludf.DUMMYFUNCTION("if(counta(filter('Previous Rank'!$A$2:$A2766,'Previous Rank'!$B$2:$B2766=B1070,'Previous Rank'!$C$2:$C2766=C1070))=1,filter('Previous Rank'!$A$2:$A2766,'Previous Rank'!$B$2:$B2766=B1070,'Previous Rank'!$C$2:$C2766=C1070),"""")"),1054.0)</f>
        <v>1054</v>
      </c>
      <c r="H1070" s="8">
        <f t="shared" si="1"/>
        <v>-15</v>
      </c>
    </row>
    <row r="1071">
      <c r="A1071" s="10">
        <v>1070.0</v>
      </c>
      <c r="B1071" s="11" t="s">
        <v>1158</v>
      </c>
      <c r="C1071" s="10" t="s">
        <v>22</v>
      </c>
      <c r="D1071" s="10" t="s">
        <v>99</v>
      </c>
      <c r="E1071" s="15"/>
      <c r="F1071" s="15" t="s">
        <v>382</v>
      </c>
      <c r="G1071" s="13">
        <f>IFERROR(__xludf.DUMMYFUNCTION("if(counta(filter('Previous Rank'!$A$2:$A2766,'Previous Rank'!$B$2:$B2766=B1071,'Previous Rank'!$C$2:$C2766=C1071))=1,filter('Previous Rank'!$A$2:$A2766,'Previous Rank'!$B$2:$B2766=B1071,'Previous Rank'!$C$2:$C2766=C1071),"""")"),1055.0)</f>
        <v>1055</v>
      </c>
      <c r="H1071" s="8">
        <f t="shared" si="1"/>
        <v>-15</v>
      </c>
    </row>
    <row r="1072">
      <c r="A1072" s="10">
        <v>1071.0</v>
      </c>
      <c r="B1072" s="11" t="s">
        <v>1159</v>
      </c>
      <c r="C1072" s="10" t="s">
        <v>22</v>
      </c>
      <c r="D1072" s="10" t="s">
        <v>71</v>
      </c>
      <c r="E1072" s="16"/>
      <c r="F1072" s="16" t="s">
        <v>382</v>
      </c>
      <c r="G1072" s="13">
        <f>IFERROR(__xludf.DUMMYFUNCTION("if(counta(filter('Previous Rank'!$A$2:$A2766,'Previous Rank'!$B$2:$B2766=B1072,'Previous Rank'!$C$2:$C2766=C1072))=1,filter('Previous Rank'!$A$2:$A2766,'Previous Rank'!$B$2:$B2766=B1072,'Previous Rank'!$C$2:$C2766=C1072),"""")"),1056.0)</f>
        <v>1056</v>
      </c>
      <c r="H1072" s="8">
        <f t="shared" si="1"/>
        <v>-15</v>
      </c>
    </row>
    <row r="1073">
      <c r="A1073" s="10">
        <v>1072.0</v>
      </c>
      <c r="B1073" s="11" t="s">
        <v>1160</v>
      </c>
      <c r="C1073" s="10" t="s">
        <v>22</v>
      </c>
      <c r="D1073" s="10" t="s">
        <v>23</v>
      </c>
      <c r="E1073" s="15"/>
      <c r="F1073" s="15" t="s">
        <v>382</v>
      </c>
      <c r="G1073" s="13">
        <f>IFERROR(__xludf.DUMMYFUNCTION("if(counta(filter('Previous Rank'!$A$2:$A2766,'Previous Rank'!$B$2:$B2766=B1073,'Previous Rank'!$C$2:$C2766=C1073))=1,filter('Previous Rank'!$A$2:$A2766,'Previous Rank'!$B$2:$B2766=B1073,'Previous Rank'!$C$2:$C2766=C1073),"""")"),1057.0)</f>
        <v>1057</v>
      </c>
      <c r="H1073" s="8">
        <f t="shared" si="1"/>
        <v>-15</v>
      </c>
    </row>
    <row r="1074">
      <c r="A1074" s="10">
        <v>1073.0</v>
      </c>
      <c r="B1074" s="11" t="s">
        <v>1161</v>
      </c>
      <c r="C1074" s="10" t="s">
        <v>79</v>
      </c>
      <c r="D1074" s="10" t="s">
        <v>140</v>
      </c>
      <c r="E1074" s="16"/>
      <c r="F1074" s="16" t="s">
        <v>382</v>
      </c>
      <c r="G1074" s="13">
        <f>IFERROR(__xludf.DUMMYFUNCTION("if(counta(filter('Previous Rank'!$A$2:$A2766,'Previous Rank'!$B$2:$B2766=B1074,'Previous Rank'!$C$2:$C2766=C1074))=1,filter('Previous Rank'!$A$2:$A2766,'Previous Rank'!$B$2:$B2766=B1074,'Previous Rank'!$C$2:$C2766=C1074),"""")"),1058.0)</f>
        <v>1058</v>
      </c>
      <c r="H1074" s="8">
        <f t="shared" si="1"/>
        <v>-15</v>
      </c>
    </row>
    <row r="1075">
      <c r="A1075" s="10">
        <v>1074.0</v>
      </c>
      <c r="B1075" s="11" t="s">
        <v>1162</v>
      </c>
      <c r="C1075" s="10" t="s">
        <v>22</v>
      </c>
      <c r="D1075" s="10" t="s">
        <v>95</v>
      </c>
      <c r="E1075" s="15"/>
      <c r="F1075" s="15" t="s">
        <v>382</v>
      </c>
      <c r="G1075" s="13">
        <f>IFERROR(__xludf.DUMMYFUNCTION("if(counta(filter('Previous Rank'!$A$2:$A2766,'Previous Rank'!$B$2:$B2766=B1075,'Previous Rank'!$C$2:$C2766=C1075))=1,filter('Previous Rank'!$A$2:$A2766,'Previous Rank'!$B$2:$B2766=B1075,'Previous Rank'!$C$2:$C2766=C1075),"""")"),1059.0)</f>
        <v>1059</v>
      </c>
      <c r="H1075" s="8">
        <f t="shared" si="1"/>
        <v>-15</v>
      </c>
    </row>
    <row r="1076">
      <c r="A1076" s="10">
        <v>1075.0</v>
      </c>
      <c r="B1076" s="11" t="s">
        <v>1163</v>
      </c>
      <c r="C1076" s="10" t="s">
        <v>22</v>
      </c>
      <c r="D1076" s="10" t="s">
        <v>12</v>
      </c>
      <c r="E1076" s="16"/>
      <c r="F1076" s="16" t="s">
        <v>382</v>
      </c>
      <c r="G1076" s="13">
        <f>IFERROR(__xludf.DUMMYFUNCTION("if(counta(filter('Previous Rank'!$A$2:$A2766,'Previous Rank'!$B$2:$B2766=B1076,'Previous Rank'!$C$2:$C2766=C1076))=1,filter('Previous Rank'!$A$2:$A2766,'Previous Rank'!$B$2:$B2766=B1076,'Previous Rank'!$C$2:$C2766=C1076),"""")"),1060.0)</f>
        <v>1060</v>
      </c>
      <c r="H1076" s="8">
        <f t="shared" si="1"/>
        <v>-15</v>
      </c>
    </row>
    <row r="1077">
      <c r="A1077" s="10">
        <v>1076.0</v>
      </c>
      <c r="B1077" s="11" t="s">
        <v>1164</v>
      </c>
      <c r="C1077" s="10" t="s">
        <v>79</v>
      </c>
      <c r="D1077" s="10" t="s">
        <v>9</v>
      </c>
      <c r="E1077" s="15"/>
      <c r="F1077" s="15" t="s">
        <v>382</v>
      </c>
      <c r="G1077" s="13">
        <f>IFERROR(__xludf.DUMMYFUNCTION("if(counta(filter('Previous Rank'!$A$2:$A2766,'Previous Rank'!$B$2:$B2766=B1077,'Previous Rank'!$C$2:$C2766=C1077))=1,filter('Previous Rank'!$A$2:$A2766,'Previous Rank'!$B$2:$B2766=B1077,'Previous Rank'!$C$2:$C2766=C1077),"""")"),1061.0)</f>
        <v>1061</v>
      </c>
      <c r="H1077" s="8">
        <f t="shared" si="1"/>
        <v>-15</v>
      </c>
    </row>
    <row r="1078">
      <c r="A1078" s="10">
        <v>1077.0</v>
      </c>
      <c r="B1078" s="11" t="s">
        <v>1165</v>
      </c>
      <c r="C1078" s="10" t="s">
        <v>220</v>
      </c>
      <c r="D1078" s="10" t="s">
        <v>42</v>
      </c>
      <c r="E1078" s="16"/>
      <c r="F1078" s="16" t="s">
        <v>382</v>
      </c>
      <c r="G1078" s="13">
        <f>IFERROR(__xludf.DUMMYFUNCTION("if(counta(filter('Previous Rank'!$A$2:$A2766,'Previous Rank'!$B$2:$B2766=B1078,'Previous Rank'!$C$2:$C2766=C1078))=1,filter('Previous Rank'!$A$2:$A2766,'Previous Rank'!$B$2:$B2766=B1078,'Previous Rank'!$C$2:$C2766=C1078),"""")"),1062.0)</f>
        <v>1062</v>
      </c>
      <c r="H1078" s="8">
        <f t="shared" si="1"/>
        <v>-15</v>
      </c>
    </row>
    <row r="1079">
      <c r="A1079" s="10">
        <v>1078.0</v>
      </c>
      <c r="B1079" s="11" t="s">
        <v>1166</v>
      </c>
      <c r="C1079" s="10" t="s">
        <v>79</v>
      </c>
      <c r="D1079" s="10" t="s">
        <v>67</v>
      </c>
      <c r="E1079" s="15"/>
      <c r="F1079" s="15" t="s">
        <v>382</v>
      </c>
      <c r="G1079" s="13">
        <f>IFERROR(__xludf.DUMMYFUNCTION("if(counta(filter('Previous Rank'!$A$2:$A2766,'Previous Rank'!$B$2:$B2766=B1079,'Previous Rank'!$C$2:$C2766=C1079))=1,filter('Previous Rank'!$A$2:$A2766,'Previous Rank'!$B$2:$B2766=B1079,'Previous Rank'!$C$2:$C2766=C1079),"""")"),1064.0)</f>
        <v>1064</v>
      </c>
      <c r="H1079" s="8">
        <f t="shared" si="1"/>
        <v>-14</v>
      </c>
    </row>
    <row r="1080">
      <c r="A1080" s="10">
        <v>1079.0</v>
      </c>
      <c r="B1080" s="11" t="s">
        <v>1167</v>
      </c>
      <c r="C1080" s="10" t="s">
        <v>22</v>
      </c>
      <c r="D1080" s="10" t="s">
        <v>206</v>
      </c>
      <c r="E1080" s="16"/>
      <c r="F1080" s="16" t="s">
        <v>382</v>
      </c>
      <c r="G1080" s="13">
        <f>IFERROR(__xludf.DUMMYFUNCTION("if(counta(filter('Previous Rank'!$A$2:$A2766,'Previous Rank'!$B$2:$B2766=B1080,'Previous Rank'!$C$2:$C2766=C1080))=1,filter('Previous Rank'!$A$2:$A2766,'Previous Rank'!$B$2:$B2766=B1080,'Previous Rank'!$C$2:$C2766=C1080),"""")"),1065.0)</f>
        <v>1065</v>
      </c>
      <c r="H1080" s="8">
        <f t="shared" si="1"/>
        <v>-14</v>
      </c>
    </row>
    <row r="1081">
      <c r="A1081" s="10">
        <v>1080.0</v>
      </c>
      <c r="B1081" s="11" t="s">
        <v>1168</v>
      </c>
      <c r="C1081" s="10" t="s">
        <v>22</v>
      </c>
      <c r="D1081" s="10" t="s">
        <v>113</v>
      </c>
      <c r="E1081" s="15"/>
      <c r="F1081" s="15" t="s">
        <v>382</v>
      </c>
      <c r="G1081" s="13">
        <f>IFERROR(__xludf.DUMMYFUNCTION("if(counta(filter('Previous Rank'!$A$2:$A2766,'Previous Rank'!$B$2:$B2766=B1081,'Previous Rank'!$C$2:$C2766=C1081))=1,filter('Previous Rank'!$A$2:$A2766,'Previous Rank'!$B$2:$B2766=B1081,'Previous Rank'!$C$2:$C2766=C1081),"""")"),1066.0)</f>
        <v>1066</v>
      </c>
      <c r="H1081" s="8">
        <f t="shared" si="1"/>
        <v>-14</v>
      </c>
    </row>
    <row r="1082">
      <c r="A1082" s="10">
        <v>1081.0</v>
      </c>
      <c r="B1082" s="11" t="s">
        <v>1169</v>
      </c>
      <c r="C1082" s="10" t="s">
        <v>22</v>
      </c>
      <c r="D1082" s="10" t="s">
        <v>120</v>
      </c>
      <c r="E1082" s="16"/>
      <c r="F1082" s="16" t="s">
        <v>382</v>
      </c>
      <c r="G1082" s="13">
        <f>IFERROR(__xludf.DUMMYFUNCTION("if(counta(filter('Previous Rank'!$A$2:$A2766,'Previous Rank'!$B$2:$B2766=B1082,'Previous Rank'!$C$2:$C2766=C1082))=1,filter('Previous Rank'!$A$2:$A2766,'Previous Rank'!$B$2:$B2766=B1082,'Previous Rank'!$C$2:$C2766=C1082),"""")"),1067.0)</f>
        <v>1067</v>
      </c>
      <c r="H1082" s="8">
        <f t="shared" si="1"/>
        <v>-14</v>
      </c>
    </row>
    <row r="1083">
      <c r="A1083" s="10">
        <v>1082.0</v>
      </c>
      <c r="B1083" s="11" t="s">
        <v>1170</v>
      </c>
      <c r="C1083" s="10" t="s">
        <v>79</v>
      </c>
      <c r="D1083" s="10" t="s">
        <v>18</v>
      </c>
      <c r="E1083" s="15"/>
      <c r="F1083" s="15" t="s">
        <v>382</v>
      </c>
      <c r="G1083" s="13">
        <f>IFERROR(__xludf.DUMMYFUNCTION("if(counta(filter('Previous Rank'!$A$2:$A2766,'Previous Rank'!$B$2:$B2766=B1083,'Previous Rank'!$C$2:$C2766=C1083))=1,filter('Previous Rank'!$A$2:$A2766,'Previous Rank'!$B$2:$B2766=B1083,'Previous Rank'!$C$2:$C2766=C1083),"""")"),1068.0)</f>
        <v>1068</v>
      </c>
      <c r="H1083" s="8">
        <f t="shared" si="1"/>
        <v>-14</v>
      </c>
    </row>
    <row r="1084">
      <c r="A1084" s="10">
        <v>1083.0</v>
      </c>
      <c r="B1084" s="11" t="s">
        <v>1171</v>
      </c>
      <c r="C1084" s="10" t="s">
        <v>22</v>
      </c>
      <c r="D1084" s="10" t="s">
        <v>99</v>
      </c>
      <c r="E1084" s="16"/>
      <c r="F1084" s="16" t="s">
        <v>382</v>
      </c>
      <c r="G1084" s="13">
        <f>IFERROR(__xludf.DUMMYFUNCTION("if(counta(filter('Previous Rank'!$A$2:$A2766,'Previous Rank'!$B$2:$B2766=B1084,'Previous Rank'!$C$2:$C2766=C1084))=1,filter('Previous Rank'!$A$2:$A2766,'Previous Rank'!$B$2:$B2766=B1084,'Previous Rank'!$C$2:$C2766=C1084),"""")"),1069.0)</f>
        <v>1069</v>
      </c>
      <c r="H1084" s="8">
        <f t="shared" si="1"/>
        <v>-14</v>
      </c>
    </row>
    <row r="1085">
      <c r="A1085" s="10">
        <v>1084.0</v>
      </c>
      <c r="B1085" s="11" t="s">
        <v>1172</v>
      </c>
      <c r="C1085" s="10" t="s">
        <v>22</v>
      </c>
      <c r="D1085" s="10" t="s">
        <v>122</v>
      </c>
      <c r="E1085" s="15"/>
      <c r="F1085" s="15" t="s">
        <v>382</v>
      </c>
      <c r="G1085" s="13">
        <f>IFERROR(__xludf.DUMMYFUNCTION("if(counta(filter('Previous Rank'!$A$2:$A2766,'Previous Rank'!$B$2:$B2766=B1085,'Previous Rank'!$C$2:$C2766=C1085))=1,filter('Previous Rank'!$A$2:$A2766,'Previous Rank'!$B$2:$B2766=B1085,'Previous Rank'!$C$2:$C2766=C1085),"""")"),1070.0)</f>
        <v>1070</v>
      </c>
      <c r="H1085" s="8">
        <f t="shared" si="1"/>
        <v>-14</v>
      </c>
    </row>
    <row r="1086">
      <c r="A1086" s="10">
        <v>1085.0</v>
      </c>
      <c r="B1086" s="11" t="s">
        <v>1173</v>
      </c>
      <c r="C1086" s="10" t="s">
        <v>79</v>
      </c>
      <c r="D1086" s="10" t="s">
        <v>31</v>
      </c>
      <c r="E1086" s="16"/>
      <c r="F1086" s="16" t="s">
        <v>382</v>
      </c>
      <c r="G1086" s="13">
        <f>IFERROR(__xludf.DUMMYFUNCTION("if(counta(filter('Previous Rank'!$A$2:$A2766,'Previous Rank'!$B$2:$B2766=B1086,'Previous Rank'!$C$2:$C2766=C1086))=1,filter('Previous Rank'!$A$2:$A2766,'Previous Rank'!$B$2:$B2766=B1086,'Previous Rank'!$C$2:$C2766=C1086),"""")"),1071.0)</f>
        <v>1071</v>
      </c>
      <c r="H1086" s="8">
        <f t="shared" si="1"/>
        <v>-14</v>
      </c>
    </row>
    <row r="1087">
      <c r="A1087" s="10">
        <v>1086.0</v>
      </c>
      <c r="B1087" s="11" t="s">
        <v>1174</v>
      </c>
      <c r="C1087" s="10" t="s">
        <v>79</v>
      </c>
      <c r="D1087" s="10" t="s">
        <v>140</v>
      </c>
      <c r="E1087" s="15"/>
      <c r="F1087" s="15" t="s">
        <v>382</v>
      </c>
      <c r="G1087" s="13">
        <f>IFERROR(__xludf.DUMMYFUNCTION("if(counta(filter('Previous Rank'!$A$2:$A2766,'Previous Rank'!$B$2:$B2766=B1087,'Previous Rank'!$C$2:$C2766=C1087))=1,filter('Previous Rank'!$A$2:$A2766,'Previous Rank'!$B$2:$B2766=B1087,'Previous Rank'!$C$2:$C2766=C1087),"""")"),1072.0)</f>
        <v>1072</v>
      </c>
      <c r="H1087" s="8">
        <f t="shared" si="1"/>
        <v>-14</v>
      </c>
    </row>
    <row r="1088">
      <c r="A1088" s="10">
        <v>1087.0</v>
      </c>
      <c r="B1088" s="11" t="s">
        <v>1175</v>
      </c>
      <c r="C1088" s="10" t="s">
        <v>22</v>
      </c>
      <c r="D1088" s="10" t="s">
        <v>99</v>
      </c>
      <c r="E1088" s="16"/>
      <c r="F1088" s="16" t="s">
        <v>382</v>
      </c>
      <c r="G1088" s="13">
        <f>IFERROR(__xludf.DUMMYFUNCTION("if(counta(filter('Previous Rank'!$A$2:$A2766,'Previous Rank'!$B$2:$B2766=B1088,'Previous Rank'!$C$2:$C2766=C1088))=1,filter('Previous Rank'!$A$2:$A2766,'Previous Rank'!$B$2:$B2766=B1088,'Previous Rank'!$C$2:$C2766=C1088),"""")"),1073.0)</f>
        <v>1073</v>
      </c>
      <c r="H1088" s="8">
        <f t="shared" si="1"/>
        <v>-14</v>
      </c>
    </row>
    <row r="1089">
      <c r="A1089" s="10">
        <v>1088.0</v>
      </c>
      <c r="B1089" s="11" t="s">
        <v>1176</v>
      </c>
      <c r="C1089" s="10" t="s">
        <v>79</v>
      </c>
      <c r="D1089" s="10" t="s">
        <v>113</v>
      </c>
      <c r="E1089" s="15"/>
      <c r="F1089" s="15" t="s">
        <v>382</v>
      </c>
      <c r="G1089" s="13">
        <f>IFERROR(__xludf.DUMMYFUNCTION("if(counta(filter('Previous Rank'!$A$2:$A2766,'Previous Rank'!$B$2:$B2766=B1089,'Previous Rank'!$C$2:$C2766=C1089))=1,filter('Previous Rank'!$A$2:$A2766,'Previous Rank'!$B$2:$B2766=B1089,'Previous Rank'!$C$2:$C2766=C1089),"""")"),1074.0)</f>
        <v>1074</v>
      </c>
      <c r="H1089" s="8">
        <f t="shared" si="1"/>
        <v>-14</v>
      </c>
    </row>
    <row r="1090">
      <c r="A1090" s="10">
        <v>1089.0</v>
      </c>
      <c r="B1090" s="11" t="s">
        <v>1177</v>
      </c>
      <c r="C1090" s="10" t="s">
        <v>22</v>
      </c>
      <c r="D1090" s="10" t="s">
        <v>36</v>
      </c>
      <c r="E1090" s="16"/>
      <c r="F1090" s="16" t="s">
        <v>382</v>
      </c>
      <c r="G1090" s="13">
        <f>IFERROR(__xludf.DUMMYFUNCTION("if(counta(filter('Previous Rank'!$A$2:$A2766,'Previous Rank'!$B$2:$B2766=B1090,'Previous Rank'!$C$2:$C2766=C1090))=1,filter('Previous Rank'!$A$2:$A2766,'Previous Rank'!$B$2:$B2766=B1090,'Previous Rank'!$C$2:$C2766=C1090),"""")"),1075.0)</f>
        <v>1075</v>
      </c>
      <c r="H1090" s="8">
        <f t="shared" si="1"/>
        <v>-14</v>
      </c>
    </row>
    <row r="1091">
      <c r="A1091" s="10">
        <v>1090.0</v>
      </c>
      <c r="B1091" s="11" t="s">
        <v>1178</v>
      </c>
      <c r="C1091" s="10" t="s">
        <v>22</v>
      </c>
      <c r="D1091" s="10" t="s">
        <v>90</v>
      </c>
      <c r="E1091" s="15"/>
      <c r="F1091" s="15" t="s">
        <v>382</v>
      </c>
      <c r="G1091" s="13">
        <f>IFERROR(__xludf.DUMMYFUNCTION("if(counta(filter('Previous Rank'!$A$2:$A2766,'Previous Rank'!$B$2:$B2766=B1091,'Previous Rank'!$C$2:$C2766=C1091))=1,filter('Previous Rank'!$A$2:$A2766,'Previous Rank'!$B$2:$B2766=B1091,'Previous Rank'!$C$2:$C2766=C1091),"""")"),1076.0)</f>
        <v>1076</v>
      </c>
      <c r="H1091" s="8">
        <f t="shared" si="1"/>
        <v>-14</v>
      </c>
    </row>
    <row r="1092">
      <c r="A1092" s="10">
        <v>1091.0</v>
      </c>
      <c r="B1092" s="11" t="s">
        <v>1179</v>
      </c>
      <c r="C1092" s="10" t="s">
        <v>220</v>
      </c>
      <c r="D1092" s="10" t="s">
        <v>95</v>
      </c>
      <c r="E1092" s="16"/>
      <c r="F1092" s="16" t="s">
        <v>382</v>
      </c>
      <c r="G1092" s="13">
        <f>IFERROR(__xludf.DUMMYFUNCTION("if(counta(filter('Previous Rank'!$A$2:$A2766,'Previous Rank'!$B$2:$B2766=B1092,'Previous Rank'!$C$2:$C2766=C1092))=1,filter('Previous Rank'!$A$2:$A2766,'Previous Rank'!$B$2:$B2766=B1092,'Previous Rank'!$C$2:$C2766=C1092),"""")"),1077.0)</f>
        <v>1077</v>
      </c>
      <c r="H1092" s="8">
        <f t="shared" si="1"/>
        <v>-14</v>
      </c>
    </row>
    <row r="1093">
      <c r="A1093" s="10">
        <v>1092.0</v>
      </c>
      <c r="B1093" s="11" t="s">
        <v>1180</v>
      </c>
      <c r="C1093" s="10" t="s">
        <v>79</v>
      </c>
      <c r="D1093" s="10" t="s">
        <v>31</v>
      </c>
      <c r="E1093" s="15"/>
      <c r="F1093" s="15" t="s">
        <v>382</v>
      </c>
      <c r="G1093" s="13">
        <f>IFERROR(__xludf.DUMMYFUNCTION("if(counta(filter('Previous Rank'!$A$2:$A2766,'Previous Rank'!$B$2:$B2766=B1093,'Previous Rank'!$C$2:$C2766=C1093))=1,filter('Previous Rank'!$A$2:$A2766,'Previous Rank'!$B$2:$B2766=B1093,'Previous Rank'!$C$2:$C2766=C1093),"""")"),1078.0)</f>
        <v>1078</v>
      </c>
      <c r="H1093" s="8">
        <f t="shared" si="1"/>
        <v>-14</v>
      </c>
    </row>
    <row r="1094">
      <c r="A1094" s="10">
        <v>1093.0</v>
      </c>
      <c r="B1094" s="11" t="s">
        <v>1181</v>
      </c>
      <c r="C1094" s="10" t="s">
        <v>22</v>
      </c>
      <c r="D1094" s="10" t="s">
        <v>129</v>
      </c>
      <c r="E1094" s="16"/>
      <c r="F1094" s="16" t="s">
        <v>382</v>
      </c>
      <c r="G1094" s="13">
        <f>IFERROR(__xludf.DUMMYFUNCTION("if(counta(filter('Previous Rank'!$A$2:$A2766,'Previous Rank'!$B$2:$B2766=B1094,'Previous Rank'!$C$2:$C2766=C1094))=1,filter('Previous Rank'!$A$2:$A2766,'Previous Rank'!$B$2:$B2766=B1094,'Previous Rank'!$C$2:$C2766=C1094),"""")"),1079.0)</f>
        <v>1079</v>
      </c>
      <c r="H1094" s="8">
        <f t="shared" si="1"/>
        <v>-14</v>
      </c>
    </row>
    <row r="1095">
      <c r="A1095" s="10">
        <v>1094.0</v>
      </c>
      <c r="B1095" s="11" t="s">
        <v>1182</v>
      </c>
      <c r="C1095" s="10" t="s">
        <v>22</v>
      </c>
      <c r="D1095" s="10" t="s">
        <v>67</v>
      </c>
      <c r="E1095" s="15"/>
      <c r="F1095" s="15" t="s">
        <v>382</v>
      </c>
      <c r="G1095" s="13">
        <f>IFERROR(__xludf.DUMMYFUNCTION("if(counta(filter('Previous Rank'!$A$2:$A2766,'Previous Rank'!$B$2:$B2766=B1095,'Previous Rank'!$C$2:$C2766=C1095))=1,filter('Previous Rank'!$A$2:$A2766,'Previous Rank'!$B$2:$B2766=B1095,'Previous Rank'!$C$2:$C2766=C1095),"""")"),1080.0)</f>
        <v>1080</v>
      </c>
      <c r="H1095" s="8">
        <f t="shared" si="1"/>
        <v>-14</v>
      </c>
    </row>
    <row r="1096">
      <c r="A1096" s="10">
        <v>1095.0</v>
      </c>
      <c r="B1096" s="11" t="s">
        <v>1183</v>
      </c>
      <c r="C1096" s="10" t="s">
        <v>22</v>
      </c>
      <c r="D1096" s="10" t="s">
        <v>27</v>
      </c>
      <c r="E1096" s="16"/>
      <c r="F1096" s="16" t="s">
        <v>382</v>
      </c>
      <c r="G1096" s="13">
        <f>IFERROR(__xludf.DUMMYFUNCTION("if(counta(filter('Previous Rank'!$A$2:$A2766,'Previous Rank'!$B$2:$B2766=B1096,'Previous Rank'!$C$2:$C2766=C1096))=1,filter('Previous Rank'!$A$2:$A2766,'Previous Rank'!$B$2:$B2766=B1096,'Previous Rank'!$C$2:$C2766=C1096),"""")"),1081.0)</f>
        <v>1081</v>
      </c>
      <c r="H1096" s="8">
        <f t="shared" si="1"/>
        <v>-14</v>
      </c>
    </row>
    <row r="1097">
      <c r="A1097" s="10">
        <v>1096.0</v>
      </c>
      <c r="B1097" s="11" t="s">
        <v>1184</v>
      </c>
      <c r="C1097" s="10" t="s">
        <v>79</v>
      </c>
      <c r="D1097" s="10" t="s">
        <v>18</v>
      </c>
      <c r="E1097" s="15"/>
      <c r="F1097" s="15"/>
      <c r="G1097" s="13">
        <f>IFERROR(__xludf.DUMMYFUNCTION("if(counta(filter('Previous Rank'!$A$2:$A2766,'Previous Rank'!$B$2:$B2766=B1097,'Previous Rank'!$C$2:$C2766=C1097))=1,filter('Previous Rank'!$A$2:$A2766,'Previous Rank'!$B$2:$B2766=B1097,'Previous Rank'!$C$2:$C2766=C1097),"""")"),1082.0)</f>
        <v>1082</v>
      </c>
      <c r="H1097" s="8">
        <f t="shared" si="1"/>
        <v>-14</v>
      </c>
    </row>
    <row r="1098">
      <c r="A1098" s="10">
        <v>1097.0</v>
      </c>
      <c r="B1098" s="11" t="s">
        <v>1185</v>
      </c>
      <c r="C1098" s="10" t="s">
        <v>22</v>
      </c>
      <c r="D1098" s="10" t="s">
        <v>120</v>
      </c>
      <c r="E1098" s="16"/>
      <c r="F1098" s="16" t="s">
        <v>382</v>
      </c>
      <c r="G1098" s="13">
        <f>IFERROR(__xludf.DUMMYFUNCTION("if(counta(filter('Previous Rank'!$A$2:$A2766,'Previous Rank'!$B$2:$B2766=B1098,'Previous Rank'!$C$2:$C2766=C1098))=1,filter('Previous Rank'!$A$2:$A2766,'Previous Rank'!$B$2:$B2766=B1098,'Previous Rank'!$C$2:$C2766=C1098),"""")"),1083.0)</f>
        <v>1083</v>
      </c>
      <c r="H1098" s="8">
        <f t="shared" si="1"/>
        <v>-14</v>
      </c>
    </row>
    <row r="1099">
      <c r="A1099" s="10">
        <v>1098.0</v>
      </c>
      <c r="B1099" s="11" t="s">
        <v>1186</v>
      </c>
      <c r="C1099" s="10" t="s">
        <v>22</v>
      </c>
      <c r="D1099" s="10" t="s">
        <v>206</v>
      </c>
      <c r="E1099" s="15"/>
      <c r="F1099" s="15" t="s">
        <v>382</v>
      </c>
      <c r="G1099" s="13">
        <f>IFERROR(__xludf.DUMMYFUNCTION("if(counta(filter('Previous Rank'!$A$2:$A2766,'Previous Rank'!$B$2:$B2766=B1099,'Previous Rank'!$C$2:$C2766=C1099))=1,filter('Previous Rank'!$A$2:$A2766,'Previous Rank'!$B$2:$B2766=B1099,'Previous Rank'!$C$2:$C2766=C1099),"""")"),1084.0)</f>
        <v>1084</v>
      </c>
      <c r="H1099" s="8">
        <f t="shared" si="1"/>
        <v>-14</v>
      </c>
    </row>
    <row r="1100">
      <c r="A1100" s="10">
        <v>1099.0</v>
      </c>
      <c r="B1100" s="11" t="s">
        <v>1187</v>
      </c>
      <c r="C1100" s="10" t="s">
        <v>22</v>
      </c>
      <c r="D1100" s="10" t="s">
        <v>129</v>
      </c>
      <c r="E1100" s="16"/>
      <c r="F1100" s="16" t="s">
        <v>382</v>
      </c>
      <c r="G1100" s="13">
        <f>IFERROR(__xludf.DUMMYFUNCTION("if(counta(filter('Previous Rank'!$A$2:$A2766,'Previous Rank'!$B$2:$B2766=B1100,'Previous Rank'!$C$2:$C2766=C1100))=1,filter('Previous Rank'!$A$2:$A2766,'Previous Rank'!$B$2:$B2766=B1100,'Previous Rank'!$C$2:$C2766=C1100),"""")"),1085.0)</f>
        <v>1085</v>
      </c>
      <c r="H1100" s="8">
        <f t="shared" si="1"/>
        <v>-14</v>
      </c>
    </row>
    <row r="1101">
      <c r="A1101" s="10">
        <v>1100.0</v>
      </c>
      <c r="B1101" s="11" t="s">
        <v>1188</v>
      </c>
      <c r="C1101" s="10" t="s">
        <v>22</v>
      </c>
      <c r="D1101" s="10" t="s">
        <v>95</v>
      </c>
      <c r="E1101" s="15"/>
      <c r="F1101" s="15" t="s">
        <v>382</v>
      </c>
      <c r="G1101" s="13">
        <f>IFERROR(__xludf.DUMMYFUNCTION("if(counta(filter('Previous Rank'!$A$2:$A2766,'Previous Rank'!$B$2:$B2766=B1101,'Previous Rank'!$C$2:$C2766=C1101))=1,filter('Previous Rank'!$A$2:$A2766,'Previous Rank'!$B$2:$B2766=B1101,'Previous Rank'!$C$2:$C2766=C1101),"""")"),1086.0)</f>
        <v>1086</v>
      </c>
      <c r="H1101" s="8">
        <f t="shared" si="1"/>
        <v>-14</v>
      </c>
    </row>
    <row r="1102">
      <c r="A1102" s="10">
        <v>1101.0</v>
      </c>
      <c r="B1102" s="11" t="s">
        <v>1189</v>
      </c>
      <c r="C1102" s="10" t="s">
        <v>22</v>
      </c>
      <c r="D1102" s="10" t="s">
        <v>73</v>
      </c>
      <c r="E1102" s="16"/>
      <c r="F1102" s="16" t="s">
        <v>382</v>
      </c>
      <c r="G1102" s="13">
        <f>IFERROR(__xludf.DUMMYFUNCTION("if(counta(filter('Previous Rank'!$A$2:$A2766,'Previous Rank'!$B$2:$B2766=B1102,'Previous Rank'!$C$2:$C2766=C1102))=1,filter('Previous Rank'!$A$2:$A2766,'Previous Rank'!$B$2:$B2766=B1102,'Previous Rank'!$C$2:$C2766=C1102),"""")"),1087.0)</f>
        <v>1087</v>
      </c>
      <c r="H1102" s="8">
        <f t="shared" si="1"/>
        <v>-14</v>
      </c>
    </row>
    <row r="1103">
      <c r="A1103" s="10">
        <v>1102.0</v>
      </c>
      <c r="B1103" s="11" t="s">
        <v>1190</v>
      </c>
      <c r="C1103" s="10" t="s">
        <v>22</v>
      </c>
      <c r="D1103" s="10" t="s">
        <v>105</v>
      </c>
      <c r="E1103" s="15"/>
      <c r="F1103" s="15" t="s">
        <v>382</v>
      </c>
      <c r="G1103" s="13">
        <f>IFERROR(__xludf.DUMMYFUNCTION("if(counta(filter('Previous Rank'!$A$2:$A2766,'Previous Rank'!$B$2:$B2766=B1103,'Previous Rank'!$C$2:$C2766=C1103))=1,filter('Previous Rank'!$A$2:$A2766,'Previous Rank'!$B$2:$B2766=B1103,'Previous Rank'!$C$2:$C2766=C1103),"""")"),1088.0)</f>
        <v>1088</v>
      </c>
      <c r="H1103" s="8">
        <f t="shared" si="1"/>
        <v>-14</v>
      </c>
    </row>
    <row r="1104">
      <c r="A1104" s="10">
        <v>1103.0</v>
      </c>
      <c r="B1104" s="11" t="s">
        <v>1191</v>
      </c>
      <c r="C1104" s="10" t="s">
        <v>22</v>
      </c>
      <c r="D1104" s="10" t="s">
        <v>73</v>
      </c>
      <c r="E1104" s="16"/>
      <c r="F1104" s="16" t="s">
        <v>382</v>
      </c>
      <c r="G1104" s="13">
        <f>IFERROR(__xludf.DUMMYFUNCTION("if(counta(filter('Previous Rank'!$A$2:$A2766,'Previous Rank'!$B$2:$B2766=B1104,'Previous Rank'!$C$2:$C2766=C1104))=1,filter('Previous Rank'!$A$2:$A2766,'Previous Rank'!$B$2:$B2766=B1104,'Previous Rank'!$C$2:$C2766=C1104),"""")"),1089.0)</f>
        <v>1089</v>
      </c>
      <c r="H1104" s="8">
        <f t="shared" si="1"/>
        <v>-14</v>
      </c>
    </row>
    <row r="1105">
      <c r="A1105" s="10">
        <v>1104.0</v>
      </c>
      <c r="B1105" s="11" t="s">
        <v>1192</v>
      </c>
      <c r="C1105" s="10" t="s">
        <v>22</v>
      </c>
      <c r="D1105" s="10" t="s">
        <v>42</v>
      </c>
      <c r="E1105" s="15"/>
      <c r="F1105" s="15" t="s">
        <v>382</v>
      </c>
      <c r="G1105" s="13">
        <f>IFERROR(__xludf.DUMMYFUNCTION("if(counta(filter('Previous Rank'!$A$2:$A2766,'Previous Rank'!$B$2:$B2766=B1105,'Previous Rank'!$C$2:$C2766=C1105))=1,filter('Previous Rank'!$A$2:$A2766,'Previous Rank'!$B$2:$B2766=B1105,'Previous Rank'!$C$2:$C2766=C1105),"""")"),1090.0)</f>
        <v>1090</v>
      </c>
      <c r="H1105" s="8">
        <f t="shared" si="1"/>
        <v>-14</v>
      </c>
    </row>
    <row r="1106">
      <c r="A1106" s="10">
        <v>1105.0</v>
      </c>
      <c r="B1106" s="11" t="s">
        <v>1193</v>
      </c>
      <c r="C1106" s="10" t="s">
        <v>22</v>
      </c>
      <c r="D1106" s="10" t="s">
        <v>95</v>
      </c>
      <c r="E1106" s="16"/>
      <c r="F1106" s="16" t="s">
        <v>382</v>
      </c>
      <c r="G1106" s="13">
        <f>IFERROR(__xludf.DUMMYFUNCTION("if(counta(filter('Previous Rank'!$A$2:$A2766,'Previous Rank'!$B$2:$B2766=B1106,'Previous Rank'!$C$2:$C2766=C1106))=1,filter('Previous Rank'!$A$2:$A2766,'Previous Rank'!$B$2:$B2766=B1106,'Previous Rank'!$C$2:$C2766=C1106),"""")"),1091.0)</f>
        <v>1091</v>
      </c>
      <c r="H1106" s="8">
        <f t="shared" si="1"/>
        <v>-14</v>
      </c>
    </row>
    <row r="1107">
      <c r="A1107" s="10">
        <v>1106.0</v>
      </c>
      <c r="B1107" s="11" t="s">
        <v>1194</v>
      </c>
      <c r="C1107" s="10" t="s">
        <v>22</v>
      </c>
      <c r="D1107" s="10" t="s">
        <v>27</v>
      </c>
      <c r="E1107" s="15"/>
      <c r="F1107" s="15" t="s">
        <v>382</v>
      </c>
      <c r="G1107" s="13">
        <f>IFERROR(__xludf.DUMMYFUNCTION("if(counta(filter('Previous Rank'!$A$2:$A2766,'Previous Rank'!$B$2:$B2766=B1107,'Previous Rank'!$C$2:$C2766=C1107))=1,filter('Previous Rank'!$A$2:$A2766,'Previous Rank'!$B$2:$B2766=B1107,'Previous Rank'!$C$2:$C2766=C1107),"""")"),1092.0)</f>
        <v>1092</v>
      </c>
      <c r="H1107" s="8">
        <f t="shared" si="1"/>
        <v>-14</v>
      </c>
    </row>
    <row r="1108">
      <c r="A1108" s="10">
        <v>1107.0</v>
      </c>
      <c r="B1108" s="11" t="s">
        <v>1195</v>
      </c>
      <c r="C1108" s="10" t="s">
        <v>79</v>
      </c>
      <c r="D1108" s="10" t="s">
        <v>18</v>
      </c>
      <c r="E1108" s="16"/>
      <c r="F1108" s="16" t="s">
        <v>382</v>
      </c>
      <c r="G1108" s="13">
        <f>IFERROR(__xludf.DUMMYFUNCTION("if(counta(filter('Previous Rank'!$A$2:$A2766,'Previous Rank'!$B$2:$B2766=B1108,'Previous Rank'!$C$2:$C2766=C1108))=1,filter('Previous Rank'!$A$2:$A2766,'Previous Rank'!$B$2:$B2766=B1108,'Previous Rank'!$C$2:$C2766=C1108),"""")"),1093.0)</f>
        <v>1093</v>
      </c>
      <c r="H1108" s="8">
        <f t="shared" si="1"/>
        <v>-14</v>
      </c>
    </row>
    <row r="1109">
      <c r="A1109" s="10">
        <v>1108.0</v>
      </c>
      <c r="B1109" s="11" t="s">
        <v>1196</v>
      </c>
      <c r="C1109" s="10" t="s">
        <v>22</v>
      </c>
      <c r="D1109" s="10" t="s">
        <v>42</v>
      </c>
      <c r="E1109" s="15"/>
      <c r="F1109" s="15" t="s">
        <v>382</v>
      </c>
      <c r="G1109" s="13">
        <f>IFERROR(__xludf.DUMMYFUNCTION("if(counta(filter('Previous Rank'!$A$2:$A2766,'Previous Rank'!$B$2:$B2766=B1109,'Previous Rank'!$C$2:$C2766=C1109))=1,filter('Previous Rank'!$A$2:$A2766,'Previous Rank'!$B$2:$B2766=B1109,'Previous Rank'!$C$2:$C2766=C1109),"""")"),1094.0)</f>
        <v>1094</v>
      </c>
      <c r="H1109" s="8">
        <f t="shared" si="1"/>
        <v>-14</v>
      </c>
    </row>
    <row r="1110">
      <c r="A1110" s="10">
        <v>1109.0</v>
      </c>
      <c r="B1110" s="11" t="s">
        <v>1197</v>
      </c>
      <c r="C1110" s="10" t="s">
        <v>22</v>
      </c>
      <c r="D1110" s="10" t="s">
        <v>52</v>
      </c>
      <c r="E1110" s="16"/>
      <c r="F1110" s="16" t="s">
        <v>382</v>
      </c>
      <c r="G1110" s="13">
        <f>IFERROR(__xludf.DUMMYFUNCTION("if(counta(filter('Previous Rank'!$A$2:$A2766,'Previous Rank'!$B$2:$B2766=B1110,'Previous Rank'!$C$2:$C2766=C1110))=1,filter('Previous Rank'!$A$2:$A2766,'Previous Rank'!$B$2:$B2766=B1110,'Previous Rank'!$C$2:$C2766=C1110),"""")"),1095.0)</f>
        <v>1095</v>
      </c>
      <c r="H1110" s="8">
        <f t="shared" si="1"/>
        <v>-14</v>
      </c>
    </row>
    <row r="1111">
      <c r="A1111" s="10">
        <v>1110.0</v>
      </c>
      <c r="B1111" s="11" t="s">
        <v>1198</v>
      </c>
      <c r="C1111" s="10" t="s">
        <v>22</v>
      </c>
      <c r="D1111" s="10" t="s">
        <v>129</v>
      </c>
      <c r="E1111" s="15"/>
      <c r="F1111" s="15" t="s">
        <v>382</v>
      </c>
      <c r="G1111" s="13">
        <f>IFERROR(__xludf.DUMMYFUNCTION("if(counta(filter('Previous Rank'!$A$2:$A2766,'Previous Rank'!$B$2:$B2766=B1111,'Previous Rank'!$C$2:$C2766=C1111))=1,filter('Previous Rank'!$A$2:$A2766,'Previous Rank'!$B$2:$B2766=B1111,'Previous Rank'!$C$2:$C2766=C1111),"""")"),1096.0)</f>
        <v>1096</v>
      </c>
      <c r="H1111" s="8">
        <f t="shared" si="1"/>
        <v>-14</v>
      </c>
    </row>
    <row r="1112">
      <c r="A1112" s="10">
        <v>1111.0</v>
      </c>
      <c r="B1112" s="11" t="s">
        <v>1199</v>
      </c>
      <c r="C1112" s="10" t="s">
        <v>22</v>
      </c>
      <c r="D1112" s="10" t="s">
        <v>23</v>
      </c>
      <c r="E1112" s="16"/>
      <c r="F1112" s="16" t="s">
        <v>382</v>
      </c>
      <c r="G1112" s="13">
        <f>IFERROR(__xludf.DUMMYFUNCTION("if(counta(filter('Previous Rank'!$A$2:$A2766,'Previous Rank'!$B$2:$B2766=B1112,'Previous Rank'!$C$2:$C2766=C1112))=1,filter('Previous Rank'!$A$2:$A2766,'Previous Rank'!$B$2:$B2766=B1112,'Previous Rank'!$C$2:$C2766=C1112),"""")"),1097.0)</f>
        <v>1097</v>
      </c>
      <c r="H1112" s="8">
        <f t="shared" si="1"/>
        <v>-14</v>
      </c>
    </row>
    <row r="1113">
      <c r="A1113" s="10">
        <v>1112.0</v>
      </c>
      <c r="B1113" s="11" t="s">
        <v>1200</v>
      </c>
      <c r="C1113" s="10" t="s">
        <v>79</v>
      </c>
      <c r="D1113" s="10" t="s">
        <v>23</v>
      </c>
      <c r="E1113" s="15"/>
      <c r="F1113" s="15" t="s">
        <v>382</v>
      </c>
      <c r="G1113" s="13">
        <f>IFERROR(__xludf.DUMMYFUNCTION("if(counta(filter('Previous Rank'!$A$2:$A2766,'Previous Rank'!$B$2:$B2766=B1113,'Previous Rank'!$C$2:$C2766=C1113))=1,filter('Previous Rank'!$A$2:$A2766,'Previous Rank'!$B$2:$B2766=B1113,'Previous Rank'!$C$2:$C2766=C1113),"""")"),1098.0)</f>
        <v>1098</v>
      </c>
      <c r="H1113" s="8">
        <f t="shared" si="1"/>
        <v>-14</v>
      </c>
    </row>
    <row r="1114">
      <c r="A1114" s="10">
        <v>1113.0</v>
      </c>
      <c r="B1114" s="11" t="s">
        <v>1201</v>
      </c>
      <c r="C1114" s="10" t="s">
        <v>22</v>
      </c>
      <c r="D1114" s="10" t="s">
        <v>46</v>
      </c>
      <c r="E1114" s="16"/>
      <c r="F1114" s="16" t="s">
        <v>382</v>
      </c>
      <c r="G1114" s="13">
        <f>IFERROR(__xludf.DUMMYFUNCTION("if(counta(filter('Previous Rank'!$A$2:$A2766,'Previous Rank'!$B$2:$B2766=B1114,'Previous Rank'!$C$2:$C2766=C1114))=1,filter('Previous Rank'!$A$2:$A2766,'Previous Rank'!$B$2:$B2766=B1114,'Previous Rank'!$C$2:$C2766=C1114),"""")"),1099.0)</f>
        <v>1099</v>
      </c>
      <c r="H1114" s="8">
        <f t="shared" si="1"/>
        <v>-14</v>
      </c>
    </row>
    <row r="1115">
      <c r="A1115" s="10">
        <v>1114.0</v>
      </c>
      <c r="B1115" s="11" t="s">
        <v>1202</v>
      </c>
      <c r="C1115" s="10" t="s">
        <v>79</v>
      </c>
      <c r="D1115" s="10" t="s">
        <v>90</v>
      </c>
      <c r="E1115" s="15"/>
      <c r="F1115" s="15" t="s">
        <v>382</v>
      </c>
      <c r="G1115" s="13">
        <f>IFERROR(__xludf.DUMMYFUNCTION("if(counta(filter('Previous Rank'!$A$2:$A2766,'Previous Rank'!$B$2:$B2766=B1115,'Previous Rank'!$C$2:$C2766=C1115))=1,filter('Previous Rank'!$A$2:$A2766,'Previous Rank'!$B$2:$B2766=B1115,'Previous Rank'!$C$2:$C2766=C1115),"""")"),1100.0)</f>
        <v>1100</v>
      </c>
      <c r="H1115" s="8">
        <f t="shared" si="1"/>
        <v>-14</v>
      </c>
    </row>
    <row r="1116">
      <c r="A1116" s="10">
        <v>1115.0</v>
      </c>
      <c r="B1116" s="11" t="s">
        <v>1203</v>
      </c>
      <c r="C1116" s="10" t="s">
        <v>79</v>
      </c>
      <c r="D1116" s="10" t="s">
        <v>129</v>
      </c>
      <c r="E1116" s="16"/>
      <c r="F1116" s="16" t="s">
        <v>382</v>
      </c>
      <c r="G1116" s="13">
        <f>IFERROR(__xludf.DUMMYFUNCTION("if(counta(filter('Previous Rank'!$A$2:$A2766,'Previous Rank'!$B$2:$B2766=B1116,'Previous Rank'!$C$2:$C2766=C1116))=1,filter('Previous Rank'!$A$2:$A2766,'Previous Rank'!$B$2:$B2766=B1116,'Previous Rank'!$C$2:$C2766=C1116),"""")"),1101.0)</f>
        <v>1101</v>
      </c>
      <c r="H1116" s="8">
        <f t="shared" si="1"/>
        <v>-14</v>
      </c>
    </row>
    <row r="1117">
      <c r="A1117" s="10">
        <v>1116.0</v>
      </c>
      <c r="B1117" s="11" t="s">
        <v>1204</v>
      </c>
      <c r="C1117" s="10" t="s">
        <v>22</v>
      </c>
      <c r="D1117" s="10" t="s">
        <v>120</v>
      </c>
      <c r="E1117" s="15"/>
      <c r="F1117" s="15" t="s">
        <v>382</v>
      </c>
      <c r="G1117" s="13">
        <f>IFERROR(__xludf.DUMMYFUNCTION("if(counta(filter('Previous Rank'!$A$2:$A2766,'Previous Rank'!$B$2:$B2766=B1117,'Previous Rank'!$C$2:$C2766=C1117))=1,filter('Previous Rank'!$A$2:$A2766,'Previous Rank'!$B$2:$B2766=B1117,'Previous Rank'!$C$2:$C2766=C1117),"""")"),1102.0)</f>
        <v>1102</v>
      </c>
      <c r="H1117" s="8">
        <f t="shared" si="1"/>
        <v>-14</v>
      </c>
    </row>
    <row r="1118">
      <c r="A1118" s="10">
        <v>1117.0</v>
      </c>
      <c r="B1118" s="11" t="s">
        <v>1205</v>
      </c>
      <c r="C1118" s="10" t="s">
        <v>22</v>
      </c>
      <c r="D1118" s="10" t="s">
        <v>137</v>
      </c>
      <c r="E1118" s="16"/>
      <c r="F1118" s="16" t="s">
        <v>382</v>
      </c>
      <c r="G1118" s="13">
        <f>IFERROR(__xludf.DUMMYFUNCTION("if(counta(filter('Previous Rank'!$A$2:$A2766,'Previous Rank'!$B$2:$B2766=B1118,'Previous Rank'!$C$2:$C2766=C1118))=1,filter('Previous Rank'!$A$2:$A2766,'Previous Rank'!$B$2:$B2766=B1118,'Previous Rank'!$C$2:$C2766=C1118),"""")"),1103.0)</f>
        <v>1103</v>
      </c>
      <c r="H1118" s="8">
        <f t="shared" si="1"/>
        <v>-14</v>
      </c>
    </row>
    <row r="1119">
      <c r="A1119" s="10">
        <v>1118.0</v>
      </c>
      <c r="B1119" s="11" t="s">
        <v>1206</v>
      </c>
      <c r="C1119" s="10" t="s">
        <v>22</v>
      </c>
      <c r="D1119" s="10" t="s">
        <v>120</v>
      </c>
      <c r="E1119" s="15"/>
      <c r="F1119" s="15" t="s">
        <v>382</v>
      </c>
      <c r="G1119" s="13">
        <f>IFERROR(__xludf.DUMMYFUNCTION("if(counta(filter('Previous Rank'!$A$2:$A2766,'Previous Rank'!$B$2:$B2766=B1119,'Previous Rank'!$C$2:$C2766=C1119))=1,filter('Previous Rank'!$A$2:$A2766,'Previous Rank'!$B$2:$B2766=B1119,'Previous Rank'!$C$2:$C2766=C1119),"""")"),1104.0)</f>
        <v>1104</v>
      </c>
      <c r="H1119" s="8">
        <f t="shared" si="1"/>
        <v>-14</v>
      </c>
    </row>
    <row r="1120">
      <c r="A1120" s="10">
        <v>1119.0</v>
      </c>
      <c r="B1120" s="11" t="s">
        <v>1207</v>
      </c>
      <c r="C1120" s="10" t="s">
        <v>79</v>
      </c>
      <c r="D1120" s="10" t="s">
        <v>113</v>
      </c>
      <c r="E1120" s="16"/>
      <c r="F1120" s="16" t="s">
        <v>382</v>
      </c>
      <c r="G1120" s="13">
        <f>IFERROR(__xludf.DUMMYFUNCTION("if(counta(filter('Previous Rank'!$A$2:$A2766,'Previous Rank'!$B$2:$B2766=B1120,'Previous Rank'!$C$2:$C2766=C1120))=1,filter('Previous Rank'!$A$2:$A2766,'Previous Rank'!$B$2:$B2766=B1120,'Previous Rank'!$C$2:$C2766=C1120),"""")"),1105.0)</f>
        <v>1105</v>
      </c>
      <c r="H1120" s="8">
        <f t="shared" si="1"/>
        <v>-14</v>
      </c>
    </row>
    <row r="1121">
      <c r="A1121" s="10">
        <v>1120.0</v>
      </c>
      <c r="B1121" s="11" t="s">
        <v>1208</v>
      </c>
      <c r="C1121" s="10" t="s">
        <v>22</v>
      </c>
      <c r="D1121" s="10" t="s">
        <v>67</v>
      </c>
      <c r="E1121" s="15"/>
      <c r="F1121" s="15" t="s">
        <v>382</v>
      </c>
      <c r="G1121" s="13">
        <f>IFERROR(__xludf.DUMMYFUNCTION("if(counta(filter('Previous Rank'!$A$2:$A2766,'Previous Rank'!$B$2:$B2766=B1121,'Previous Rank'!$C$2:$C2766=C1121))=1,filter('Previous Rank'!$A$2:$A2766,'Previous Rank'!$B$2:$B2766=B1121,'Previous Rank'!$C$2:$C2766=C1121),"""")"),1106.0)</f>
        <v>1106</v>
      </c>
      <c r="H1121" s="8">
        <f t="shared" si="1"/>
        <v>-14</v>
      </c>
    </row>
    <row r="1122">
      <c r="A1122" s="10">
        <v>1121.0</v>
      </c>
      <c r="B1122" s="11" t="s">
        <v>1209</v>
      </c>
      <c r="C1122" s="10" t="s">
        <v>79</v>
      </c>
      <c r="D1122" s="10" t="s">
        <v>52</v>
      </c>
      <c r="E1122" s="16"/>
      <c r="F1122" s="16" t="s">
        <v>382</v>
      </c>
      <c r="G1122" s="13">
        <f>IFERROR(__xludf.DUMMYFUNCTION("if(counta(filter('Previous Rank'!$A$2:$A2766,'Previous Rank'!$B$2:$B2766=B1122,'Previous Rank'!$C$2:$C2766=C1122))=1,filter('Previous Rank'!$A$2:$A2766,'Previous Rank'!$B$2:$B2766=B1122,'Previous Rank'!$C$2:$C2766=C1122),"""")"),1107.0)</f>
        <v>1107</v>
      </c>
      <c r="H1122" s="8">
        <f t="shared" si="1"/>
        <v>-14</v>
      </c>
    </row>
    <row r="1123">
      <c r="A1123" s="10">
        <v>1122.0</v>
      </c>
      <c r="B1123" s="11" t="s">
        <v>1210</v>
      </c>
      <c r="C1123" s="10" t="s">
        <v>22</v>
      </c>
      <c r="D1123" s="10" t="s">
        <v>73</v>
      </c>
      <c r="E1123" s="15"/>
      <c r="F1123" s="15" t="s">
        <v>382</v>
      </c>
      <c r="G1123" s="13">
        <f>IFERROR(__xludf.DUMMYFUNCTION("if(counta(filter('Previous Rank'!$A$2:$A2766,'Previous Rank'!$B$2:$B2766=B1123,'Previous Rank'!$C$2:$C2766=C1123))=1,filter('Previous Rank'!$A$2:$A2766,'Previous Rank'!$B$2:$B2766=B1123,'Previous Rank'!$C$2:$C2766=C1123),"""")"),1108.0)</f>
        <v>1108</v>
      </c>
      <c r="H1123" s="8">
        <f t="shared" si="1"/>
        <v>-14</v>
      </c>
    </row>
    <row r="1124">
      <c r="A1124" s="10">
        <v>1123.0</v>
      </c>
      <c r="B1124" s="11" t="s">
        <v>1211</v>
      </c>
      <c r="C1124" s="10" t="s">
        <v>22</v>
      </c>
      <c r="D1124" s="10" t="s">
        <v>15</v>
      </c>
      <c r="E1124" s="16"/>
      <c r="F1124" s="16" t="s">
        <v>382</v>
      </c>
      <c r="G1124" s="13">
        <f>IFERROR(__xludf.DUMMYFUNCTION("if(counta(filter('Previous Rank'!$A$2:$A2766,'Previous Rank'!$B$2:$B2766=B1124,'Previous Rank'!$C$2:$C2766=C1124))=1,filter('Previous Rank'!$A$2:$A2766,'Previous Rank'!$B$2:$B2766=B1124,'Previous Rank'!$C$2:$C2766=C1124),"""")"),1109.0)</f>
        <v>1109</v>
      </c>
      <c r="H1124" s="8">
        <f t="shared" si="1"/>
        <v>-14</v>
      </c>
    </row>
    <row r="1125">
      <c r="A1125" s="10">
        <v>1124.0</v>
      </c>
      <c r="B1125" s="11" t="s">
        <v>1212</v>
      </c>
      <c r="C1125" s="10" t="s">
        <v>22</v>
      </c>
      <c r="D1125" s="10" t="s">
        <v>71</v>
      </c>
      <c r="E1125" s="15"/>
      <c r="F1125" s="15" t="s">
        <v>382</v>
      </c>
      <c r="G1125" s="13">
        <f>IFERROR(__xludf.DUMMYFUNCTION("if(counta(filter('Previous Rank'!$A$2:$A2766,'Previous Rank'!$B$2:$B2766=B1125,'Previous Rank'!$C$2:$C2766=C1125))=1,filter('Previous Rank'!$A$2:$A2766,'Previous Rank'!$B$2:$B2766=B1125,'Previous Rank'!$C$2:$C2766=C1125),"""")"),1110.0)</f>
        <v>1110</v>
      </c>
      <c r="H1125" s="8">
        <f t="shared" si="1"/>
        <v>-14</v>
      </c>
    </row>
    <row r="1126">
      <c r="A1126" s="10">
        <v>1125.0</v>
      </c>
      <c r="B1126" s="11" t="s">
        <v>1213</v>
      </c>
      <c r="C1126" s="10" t="s">
        <v>22</v>
      </c>
      <c r="D1126" s="10" t="s">
        <v>90</v>
      </c>
      <c r="E1126" s="16"/>
      <c r="F1126" s="16" t="s">
        <v>382</v>
      </c>
      <c r="G1126" s="13">
        <f>IFERROR(__xludf.DUMMYFUNCTION("if(counta(filter('Previous Rank'!$A$2:$A2766,'Previous Rank'!$B$2:$B2766=B1126,'Previous Rank'!$C$2:$C2766=C1126))=1,filter('Previous Rank'!$A$2:$A2766,'Previous Rank'!$B$2:$B2766=B1126,'Previous Rank'!$C$2:$C2766=C1126),"""")"),1111.0)</f>
        <v>1111</v>
      </c>
      <c r="H1126" s="8">
        <f t="shared" si="1"/>
        <v>-14</v>
      </c>
    </row>
    <row r="1127">
      <c r="A1127" s="10">
        <v>1126.0</v>
      </c>
      <c r="B1127" s="11" t="s">
        <v>1214</v>
      </c>
      <c r="C1127" s="10" t="s">
        <v>22</v>
      </c>
      <c r="D1127" s="10" t="s">
        <v>52</v>
      </c>
      <c r="E1127" s="15"/>
      <c r="F1127" s="15" t="s">
        <v>382</v>
      </c>
      <c r="G1127" s="13">
        <f>IFERROR(__xludf.DUMMYFUNCTION("if(counta(filter('Previous Rank'!$A$2:$A2766,'Previous Rank'!$B$2:$B2766=B1127,'Previous Rank'!$C$2:$C2766=C1127))=1,filter('Previous Rank'!$A$2:$A2766,'Previous Rank'!$B$2:$B2766=B1127,'Previous Rank'!$C$2:$C2766=C1127),"""")"),1112.0)</f>
        <v>1112</v>
      </c>
      <c r="H1127" s="8">
        <f t="shared" si="1"/>
        <v>-14</v>
      </c>
    </row>
    <row r="1128">
      <c r="A1128" s="10">
        <v>1127.0</v>
      </c>
      <c r="B1128" s="11" t="s">
        <v>1215</v>
      </c>
      <c r="C1128" s="10" t="s">
        <v>79</v>
      </c>
      <c r="D1128" s="10" t="s">
        <v>120</v>
      </c>
      <c r="E1128" s="16"/>
      <c r="F1128" s="16" t="s">
        <v>382</v>
      </c>
      <c r="G1128" s="13">
        <f>IFERROR(__xludf.DUMMYFUNCTION("if(counta(filter('Previous Rank'!$A$2:$A2766,'Previous Rank'!$B$2:$B2766=B1128,'Previous Rank'!$C$2:$C2766=C1128))=1,filter('Previous Rank'!$A$2:$A2766,'Previous Rank'!$B$2:$B2766=B1128,'Previous Rank'!$C$2:$C2766=C1128),"""")"),1113.0)</f>
        <v>1113</v>
      </c>
      <c r="H1128" s="8">
        <f t="shared" si="1"/>
        <v>-14</v>
      </c>
    </row>
    <row r="1129">
      <c r="A1129" s="10">
        <v>1128.0</v>
      </c>
      <c r="B1129" s="11" t="s">
        <v>1216</v>
      </c>
      <c r="C1129" s="10" t="s">
        <v>22</v>
      </c>
      <c r="D1129" s="10" t="s">
        <v>73</v>
      </c>
      <c r="E1129" s="15"/>
      <c r="F1129" s="15" t="s">
        <v>382</v>
      </c>
      <c r="G1129" s="13">
        <f>IFERROR(__xludf.DUMMYFUNCTION("if(counta(filter('Previous Rank'!$A$2:$A2766,'Previous Rank'!$B$2:$B2766=B1129,'Previous Rank'!$C$2:$C2766=C1129))=1,filter('Previous Rank'!$A$2:$A2766,'Previous Rank'!$B$2:$B2766=B1129,'Previous Rank'!$C$2:$C2766=C1129),"""")"),1114.0)</f>
        <v>1114</v>
      </c>
      <c r="H1129" s="8">
        <f t="shared" si="1"/>
        <v>-14</v>
      </c>
    </row>
    <row r="1130">
      <c r="A1130" s="10">
        <v>1129.0</v>
      </c>
      <c r="B1130" s="11" t="s">
        <v>1217</v>
      </c>
      <c r="C1130" s="10" t="s">
        <v>22</v>
      </c>
      <c r="D1130" s="10" t="s">
        <v>46</v>
      </c>
      <c r="E1130" s="16"/>
      <c r="F1130" s="16" t="s">
        <v>382</v>
      </c>
      <c r="G1130" s="13">
        <f>IFERROR(__xludf.DUMMYFUNCTION("if(counta(filter('Previous Rank'!$A$2:$A2766,'Previous Rank'!$B$2:$B2766=B1130,'Previous Rank'!$C$2:$C2766=C1130))=1,filter('Previous Rank'!$A$2:$A2766,'Previous Rank'!$B$2:$B2766=B1130,'Previous Rank'!$C$2:$C2766=C1130),"""")"),1115.0)</f>
        <v>1115</v>
      </c>
      <c r="H1130" s="8">
        <f t="shared" si="1"/>
        <v>-14</v>
      </c>
    </row>
    <row r="1131">
      <c r="A1131" s="10">
        <v>1130.0</v>
      </c>
      <c r="B1131" s="11" t="s">
        <v>1218</v>
      </c>
      <c r="C1131" s="10" t="s">
        <v>22</v>
      </c>
      <c r="D1131" s="10" t="s">
        <v>34</v>
      </c>
      <c r="E1131" s="15"/>
      <c r="F1131" s="15" t="s">
        <v>382</v>
      </c>
      <c r="G1131" s="13">
        <f>IFERROR(__xludf.DUMMYFUNCTION("if(counta(filter('Previous Rank'!$A$2:$A2766,'Previous Rank'!$B$2:$B2766=B1131,'Previous Rank'!$C$2:$C2766=C1131))=1,filter('Previous Rank'!$A$2:$A2766,'Previous Rank'!$B$2:$B2766=B1131,'Previous Rank'!$C$2:$C2766=C1131),"""")"),1116.0)</f>
        <v>1116</v>
      </c>
      <c r="H1131" s="8">
        <f t="shared" si="1"/>
        <v>-14</v>
      </c>
    </row>
    <row r="1132">
      <c r="A1132" s="10">
        <v>1131.0</v>
      </c>
      <c r="B1132" s="11" t="s">
        <v>1219</v>
      </c>
      <c r="C1132" s="10" t="s">
        <v>22</v>
      </c>
      <c r="D1132" s="10" t="s">
        <v>206</v>
      </c>
      <c r="E1132" s="16"/>
      <c r="F1132" s="16" t="s">
        <v>382</v>
      </c>
      <c r="G1132" s="13">
        <f>IFERROR(__xludf.DUMMYFUNCTION("if(counta(filter('Previous Rank'!$A$2:$A2766,'Previous Rank'!$B$2:$B2766=B1132,'Previous Rank'!$C$2:$C2766=C1132))=1,filter('Previous Rank'!$A$2:$A2766,'Previous Rank'!$B$2:$B2766=B1132,'Previous Rank'!$C$2:$C2766=C1132),"""")"),1117.0)</f>
        <v>1117</v>
      </c>
      <c r="H1132" s="8">
        <f t="shared" si="1"/>
        <v>-14</v>
      </c>
    </row>
    <row r="1133">
      <c r="A1133" s="10">
        <v>1132.0</v>
      </c>
      <c r="B1133" s="11" t="s">
        <v>1220</v>
      </c>
      <c r="C1133" s="10" t="s">
        <v>22</v>
      </c>
      <c r="D1133" s="10" t="s">
        <v>15</v>
      </c>
      <c r="E1133" s="15"/>
      <c r="F1133" s="15" t="s">
        <v>382</v>
      </c>
      <c r="G1133" s="13">
        <f>IFERROR(__xludf.DUMMYFUNCTION("if(counta(filter('Previous Rank'!$A$2:$A2766,'Previous Rank'!$B$2:$B2766=B1133,'Previous Rank'!$C$2:$C2766=C1133))=1,filter('Previous Rank'!$A$2:$A2766,'Previous Rank'!$B$2:$B2766=B1133,'Previous Rank'!$C$2:$C2766=C1133),"""")"),1118.0)</f>
        <v>1118</v>
      </c>
      <c r="H1133" s="8">
        <f t="shared" si="1"/>
        <v>-14</v>
      </c>
    </row>
    <row r="1134">
      <c r="A1134" s="10">
        <v>1133.0</v>
      </c>
      <c r="B1134" s="11" t="s">
        <v>1221</v>
      </c>
      <c r="C1134" s="10" t="s">
        <v>79</v>
      </c>
      <c r="D1134" s="10" t="s">
        <v>9</v>
      </c>
      <c r="E1134" s="16"/>
      <c r="F1134" s="16" t="s">
        <v>382</v>
      </c>
      <c r="G1134" s="13">
        <f>IFERROR(__xludf.DUMMYFUNCTION("if(counta(filter('Previous Rank'!$A$2:$A2766,'Previous Rank'!$B$2:$B2766=B1134,'Previous Rank'!$C$2:$C2766=C1134))=1,filter('Previous Rank'!$A$2:$A2766,'Previous Rank'!$B$2:$B2766=B1134,'Previous Rank'!$C$2:$C2766=C1134),"""")"),1119.0)</f>
        <v>1119</v>
      </c>
      <c r="H1134" s="8">
        <f t="shared" si="1"/>
        <v>-14</v>
      </c>
    </row>
    <row r="1135">
      <c r="A1135" s="10">
        <v>1134.0</v>
      </c>
      <c r="B1135" s="11" t="s">
        <v>1222</v>
      </c>
      <c r="C1135" s="10" t="s">
        <v>79</v>
      </c>
      <c r="D1135" s="10" t="s">
        <v>82</v>
      </c>
      <c r="E1135" s="15"/>
      <c r="F1135" s="15" t="s">
        <v>382</v>
      </c>
      <c r="G1135" s="13">
        <f>IFERROR(__xludf.DUMMYFUNCTION("if(counta(filter('Previous Rank'!$A$2:$A2766,'Previous Rank'!$B$2:$B2766=B1135,'Previous Rank'!$C$2:$C2766=C1135))=1,filter('Previous Rank'!$A$2:$A2766,'Previous Rank'!$B$2:$B2766=B1135,'Previous Rank'!$C$2:$C2766=C1135),"""")"),1120.0)</f>
        <v>1120</v>
      </c>
      <c r="H1135" s="8">
        <f t="shared" si="1"/>
        <v>-14</v>
      </c>
    </row>
    <row r="1136">
      <c r="A1136" s="10">
        <v>1135.0</v>
      </c>
      <c r="B1136" s="11" t="s">
        <v>1223</v>
      </c>
      <c r="C1136" s="10" t="s">
        <v>79</v>
      </c>
      <c r="D1136" s="10" t="s">
        <v>31</v>
      </c>
      <c r="E1136" s="16"/>
      <c r="F1136" s="16" t="s">
        <v>382</v>
      </c>
      <c r="G1136" s="13">
        <f>IFERROR(__xludf.DUMMYFUNCTION("if(counta(filter('Previous Rank'!$A$2:$A2766,'Previous Rank'!$B$2:$B2766=B1136,'Previous Rank'!$C$2:$C2766=C1136))=1,filter('Previous Rank'!$A$2:$A2766,'Previous Rank'!$B$2:$B2766=B1136,'Previous Rank'!$C$2:$C2766=C1136),"""")"),1121.0)</f>
        <v>1121</v>
      </c>
      <c r="H1136" s="8">
        <f t="shared" si="1"/>
        <v>-14</v>
      </c>
    </row>
    <row r="1137">
      <c r="A1137" s="10">
        <v>1136.0</v>
      </c>
      <c r="B1137" s="11" t="s">
        <v>1224</v>
      </c>
      <c r="C1137" s="10" t="s">
        <v>22</v>
      </c>
      <c r="D1137" s="10" t="s">
        <v>34</v>
      </c>
      <c r="E1137" s="15"/>
      <c r="F1137" s="15" t="s">
        <v>382</v>
      </c>
      <c r="G1137" s="13">
        <f>IFERROR(__xludf.DUMMYFUNCTION("if(counta(filter('Previous Rank'!$A$2:$A2766,'Previous Rank'!$B$2:$B2766=B1137,'Previous Rank'!$C$2:$C2766=C1137))=1,filter('Previous Rank'!$A$2:$A2766,'Previous Rank'!$B$2:$B2766=B1137,'Previous Rank'!$C$2:$C2766=C1137),"""")"),1122.0)</f>
        <v>1122</v>
      </c>
      <c r="H1137" s="8">
        <f t="shared" si="1"/>
        <v>-14</v>
      </c>
    </row>
    <row r="1138">
      <c r="A1138" s="10">
        <v>1137.0</v>
      </c>
      <c r="B1138" s="11" t="s">
        <v>1225</v>
      </c>
      <c r="C1138" s="10" t="s">
        <v>22</v>
      </c>
      <c r="D1138" s="10" t="s">
        <v>36</v>
      </c>
      <c r="E1138" s="16"/>
      <c r="F1138" s="16" t="s">
        <v>382</v>
      </c>
      <c r="G1138" s="13">
        <f>IFERROR(__xludf.DUMMYFUNCTION("if(counta(filter('Previous Rank'!$A$2:$A2766,'Previous Rank'!$B$2:$B2766=B1138,'Previous Rank'!$C$2:$C2766=C1138))=1,filter('Previous Rank'!$A$2:$A2766,'Previous Rank'!$B$2:$B2766=B1138,'Previous Rank'!$C$2:$C2766=C1138),"""")"),1123.0)</f>
        <v>1123</v>
      </c>
      <c r="H1138" s="8">
        <f t="shared" si="1"/>
        <v>-14</v>
      </c>
    </row>
    <row r="1139">
      <c r="A1139" s="10">
        <v>1138.0</v>
      </c>
      <c r="B1139" s="11" t="s">
        <v>1226</v>
      </c>
      <c r="C1139" s="10" t="s">
        <v>79</v>
      </c>
      <c r="D1139" s="10" t="s">
        <v>129</v>
      </c>
      <c r="E1139" s="15"/>
      <c r="F1139" s="15" t="s">
        <v>382</v>
      </c>
      <c r="G1139" s="13">
        <f>IFERROR(__xludf.DUMMYFUNCTION("if(counta(filter('Previous Rank'!$A$2:$A2766,'Previous Rank'!$B$2:$B2766=B1139,'Previous Rank'!$C$2:$C2766=C1139))=1,filter('Previous Rank'!$A$2:$A2766,'Previous Rank'!$B$2:$B2766=B1139,'Previous Rank'!$C$2:$C2766=C1139),"""")"),1124.0)</f>
        <v>1124</v>
      </c>
      <c r="H1139" s="8">
        <f t="shared" si="1"/>
        <v>-14</v>
      </c>
    </row>
    <row r="1140">
      <c r="A1140" s="10">
        <v>1139.0</v>
      </c>
      <c r="B1140" s="11" t="s">
        <v>1227</v>
      </c>
      <c r="C1140" s="10" t="s">
        <v>22</v>
      </c>
      <c r="D1140" s="10" t="s">
        <v>12</v>
      </c>
      <c r="E1140" s="16"/>
      <c r="F1140" s="16" t="s">
        <v>382</v>
      </c>
      <c r="G1140" s="13">
        <f>IFERROR(__xludf.DUMMYFUNCTION("if(counta(filter('Previous Rank'!$A$2:$A2766,'Previous Rank'!$B$2:$B2766=B1140,'Previous Rank'!$C$2:$C2766=C1140))=1,filter('Previous Rank'!$A$2:$A2766,'Previous Rank'!$B$2:$B2766=B1140,'Previous Rank'!$C$2:$C2766=C1140),"""")"),1125.0)</f>
        <v>1125</v>
      </c>
      <c r="H1140" s="8">
        <f t="shared" si="1"/>
        <v>-14</v>
      </c>
    </row>
    <row r="1141">
      <c r="A1141" s="10">
        <v>1140.0</v>
      </c>
      <c r="B1141" s="11" t="s">
        <v>1228</v>
      </c>
      <c r="C1141" s="10" t="s">
        <v>22</v>
      </c>
      <c r="D1141" s="10" t="s">
        <v>122</v>
      </c>
      <c r="E1141" s="15"/>
      <c r="F1141" s="15" t="s">
        <v>382</v>
      </c>
      <c r="G1141" s="13">
        <f>IFERROR(__xludf.DUMMYFUNCTION("if(counta(filter('Previous Rank'!$A$2:$A2766,'Previous Rank'!$B$2:$B2766=B1141,'Previous Rank'!$C$2:$C2766=C1141))=1,filter('Previous Rank'!$A$2:$A2766,'Previous Rank'!$B$2:$B2766=B1141,'Previous Rank'!$C$2:$C2766=C1141),"""")"),1126.0)</f>
        <v>1126</v>
      </c>
      <c r="H1141" s="8">
        <f t="shared" si="1"/>
        <v>-14</v>
      </c>
    </row>
    <row r="1142">
      <c r="A1142" s="10">
        <v>1141.0</v>
      </c>
      <c r="B1142" s="11" t="s">
        <v>1229</v>
      </c>
      <c r="C1142" s="10" t="s">
        <v>79</v>
      </c>
      <c r="D1142" s="10" t="s">
        <v>122</v>
      </c>
      <c r="E1142" s="16"/>
      <c r="F1142" s="16" t="s">
        <v>382</v>
      </c>
      <c r="G1142" s="13">
        <f>IFERROR(__xludf.DUMMYFUNCTION("if(counta(filter('Previous Rank'!$A$2:$A2766,'Previous Rank'!$B$2:$B2766=B1142,'Previous Rank'!$C$2:$C2766=C1142))=1,filter('Previous Rank'!$A$2:$A2766,'Previous Rank'!$B$2:$B2766=B1142,'Previous Rank'!$C$2:$C2766=C1142),"""")"),1127.0)</f>
        <v>1127</v>
      </c>
      <c r="H1142" s="8">
        <f t="shared" si="1"/>
        <v>-14</v>
      </c>
    </row>
    <row r="1143">
      <c r="A1143" s="10">
        <v>1142.0</v>
      </c>
      <c r="B1143" s="11" t="s">
        <v>1230</v>
      </c>
      <c r="C1143" s="10" t="s">
        <v>22</v>
      </c>
      <c r="D1143" s="10" t="s">
        <v>27</v>
      </c>
      <c r="E1143" s="15"/>
      <c r="F1143" s="15" t="s">
        <v>382</v>
      </c>
      <c r="G1143" s="13">
        <f>IFERROR(__xludf.DUMMYFUNCTION("if(counta(filter('Previous Rank'!$A$2:$A2766,'Previous Rank'!$B$2:$B2766=B1143,'Previous Rank'!$C$2:$C2766=C1143))=1,filter('Previous Rank'!$A$2:$A2766,'Previous Rank'!$B$2:$B2766=B1143,'Previous Rank'!$C$2:$C2766=C1143),"""")"),1128.0)</f>
        <v>1128</v>
      </c>
      <c r="H1143" s="8">
        <f t="shared" si="1"/>
        <v>-14</v>
      </c>
    </row>
    <row r="1144">
      <c r="A1144" s="10">
        <v>1143.0</v>
      </c>
      <c r="B1144" s="11" t="s">
        <v>1231</v>
      </c>
      <c r="C1144" s="10" t="s">
        <v>22</v>
      </c>
      <c r="D1144" s="10" t="s">
        <v>42</v>
      </c>
      <c r="E1144" s="16"/>
      <c r="F1144" s="16" t="s">
        <v>382</v>
      </c>
      <c r="G1144" s="13">
        <f>IFERROR(__xludf.DUMMYFUNCTION("if(counta(filter('Previous Rank'!$A$2:$A2766,'Previous Rank'!$B$2:$B2766=B1144,'Previous Rank'!$C$2:$C2766=C1144))=1,filter('Previous Rank'!$A$2:$A2766,'Previous Rank'!$B$2:$B2766=B1144,'Previous Rank'!$C$2:$C2766=C1144),"""")"),1129.0)</f>
        <v>1129</v>
      </c>
      <c r="H1144" s="8">
        <f t="shared" si="1"/>
        <v>-14</v>
      </c>
    </row>
    <row r="1145">
      <c r="A1145" s="10">
        <v>1144.0</v>
      </c>
      <c r="B1145" s="11" t="s">
        <v>1232</v>
      </c>
      <c r="C1145" s="10" t="s">
        <v>79</v>
      </c>
      <c r="D1145" s="10" t="s">
        <v>42</v>
      </c>
      <c r="E1145" s="15"/>
      <c r="F1145" s="15" t="s">
        <v>382</v>
      </c>
      <c r="G1145" s="13">
        <f>IFERROR(__xludf.DUMMYFUNCTION("if(counta(filter('Previous Rank'!$A$2:$A2766,'Previous Rank'!$B$2:$B2766=B1145,'Previous Rank'!$C$2:$C2766=C1145))=1,filter('Previous Rank'!$A$2:$A2766,'Previous Rank'!$B$2:$B2766=B1145,'Previous Rank'!$C$2:$C2766=C1145),"""")"),1130.0)</f>
        <v>1130</v>
      </c>
      <c r="H1145" s="8">
        <f t="shared" si="1"/>
        <v>-14</v>
      </c>
    </row>
    <row r="1146">
      <c r="A1146" s="10">
        <v>1145.0</v>
      </c>
      <c r="B1146" s="11" t="s">
        <v>1233</v>
      </c>
      <c r="C1146" s="10" t="s">
        <v>22</v>
      </c>
      <c r="D1146" s="10" t="s">
        <v>140</v>
      </c>
      <c r="E1146" s="16"/>
      <c r="F1146" s="16" t="s">
        <v>382</v>
      </c>
      <c r="G1146" s="13">
        <f>IFERROR(__xludf.DUMMYFUNCTION("if(counta(filter('Previous Rank'!$A$2:$A2766,'Previous Rank'!$B$2:$B2766=B1146,'Previous Rank'!$C$2:$C2766=C1146))=1,filter('Previous Rank'!$A$2:$A2766,'Previous Rank'!$B$2:$B2766=B1146,'Previous Rank'!$C$2:$C2766=C1146),"""")"),1131.0)</f>
        <v>1131</v>
      </c>
      <c r="H1146" s="8">
        <f t="shared" si="1"/>
        <v>-14</v>
      </c>
    </row>
    <row r="1147">
      <c r="A1147" s="10">
        <v>1146.0</v>
      </c>
      <c r="B1147" s="11" t="s">
        <v>1234</v>
      </c>
      <c r="C1147" s="10" t="s">
        <v>22</v>
      </c>
      <c r="D1147" s="10" t="s">
        <v>23</v>
      </c>
      <c r="E1147" s="15"/>
      <c r="F1147" s="15" t="s">
        <v>382</v>
      </c>
      <c r="G1147" s="13">
        <f>IFERROR(__xludf.DUMMYFUNCTION("if(counta(filter('Previous Rank'!$A$2:$A2766,'Previous Rank'!$B$2:$B2766=B1147,'Previous Rank'!$C$2:$C2766=C1147))=1,filter('Previous Rank'!$A$2:$A2766,'Previous Rank'!$B$2:$B2766=B1147,'Previous Rank'!$C$2:$C2766=C1147),"""")"),1132.0)</f>
        <v>1132</v>
      </c>
      <c r="H1147" s="8">
        <f t="shared" si="1"/>
        <v>-14</v>
      </c>
    </row>
    <row r="1148">
      <c r="A1148" s="10">
        <v>1147.0</v>
      </c>
      <c r="B1148" s="11" t="s">
        <v>1235</v>
      </c>
      <c r="C1148" s="10" t="s">
        <v>79</v>
      </c>
      <c r="D1148" s="10" t="s">
        <v>27</v>
      </c>
      <c r="E1148" s="16"/>
      <c r="F1148" s="16" t="s">
        <v>382</v>
      </c>
      <c r="G1148" s="13">
        <f>IFERROR(__xludf.DUMMYFUNCTION("if(counta(filter('Previous Rank'!$A$2:$A2766,'Previous Rank'!$B$2:$B2766=B1148,'Previous Rank'!$C$2:$C2766=C1148))=1,filter('Previous Rank'!$A$2:$A2766,'Previous Rank'!$B$2:$B2766=B1148,'Previous Rank'!$C$2:$C2766=C1148),"""")"),1133.0)</f>
        <v>1133</v>
      </c>
      <c r="H1148" s="8">
        <f t="shared" si="1"/>
        <v>-14</v>
      </c>
    </row>
    <row r="1149">
      <c r="A1149" s="10">
        <v>1148.0</v>
      </c>
      <c r="B1149" s="11" t="s">
        <v>1236</v>
      </c>
      <c r="C1149" s="10" t="s">
        <v>22</v>
      </c>
      <c r="D1149" s="10" t="s">
        <v>73</v>
      </c>
      <c r="E1149" s="15"/>
      <c r="F1149" s="15" t="s">
        <v>382</v>
      </c>
      <c r="G1149" s="13">
        <f>IFERROR(__xludf.DUMMYFUNCTION("if(counta(filter('Previous Rank'!$A$2:$A2766,'Previous Rank'!$B$2:$B2766=B1149,'Previous Rank'!$C$2:$C2766=C1149))=1,filter('Previous Rank'!$A$2:$A2766,'Previous Rank'!$B$2:$B2766=B1149,'Previous Rank'!$C$2:$C2766=C1149),"""")"),1134.0)</f>
        <v>1134</v>
      </c>
      <c r="H1149" s="8">
        <f t="shared" si="1"/>
        <v>-14</v>
      </c>
    </row>
    <row r="1150">
      <c r="A1150" s="10">
        <v>1149.0</v>
      </c>
      <c r="B1150" s="11" t="s">
        <v>1237</v>
      </c>
      <c r="C1150" s="10" t="s">
        <v>22</v>
      </c>
      <c r="D1150" s="10" t="s">
        <v>120</v>
      </c>
      <c r="E1150" s="16"/>
      <c r="F1150" s="16" t="s">
        <v>382</v>
      </c>
      <c r="G1150" s="13">
        <f>IFERROR(__xludf.DUMMYFUNCTION("if(counta(filter('Previous Rank'!$A$2:$A2766,'Previous Rank'!$B$2:$B2766=B1150,'Previous Rank'!$C$2:$C2766=C1150))=1,filter('Previous Rank'!$A$2:$A2766,'Previous Rank'!$B$2:$B2766=B1150,'Previous Rank'!$C$2:$C2766=C1150),"""")"),1135.0)</f>
        <v>1135</v>
      </c>
      <c r="H1150" s="8">
        <f t="shared" si="1"/>
        <v>-14</v>
      </c>
    </row>
    <row r="1151">
      <c r="A1151" s="10">
        <v>1150.0</v>
      </c>
      <c r="B1151" s="11" t="s">
        <v>1238</v>
      </c>
      <c r="C1151" s="10" t="s">
        <v>79</v>
      </c>
      <c r="D1151" s="10" t="s">
        <v>67</v>
      </c>
      <c r="E1151" s="15"/>
      <c r="F1151" s="15" t="s">
        <v>382</v>
      </c>
      <c r="G1151" s="13">
        <f>IFERROR(__xludf.DUMMYFUNCTION("if(counta(filter('Previous Rank'!$A$2:$A2766,'Previous Rank'!$B$2:$B2766=B1151,'Previous Rank'!$C$2:$C2766=C1151))=1,filter('Previous Rank'!$A$2:$A2766,'Previous Rank'!$B$2:$B2766=B1151,'Previous Rank'!$C$2:$C2766=C1151),"""")"),1136.0)</f>
        <v>1136</v>
      </c>
      <c r="H1151" s="8">
        <f t="shared" si="1"/>
        <v>-14</v>
      </c>
    </row>
    <row r="1152">
      <c r="A1152" s="10">
        <v>1151.0</v>
      </c>
      <c r="B1152" s="11" t="s">
        <v>1239</v>
      </c>
      <c r="C1152" s="10" t="s">
        <v>22</v>
      </c>
      <c r="D1152" s="10" t="s">
        <v>15</v>
      </c>
      <c r="E1152" s="16"/>
      <c r="F1152" s="16" t="s">
        <v>382</v>
      </c>
      <c r="G1152" s="13">
        <f>IFERROR(__xludf.DUMMYFUNCTION("if(counta(filter('Previous Rank'!$A$2:$A2766,'Previous Rank'!$B$2:$B2766=B1152,'Previous Rank'!$C$2:$C2766=C1152))=1,filter('Previous Rank'!$A$2:$A2766,'Previous Rank'!$B$2:$B2766=B1152,'Previous Rank'!$C$2:$C2766=C1152),"""")"),1137.0)</f>
        <v>1137</v>
      </c>
      <c r="H1152" s="8">
        <f t="shared" si="1"/>
        <v>-14</v>
      </c>
    </row>
    <row r="1153">
      <c r="A1153" s="10">
        <v>1152.0</v>
      </c>
      <c r="B1153" s="11" t="s">
        <v>1240</v>
      </c>
      <c r="C1153" s="10" t="s">
        <v>22</v>
      </c>
      <c r="D1153" s="10" t="s">
        <v>129</v>
      </c>
      <c r="E1153" s="15"/>
      <c r="F1153" s="15" t="s">
        <v>382</v>
      </c>
      <c r="G1153" s="13">
        <f>IFERROR(__xludf.DUMMYFUNCTION("if(counta(filter('Previous Rank'!$A$2:$A2766,'Previous Rank'!$B$2:$B2766=B1153,'Previous Rank'!$C$2:$C2766=C1153))=1,filter('Previous Rank'!$A$2:$A2766,'Previous Rank'!$B$2:$B2766=B1153,'Previous Rank'!$C$2:$C2766=C1153),"""")"),1138.0)</f>
        <v>1138</v>
      </c>
      <c r="H1153" s="8">
        <f t="shared" si="1"/>
        <v>-14</v>
      </c>
    </row>
    <row r="1154">
      <c r="A1154" s="10">
        <v>1153.0</v>
      </c>
      <c r="B1154" s="11" t="s">
        <v>1241</v>
      </c>
      <c r="C1154" s="10" t="s">
        <v>79</v>
      </c>
      <c r="D1154" s="10" t="s">
        <v>46</v>
      </c>
      <c r="E1154" s="16"/>
      <c r="F1154" s="16" t="s">
        <v>382</v>
      </c>
      <c r="G1154" s="13">
        <f>IFERROR(__xludf.DUMMYFUNCTION("if(counta(filter('Previous Rank'!$A$2:$A2766,'Previous Rank'!$B$2:$B2766=B1154,'Previous Rank'!$C$2:$C2766=C1154))=1,filter('Previous Rank'!$A$2:$A2766,'Previous Rank'!$B$2:$B2766=B1154,'Previous Rank'!$C$2:$C2766=C1154),"""")"),1139.0)</f>
        <v>1139</v>
      </c>
      <c r="H1154" s="8">
        <f t="shared" si="1"/>
        <v>-14</v>
      </c>
    </row>
    <row r="1155">
      <c r="A1155" s="10">
        <v>1154.0</v>
      </c>
      <c r="B1155" s="11" t="s">
        <v>1242</v>
      </c>
      <c r="C1155" s="10" t="s">
        <v>22</v>
      </c>
      <c r="D1155" s="10" t="s">
        <v>71</v>
      </c>
      <c r="E1155" s="15"/>
      <c r="F1155" s="15" t="s">
        <v>382</v>
      </c>
      <c r="G1155" s="13">
        <f>IFERROR(__xludf.DUMMYFUNCTION("if(counta(filter('Previous Rank'!$A$2:$A2766,'Previous Rank'!$B$2:$B2766=B1155,'Previous Rank'!$C$2:$C2766=C1155))=1,filter('Previous Rank'!$A$2:$A2766,'Previous Rank'!$B$2:$B2766=B1155,'Previous Rank'!$C$2:$C2766=C1155),"""")"),1140.0)</f>
        <v>1140</v>
      </c>
      <c r="H1155" s="8">
        <f t="shared" si="1"/>
        <v>-14</v>
      </c>
    </row>
    <row r="1156">
      <c r="A1156" s="10">
        <v>1155.0</v>
      </c>
      <c r="B1156" s="11" t="s">
        <v>1243</v>
      </c>
      <c r="C1156" s="10" t="s">
        <v>22</v>
      </c>
      <c r="D1156" s="10" t="s">
        <v>137</v>
      </c>
      <c r="E1156" s="16"/>
      <c r="F1156" s="16" t="s">
        <v>382</v>
      </c>
      <c r="G1156" s="13">
        <f>IFERROR(__xludf.DUMMYFUNCTION("if(counta(filter('Previous Rank'!$A$2:$A2766,'Previous Rank'!$B$2:$B2766=B1156,'Previous Rank'!$C$2:$C2766=C1156))=1,filter('Previous Rank'!$A$2:$A2766,'Previous Rank'!$B$2:$B2766=B1156,'Previous Rank'!$C$2:$C2766=C1156),"""")"),1141.0)</f>
        <v>1141</v>
      </c>
      <c r="H1156" s="8">
        <f t="shared" si="1"/>
        <v>-14</v>
      </c>
    </row>
    <row r="1157">
      <c r="A1157" s="10">
        <v>1156.0</v>
      </c>
      <c r="B1157" s="11" t="s">
        <v>1244</v>
      </c>
      <c r="C1157" s="10" t="s">
        <v>79</v>
      </c>
      <c r="D1157" s="10" t="s">
        <v>49</v>
      </c>
      <c r="E1157" s="15"/>
      <c r="F1157" s="15" t="s">
        <v>382</v>
      </c>
      <c r="G1157" s="13">
        <f>IFERROR(__xludf.DUMMYFUNCTION("if(counta(filter('Previous Rank'!$A$2:$A2766,'Previous Rank'!$B$2:$B2766=B1157,'Previous Rank'!$C$2:$C2766=C1157))=1,filter('Previous Rank'!$A$2:$A2766,'Previous Rank'!$B$2:$B2766=B1157,'Previous Rank'!$C$2:$C2766=C1157),"""")"),1142.0)</f>
        <v>1142</v>
      </c>
      <c r="H1157" s="8">
        <f t="shared" si="1"/>
        <v>-14</v>
      </c>
    </row>
    <row r="1158">
      <c r="A1158" s="10">
        <v>1157.0</v>
      </c>
      <c r="B1158" s="11" t="s">
        <v>1245</v>
      </c>
      <c r="C1158" s="10" t="s">
        <v>22</v>
      </c>
      <c r="D1158" s="10" t="s">
        <v>137</v>
      </c>
      <c r="E1158" s="16"/>
      <c r="F1158" s="16" t="s">
        <v>382</v>
      </c>
      <c r="G1158" s="13">
        <f>IFERROR(__xludf.DUMMYFUNCTION("if(counta(filter('Previous Rank'!$A$2:$A2766,'Previous Rank'!$B$2:$B2766=B1158,'Previous Rank'!$C$2:$C2766=C1158))=1,filter('Previous Rank'!$A$2:$A2766,'Previous Rank'!$B$2:$B2766=B1158,'Previous Rank'!$C$2:$C2766=C1158),"""")"),1143.0)</f>
        <v>1143</v>
      </c>
      <c r="H1158" s="8">
        <f t="shared" si="1"/>
        <v>-14</v>
      </c>
    </row>
    <row r="1159">
      <c r="A1159" s="10">
        <v>1158.0</v>
      </c>
      <c r="B1159" s="11" t="s">
        <v>1246</v>
      </c>
      <c r="C1159" s="10" t="s">
        <v>79</v>
      </c>
      <c r="D1159" s="10" t="s">
        <v>120</v>
      </c>
      <c r="E1159" s="15"/>
      <c r="F1159" s="15" t="s">
        <v>382</v>
      </c>
      <c r="G1159" s="13">
        <f>IFERROR(__xludf.DUMMYFUNCTION("if(counta(filter('Previous Rank'!$A$2:$A2766,'Previous Rank'!$B$2:$B2766=B1159,'Previous Rank'!$C$2:$C2766=C1159))=1,filter('Previous Rank'!$A$2:$A2766,'Previous Rank'!$B$2:$B2766=B1159,'Previous Rank'!$C$2:$C2766=C1159),"""")"),1144.0)</f>
        <v>1144</v>
      </c>
      <c r="H1159" s="8">
        <f t="shared" si="1"/>
        <v>-14</v>
      </c>
    </row>
    <row r="1160">
      <c r="A1160" s="10">
        <v>1159.0</v>
      </c>
      <c r="B1160" s="11" t="s">
        <v>1247</v>
      </c>
      <c r="C1160" s="10" t="s">
        <v>79</v>
      </c>
      <c r="D1160" s="10" t="s">
        <v>105</v>
      </c>
      <c r="E1160" s="16"/>
      <c r="F1160" s="16" t="s">
        <v>382</v>
      </c>
      <c r="G1160" s="13">
        <f>IFERROR(__xludf.DUMMYFUNCTION("if(counta(filter('Previous Rank'!$A$2:$A2766,'Previous Rank'!$B$2:$B2766=B1160,'Previous Rank'!$C$2:$C2766=C1160))=1,filter('Previous Rank'!$A$2:$A2766,'Previous Rank'!$B$2:$B2766=B1160,'Previous Rank'!$C$2:$C2766=C1160),"""")"),1145.0)</f>
        <v>1145</v>
      </c>
      <c r="H1160" s="8">
        <f t="shared" si="1"/>
        <v>-14</v>
      </c>
    </row>
    <row r="1161">
      <c r="A1161" s="10">
        <v>1160.0</v>
      </c>
      <c r="B1161" s="11" t="s">
        <v>1248</v>
      </c>
      <c r="C1161" s="10" t="s">
        <v>79</v>
      </c>
      <c r="D1161" s="10" t="s">
        <v>52</v>
      </c>
      <c r="E1161" s="15"/>
      <c r="F1161" s="15" t="s">
        <v>382</v>
      </c>
      <c r="G1161" s="13">
        <f>IFERROR(__xludf.DUMMYFUNCTION("if(counta(filter('Previous Rank'!$A$2:$A2766,'Previous Rank'!$B$2:$B2766=B1161,'Previous Rank'!$C$2:$C2766=C1161))=1,filter('Previous Rank'!$A$2:$A2766,'Previous Rank'!$B$2:$B2766=B1161,'Previous Rank'!$C$2:$C2766=C1161),"""")"),1146.0)</f>
        <v>1146</v>
      </c>
      <c r="H1161" s="8">
        <f t="shared" si="1"/>
        <v>-14</v>
      </c>
    </row>
    <row r="1162">
      <c r="A1162" s="10">
        <v>1161.0</v>
      </c>
      <c r="B1162" s="11" t="s">
        <v>1249</v>
      </c>
      <c r="C1162" s="10" t="s">
        <v>22</v>
      </c>
      <c r="D1162" s="10" t="s">
        <v>18</v>
      </c>
      <c r="E1162" s="16"/>
      <c r="F1162" s="16" t="s">
        <v>382</v>
      </c>
      <c r="G1162" s="13">
        <f>IFERROR(__xludf.DUMMYFUNCTION("if(counta(filter('Previous Rank'!$A$2:$A2766,'Previous Rank'!$B$2:$B2766=B1162,'Previous Rank'!$C$2:$C2766=C1162))=1,filter('Previous Rank'!$A$2:$A2766,'Previous Rank'!$B$2:$B2766=B1162,'Previous Rank'!$C$2:$C2766=C1162),"""")"),1147.0)</f>
        <v>1147</v>
      </c>
      <c r="H1162" s="8">
        <f t="shared" si="1"/>
        <v>-14</v>
      </c>
    </row>
    <row r="1163">
      <c r="A1163" s="10">
        <v>1162.0</v>
      </c>
      <c r="B1163" s="11" t="s">
        <v>1250</v>
      </c>
      <c r="C1163" s="10" t="s">
        <v>79</v>
      </c>
      <c r="D1163" s="10" t="s">
        <v>122</v>
      </c>
      <c r="E1163" s="15"/>
      <c r="F1163" s="15" t="s">
        <v>382</v>
      </c>
      <c r="G1163" s="13">
        <f>IFERROR(__xludf.DUMMYFUNCTION("if(counta(filter('Previous Rank'!$A$2:$A2766,'Previous Rank'!$B$2:$B2766=B1163,'Previous Rank'!$C$2:$C2766=C1163))=1,filter('Previous Rank'!$A$2:$A2766,'Previous Rank'!$B$2:$B2766=B1163,'Previous Rank'!$C$2:$C2766=C1163),"""")"),1148.0)</f>
        <v>1148</v>
      </c>
      <c r="H1163" s="8">
        <f t="shared" si="1"/>
        <v>-14</v>
      </c>
    </row>
    <row r="1164">
      <c r="A1164" s="10">
        <v>1163.0</v>
      </c>
      <c r="B1164" s="11" t="s">
        <v>1251</v>
      </c>
      <c r="C1164" s="10" t="s">
        <v>79</v>
      </c>
      <c r="D1164" s="10" t="s">
        <v>15</v>
      </c>
      <c r="E1164" s="16"/>
      <c r="F1164" s="16" t="s">
        <v>382</v>
      </c>
      <c r="G1164" s="13">
        <f>IFERROR(__xludf.DUMMYFUNCTION("if(counta(filter('Previous Rank'!$A$2:$A2766,'Previous Rank'!$B$2:$B2766=B1164,'Previous Rank'!$C$2:$C2766=C1164))=1,filter('Previous Rank'!$A$2:$A2766,'Previous Rank'!$B$2:$B2766=B1164,'Previous Rank'!$C$2:$C2766=C1164),"""")"),1149.0)</f>
        <v>1149</v>
      </c>
      <c r="H1164" s="8">
        <f t="shared" si="1"/>
        <v>-14</v>
      </c>
    </row>
    <row r="1165">
      <c r="A1165" s="10">
        <v>1164.0</v>
      </c>
      <c r="B1165" s="11" t="s">
        <v>1252</v>
      </c>
      <c r="C1165" s="10" t="s">
        <v>79</v>
      </c>
      <c r="D1165" s="10" t="s">
        <v>122</v>
      </c>
      <c r="E1165" s="15"/>
      <c r="F1165" s="15" t="s">
        <v>382</v>
      </c>
      <c r="G1165" s="13">
        <f>IFERROR(__xludf.DUMMYFUNCTION("if(counta(filter('Previous Rank'!$A$2:$A2766,'Previous Rank'!$B$2:$B2766=B1165,'Previous Rank'!$C$2:$C2766=C1165))=1,filter('Previous Rank'!$A$2:$A2766,'Previous Rank'!$B$2:$B2766=B1165,'Previous Rank'!$C$2:$C2766=C1165),"""")"),1150.0)</f>
        <v>1150</v>
      </c>
      <c r="H1165" s="8">
        <f t="shared" si="1"/>
        <v>-14</v>
      </c>
    </row>
    <row r="1166">
      <c r="A1166" s="10">
        <v>1165.0</v>
      </c>
      <c r="B1166" s="11" t="s">
        <v>1253</v>
      </c>
      <c r="C1166" s="10" t="s">
        <v>22</v>
      </c>
      <c r="D1166" s="10" t="s">
        <v>113</v>
      </c>
      <c r="E1166" s="16"/>
      <c r="F1166" s="16" t="s">
        <v>382</v>
      </c>
      <c r="G1166" s="13">
        <f>IFERROR(__xludf.DUMMYFUNCTION("if(counta(filter('Previous Rank'!$A$2:$A2766,'Previous Rank'!$B$2:$B2766=B1166,'Previous Rank'!$C$2:$C2766=C1166))=1,filter('Previous Rank'!$A$2:$A2766,'Previous Rank'!$B$2:$B2766=B1166,'Previous Rank'!$C$2:$C2766=C1166),"""")"),1151.0)</f>
        <v>1151</v>
      </c>
      <c r="H1166" s="8">
        <f t="shared" si="1"/>
        <v>-14</v>
      </c>
    </row>
    <row r="1167">
      <c r="A1167" s="10">
        <v>1166.0</v>
      </c>
      <c r="B1167" s="11" t="s">
        <v>1254</v>
      </c>
      <c r="C1167" s="10" t="s">
        <v>22</v>
      </c>
      <c r="D1167" s="10" t="s">
        <v>95</v>
      </c>
      <c r="E1167" s="15"/>
      <c r="F1167" s="15" t="s">
        <v>382</v>
      </c>
      <c r="G1167" s="13">
        <f>IFERROR(__xludf.DUMMYFUNCTION("if(counta(filter('Previous Rank'!$A$2:$A2766,'Previous Rank'!$B$2:$B2766=B1167,'Previous Rank'!$C$2:$C2766=C1167))=1,filter('Previous Rank'!$A$2:$A2766,'Previous Rank'!$B$2:$B2766=B1167,'Previous Rank'!$C$2:$C2766=C1167),"""")"),1152.0)</f>
        <v>1152</v>
      </c>
      <c r="H1167" s="8">
        <f t="shared" si="1"/>
        <v>-14</v>
      </c>
    </row>
    <row r="1168">
      <c r="A1168" s="10">
        <v>1167.0</v>
      </c>
      <c r="B1168" s="11" t="s">
        <v>1255</v>
      </c>
      <c r="C1168" s="10" t="s">
        <v>22</v>
      </c>
      <c r="D1168" s="10" t="s">
        <v>46</v>
      </c>
      <c r="E1168" s="16"/>
      <c r="F1168" s="16" t="s">
        <v>382</v>
      </c>
      <c r="G1168" s="13">
        <f>IFERROR(__xludf.DUMMYFUNCTION("if(counta(filter('Previous Rank'!$A$2:$A2766,'Previous Rank'!$B$2:$B2766=B1168,'Previous Rank'!$C$2:$C2766=C1168))=1,filter('Previous Rank'!$A$2:$A2766,'Previous Rank'!$B$2:$B2766=B1168,'Previous Rank'!$C$2:$C2766=C1168),"""")"),1153.0)</f>
        <v>1153</v>
      </c>
      <c r="H1168" s="8">
        <f t="shared" si="1"/>
        <v>-14</v>
      </c>
    </row>
    <row r="1169">
      <c r="A1169" s="10">
        <v>1168.0</v>
      </c>
      <c r="B1169" s="11" t="s">
        <v>1256</v>
      </c>
      <c r="C1169" s="10" t="s">
        <v>79</v>
      </c>
      <c r="D1169" s="10" t="s">
        <v>23</v>
      </c>
      <c r="E1169" s="15"/>
      <c r="F1169" s="15" t="s">
        <v>382</v>
      </c>
      <c r="G1169" s="13">
        <f>IFERROR(__xludf.DUMMYFUNCTION("if(counta(filter('Previous Rank'!$A$2:$A2766,'Previous Rank'!$B$2:$B2766=B1169,'Previous Rank'!$C$2:$C2766=C1169))=1,filter('Previous Rank'!$A$2:$A2766,'Previous Rank'!$B$2:$B2766=B1169,'Previous Rank'!$C$2:$C2766=C1169),"""")"),1154.0)</f>
        <v>1154</v>
      </c>
      <c r="H1169" s="8">
        <f t="shared" si="1"/>
        <v>-14</v>
      </c>
    </row>
    <row r="1170">
      <c r="A1170" s="10">
        <v>1169.0</v>
      </c>
      <c r="B1170" s="11" t="s">
        <v>1257</v>
      </c>
      <c r="C1170" s="10" t="s">
        <v>22</v>
      </c>
      <c r="D1170" s="10" t="s">
        <v>23</v>
      </c>
      <c r="E1170" s="16"/>
      <c r="F1170" s="16" t="s">
        <v>382</v>
      </c>
      <c r="G1170" s="13">
        <f>IFERROR(__xludf.DUMMYFUNCTION("if(counta(filter('Previous Rank'!$A$2:$A2766,'Previous Rank'!$B$2:$B2766=B1170,'Previous Rank'!$C$2:$C2766=C1170))=1,filter('Previous Rank'!$A$2:$A2766,'Previous Rank'!$B$2:$B2766=B1170,'Previous Rank'!$C$2:$C2766=C1170),"""")"),1155.0)</f>
        <v>1155</v>
      </c>
      <c r="H1170" s="8">
        <f t="shared" si="1"/>
        <v>-14</v>
      </c>
    </row>
    <row r="1171">
      <c r="A1171" s="10">
        <v>1170.0</v>
      </c>
      <c r="B1171" s="11" t="s">
        <v>1258</v>
      </c>
      <c r="C1171" s="10" t="s">
        <v>79</v>
      </c>
      <c r="D1171" s="10" t="s">
        <v>34</v>
      </c>
      <c r="E1171" s="15"/>
      <c r="F1171" s="15" t="s">
        <v>382</v>
      </c>
      <c r="G1171" s="13">
        <f>IFERROR(__xludf.DUMMYFUNCTION("if(counta(filter('Previous Rank'!$A$2:$A2766,'Previous Rank'!$B$2:$B2766=B1171,'Previous Rank'!$C$2:$C2766=C1171))=1,filter('Previous Rank'!$A$2:$A2766,'Previous Rank'!$B$2:$B2766=B1171,'Previous Rank'!$C$2:$C2766=C1171),"""")"),1156.0)</f>
        <v>1156</v>
      </c>
      <c r="H1171" s="8">
        <f t="shared" si="1"/>
        <v>-14</v>
      </c>
    </row>
    <row r="1172">
      <c r="A1172" s="10">
        <v>1171.0</v>
      </c>
      <c r="B1172" s="11" t="s">
        <v>1259</v>
      </c>
      <c r="C1172" s="10" t="s">
        <v>22</v>
      </c>
      <c r="D1172" s="10" t="s">
        <v>113</v>
      </c>
      <c r="E1172" s="16"/>
      <c r="F1172" s="16" t="s">
        <v>382</v>
      </c>
      <c r="G1172" s="13">
        <f>IFERROR(__xludf.DUMMYFUNCTION("if(counta(filter('Previous Rank'!$A$2:$A2766,'Previous Rank'!$B$2:$B2766=B1172,'Previous Rank'!$C$2:$C2766=C1172))=1,filter('Previous Rank'!$A$2:$A2766,'Previous Rank'!$B$2:$B2766=B1172,'Previous Rank'!$C$2:$C2766=C1172),"""")"),1157.0)</f>
        <v>1157</v>
      </c>
      <c r="H1172" s="8">
        <f t="shared" si="1"/>
        <v>-14</v>
      </c>
    </row>
    <row r="1173">
      <c r="A1173" s="10">
        <v>1172.0</v>
      </c>
      <c r="B1173" s="11" t="s">
        <v>1260</v>
      </c>
      <c r="C1173" s="10" t="s">
        <v>79</v>
      </c>
      <c r="D1173" s="10" t="s">
        <v>140</v>
      </c>
      <c r="E1173" s="15"/>
      <c r="F1173" s="15" t="s">
        <v>382</v>
      </c>
      <c r="G1173" s="13">
        <f>IFERROR(__xludf.DUMMYFUNCTION("if(counta(filter('Previous Rank'!$A$2:$A2766,'Previous Rank'!$B$2:$B2766=B1173,'Previous Rank'!$C$2:$C2766=C1173))=1,filter('Previous Rank'!$A$2:$A2766,'Previous Rank'!$B$2:$B2766=B1173,'Previous Rank'!$C$2:$C2766=C1173),"""")"),1158.0)</f>
        <v>1158</v>
      </c>
      <c r="H1173" s="8">
        <f t="shared" si="1"/>
        <v>-14</v>
      </c>
    </row>
    <row r="1174">
      <c r="A1174" s="10">
        <v>1173.0</v>
      </c>
      <c r="B1174" s="11" t="s">
        <v>1261</v>
      </c>
      <c r="C1174" s="10" t="s">
        <v>22</v>
      </c>
      <c r="D1174" s="10" t="s">
        <v>9</v>
      </c>
      <c r="E1174" s="16"/>
      <c r="F1174" s="16" t="s">
        <v>382</v>
      </c>
      <c r="G1174" s="13">
        <f>IFERROR(__xludf.DUMMYFUNCTION("if(counta(filter('Previous Rank'!$A$2:$A2766,'Previous Rank'!$B$2:$B2766=B1174,'Previous Rank'!$C$2:$C2766=C1174))=1,filter('Previous Rank'!$A$2:$A2766,'Previous Rank'!$B$2:$B2766=B1174,'Previous Rank'!$C$2:$C2766=C1174),"""")"),1159.0)</f>
        <v>1159</v>
      </c>
      <c r="H1174" s="8">
        <f t="shared" si="1"/>
        <v>-14</v>
      </c>
    </row>
    <row r="1175">
      <c r="A1175" s="10">
        <v>1174.0</v>
      </c>
      <c r="B1175" s="11" t="s">
        <v>1262</v>
      </c>
      <c r="C1175" s="10" t="s">
        <v>22</v>
      </c>
      <c r="D1175" s="10" t="s">
        <v>206</v>
      </c>
      <c r="E1175" s="15"/>
      <c r="F1175" s="15" t="s">
        <v>382</v>
      </c>
      <c r="G1175" s="13">
        <f>IFERROR(__xludf.DUMMYFUNCTION("if(counta(filter('Previous Rank'!$A$2:$A2766,'Previous Rank'!$B$2:$B2766=B1175,'Previous Rank'!$C$2:$C2766=C1175))=1,filter('Previous Rank'!$A$2:$A2766,'Previous Rank'!$B$2:$B2766=B1175,'Previous Rank'!$C$2:$C2766=C1175),"""")"),1160.0)</f>
        <v>1160</v>
      </c>
      <c r="H1175" s="8">
        <f t="shared" si="1"/>
        <v>-14</v>
      </c>
    </row>
    <row r="1176">
      <c r="A1176" s="10">
        <v>1175.0</v>
      </c>
      <c r="B1176" s="11" t="s">
        <v>1263</v>
      </c>
      <c r="C1176" s="10" t="s">
        <v>79</v>
      </c>
      <c r="D1176" s="10" t="s">
        <v>42</v>
      </c>
      <c r="E1176" s="16"/>
      <c r="F1176" s="16" t="s">
        <v>382</v>
      </c>
      <c r="G1176" s="13">
        <f>IFERROR(__xludf.DUMMYFUNCTION("if(counta(filter('Previous Rank'!$A$2:$A2766,'Previous Rank'!$B$2:$B2766=B1176,'Previous Rank'!$C$2:$C2766=C1176))=1,filter('Previous Rank'!$A$2:$A2766,'Previous Rank'!$B$2:$B2766=B1176,'Previous Rank'!$C$2:$C2766=C1176),"""")"),1161.0)</f>
        <v>1161</v>
      </c>
      <c r="H1176" s="8">
        <f t="shared" si="1"/>
        <v>-14</v>
      </c>
    </row>
    <row r="1177">
      <c r="A1177" s="10">
        <v>1176.0</v>
      </c>
      <c r="B1177" s="11" t="s">
        <v>1264</v>
      </c>
      <c r="C1177" s="10" t="s">
        <v>22</v>
      </c>
      <c r="D1177" s="10" t="s">
        <v>12</v>
      </c>
      <c r="E1177" s="15"/>
      <c r="F1177" s="15" t="s">
        <v>382</v>
      </c>
      <c r="G1177" s="13">
        <f>IFERROR(__xludf.DUMMYFUNCTION("if(counta(filter('Previous Rank'!$A$2:$A2766,'Previous Rank'!$B$2:$B2766=B1177,'Previous Rank'!$C$2:$C2766=C1177))=1,filter('Previous Rank'!$A$2:$A2766,'Previous Rank'!$B$2:$B2766=B1177,'Previous Rank'!$C$2:$C2766=C1177),"""")"),1162.0)</f>
        <v>1162</v>
      </c>
      <c r="H1177" s="8">
        <f t="shared" si="1"/>
        <v>-14</v>
      </c>
    </row>
    <row r="1178">
      <c r="A1178" s="10">
        <v>1177.0</v>
      </c>
      <c r="B1178" s="11" t="s">
        <v>1265</v>
      </c>
      <c r="C1178" s="10" t="s">
        <v>220</v>
      </c>
      <c r="D1178" s="10" t="s">
        <v>18</v>
      </c>
      <c r="E1178" s="16"/>
      <c r="F1178" s="16" t="s">
        <v>382</v>
      </c>
      <c r="G1178" s="13">
        <f>IFERROR(__xludf.DUMMYFUNCTION("if(counta(filter('Previous Rank'!$A$2:$A2766,'Previous Rank'!$B$2:$B2766=B1178,'Previous Rank'!$C$2:$C2766=C1178))=1,filter('Previous Rank'!$A$2:$A2766,'Previous Rank'!$B$2:$B2766=B1178,'Previous Rank'!$C$2:$C2766=C1178),"""")"),1163.0)</f>
        <v>1163</v>
      </c>
      <c r="H1178" s="8">
        <f t="shared" si="1"/>
        <v>-14</v>
      </c>
    </row>
    <row r="1179">
      <c r="A1179" s="10">
        <v>1178.0</v>
      </c>
      <c r="B1179" s="11" t="s">
        <v>1266</v>
      </c>
      <c r="C1179" s="10" t="s">
        <v>79</v>
      </c>
      <c r="D1179" s="10" t="s">
        <v>95</v>
      </c>
      <c r="E1179" s="15"/>
      <c r="F1179" s="15" t="s">
        <v>382</v>
      </c>
      <c r="G1179" s="13">
        <f>IFERROR(__xludf.DUMMYFUNCTION("if(counta(filter('Previous Rank'!$A$2:$A2766,'Previous Rank'!$B$2:$B2766=B1179,'Previous Rank'!$C$2:$C2766=C1179))=1,filter('Previous Rank'!$A$2:$A2766,'Previous Rank'!$B$2:$B2766=B1179,'Previous Rank'!$C$2:$C2766=C1179),"""")"),1164.0)</f>
        <v>1164</v>
      </c>
      <c r="H1179" s="8">
        <f t="shared" si="1"/>
        <v>-14</v>
      </c>
    </row>
    <row r="1180">
      <c r="A1180" s="10">
        <v>1179.0</v>
      </c>
      <c r="B1180" s="11" t="s">
        <v>1267</v>
      </c>
      <c r="C1180" s="10" t="s">
        <v>22</v>
      </c>
      <c r="D1180" s="10" t="s">
        <v>95</v>
      </c>
      <c r="E1180" s="16"/>
      <c r="F1180" s="16" t="s">
        <v>382</v>
      </c>
      <c r="G1180" s="13">
        <f>IFERROR(__xludf.DUMMYFUNCTION("if(counta(filter('Previous Rank'!$A$2:$A2766,'Previous Rank'!$B$2:$B2766=B1180,'Previous Rank'!$C$2:$C2766=C1180))=1,filter('Previous Rank'!$A$2:$A2766,'Previous Rank'!$B$2:$B2766=B1180,'Previous Rank'!$C$2:$C2766=C1180),"""")"),1165.0)</f>
        <v>1165</v>
      </c>
      <c r="H1180" s="8">
        <f t="shared" si="1"/>
        <v>-14</v>
      </c>
    </row>
    <row r="1181">
      <c r="A1181" s="10">
        <v>1180.0</v>
      </c>
      <c r="B1181" s="11" t="s">
        <v>1268</v>
      </c>
      <c r="C1181" s="10" t="s">
        <v>220</v>
      </c>
      <c r="D1181" s="10" t="s">
        <v>129</v>
      </c>
      <c r="E1181" s="15"/>
      <c r="F1181" s="15" t="s">
        <v>382</v>
      </c>
      <c r="G1181" s="13">
        <f>IFERROR(__xludf.DUMMYFUNCTION("if(counta(filter('Previous Rank'!$A$2:$A2766,'Previous Rank'!$B$2:$B2766=B1181,'Previous Rank'!$C$2:$C2766=C1181))=1,filter('Previous Rank'!$A$2:$A2766,'Previous Rank'!$B$2:$B2766=B1181,'Previous Rank'!$C$2:$C2766=C1181),"""")"),1166.0)</f>
        <v>1166</v>
      </c>
      <c r="H1181" s="8">
        <f t="shared" si="1"/>
        <v>-14</v>
      </c>
    </row>
    <row r="1182">
      <c r="A1182" s="10">
        <v>1181.0</v>
      </c>
      <c r="B1182" s="11" t="s">
        <v>1269</v>
      </c>
      <c r="C1182" s="10" t="s">
        <v>79</v>
      </c>
      <c r="D1182" s="10" t="s">
        <v>95</v>
      </c>
      <c r="E1182" s="16"/>
      <c r="F1182" s="16" t="s">
        <v>382</v>
      </c>
      <c r="G1182" s="13">
        <f>IFERROR(__xludf.DUMMYFUNCTION("if(counta(filter('Previous Rank'!$A$2:$A2766,'Previous Rank'!$B$2:$B2766=B1182,'Previous Rank'!$C$2:$C2766=C1182))=1,filter('Previous Rank'!$A$2:$A2766,'Previous Rank'!$B$2:$B2766=B1182,'Previous Rank'!$C$2:$C2766=C1182),"""")"),1167.0)</f>
        <v>1167</v>
      </c>
      <c r="H1182" s="8">
        <f t="shared" si="1"/>
        <v>-14</v>
      </c>
    </row>
    <row r="1183">
      <c r="A1183" s="10">
        <v>1182.0</v>
      </c>
      <c r="B1183" s="11" t="s">
        <v>1270</v>
      </c>
      <c r="C1183" s="10" t="s">
        <v>79</v>
      </c>
      <c r="D1183" s="10" t="s">
        <v>113</v>
      </c>
      <c r="E1183" s="15"/>
      <c r="F1183" s="15" t="s">
        <v>382</v>
      </c>
      <c r="G1183" s="13">
        <f>IFERROR(__xludf.DUMMYFUNCTION("if(counta(filter('Previous Rank'!$A$2:$A2766,'Previous Rank'!$B$2:$B2766=B1183,'Previous Rank'!$C$2:$C2766=C1183))=1,filter('Previous Rank'!$A$2:$A2766,'Previous Rank'!$B$2:$B2766=B1183,'Previous Rank'!$C$2:$C2766=C1183),"""")"),1168.0)</f>
        <v>1168</v>
      </c>
      <c r="H1183" s="8">
        <f t="shared" si="1"/>
        <v>-14</v>
      </c>
    </row>
    <row r="1184">
      <c r="A1184" s="10">
        <v>1183.0</v>
      </c>
      <c r="B1184" s="11" t="s">
        <v>1271</v>
      </c>
      <c r="C1184" s="10" t="s">
        <v>22</v>
      </c>
      <c r="D1184" s="10" t="s">
        <v>122</v>
      </c>
      <c r="E1184" s="16"/>
      <c r="F1184" s="16" t="s">
        <v>382</v>
      </c>
      <c r="G1184" s="13">
        <f>IFERROR(__xludf.DUMMYFUNCTION("if(counta(filter('Previous Rank'!$A$2:$A2766,'Previous Rank'!$B$2:$B2766=B1184,'Previous Rank'!$C$2:$C2766=C1184))=1,filter('Previous Rank'!$A$2:$A2766,'Previous Rank'!$B$2:$B2766=B1184,'Previous Rank'!$C$2:$C2766=C1184),"""")"),1169.0)</f>
        <v>1169</v>
      </c>
      <c r="H1184" s="8">
        <f t="shared" si="1"/>
        <v>-14</v>
      </c>
    </row>
    <row r="1185">
      <c r="A1185" s="10">
        <v>1184.0</v>
      </c>
      <c r="B1185" s="11" t="s">
        <v>1272</v>
      </c>
      <c r="C1185" s="10" t="s">
        <v>79</v>
      </c>
      <c r="D1185" s="10" t="s">
        <v>15</v>
      </c>
      <c r="E1185" s="15"/>
      <c r="F1185" s="15" t="s">
        <v>382</v>
      </c>
      <c r="G1185" s="13">
        <f>IFERROR(__xludf.DUMMYFUNCTION("if(counta(filter('Previous Rank'!$A$2:$A2766,'Previous Rank'!$B$2:$B2766=B1185,'Previous Rank'!$C$2:$C2766=C1185))=1,filter('Previous Rank'!$A$2:$A2766,'Previous Rank'!$B$2:$B2766=B1185,'Previous Rank'!$C$2:$C2766=C1185),"""")"),1170.0)</f>
        <v>1170</v>
      </c>
      <c r="H1185" s="8">
        <f t="shared" si="1"/>
        <v>-14</v>
      </c>
    </row>
    <row r="1186">
      <c r="A1186" s="10">
        <v>1185.0</v>
      </c>
      <c r="B1186" s="11" t="s">
        <v>1273</v>
      </c>
      <c r="C1186" s="10" t="s">
        <v>79</v>
      </c>
      <c r="D1186" s="10" t="s">
        <v>85</v>
      </c>
      <c r="E1186" s="16"/>
      <c r="F1186" s="16" t="s">
        <v>382</v>
      </c>
      <c r="G1186" s="13">
        <f>IFERROR(__xludf.DUMMYFUNCTION("if(counta(filter('Previous Rank'!$A$2:$A2766,'Previous Rank'!$B$2:$B2766=B1186,'Previous Rank'!$C$2:$C2766=C1186))=1,filter('Previous Rank'!$A$2:$A2766,'Previous Rank'!$B$2:$B2766=B1186,'Previous Rank'!$C$2:$C2766=C1186),"""")"),1171.0)</f>
        <v>1171</v>
      </c>
      <c r="H1186" s="8">
        <f t="shared" si="1"/>
        <v>-14</v>
      </c>
    </row>
    <row r="1187">
      <c r="A1187" s="10">
        <v>1186.0</v>
      </c>
      <c r="B1187" s="11" t="s">
        <v>1274</v>
      </c>
      <c r="C1187" s="10" t="s">
        <v>22</v>
      </c>
      <c r="D1187" s="10" t="s">
        <v>36</v>
      </c>
      <c r="E1187" s="15"/>
      <c r="F1187" s="15" t="s">
        <v>382</v>
      </c>
      <c r="G1187" s="13">
        <f>IFERROR(__xludf.DUMMYFUNCTION("if(counta(filter('Previous Rank'!$A$2:$A2766,'Previous Rank'!$B$2:$B2766=B1187,'Previous Rank'!$C$2:$C2766=C1187))=1,filter('Previous Rank'!$A$2:$A2766,'Previous Rank'!$B$2:$B2766=B1187,'Previous Rank'!$C$2:$C2766=C1187),"""")"),1172.0)</f>
        <v>1172</v>
      </c>
      <c r="H1187" s="8">
        <f t="shared" si="1"/>
        <v>-14</v>
      </c>
    </row>
    <row r="1188">
      <c r="A1188" s="10">
        <v>1187.0</v>
      </c>
      <c r="B1188" s="11" t="s">
        <v>1275</v>
      </c>
      <c r="C1188" s="10" t="s">
        <v>22</v>
      </c>
      <c r="D1188" s="10" t="s">
        <v>99</v>
      </c>
      <c r="E1188" s="16"/>
      <c r="F1188" s="16" t="s">
        <v>382</v>
      </c>
      <c r="G1188" s="13">
        <f>IFERROR(__xludf.DUMMYFUNCTION("if(counta(filter('Previous Rank'!$A$2:$A2766,'Previous Rank'!$B$2:$B2766=B1188,'Previous Rank'!$C$2:$C2766=C1188))=1,filter('Previous Rank'!$A$2:$A2766,'Previous Rank'!$B$2:$B2766=B1188,'Previous Rank'!$C$2:$C2766=C1188),"""")"),1173.0)</f>
        <v>1173</v>
      </c>
      <c r="H1188" s="8">
        <f t="shared" si="1"/>
        <v>-14</v>
      </c>
    </row>
    <row r="1189">
      <c r="A1189" s="10">
        <v>1188.0</v>
      </c>
      <c r="B1189" s="11" t="s">
        <v>1276</v>
      </c>
      <c r="C1189" s="10" t="s">
        <v>79</v>
      </c>
      <c r="D1189" s="10" t="s">
        <v>49</v>
      </c>
      <c r="E1189" s="15"/>
      <c r="F1189" s="15" t="s">
        <v>382</v>
      </c>
      <c r="G1189" s="13">
        <f>IFERROR(__xludf.DUMMYFUNCTION("if(counta(filter('Previous Rank'!$A$2:$A2766,'Previous Rank'!$B$2:$B2766=B1189,'Previous Rank'!$C$2:$C2766=C1189))=1,filter('Previous Rank'!$A$2:$A2766,'Previous Rank'!$B$2:$B2766=B1189,'Previous Rank'!$C$2:$C2766=C1189),"""")"),1174.0)</f>
        <v>1174</v>
      </c>
      <c r="H1189" s="8">
        <f t="shared" si="1"/>
        <v>-14</v>
      </c>
    </row>
    <row r="1190">
      <c r="A1190" s="10">
        <v>1189.0</v>
      </c>
      <c r="B1190" s="11" t="s">
        <v>1277</v>
      </c>
      <c r="C1190" s="10" t="s">
        <v>22</v>
      </c>
      <c r="D1190" s="10" t="s">
        <v>206</v>
      </c>
      <c r="E1190" s="16"/>
      <c r="F1190" s="16" t="s">
        <v>382</v>
      </c>
      <c r="G1190" s="13">
        <f>IFERROR(__xludf.DUMMYFUNCTION("if(counta(filter('Previous Rank'!$A$2:$A2766,'Previous Rank'!$B$2:$B2766=B1190,'Previous Rank'!$C$2:$C2766=C1190))=1,filter('Previous Rank'!$A$2:$A2766,'Previous Rank'!$B$2:$B2766=B1190,'Previous Rank'!$C$2:$C2766=C1190),"""")"),1175.0)</f>
        <v>1175</v>
      </c>
      <c r="H1190" s="8">
        <f t="shared" si="1"/>
        <v>-14</v>
      </c>
    </row>
    <row r="1191">
      <c r="A1191" s="10">
        <v>1190.0</v>
      </c>
      <c r="B1191" s="11" t="s">
        <v>1278</v>
      </c>
      <c r="C1191" s="10" t="s">
        <v>79</v>
      </c>
      <c r="D1191" s="10" t="s">
        <v>52</v>
      </c>
      <c r="E1191" s="15"/>
      <c r="F1191" s="15" t="s">
        <v>382</v>
      </c>
      <c r="G1191" s="13">
        <f>IFERROR(__xludf.DUMMYFUNCTION("if(counta(filter('Previous Rank'!$A$2:$A2766,'Previous Rank'!$B$2:$B2766=B1191,'Previous Rank'!$C$2:$C2766=C1191))=1,filter('Previous Rank'!$A$2:$A2766,'Previous Rank'!$B$2:$B2766=B1191,'Previous Rank'!$C$2:$C2766=C1191),"""")"),1176.0)</f>
        <v>1176</v>
      </c>
      <c r="H1191" s="8">
        <f t="shared" si="1"/>
        <v>-14</v>
      </c>
    </row>
    <row r="1192">
      <c r="A1192" s="10">
        <v>1191.0</v>
      </c>
      <c r="B1192" s="11" t="s">
        <v>1279</v>
      </c>
      <c r="C1192" s="10" t="s">
        <v>79</v>
      </c>
      <c r="D1192" s="10" t="s">
        <v>82</v>
      </c>
      <c r="E1192" s="16"/>
      <c r="F1192" s="16" t="s">
        <v>382</v>
      </c>
      <c r="G1192" s="13">
        <f>IFERROR(__xludf.DUMMYFUNCTION("if(counta(filter('Previous Rank'!$A$2:$A2766,'Previous Rank'!$B$2:$B2766=B1192,'Previous Rank'!$C$2:$C2766=C1192))=1,filter('Previous Rank'!$A$2:$A2766,'Previous Rank'!$B$2:$B2766=B1192,'Previous Rank'!$C$2:$C2766=C1192),"""")"),1177.0)</f>
        <v>1177</v>
      </c>
      <c r="H1192" s="8">
        <f t="shared" si="1"/>
        <v>-14</v>
      </c>
    </row>
    <row r="1193">
      <c r="A1193" s="10">
        <v>1192.0</v>
      </c>
      <c r="B1193" s="11" t="s">
        <v>1280</v>
      </c>
      <c r="C1193" s="10" t="s">
        <v>22</v>
      </c>
      <c r="D1193" s="10" t="s">
        <v>34</v>
      </c>
      <c r="E1193" s="15"/>
      <c r="F1193" s="15" t="s">
        <v>382</v>
      </c>
      <c r="G1193" s="13">
        <f>IFERROR(__xludf.DUMMYFUNCTION("if(counta(filter('Previous Rank'!$A$2:$A2766,'Previous Rank'!$B$2:$B2766=B1193,'Previous Rank'!$C$2:$C2766=C1193))=1,filter('Previous Rank'!$A$2:$A2766,'Previous Rank'!$B$2:$B2766=B1193,'Previous Rank'!$C$2:$C2766=C1193),"""")"),1178.0)</f>
        <v>1178</v>
      </c>
      <c r="H1193" s="8">
        <f t="shared" si="1"/>
        <v>-14</v>
      </c>
    </row>
    <row r="1194">
      <c r="A1194" s="10">
        <v>1193.0</v>
      </c>
      <c r="B1194" s="11" t="s">
        <v>1281</v>
      </c>
      <c r="C1194" s="10" t="s">
        <v>22</v>
      </c>
      <c r="D1194" s="10" t="s">
        <v>82</v>
      </c>
      <c r="E1194" s="16"/>
      <c r="F1194" s="16" t="s">
        <v>382</v>
      </c>
      <c r="G1194" s="13">
        <f>IFERROR(__xludf.DUMMYFUNCTION("if(counta(filter('Previous Rank'!$A$2:$A2766,'Previous Rank'!$B$2:$B2766=B1194,'Previous Rank'!$C$2:$C2766=C1194))=1,filter('Previous Rank'!$A$2:$A2766,'Previous Rank'!$B$2:$B2766=B1194,'Previous Rank'!$C$2:$C2766=C1194),"""")"),1179.0)</f>
        <v>1179</v>
      </c>
      <c r="H1194" s="8">
        <f t="shared" si="1"/>
        <v>-14</v>
      </c>
    </row>
    <row r="1195">
      <c r="A1195" s="10">
        <v>1194.0</v>
      </c>
      <c r="B1195" s="11" t="s">
        <v>1282</v>
      </c>
      <c r="C1195" s="10" t="s">
        <v>22</v>
      </c>
      <c r="D1195" s="10" t="s">
        <v>52</v>
      </c>
      <c r="E1195" s="15"/>
      <c r="F1195" s="15" t="s">
        <v>382</v>
      </c>
      <c r="G1195" s="13">
        <f>IFERROR(__xludf.DUMMYFUNCTION("if(counta(filter('Previous Rank'!$A$2:$A2766,'Previous Rank'!$B$2:$B2766=B1195,'Previous Rank'!$C$2:$C2766=C1195))=1,filter('Previous Rank'!$A$2:$A2766,'Previous Rank'!$B$2:$B2766=B1195,'Previous Rank'!$C$2:$C2766=C1195),"""")"),1180.0)</f>
        <v>1180</v>
      </c>
      <c r="H1195" s="8">
        <f t="shared" si="1"/>
        <v>-14</v>
      </c>
    </row>
    <row r="1196">
      <c r="A1196" s="10">
        <v>1195.0</v>
      </c>
      <c r="B1196" s="11" t="s">
        <v>1283</v>
      </c>
      <c r="C1196" s="10" t="s">
        <v>79</v>
      </c>
      <c r="D1196" s="10" t="s">
        <v>27</v>
      </c>
      <c r="E1196" s="16"/>
      <c r="F1196" s="16" t="s">
        <v>382</v>
      </c>
      <c r="G1196" s="13">
        <f>IFERROR(__xludf.DUMMYFUNCTION("if(counta(filter('Previous Rank'!$A$2:$A2766,'Previous Rank'!$B$2:$B2766=B1196,'Previous Rank'!$C$2:$C2766=C1196))=1,filter('Previous Rank'!$A$2:$A2766,'Previous Rank'!$B$2:$B2766=B1196,'Previous Rank'!$C$2:$C2766=C1196),"""")"),1181.0)</f>
        <v>1181</v>
      </c>
      <c r="H1196" s="8">
        <f t="shared" si="1"/>
        <v>-14</v>
      </c>
    </row>
    <row r="1197">
      <c r="A1197" s="10">
        <v>1196.0</v>
      </c>
      <c r="B1197" s="11" t="s">
        <v>1284</v>
      </c>
      <c r="C1197" s="10" t="s">
        <v>22</v>
      </c>
      <c r="D1197" s="10" t="s">
        <v>206</v>
      </c>
      <c r="E1197" s="15"/>
      <c r="F1197" s="15" t="s">
        <v>382</v>
      </c>
      <c r="G1197" s="13">
        <f>IFERROR(__xludf.DUMMYFUNCTION("if(counta(filter('Previous Rank'!$A$2:$A2766,'Previous Rank'!$B$2:$B2766=B1197,'Previous Rank'!$C$2:$C2766=C1197))=1,filter('Previous Rank'!$A$2:$A2766,'Previous Rank'!$B$2:$B2766=B1197,'Previous Rank'!$C$2:$C2766=C1197),"""")"),1182.0)</f>
        <v>1182</v>
      </c>
      <c r="H1197" s="8">
        <f t="shared" si="1"/>
        <v>-14</v>
      </c>
    </row>
    <row r="1198">
      <c r="A1198" s="10">
        <v>1197.0</v>
      </c>
      <c r="B1198" s="11" t="s">
        <v>1285</v>
      </c>
      <c r="C1198" s="10" t="s">
        <v>22</v>
      </c>
      <c r="D1198" s="10" t="s">
        <v>140</v>
      </c>
      <c r="E1198" s="16"/>
      <c r="F1198" s="16" t="s">
        <v>382</v>
      </c>
      <c r="G1198" s="13">
        <f>IFERROR(__xludf.DUMMYFUNCTION("if(counta(filter('Previous Rank'!$A$2:$A2766,'Previous Rank'!$B$2:$B2766=B1198,'Previous Rank'!$C$2:$C2766=C1198))=1,filter('Previous Rank'!$A$2:$A2766,'Previous Rank'!$B$2:$B2766=B1198,'Previous Rank'!$C$2:$C2766=C1198),"""")"),1183.0)</f>
        <v>1183</v>
      </c>
      <c r="H1198" s="8">
        <f t="shared" si="1"/>
        <v>-14</v>
      </c>
    </row>
    <row r="1199">
      <c r="A1199" s="10">
        <v>1198.0</v>
      </c>
      <c r="B1199" s="11" t="s">
        <v>1286</v>
      </c>
      <c r="C1199" s="10" t="s">
        <v>79</v>
      </c>
      <c r="D1199" s="10" t="s">
        <v>46</v>
      </c>
      <c r="E1199" s="15"/>
      <c r="F1199" s="15" t="s">
        <v>382</v>
      </c>
      <c r="G1199" s="13">
        <f>IFERROR(__xludf.DUMMYFUNCTION("if(counta(filter('Previous Rank'!$A$2:$A2766,'Previous Rank'!$B$2:$B2766=B1199,'Previous Rank'!$C$2:$C2766=C1199))=1,filter('Previous Rank'!$A$2:$A2766,'Previous Rank'!$B$2:$B2766=B1199,'Previous Rank'!$C$2:$C2766=C1199),"""")"),1184.0)</f>
        <v>1184</v>
      </c>
      <c r="H1199" s="8">
        <f t="shared" si="1"/>
        <v>-14</v>
      </c>
    </row>
    <row r="1200">
      <c r="A1200" s="10">
        <v>1199.0</v>
      </c>
      <c r="B1200" s="11" t="s">
        <v>1287</v>
      </c>
      <c r="C1200" s="10" t="s">
        <v>79</v>
      </c>
      <c r="D1200" s="10" t="s">
        <v>95</v>
      </c>
      <c r="E1200" s="16"/>
      <c r="F1200" s="16" t="s">
        <v>382</v>
      </c>
      <c r="G1200" s="13">
        <f>IFERROR(__xludf.DUMMYFUNCTION("if(counta(filter('Previous Rank'!$A$2:$A2766,'Previous Rank'!$B$2:$B2766=B1200,'Previous Rank'!$C$2:$C2766=C1200))=1,filter('Previous Rank'!$A$2:$A2766,'Previous Rank'!$B$2:$B2766=B1200,'Previous Rank'!$C$2:$C2766=C1200),"""")"),1185.0)</f>
        <v>1185</v>
      </c>
      <c r="H1200" s="8">
        <f t="shared" si="1"/>
        <v>-14</v>
      </c>
    </row>
    <row r="1201">
      <c r="A1201" s="10">
        <v>1200.0</v>
      </c>
      <c r="B1201" s="11" t="s">
        <v>1288</v>
      </c>
      <c r="C1201" s="10" t="s">
        <v>22</v>
      </c>
      <c r="D1201" s="10" t="s">
        <v>140</v>
      </c>
      <c r="E1201" s="15"/>
      <c r="F1201" s="15" t="s">
        <v>382</v>
      </c>
      <c r="G1201" s="13">
        <f>IFERROR(__xludf.DUMMYFUNCTION("if(counta(filter('Previous Rank'!$A$2:$A2766,'Previous Rank'!$B$2:$B2766=B1201,'Previous Rank'!$C$2:$C2766=C1201))=1,filter('Previous Rank'!$A$2:$A2766,'Previous Rank'!$B$2:$B2766=B1201,'Previous Rank'!$C$2:$C2766=C1201),"""")"),1186.0)</f>
        <v>1186</v>
      </c>
      <c r="H1201" s="8">
        <f t="shared" si="1"/>
        <v>-14</v>
      </c>
    </row>
    <row r="1202">
      <c r="A1202" s="10">
        <v>1201.0</v>
      </c>
      <c r="B1202" s="11" t="s">
        <v>1289</v>
      </c>
      <c r="C1202" s="10" t="s">
        <v>79</v>
      </c>
      <c r="D1202" s="10" t="s">
        <v>120</v>
      </c>
      <c r="E1202" s="16"/>
      <c r="F1202" s="16" t="s">
        <v>382</v>
      </c>
      <c r="G1202" s="13">
        <f>IFERROR(__xludf.DUMMYFUNCTION("if(counta(filter('Previous Rank'!$A$2:$A2766,'Previous Rank'!$B$2:$B2766=B1202,'Previous Rank'!$C$2:$C2766=C1202))=1,filter('Previous Rank'!$A$2:$A2766,'Previous Rank'!$B$2:$B2766=B1202,'Previous Rank'!$C$2:$C2766=C1202),"""")"),1187.0)</f>
        <v>1187</v>
      </c>
      <c r="H1202" s="8">
        <f t="shared" si="1"/>
        <v>-14</v>
      </c>
    </row>
    <row r="1203">
      <c r="A1203" s="10">
        <v>1202.0</v>
      </c>
      <c r="B1203" s="11" t="s">
        <v>1290</v>
      </c>
      <c r="C1203" s="10" t="s">
        <v>22</v>
      </c>
      <c r="D1203" s="10" t="s">
        <v>206</v>
      </c>
      <c r="E1203" s="15"/>
      <c r="F1203" s="15" t="s">
        <v>382</v>
      </c>
      <c r="G1203" s="13">
        <f>IFERROR(__xludf.DUMMYFUNCTION("if(counta(filter('Previous Rank'!$A$2:$A2766,'Previous Rank'!$B$2:$B2766=B1203,'Previous Rank'!$C$2:$C2766=C1203))=1,filter('Previous Rank'!$A$2:$A2766,'Previous Rank'!$B$2:$B2766=B1203,'Previous Rank'!$C$2:$C2766=C1203),"""")"),1188.0)</f>
        <v>1188</v>
      </c>
      <c r="H1203" s="8">
        <f t="shared" si="1"/>
        <v>-14</v>
      </c>
    </row>
    <row r="1204">
      <c r="A1204" s="10">
        <v>1203.0</v>
      </c>
      <c r="B1204" s="11" t="s">
        <v>1291</v>
      </c>
      <c r="C1204" s="10" t="s">
        <v>22</v>
      </c>
      <c r="D1204" s="10" t="s">
        <v>34</v>
      </c>
      <c r="E1204" s="16"/>
      <c r="F1204" s="16" t="s">
        <v>382</v>
      </c>
      <c r="G1204" s="13">
        <f>IFERROR(__xludf.DUMMYFUNCTION("if(counta(filter('Previous Rank'!$A$2:$A2766,'Previous Rank'!$B$2:$B2766=B1204,'Previous Rank'!$C$2:$C2766=C1204))=1,filter('Previous Rank'!$A$2:$A2766,'Previous Rank'!$B$2:$B2766=B1204,'Previous Rank'!$C$2:$C2766=C1204),"""")"),1189.0)</f>
        <v>1189</v>
      </c>
      <c r="H1204" s="8">
        <f t="shared" si="1"/>
        <v>-14</v>
      </c>
    </row>
    <row r="1205">
      <c r="A1205" s="10">
        <v>1204.0</v>
      </c>
      <c r="B1205" s="11" t="s">
        <v>1292</v>
      </c>
      <c r="C1205" s="10" t="s">
        <v>22</v>
      </c>
      <c r="D1205" s="10" t="s">
        <v>12</v>
      </c>
      <c r="E1205" s="15"/>
      <c r="F1205" s="15" t="s">
        <v>382</v>
      </c>
      <c r="G1205" s="13">
        <f>IFERROR(__xludf.DUMMYFUNCTION("if(counta(filter('Previous Rank'!$A$2:$A2766,'Previous Rank'!$B$2:$B2766=B1205,'Previous Rank'!$C$2:$C2766=C1205))=1,filter('Previous Rank'!$A$2:$A2766,'Previous Rank'!$B$2:$B2766=B1205,'Previous Rank'!$C$2:$C2766=C1205),"""")"),1190.0)</f>
        <v>1190</v>
      </c>
      <c r="H1205" s="8">
        <f t="shared" si="1"/>
        <v>-14</v>
      </c>
    </row>
    <row r="1206">
      <c r="A1206" s="10">
        <v>1205.0</v>
      </c>
      <c r="B1206" s="11" t="s">
        <v>1293</v>
      </c>
      <c r="C1206" s="10" t="s">
        <v>79</v>
      </c>
      <c r="D1206" s="10" t="s">
        <v>9</v>
      </c>
      <c r="E1206" s="16"/>
      <c r="F1206" s="16" t="s">
        <v>382</v>
      </c>
      <c r="G1206" s="13">
        <f>IFERROR(__xludf.DUMMYFUNCTION("if(counta(filter('Previous Rank'!$A$2:$A2766,'Previous Rank'!$B$2:$B2766=B1206,'Previous Rank'!$C$2:$C2766=C1206))=1,filter('Previous Rank'!$A$2:$A2766,'Previous Rank'!$B$2:$B2766=B1206,'Previous Rank'!$C$2:$C2766=C1206),"""")"),1191.0)</f>
        <v>1191</v>
      </c>
      <c r="H1206" s="8">
        <f t="shared" si="1"/>
        <v>-14</v>
      </c>
    </row>
    <row r="1207">
      <c r="A1207" s="10">
        <v>1206.0</v>
      </c>
      <c r="B1207" s="11" t="s">
        <v>1294</v>
      </c>
      <c r="C1207" s="10" t="s">
        <v>79</v>
      </c>
      <c r="D1207" s="10" t="s">
        <v>27</v>
      </c>
      <c r="E1207" s="15"/>
      <c r="F1207" s="15" t="s">
        <v>382</v>
      </c>
      <c r="G1207" s="13">
        <f>IFERROR(__xludf.DUMMYFUNCTION("if(counta(filter('Previous Rank'!$A$2:$A2766,'Previous Rank'!$B$2:$B2766=B1207,'Previous Rank'!$C$2:$C2766=C1207))=1,filter('Previous Rank'!$A$2:$A2766,'Previous Rank'!$B$2:$B2766=B1207,'Previous Rank'!$C$2:$C2766=C1207),"""")"),1192.0)</f>
        <v>1192</v>
      </c>
      <c r="H1207" s="8">
        <f t="shared" si="1"/>
        <v>-14</v>
      </c>
    </row>
    <row r="1208">
      <c r="A1208" s="10">
        <v>1207.0</v>
      </c>
      <c r="B1208" s="11" t="s">
        <v>1295</v>
      </c>
      <c r="C1208" s="10" t="s">
        <v>79</v>
      </c>
      <c r="D1208" s="10" t="s">
        <v>85</v>
      </c>
      <c r="E1208" s="16"/>
      <c r="F1208" s="16" t="s">
        <v>382</v>
      </c>
      <c r="G1208" s="13">
        <f>IFERROR(__xludf.DUMMYFUNCTION("if(counta(filter('Previous Rank'!$A$2:$A2766,'Previous Rank'!$B$2:$B2766=B1208,'Previous Rank'!$C$2:$C2766=C1208))=1,filter('Previous Rank'!$A$2:$A2766,'Previous Rank'!$B$2:$B2766=B1208,'Previous Rank'!$C$2:$C2766=C1208),"""")"),1193.0)</f>
        <v>1193</v>
      </c>
      <c r="H1208" s="8">
        <f t="shared" si="1"/>
        <v>-14</v>
      </c>
    </row>
    <row r="1209">
      <c r="A1209" s="10">
        <v>1208.0</v>
      </c>
      <c r="B1209" s="11" t="s">
        <v>1296</v>
      </c>
      <c r="C1209" s="10" t="s">
        <v>22</v>
      </c>
      <c r="D1209" s="10" t="s">
        <v>12</v>
      </c>
      <c r="E1209" s="15"/>
      <c r="F1209" s="15" t="s">
        <v>382</v>
      </c>
      <c r="G1209" s="13">
        <f>IFERROR(__xludf.DUMMYFUNCTION("if(counta(filter('Previous Rank'!$A$2:$A2766,'Previous Rank'!$B$2:$B2766=B1209,'Previous Rank'!$C$2:$C2766=C1209))=1,filter('Previous Rank'!$A$2:$A2766,'Previous Rank'!$B$2:$B2766=B1209,'Previous Rank'!$C$2:$C2766=C1209),"""")"),1194.0)</f>
        <v>1194</v>
      </c>
      <c r="H1209" s="8">
        <f t="shared" si="1"/>
        <v>-14</v>
      </c>
    </row>
    <row r="1210">
      <c r="A1210" s="10">
        <v>1209.0</v>
      </c>
      <c r="B1210" s="11" t="s">
        <v>1297</v>
      </c>
      <c r="C1210" s="10" t="s">
        <v>79</v>
      </c>
      <c r="D1210" s="10" t="s">
        <v>82</v>
      </c>
      <c r="E1210" s="16"/>
      <c r="F1210" s="16" t="s">
        <v>382</v>
      </c>
      <c r="G1210" s="13">
        <f>IFERROR(__xludf.DUMMYFUNCTION("if(counta(filter('Previous Rank'!$A$2:$A2766,'Previous Rank'!$B$2:$B2766=B1210,'Previous Rank'!$C$2:$C2766=C1210))=1,filter('Previous Rank'!$A$2:$A2766,'Previous Rank'!$B$2:$B2766=B1210,'Previous Rank'!$C$2:$C2766=C1210),"""")"),1195.0)</f>
        <v>1195</v>
      </c>
      <c r="H1210" s="8">
        <f t="shared" si="1"/>
        <v>-14</v>
      </c>
    </row>
    <row r="1211">
      <c r="A1211" s="10">
        <v>1210.0</v>
      </c>
      <c r="B1211" s="11" t="s">
        <v>1298</v>
      </c>
      <c r="C1211" s="10" t="s">
        <v>22</v>
      </c>
      <c r="D1211" s="10" t="s">
        <v>18</v>
      </c>
      <c r="E1211" s="15"/>
      <c r="F1211" s="15" t="s">
        <v>382</v>
      </c>
      <c r="G1211" s="13">
        <f>IFERROR(__xludf.DUMMYFUNCTION("if(counta(filter('Previous Rank'!$A$2:$A2766,'Previous Rank'!$B$2:$B2766=B1211,'Previous Rank'!$C$2:$C2766=C1211))=1,filter('Previous Rank'!$A$2:$A2766,'Previous Rank'!$B$2:$B2766=B1211,'Previous Rank'!$C$2:$C2766=C1211),"""")"),1196.0)</f>
        <v>1196</v>
      </c>
      <c r="H1211" s="8">
        <f t="shared" si="1"/>
        <v>-14</v>
      </c>
    </row>
    <row r="1212">
      <c r="A1212" s="10">
        <v>1211.0</v>
      </c>
      <c r="B1212" s="11" t="s">
        <v>1299</v>
      </c>
      <c r="C1212" s="10" t="s">
        <v>22</v>
      </c>
      <c r="D1212" s="10" t="s">
        <v>34</v>
      </c>
      <c r="E1212" s="16"/>
      <c r="F1212" s="16" t="s">
        <v>382</v>
      </c>
      <c r="G1212" s="13">
        <f>IFERROR(__xludf.DUMMYFUNCTION("if(counta(filter('Previous Rank'!$A$2:$A2766,'Previous Rank'!$B$2:$B2766=B1212,'Previous Rank'!$C$2:$C2766=C1212))=1,filter('Previous Rank'!$A$2:$A2766,'Previous Rank'!$B$2:$B2766=B1212,'Previous Rank'!$C$2:$C2766=C1212),"""")"),1197.0)</f>
        <v>1197</v>
      </c>
      <c r="H1212" s="8">
        <f t="shared" si="1"/>
        <v>-14</v>
      </c>
    </row>
    <row r="1213">
      <c r="A1213" s="10">
        <v>1212.0</v>
      </c>
      <c r="B1213" s="11" t="s">
        <v>1300</v>
      </c>
      <c r="C1213" s="10" t="s">
        <v>79</v>
      </c>
      <c r="D1213" s="10" t="s">
        <v>42</v>
      </c>
      <c r="E1213" s="15"/>
      <c r="F1213" s="15" t="s">
        <v>382</v>
      </c>
      <c r="G1213" s="13">
        <f>IFERROR(__xludf.DUMMYFUNCTION("if(counta(filter('Previous Rank'!$A$2:$A2766,'Previous Rank'!$B$2:$B2766=B1213,'Previous Rank'!$C$2:$C2766=C1213))=1,filter('Previous Rank'!$A$2:$A2766,'Previous Rank'!$B$2:$B2766=B1213,'Previous Rank'!$C$2:$C2766=C1213),"""")"),1198.0)</f>
        <v>1198</v>
      </c>
      <c r="H1213" s="8">
        <f t="shared" si="1"/>
        <v>-14</v>
      </c>
    </row>
    <row r="1214">
      <c r="A1214" s="10">
        <v>1213.0</v>
      </c>
      <c r="B1214" s="11" t="s">
        <v>1301</v>
      </c>
      <c r="C1214" s="10" t="s">
        <v>22</v>
      </c>
      <c r="D1214" s="10" t="s">
        <v>25</v>
      </c>
      <c r="E1214" s="16"/>
      <c r="F1214" s="16" t="s">
        <v>382</v>
      </c>
      <c r="G1214" s="13">
        <f>IFERROR(__xludf.DUMMYFUNCTION("if(counta(filter('Previous Rank'!$A$2:$A2766,'Previous Rank'!$B$2:$B2766=B1214,'Previous Rank'!$C$2:$C2766=C1214))=1,filter('Previous Rank'!$A$2:$A2766,'Previous Rank'!$B$2:$B2766=B1214,'Previous Rank'!$C$2:$C2766=C1214),"""")"),1199.0)</f>
        <v>1199</v>
      </c>
      <c r="H1214" s="8">
        <f t="shared" si="1"/>
        <v>-14</v>
      </c>
    </row>
    <row r="1215">
      <c r="A1215" s="10">
        <v>1214.0</v>
      </c>
      <c r="B1215" s="11" t="s">
        <v>1302</v>
      </c>
      <c r="C1215" s="10" t="s">
        <v>22</v>
      </c>
      <c r="D1215" s="10" t="s">
        <v>95</v>
      </c>
      <c r="E1215" s="15"/>
      <c r="F1215" s="15" t="s">
        <v>382</v>
      </c>
      <c r="G1215" s="13">
        <f>IFERROR(__xludf.DUMMYFUNCTION("if(counta(filter('Previous Rank'!$A$2:$A2766,'Previous Rank'!$B$2:$B2766=B1215,'Previous Rank'!$C$2:$C2766=C1215))=1,filter('Previous Rank'!$A$2:$A2766,'Previous Rank'!$B$2:$B2766=B1215,'Previous Rank'!$C$2:$C2766=C1215),"""")"),1200.0)</f>
        <v>1200</v>
      </c>
      <c r="H1215" s="8">
        <f t="shared" si="1"/>
        <v>-14</v>
      </c>
    </row>
    <row r="1216">
      <c r="A1216" s="10">
        <v>1215.0</v>
      </c>
      <c r="B1216" s="11" t="s">
        <v>1303</v>
      </c>
      <c r="C1216" s="10" t="s">
        <v>22</v>
      </c>
      <c r="D1216" s="10" t="s">
        <v>105</v>
      </c>
      <c r="E1216" s="16"/>
      <c r="F1216" s="16" t="s">
        <v>382</v>
      </c>
      <c r="G1216" s="13">
        <f>IFERROR(__xludf.DUMMYFUNCTION("if(counta(filter('Previous Rank'!$A$2:$A2766,'Previous Rank'!$B$2:$B2766=B1216,'Previous Rank'!$C$2:$C2766=C1216))=1,filter('Previous Rank'!$A$2:$A2766,'Previous Rank'!$B$2:$B2766=B1216,'Previous Rank'!$C$2:$C2766=C1216),"""")"),1201.0)</f>
        <v>1201</v>
      </c>
      <c r="H1216" s="8">
        <f t="shared" si="1"/>
        <v>-14</v>
      </c>
    </row>
    <row r="1217">
      <c r="A1217" s="10">
        <v>1216.0</v>
      </c>
      <c r="B1217" s="11" t="s">
        <v>1304</v>
      </c>
      <c r="C1217" s="10" t="s">
        <v>79</v>
      </c>
      <c r="D1217" s="10" t="s">
        <v>120</v>
      </c>
      <c r="E1217" s="15"/>
      <c r="F1217" s="15" t="s">
        <v>382</v>
      </c>
      <c r="G1217" s="13">
        <f>IFERROR(__xludf.DUMMYFUNCTION("if(counta(filter('Previous Rank'!$A$2:$A2766,'Previous Rank'!$B$2:$B2766=B1217,'Previous Rank'!$C$2:$C2766=C1217))=1,filter('Previous Rank'!$A$2:$A2766,'Previous Rank'!$B$2:$B2766=B1217,'Previous Rank'!$C$2:$C2766=C1217),"""")"),1202.0)</f>
        <v>1202</v>
      </c>
      <c r="H1217" s="8">
        <f t="shared" si="1"/>
        <v>-14</v>
      </c>
    </row>
    <row r="1218">
      <c r="A1218" s="10">
        <v>1217.0</v>
      </c>
      <c r="B1218" s="11" t="s">
        <v>1305</v>
      </c>
      <c r="C1218" s="10" t="s">
        <v>79</v>
      </c>
      <c r="D1218" s="10" t="s">
        <v>31</v>
      </c>
      <c r="E1218" s="16"/>
      <c r="F1218" s="16" t="s">
        <v>382</v>
      </c>
      <c r="G1218" s="13">
        <f>IFERROR(__xludf.DUMMYFUNCTION("if(counta(filter('Previous Rank'!$A$2:$A2766,'Previous Rank'!$B$2:$B2766=B1218,'Previous Rank'!$C$2:$C2766=C1218))=1,filter('Previous Rank'!$A$2:$A2766,'Previous Rank'!$B$2:$B2766=B1218,'Previous Rank'!$C$2:$C2766=C1218),"""")"),1203.0)</f>
        <v>1203</v>
      </c>
      <c r="H1218" s="8">
        <f t="shared" si="1"/>
        <v>-14</v>
      </c>
    </row>
    <row r="1219">
      <c r="A1219" s="10">
        <v>1218.0</v>
      </c>
      <c r="B1219" s="11" t="s">
        <v>1306</v>
      </c>
      <c r="C1219" s="10" t="s">
        <v>79</v>
      </c>
      <c r="D1219" s="10" t="s">
        <v>31</v>
      </c>
      <c r="E1219" s="15"/>
      <c r="F1219" s="15" t="s">
        <v>382</v>
      </c>
      <c r="G1219" s="13">
        <f>IFERROR(__xludf.DUMMYFUNCTION("if(counta(filter('Previous Rank'!$A$2:$A2766,'Previous Rank'!$B$2:$B2766=B1219,'Previous Rank'!$C$2:$C2766=C1219))=1,filter('Previous Rank'!$A$2:$A2766,'Previous Rank'!$B$2:$B2766=B1219,'Previous Rank'!$C$2:$C2766=C1219),"""")"),1204.0)</f>
        <v>1204</v>
      </c>
      <c r="H1219" s="8">
        <f t="shared" si="1"/>
        <v>-14</v>
      </c>
    </row>
    <row r="1220">
      <c r="A1220" s="10">
        <v>1219.0</v>
      </c>
      <c r="B1220" s="11" t="s">
        <v>1307</v>
      </c>
      <c r="C1220" s="10" t="s">
        <v>79</v>
      </c>
      <c r="D1220" s="10" t="s">
        <v>34</v>
      </c>
      <c r="E1220" s="16"/>
      <c r="F1220" s="16" t="s">
        <v>382</v>
      </c>
      <c r="G1220" s="13">
        <f>IFERROR(__xludf.DUMMYFUNCTION("if(counta(filter('Previous Rank'!$A$2:$A2766,'Previous Rank'!$B$2:$B2766=B1220,'Previous Rank'!$C$2:$C2766=C1220))=1,filter('Previous Rank'!$A$2:$A2766,'Previous Rank'!$B$2:$B2766=B1220,'Previous Rank'!$C$2:$C2766=C1220),"""")"),1205.0)</f>
        <v>1205</v>
      </c>
      <c r="H1220" s="8">
        <f t="shared" si="1"/>
        <v>-14</v>
      </c>
    </row>
    <row r="1221">
      <c r="A1221" s="10">
        <v>1220.0</v>
      </c>
      <c r="B1221" s="11" t="s">
        <v>1308</v>
      </c>
      <c r="C1221" s="10" t="s">
        <v>79</v>
      </c>
      <c r="D1221" s="10" t="s">
        <v>36</v>
      </c>
      <c r="E1221" s="15"/>
      <c r="F1221" s="15" t="s">
        <v>382</v>
      </c>
      <c r="G1221" s="13">
        <f>IFERROR(__xludf.DUMMYFUNCTION("if(counta(filter('Previous Rank'!$A$2:$A2766,'Previous Rank'!$B$2:$B2766=B1221,'Previous Rank'!$C$2:$C2766=C1221))=1,filter('Previous Rank'!$A$2:$A2766,'Previous Rank'!$B$2:$B2766=B1221,'Previous Rank'!$C$2:$C2766=C1221),"""")"),1206.0)</f>
        <v>1206</v>
      </c>
      <c r="H1221" s="8">
        <f t="shared" si="1"/>
        <v>-14</v>
      </c>
    </row>
    <row r="1222">
      <c r="A1222" s="10">
        <v>1221.0</v>
      </c>
      <c r="B1222" s="11" t="s">
        <v>1309</v>
      </c>
      <c r="C1222" s="10" t="s">
        <v>79</v>
      </c>
      <c r="D1222" s="10" t="s">
        <v>73</v>
      </c>
      <c r="E1222" s="16"/>
      <c r="F1222" s="16" t="s">
        <v>382</v>
      </c>
      <c r="G1222" s="13">
        <f>IFERROR(__xludf.DUMMYFUNCTION("if(counta(filter('Previous Rank'!$A$2:$A2766,'Previous Rank'!$B$2:$B2766=B1222,'Previous Rank'!$C$2:$C2766=C1222))=1,filter('Previous Rank'!$A$2:$A2766,'Previous Rank'!$B$2:$B2766=B1222,'Previous Rank'!$C$2:$C2766=C1222),"""")"),1207.0)</f>
        <v>1207</v>
      </c>
      <c r="H1222" s="8">
        <f t="shared" si="1"/>
        <v>-14</v>
      </c>
    </row>
    <row r="1223">
      <c r="A1223" s="10">
        <v>1222.0</v>
      </c>
      <c r="B1223" s="11" t="s">
        <v>1310</v>
      </c>
      <c r="C1223" s="10" t="s">
        <v>22</v>
      </c>
      <c r="D1223" s="10" t="s">
        <v>90</v>
      </c>
      <c r="E1223" s="15"/>
      <c r="F1223" s="15" t="s">
        <v>382</v>
      </c>
      <c r="G1223" s="13">
        <f>IFERROR(__xludf.DUMMYFUNCTION("if(counta(filter('Previous Rank'!$A$2:$A2766,'Previous Rank'!$B$2:$B2766=B1223,'Previous Rank'!$C$2:$C2766=C1223))=1,filter('Previous Rank'!$A$2:$A2766,'Previous Rank'!$B$2:$B2766=B1223,'Previous Rank'!$C$2:$C2766=C1223),"""")"),1208.0)</f>
        <v>1208</v>
      </c>
      <c r="H1223" s="8">
        <f t="shared" si="1"/>
        <v>-14</v>
      </c>
    </row>
    <row r="1224">
      <c r="A1224" s="10">
        <v>1223.0</v>
      </c>
      <c r="B1224" s="11" t="s">
        <v>1311</v>
      </c>
      <c r="C1224" s="10" t="s">
        <v>48</v>
      </c>
      <c r="D1224" s="10" t="s">
        <v>120</v>
      </c>
      <c r="E1224" s="16"/>
      <c r="F1224" s="16" t="s">
        <v>382</v>
      </c>
      <c r="G1224" s="13">
        <f>IFERROR(__xludf.DUMMYFUNCTION("if(counta(filter('Previous Rank'!$A$2:$A2766,'Previous Rank'!$B$2:$B2766=B1224,'Previous Rank'!$C$2:$C2766=C1224))=1,filter('Previous Rank'!$A$2:$A2766,'Previous Rank'!$B$2:$B2766=B1224,'Previous Rank'!$C$2:$C2766=C1224),"""")"),1209.0)</f>
        <v>1209</v>
      </c>
      <c r="H1224" s="8">
        <f t="shared" si="1"/>
        <v>-14</v>
      </c>
    </row>
    <row r="1225">
      <c r="A1225" s="10">
        <v>1224.0</v>
      </c>
      <c r="B1225" s="11" t="s">
        <v>1312</v>
      </c>
      <c r="C1225" s="10" t="s">
        <v>79</v>
      </c>
      <c r="D1225" s="10" t="s">
        <v>23</v>
      </c>
      <c r="E1225" s="15"/>
      <c r="F1225" s="15" t="s">
        <v>382</v>
      </c>
      <c r="G1225" s="13">
        <f>IFERROR(__xludf.DUMMYFUNCTION("if(counta(filter('Previous Rank'!$A$2:$A2766,'Previous Rank'!$B$2:$B2766=B1225,'Previous Rank'!$C$2:$C2766=C1225))=1,filter('Previous Rank'!$A$2:$A2766,'Previous Rank'!$B$2:$B2766=B1225,'Previous Rank'!$C$2:$C2766=C1225),"""")"),1210.0)</f>
        <v>1210</v>
      </c>
      <c r="H1225" s="8">
        <f t="shared" si="1"/>
        <v>-14</v>
      </c>
    </row>
    <row r="1226">
      <c r="A1226" s="10">
        <v>1225.0</v>
      </c>
      <c r="B1226" s="11" t="s">
        <v>1313</v>
      </c>
      <c r="C1226" s="10" t="s">
        <v>79</v>
      </c>
      <c r="D1226" s="10" t="s">
        <v>42</v>
      </c>
      <c r="E1226" s="16"/>
      <c r="F1226" s="16" t="s">
        <v>382</v>
      </c>
      <c r="G1226" s="13">
        <f>IFERROR(__xludf.DUMMYFUNCTION("if(counta(filter('Previous Rank'!$A$2:$A2766,'Previous Rank'!$B$2:$B2766=B1226,'Previous Rank'!$C$2:$C2766=C1226))=1,filter('Previous Rank'!$A$2:$A2766,'Previous Rank'!$B$2:$B2766=B1226,'Previous Rank'!$C$2:$C2766=C1226),"""")"),1211.0)</f>
        <v>1211</v>
      </c>
      <c r="H1226" s="8">
        <f t="shared" si="1"/>
        <v>-14</v>
      </c>
    </row>
    <row r="1227">
      <c r="A1227" s="10">
        <v>1226.0</v>
      </c>
      <c r="B1227" s="11" t="s">
        <v>1314</v>
      </c>
      <c r="C1227" s="10" t="s">
        <v>79</v>
      </c>
      <c r="D1227" s="10" t="s">
        <v>206</v>
      </c>
      <c r="E1227" s="15"/>
      <c r="F1227" s="15" t="s">
        <v>382</v>
      </c>
      <c r="G1227" s="13">
        <f>IFERROR(__xludf.DUMMYFUNCTION("if(counta(filter('Previous Rank'!$A$2:$A2766,'Previous Rank'!$B$2:$B2766=B1227,'Previous Rank'!$C$2:$C2766=C1227))=1,filter('Previous Rank'!$A$2:$A2766,'Previous Rank'!$B$2:$B2766=B1227,'Previous Rank'!$C$2:$C2766=C1227),"""")"),1212.0)</f>
        <v>1212</v>
      </c>
      <c r="H1227" s="8">
        <f t="shared" si="1"/>
        <v>-14</v>
      </c>
    </row>
    <row r="1228">
      <c r="A1228" s="10">
        <v>1227.0</v>
      </c>
      <c r="B1228" s="11" t="s">
        <v>1315</v>
      </c>
      <c r="C1228" s="10" t="s">
        <v>79</v>
      </c>
      <c r="D1228" s="10" t="s">
        <v>49</v>
      </c>
      <c r="E1228" s="16"/>
      <c r="F1228" s="16" t="s">
        <v>382</v>
      </c>
      <c r="G1228" s="13">
        <f>IFERROR(__xludf.DUMMYFUNCTION("if(counta(filter('Previous Rank'!$A$2:$A2766,'Previous Rank'!$B$2:$B2766=B1228,'Previous Rank'!$C$2:$C2766=C1228))=1,filter('Previous Rank'!$A$2:$A2766,'Previous Rank'!$B$2:$B2766=B1228,'Previous Rank'!$C$2:$C2766=C1228),"""")"),1213.0)</f>
        <v>1213</v>
      </c>
      <c r="H1228" s="8">
        <f t="shared" si="1"/>
        <v>-14</v>
      </c>
    </row>
    <row r="1229">
      <c r="A1229" s="10">
        <v>1228.0</v>
      </c>
      <c r="B1229" s="11" t="s">
        <v>1316</v>
      </c>
      <c r="C1229" s="10" t="s">
        <v>79</v>
      </c>
      <c r="D1229" s="10" t="s">
        <v>27</v>
      </c>
      <c r="E1229" s="15"/>
      <c r="F1229" s="15" t="s">
        <v>382</v>
      </c>
      <c r="G1229" s="13">
        <f>IFERROR(__xludf.DUMMYFUNCTION("if(counta(filter('Previous Rank'!$A$2:$A2766,'Previous Rank'!$B$2:$B2766=B1229,'Previous Rank'!$C$2:$C2766=C1229))=1,filter('Previous Rank'!$A$2:$A2766,'Previous Rank'!$B$2:$B2766=B1229,'Previous Rank'!$C$2:$C2766=C1229),"""")"),1214.0)</f>
        <v>1214</v>
      </c>
      <c r="H1229" s="8">
        <f t="shared" si="1"/>
        <v>-14</v>
      </c>
    </row>
    <row r="1230">
      <c r="A1230" s="10">
        <v>1229.0</v>
      </c>
      <c r="B1230" s="11" t="s">
        <v>1317</v>
      </c>
      <c r="C1230" s="10" t="s">
        <v>79</v>
      </c>
      <c r="D1230" s="10" t="s">
        <v>67</v>
      </c>
      <c r="E1230" s="16"/>
      <c r="F1230" s="16" t="s">
        <v>382</v>
      </c>
      <c r="G1230" s="13">
        <f>IFERROR(__xludf.DUMMYFUNCTION("if(counta(filter('Previous Rank'!$A$2:$A2766,'Previous Rank'!$B$2:$B2766=B1230,'Previous Rank'!$C$2:$C2766=C1230))=1,filter('Previous Rank'!$A$2:$A2766,'Previous Rank'!$B$2:$B2766=B1230,'Previous Rank'!$C$2:$C2766=C1230),"""")"),1215.0)</f>
        <v>1215</v>
      </c>
      <c r="H1230" s="8">
        <f t="shared" si="1"/>
        <v>-14</v>
      </c>
    </row>
    <row r="1231">
      <c r="A1231" s="10">
        <v>1230.0</v>
      </c>
      <c r="B1231" s="11" t="s">
        <v>1318</v>
      </c>
      <c r="C1231" s="10" t="s">
        <v>79</v>
      </c>
      <c r="D1231" s="10" t="s">
        <v>25</v>
      </c>
      <c r="E1231" s="15"/>
      <c r="F1231" s="15" t="s">
        <v>382</v>
      </c>
      <c r="G1231" s="13">
        <f>IFERROR(__xludf.DUMMYFUNCTION("if(counta(filter('Previous Rank'!$A$2:$A2766,'Previous Rank'!$B$2:$B2766=B1231,'Previous Rank'!$C$2:$C2766=C1231))=1,filter('Previous Rank'!$A$2:$A2766,'Previous Rank'!$B$2:$B2766=B1231,'Previous Rank'!$C$2:$C2766=C1231),"""")"),1216.0)</f>
        <v>1216</v>
      </c>
      <c r="H1231" s="8">
        <f t="shared" si="1"/>
        <v>-14</v>
      </c>
    </row>
    <row r="1232">
      <c r="A1232" s="10">
        <v>1231.0</v>
      </c>
      <c r="B1232" s="11" t="s">
        <v>1319</v>
      </c>
      <c r="C1232" s="10" t="s">
        <v>79</v>
      </c>
      <c r="D1232" s="10" t="s">
        <v>90</v>
      </c>
      <c r="E1232" s="16"/>
      <c r="F1232" s="16" t="s">
        <v>382</v>
      </c>
      <c r="G1232" s="13">
        <f>IFERROR(__xludf.DUMMYFUNCTION("if(counta(filter('Previous Rank'!$A$2:$A2766,'Previous Rank'!$B$2:$B2766=B1232,'Previous Rank'!$C$2:$C2766=C1232))=1,filter('Previous Rank'!$A$2:$A2766,'Previous Rank'!$B$2:$B2766=B1232,'Previous Rank'!$C$2:$C2766=C1232),"""")"),1217.0)</f>
        <v>1217</v>
      </c>
      <c r="H1232" s="8">
        <f t="shared" si="1"/>
        <v>-14</v>
      </c>
    </row>
    <row r="1233">
      <c r="A1233" s="10">
        <v>1232.0</v>
      </c>
      <c r="B1233" s="11" t="s">
        <v>1320</v>
      </c>
      <c r="C1233" s="10" t="s">
        <v>79</v>
      </c>
      <c r="D1233" s="10" t="s">
        <v>137</v>
      </c>
      <c r="E1233" s="15"/>
      <c r="F1233" s="15" t="s">
        <v>382</v>
      </c>
      <c r="G1233" s="13">
        <f>IFERROR(__xludf.DUMMYFUNCTION("if(counta(filter('Previous Rank'!$A$2:$A2766,'Previous Rank'!$B$2:$B2766=B1233,'Previous Rank'!$C$2:$C2766=C1233))=1,filter('Previous Rank'!$A$2:$A2766,'Previous Rank'!$B$2:$B2766=B1233,'Previous Rank'!$C$2:$C2766=C1233),"""")"),1218.0)</f>
        <v>1218</v>
      </c>
      <c r="H1233" s="8">
        <f t="shared" si="1"/>
        <v>-14</v>
      </c>
    </row>
    <row r="1234">
      <c r="A1234" s="10">
        <v>1233.0</v>
      </c>
      <c r="B1234" s="11" t="s">
        <v>1321</v>
      </c>
      <c r="C1234" s="10" t="s">
        <v>79</v>
      </c>
      <c r="D1234" s="10" t="s">
        <v>27</v>
      </c>
      <c r="E1234" s="16"/>
      <c r="F1234" s="16" t="s">
        <v>382</v>
      </c>
      <c r="G1234" s="13">
        <f>IFERROR(__xludf.DUMMYFUNCTION("if(counta(filter('Previous Rank'!$A$2:$A2766,'Previous Rank'!$B$2:$B2766=B1234,'Previous Rank'!$C$2:$C2766=C1234))=1,filter('Previous Rank'!$A$2:$A2766,'Previous Rank'!$B$2:$B2766=B1234,'Previous Rank'!$C$2:$C2766=C1234),"""")"),1219.0)</f>
        <v>1219</v>
      </c>
      <c r="H1234" s="8">
        <f t="shared" si="1"/>
        <v>-14</v>
      </c>
    </row>
    <row r="1235">
      <c r="A1235" s="10">
        <v>1234.0</v>
      </c>
      <c r="B1235" s="11" t="s">
        <v>1322</v>
      </c>
      <c r="C1235" s="10" t="s">
        <v>79</v>
      </c>
      <c r="D1235" s="10" t="s">
        <v>73</v>
      </c>
      <c r="E1235" s="15"/>
      <c r="F1235" s="15" t="s">
        <v>382</v>
      </c>
      <c r="G1235" s="13">
        <f>IFERROR(__xludf.DUMMYFUNCTION("if(counta(filter('Previous Rank'!$A$2:$A2766,'Previous Rank'!$B$2:$B2766=B1235,'Previous Rank'!$C$2:$C2766=C1235))=1,filter('Previous Rank'!$A$2:$A2766,'Previous Rank'!$B$2:$B2766=B1235,'Previous Rank'!$C$2:$C2766=C1235),"""")"),1220.0)</f>
        <v>1220</v>
      </c>
      <c r="H1235" s="8">
        <f t="shared" si="1"/>
        <v>-14</v>
      </c>
    </row>
    <row r="1236">
      <c r="A1236" s="10">
        <v>1235.0</v>
      </c>
      <c r="B1236" s="11" t="s">
        <v>1323</v>
      </c>
      <c r="C1236" s="10" t="s">
        <v>22</v>
      </c>
      <c r="D1236" s="10" t="s">
        <v>52</v>
      </c>
      <c r="E1236" s="16"/>
      <c r="F1236" s="16" t="s">
        <v>382</v>
      </c>
      <c r="G1236" s="13">
        <f>IFERROR(__xludf.DUMMYFUNCTION("if(counta(filter('Previous Rank'!$A$2:$A2766,'Previous Rank'!$B$2:$B2766=B1236,'Previous Rank'!$C$2:$C2766=C1236))=1,filter('Previous Rank'!$A$2:$A2766,'Previous Rank'!$B$2:$B2766=B1236,'Previous Rank'!$C$2:$C2766=C1236),"""")"),1221.0)</f>
        <v>1221</v>
      </c>
      <c r="H1236" s="8">
        <f t="shared" si="1"/>
        <v>-14</v>
      </c>
    </row>
    <row r="1237">
      <c r="A1237" s="10">
        <v>1236.0</v>
      </c>
      <c r="B1237" s="11" t="s">
        <v>1324</v>
      </c>
      <c r="C1237" s="10" t="s">
        <v>79</v>
      </c>
      <c r="D1237" s="10" t="s">
        <v>95</v>
      </c>
      <c r="E1237" s="15"/>
      <c r="F1237" s="15" t="s">
        <v>382</v>
      </c>
      <c r="G1237" s="13">
        <f>IFERROR(__xludf.DUMMYFUNCTION("if(counta(filter('Previous Rank'!$A$2:$A2766,'Previous Rank'!$B$2:$B2766=B1237,'Previous Rank'!$C$2:$C2766=C1237))=1,filter('Previous Rank'!$A$2:$A2766,'Previous Rank'!$B$2:$B2766=B1237,'Previous Rank'!$C$2:$C2766=C1237),"""")"),1222.0)</f>
        <v>1222</v>
      </c>
      <c r="H1237" s="8">
        <f t="shared" si="1"/>
        <v>-14</v>
      </c>
    </row>
    <row r="1238">
      <c r="A1238" s="10">
        <v>1237.0</v>
      </c>
      <c r="B1238" s="11" t="s">
        <v>1325</v>
      </c>
      <c r="C1238" s="10" t="s">
        <v>79</v>
      </c>
      <c r="D1238" s="10" t="s">
        <v>12</v>
      </c>
      <c r="E1238" s="16"/>
      <c r="F1238" s="16" t="s">
        <v>382</v>
      </c>
      <c r="G1238" s="13">
        <f>IFERROR(__xludf.DUMMYFUNCTION("if(counta(filter('Previous Rank'!$A$2:$A2766,'Previous Rank'!$B$2:$B2766=B1238,'Previous Rank'!$C$2:$C2766=C1238))=1,filter('Previous Rank'!$A$2:$A2766,'Previous Rank'!$B$2:$B2766=B1238,'Previous Rank'!$C$2:$C2766=C1238),"""")"),1223.0)</f>
        <v>1223</v>
      </c>
      <c r="H1238" s="8">
        <f t="shared" si="1"/>
        <v>-14</v>
      </c>
    </row>
    <row r="1239">
      <c r="A1239" s="10">
        <v>1238.0</v>
      </c>
      <c r="B1239" s="11" t="s">
        <v>1326</v>
      </c>
      <c r="C1239" s="10" t="s">
        <v>79</v>
      </c>
      <c r="D1239" s="10" t="s">
        <v>105</v>
      </c>
      <c r="E1239" s="15"/>
      <c r="F1239" s="15" t="s">
        <v>382</v>
      </c>
      <c r="G1239" s="13">
        <f>IFERROR(__xludf.DUMMYFUNCTION("if(counta(filter('Previous Rank'!$A$2:$A2766,'Previous Rank'!$B$2:$B2766=B1239,'Previous Rank'!$C$2:$C2766=C1239))=1,filter('Previous Rank'!$A$2:$A2766,'Previous Rank'!$B$2:$B2766=B1239,'Previous Rank'!$C$2:$C2766=C1239),"""")"),1224.0)</f>
        <v>1224</v>
      </c>
      <c r="H1239" s="8">
        <f t="shared" si="1"/>
        <v>-14</v>
      </c>
    </row>
    <row r="1240">
      <c r="A1240" s="10">
        <v>1239.0</v>
      </c>
      <c r="B1240" s="11" t="s">
        <v>1327</v>
      </c>
      <c r="C1240" s="10" t="s">
        <v>79</v>
      </c>
      <c r="D1240" s="10" t="s">
        <v>99</v>
      </c>
      <c r="E1240" s="16"/>
      <c r="F1240" s="16" t="s">
        <v>382</v>
      </c>
      <c r="G1240" s="13">
        <f>IFERROR(__xludf.DUMMYFUNCTION("if(counta(filter('Previous Rank'!$A$2:$A2766,'Previous Rank'!$B$2:$B2766=B1240,'Previous Rank'!$C$2:$C2766=C1240))=1,filter('Previous Rank'!$A$2:$A2766,'Previous Rank'!$B$2:$B2766=B1240,'Previous Rank'!$C$2:$C2766=C1240),"""")"),1225.0)</f>
        <v>1225</v>
      </c>
      <c r="H1240" s="8">
        <f t="shared" si="1"/>
        <v>-14</v>
      </c>
    </row>
    <row r="1241">
      <c r="A1241" s="10">
        <v>1240.0</v>
      </c>
      <c r="B1241" s="11" t="s">
        <v>1328</v>
      </c>
      <c r="C1241" s="10" t="s">
        <v>79</v>
      </c>
      <c r="D1241" s="10" t="s">
        <v>31</v>
      </c>
      <c r="E1241" s="15"/>
      <c r="F1241" s="15" t="s">
        <v>382</v>
      </c>
      <c r="G1241" s="13">
        <f>IFERROR(__xludf.DUMMYFUNCTION("if(counta(filter('Previous Rank'!$A$2:$A2766,'Previous Rank'!$B$2:$B2766=B1241,'Previous Rank'!$C$2:$C2766=C1241))=1,filter('Previous Rank'!$A$2:$A2766,'Previous Rank'!$B$2:$B2766=B1241,'Previous Rank'!$C$2:$C2766=C1241),"""")"),1226.0)</f>
        <v>1226</v>
      </c>
      <c r="H1241" s="8">
        <f t="shared" si="1"/>
        <v>-14</v>
      </c>
    </row>
    <row r="1242">
      <c r="A1242" s="10">
        <v>1241.0</v>
      </c>
      <c r="B1242" s="11" t="s">
        <v>1329</v>
      </c>
      <c r="C1242" s="10" t="s">
        <v>55</v>
      </c>
      <c r="D1242" s="10" t="s">
        <v>49</v>
      </c>
      <c r="E1242" s="16"/>
      <c r="F1242" s="16" t="s">
        <v>382</v>
      </c>
      <c r="G1242" s="13">
        <f>IFERROR(__xludf.DUMMYFUNCTION("if(counta(filter('Previous Rank'!$A$2:$A2766,'Previous Rank'!$B$2:$B2766=B1242,'Previous Rank'!$C$2:$C2766=C1242))=1,filter('Previous Rank'!$A$2:$A2766,'Previous Rank'!$B$2:$B2766=B1242,'Previous Rank'!$C$2:$C2766=C1242),"""")"),1227.0)</f>
        <v>1227</v>
      </c>
      <c r="H1242" s="8">
        <f t="shared" si="1"/>
        <v>-14</v>
      </c>
    </row>
    <row r="1243">
      <c r="A1243" s="10">
        <v>1242.0</v>
      </c>
      <c r="B1243" s="11" t="s">
        <v>1330</v>
      </c>
      <c r="C1243" s="10" t="s">
        <v>79</v>
      </c>
      <c r="D1243" s="10" t="s">
        <v>73</v>
      </c>
      <c r="E1243" s="15"/>
      <c r="F1243" s="15" t="s">
        <v>382</v>
      </c>
      <c r="G1243" s="13">
        <f>IFERROR(__xludf.DUMMYFUNCTION("if(counta(filter('Previous Rank'!$A$2:$A2766,'Previous Rank'!$B$2:$B2766=B1243,'Previous Rank'!$C$2:$C2766=C1243))=1,filter('Previous Rank'!$A$2:$A2766,'Previous Rank'!$B$2:$B2766=B1243,'Previous Rank'!$C$2:$C2766=C1243),"""")"),1228.0)</f>
        <v>1228</v>
      </c>
      <c r="H1243" s="8">
        <f t="shared" si="1"/>
        <v>-14</v>
      </c>
    </row>
    <row r="1244">
      <c r="A1244" s="10">
        <v>1243.0</v>
      </c>
      <c r="B1244" s="11" t="s">
        <v>1331</v>
      </c>
      <c r="C1244" s="10" t="s">
        <v>79</v>
      </c>
      <c r="D1244" s="10" t="s">
        <v>42</v>
      </c>
      <c r="E1244" s="16"/>
      <c r="F1244" s="16" t="s">
        <v>382</v>
      </c>
      <c r="G1244" s="13">
        <f>IFERROR(__xludf.DUMMYFUNCTION("if(counta(filter('Previous Rank'!$A$2:$A2766,'Previous Rank'!$B$2:$B2766=B1244,'Previous Rank'!$C$2:$C2766=C1244))=1,filter('Previous Rank'!$A$2:$A2766,'Previous Rank'!$B$2:$B2766=B1244,'Previous Rank'!$C$2:$C2766=C1244),"""")"),1229.0)</f>
        <v>1229</v>
      </c>
      <c r="H1244" s="8">
        <f t="shared" si="1"/>
        <v>-14</v>
      </c>
    </row>
    <row r="1245">
      <c r="A1245" s="10">
        <v>1244.0</v>
      </c>
      <c r="B1245" s="11" t="s">
        <v>1332</v>
      </c>
      <c r="C1245" s="10" t="s">
        <v>22</v>
      </c>
      <c r="D1245" s="10" t="s">
        <v>67</v>
      </c>
      <c r="E1245" s="15"/>
      <c r="F1245" s="15" t="s">
        <v>382</v>
      </c>
      <c r="G1245" s="13">
        <f>IFERROR(__xludf.DUMMYFUNCTION("if(counta(filter('Previous Rank'!$A$2:$A2766,'Previous Rank'!$B$2:$B2766=B1245,'Previous Rank'!$C$2:$C2766=C1245))=1,filter('Previous Rank'!$A$2:$A2766,'Previous Rank'!$B$2:$B2766=B1245,'Previous Rank'!$C$2:$C2766=C1245),"""")"),1230.0)</f>
        <v>1230</v>
      </c>
      <c r="H1245" s="8">
        <f t="shared" si="1"/>
        <v>-14</v>
      </c>
    </row>
    <row r="1246">
      <c r="A1246" s="10">
        <v>1245.0</v>
      </c>
      <c r="B1246" s="11" t="s">
        <v>1333</v>
      </c>
      <c r="C1246" s="10" t="s">
        <v>20</v>
      </c>
      <c r="D1246" s="10" t="s">
        <v>129</v>
      </c>
      <c r="E1246" s="16"/>
      <c r="F1246" s="16" t="s">
        <v>382</v>
      </c>
      <c r="G1246" s="13">
        <f>IFERROR(__xludf.DUMMYFUNCTION("if(counta(filter('Previous Rank'!$A$2:$A2766,'Previous Rank'!$B$2:$B2766=B1246,'Previous Rank'!$C$2:$C2766=C1246))=1,filter('Previous Rank'!$A$2:$A2766,'Previous Rank'!$B$2:$B2766=B1246,'Previous Rank'!$C$2:$C2766=C1246),"""")"),1231.0)</f>
        <v>1231</v>
      </c>
      <c r="H1246" s="8">
        <f t="shared" si="1"/>
        <v>-14</v>
      </c>
    </row>
    <row r="1247">
      <c r="A1247" s="10">
        <v>1246.0</v>
      </c>
      <c r="B1247" s="11" t="s">
        <v>1334</v>
      </c>
      <c r="C1247" s="10" t="s">
        <v>22</v>
      </c>
      <c r="D1247" s="10" t="s">
        <v>71</v>
      </c>
      <c r="E1247" s="15"/>
      <c r="F1247" s="15" t="s">
        <v>382</v>
      </c>
      <c r="G1247" s="13">
        <f>IFERROR(__xludf.DUMMYFUNCTION("if(counta(filter('Previous Rank'!$A$2:$A2766,'Previous Rank'!$B$2:$B2766=B1247,'Previous Rank'!$C$2:$C2766=C1247))=1,filter('Previous Rank'!$A$2:$A2766,'Previous Rank'!$B$2:$B2766=B1247,'Previous Rank'!$C$2:$C2766=C1247),"""")"),1232.0)</f>
        <v>1232</v>
      </c>
      <c r="H1247" s="8">
        <f t="shared" si="1"/>
        <v>-14</v>
      </c>
    </row>
    <row r="1248">
      <c r="A1248" s="10">
        <v>1247.0</v>
      </c>
      <c r="B1248" s="11" t="s">
        <v>1335</v>
      </c>
      <c r="C1248" s="10" t="s">
        <v>79</v>
      </c>
      <c r="D1248" s="10" t="s">
        <v>206</v>
      </c>
      <c r="E1248" s="16"/>
      <c r="F1248" s="16" t="s">
        <v>382</v>
      </c>
      <c r="G1248" s="13">
        <f>IFERROR(__xludf.DUMMYFUNCTION("if(counta(filter('Previous Rank'!$A$2:$A2766,'Previous Rank'!$B$2:$B2766=B1248,'Previous Rank'!$C$2:$C2766=C1248))=1,filter('Previous Rank'!$A$2:$A2766,'Previous Rank'!$B$2:$B2766=B1248,'Previous Rank'!$C$2:$C2766=C1248),"""")"),1233.0)</f>
        <v>1233</v>
      </c>
      <c r="H1248" s="8">
        <f t="shared" si="1"/>
        <v>-14</v>
      </c>
    </row>
    <row r="1249">
      <c r="A1249" s="10">
        <v>1248.0</v>
      </c>
      <c r="B1249" s="11" t="s">
        <v>1336</v>
      </c>
      <c r="C1249" s="10" t="s">
        <v>79</v>
      </c>
      <c r="D1249" s="10" t="s">
        <v>49</v>
      </c>
      <c r="E1249" s="15"/>
      <c r="F1249" s="15" t="s">
        <v>382</v>
      </c>
      <c r="G1249" s="13">
        <f>IFERROR(__xludf.DUMMYFUNCTION("if(counta(filter('Previous Rank'!$A$2:$A2766,'Previous Rank'!$B$2:$B2766=B1249,'Previous Rank'!$C$2:$C2766=C1249))=1,filter('Previous Rank'!$A$2:$A2766,'Previous Rank'!$B$2:$B2766=B1249,'Previous Rank'!$C$2:$C2766=C1249),"""")"),1234.0)</f>
        <v>1234</v>
      </c>
      <c r="H1249" s="8">
        <f t="shared" si="1"/>
        <v>-14</v>
      </c>
    </row>
    <row r="1250">
      <c r="A1250" s="10">
        <v>1249.0</v>
      </c>
      <c r="B1250" s="11" t="s">
        <v>1337</v>
      </c>
      <c r="C1250" s="10" t="s">
        <v>22</v>
      </c>
      <c r="D1250" s="10" t="s">
        <v>18</v>
      </c>
      <c r="E1250" s="16"/>
      <c r="F1250" s="16" t="s">
        <v>382</v>
      </c>
      <c r="G1250" s="13">
        <f>IFERROR(__xludf.DUMMYFUNCTION("if(counta(filter('Previous Rank'!$A$2:$A2766,'Previous Rank'!$B$2:$B2766=B1250,'Previous Rank'!$C$2:$C2766=C1250))=1,filter('Previous Rank'!$A$2:$A2766,'Previous Rank'!$B$2:$B2766=B1250,'Previous Rank'!$C$2:$C2766=C1250),"""")"),1235.0)</f>
        <v>1235</v>
      </c>
      <c r="H1250" s="8">
        <f t="shared" si="1"/>
        <v>-14</v>
      </c>
    </row>
    <row r="1251">
      <c r="A1251" s="10">
        <v>1250.0</v>
      </c>
      <c r="B1251" s="11" t="s">
        <v>1338</v>
      </c>
      <c r="C1251" s="10" t="s">
        <v>22</v>
      </c>
      <c r="D1251" s="10" t="s">
        <v>85</v>
      </c>
      <c r="E1251" s="15"/>
      <c r="F1251" s="15" t="s">
        <v>382</v>
      </c>
      <c r="G1251" s="13">
        <f>IFERROR(__xludf.DUMMYFUNCTION("if(counta(filter('Previous Rank'!$A$2:$A2766,'Previous Rank'!$B$2:$B2766=B1251,'Previous Rank'!$C$2:$C2766=C1251))=1,filter('Previous Rank'!$A$2:$A2766,'Previous Rank'!$B$2:$B2766=B1251,'Previous Rank'!$C$2:$C2766=C1251),"""")"),1236.0)</f>
        <v>1236</v>
      </c>
      <c r="H1251" s="8">
        <f t="shared" si="1"/>
        <v>-14</v>
      </c>
    </row>
    <row r="1252">
      <c r="A1252" s="10">
        <v>1251.0</v>
      </c>
      <c r="B1252" s="11" t="s">
        <v>1339</v>
      </c>
      <c r="C1252" s="10" t="s">
        <v>22</v>
      </c>
      <c r="D1252" s="10" t="s">
        <v>90</v>
      </c>
      <c r="E1252" s="16"/>
      <c r="F1252" s="16" t="s">
        <v>382</v>
      </c>
      <c r="G1252" s="13">
        <f>IFERROR(__xludf.DUMMYFUNCTION("if(counta(filter('Previous Rank'!$A$2:$A2766,'Previous Rank'!$B$2:$B2766=B1252,'Previous Rank'!$C$2:$C2766=C1252))=1,filter('Previous Rank'!$A$2:$A2766,'Previous Rank'!$B$2:$B2766=B1252,'Previous Rank'!$C$2:$C2766=C1252),"""")"),1237.0)</f>
        <v>1237</v>
      </c>
      <c r="H1252" s="8">
        <f t="shared" si="1"/>
        <v>-14</v>
      </c>
    </row>
    <row r="1253">
      <c r="A1253" s="10">
        <v>1252.0</v>
      </c>
      <c r="B1253" s="11" t="s">
        <v>1340</v>
      </c>
      <c r="C1253" s="10" t="s">
        <v>79</v>
      </c>
      <c r="D1253" s="10" t="s">
        <v>85</v>
      </c>
      <c r="E1253" s="15"/>
      <c r="F1253" s="15" t="s">
        <v>382</v>
      </c>
      <c r="G1253" s="13">
        <f>IFERROR(__xludf.DUMMYFUNCTION("if(counta(filter('Previous Rank'!$A$2:$A2766,'Previous Rank'!$B$2:$B2766=B1253,'Previous Rank'!$C$2:$C2766=C1253))=1,filter('Previous Rank'!$A$2:$A2766,'Previous Rank'!$B$2:$B2766=B1253,'Previous Rank'!$C$2:$C2766=C1253),"""")"),1238.0)</f>
        <v>1238</v>
      </c>
      <c r="H1253" s="8">
        <f t="shared" si="1"/>
        <v>-14</v>
      </c>
    </row>
    <row r="1254">
      <c r="A1254" s="10">
        <v>1253.0</v>
      </c>
      <c r="B1254" s="11" t="s">
        <v>1341</v>
      </c>
      <c r="C1254" s="10" t="s">
        <v>79</v>
      </c>
      <c r="D1254" s="10" t="s">
        <v>67</v>
      </c>
      <c r="E1254" s="16"/>
      <c r="F1254" s="16" t="s">
        <v>382</v>
      </c>
      <c r="G1254" s="13">
        <f>IFERROR(__xludf.DUMMYFUNCTION("if(counta(filter('Previous Rank'!$A$2:$A2766,'Previous Rank'!$B$2:$B2766=B1254,'Previous Rank'!$C$2:$C2766=C1254))=1,filter('Previous Rank'!$A$2:$A2766,'Previous Rank'!$B$2:$B2766=B1254,'Previous Rank'!$C$2:$C2766=C1254),"""")"),1239.0)</f>
        <v>1239</v>
      </c>
      <c r="H1254" s="8">
        <f t="shared" si="1"/>
        <v>-14</v>
      </c>
    </row>
    <row r="1255">
      <c r="A1255" s="10">
        <v>1254.0</v>
      </c>
      <c r="B1255" s="11" t="s">
        <v>1342</v>
      </c>
      <c r="C1255" s="10" t="s">
        <v>220</v>
      </c>
      <c r="D1255" s="10" t="s">
        <v>71</v>
      </c>
      <c r="E1255" s="15"/>
      <c r="F1255" s="15" t="s">
        <v>382</v>
      </c>
      <c r="G1255" s="13">
        <f>IFERROR(__xludf.DUMMYFUNCTION("if(counta(filter('Previous Rank'!$A$2:$A2766,'Previous Rank'!$B$2:$B2766=B1255,'Previous Rank'!$C$2:$C2766=C1255))=1,filter('Previous Rank'!$A$2:$A2766,'Previous Rank'!$B$2:$B2766=B1255,'Previous Rank'!$C$2:$C2766=C1255),"""")"),1240.0)</f>
        <v>1240</v>
      </c>
      <c r="H1255" s="8">
        <f t="shared" si="1"/>
        <v>-14</v>
      </c>
    </row>
    <row r="1256">
      <c r="A1256" s="10">
        <v>1255.0</v>
      </c>
      <c r="B1256" s="11" t="s">
        <v>1343</v>
      </c>
      <c r="C1256" s="10" t="s">
        <v>79</v>
      </c>
      <c r="D1256" s="10" t="s">
        <v>120</v>
      </c>
      <c r="E1256" s="16"/>
      <c r="F1256" s="16" t="s">
        <v>382</v>
      </c>
      <c r="G1256" s="13">
        <f>IFERROR(__xludf.DUMMYFUNCTION("if(counta(filter('Previous Rank'!$A$2:$A2766,'Previous Rank'!$B$2:$B2766=B1256,'Previous Rank'!$C$2:$C2766=C1256))=1,filter('Previous Rank'!$A$2:$A2766,'Previous Rank'!$B$2:$B2766=B1256,'Previous Rank'!$C$2:$C2766=C1256),"""")"),1241.0)</f>
        <v>1241</v>
      </c>
      <c r="H1256" s="8">
        <f t="shared" si="1"/>
        <v>-14</v>
      </c>
    </row>
    <row r="1257">
      <c r="A1257" s="10">
        <v>1256.0</v>
      </c>
      <c r="B1257" s="11" t="s">
        <v>1344</v>
      </c>
      <c r="C1257" s="10" t="s">
        <v>79</v>
      </c>
      <c r="D1257" s="10" t="s">
        <v>36</v>
      </c>
      <c r="E1257" s="15"/>
      <c r="F1257" s="15" t="s">
        <v>382</v>
      </c>
      <c r="G1257" s="13">
        <f>IFERROR(__xludf.DUMMYFUNCTION("if(counta(filter('Previous Rank'!$A$2:$A2766,'Previous Rank'!$B$2:$B2766=B1257,'Previous Rank'!$C$2:$C2766=C1257))=1,filter('Previous Rank'!$A$2:$A2766,'Previous Rank'!$B$2:$B2766=B1257,'Previous Rank'!$C$2:$C2766=C1257),"""")"),1242.0)</f>
        <v>1242</v>
      </c>
      <c r="H1257" s="8">
        <f t="shared" si="1"/>
        <v>-14</v>
      </c>
    </row>
    <row r="1258">
      <c r="A1258" s="10">
        <v>1257.0</v>
      </c>
      <c r="B1258" s="11" t="s">
        <v>1345</v>
      </c>
      <c r="C1258" s="10" t="s">
        <v>22</v>
      </c>
      <c r="D1258" s="10" t="s">
        <v>206</v>
      </c>
      <c r="E1258" s="16"/>
      <c r="F1258" s="16" t="s">
        <v>382</v>
      </c>
      <c r="G1258" s="13">
        <f>IFERROR(__xludf.DUMMYFUNCTION("if(counta(filter('Previous Rank'!$A$2:$A2766,'Previous Rank'!$B$2:$B2766=B1258,'Previous Rank'!$C$2:$C2766=C1258))=1,filter('Previous Rank'!$A$2:$A2766,'Previous Rank'!$B$2:$B2766=B1258,'Previous Rank'!$C$2:$C2766=C1258),"""")"),1243.0)</f>
        <v>1243</v>
      </c>
      <c r="H1258" s="8">
        <f t="shared" si="1"/>
        <v>-14</v>
      </c>
    </row>
    <row r="1259">
      <c r="A1259" s="10">
        <v>1258.0</v>
      </c>
      <c r="B1259" s="11" t="s">
        <v>1346</v>
      </c>
      <c r="C1259" s="10" t="s">
        <v>79</v>
      </c>
      <c r="D1259" s="10" t="s">
        <v>129</v>
      </c>
      <c r="E1259" s="15"/>
      <c r="F1259" s="15" t="s">
        <v>382</v>
      </c>
      <c r="G1259" s="13">
        <f>IFERROR(__xludf.DUMMYFUNCTION("if(counta(filter('Previous Rank'!$A$2:$A2766,'Previous Rank'!$B$2:$B2766=B1259,'Previous Rank'!$C$2:$C2766=C1259))=1,filter('Previous Rank'!$A$2:$A2766,'Previous Rank'!$B$2:$B2766=B1259,'Previous Rank'!$C$2:$C2766=C1259),"""")"),1244.0)</f>
        <v>1244</v>
      </c>
      <c r="H1259" s="8">
        <f t="shared" si="1"/>
        <v>-14</v>
      </c>
    </row>
    <row r="1260">
      <c r="A1260" s="10">
        <v>1259.0</v>
      </c>
      <c r="B1260" s="11" t="s">
        <v>1347</v>
      </c>
      <c r="C1260" s="10" t="s">
        <v>79</v>
      </c>
      <c r="D1260" s="10" t="s">
        <v>85</v>
      </c>
      <c r="E1260" s="16"/>
      <c r="F1260" s="16" t="s">
        <v>382</v>
      </c>
      <c r="G1260" s="13">
        <f>IFERROR(__xludf.DUMMYFUNCTION("if(counta(filter('Previous Rank'!$A$2:$A2766,'Previous Rank'!$B$2:$B2766=B1260,'Previous Rank'!$C$2:$C2766=C1260))=1,filter('Previous Rank'!$A$2:$A2766,'Previous Rank'!$B$2:$B2766=B1260,'Previous Rank'!$C$2:$C2766=C1260),"""")"),1245.0)</f>
        <v>1245</v>
      </c>
      <c r="H1260" s="8">
        <f t="shared" si="1"/>
        <v>-14</v>
      </c>
    </row>
    <row r="1261">
      <c r="A1261" s="10">
        <v>1260.0</v>
      </c>
      <c r="B1261" s="11" t="s">
        <v>1348</v>
      </c>
      <c r="C1261" s="10" t="s">
        <v>218</v>
      </c>
      <c r="D1261" s="10" t="s">
        <v>27</v>
      </c>
      <c r="E1261" s="15"/>
      <c r="F1261" s="15" t="s">
        <v>382</v>
      </c>
      <c r="G1261" s="13">
        <f>IFERROR(__xludf.DUMMYFUNCTION("if(counta(filter('Previous Rank'!$A$2:$A2766,'Previous Rank'!$B$2:$B2766=B1261,'Previous Rank'!$C$2:$C2766=C1261))=1,filter('Previous Rank'!$A$2:$A2766,'Previous Rank'!$B$2:$B2766=B1261,'Previous Rank'!$C$2:$C2766=C1261),"""")"),1246.0)</f>
        <v>1246</v>
      </c>
      <c r="H1261" s="8">
        <f t="shared" si="1"/>
        <v>-14</v>
      </c>
    </row>
    <row r="1262">
      <c r="A1262" s="10">
        <v>1261.0</v>
      </c>
      <c r="B1262" s="11" t="s">
        <v>1349</v>
      </c>
      <c r="C1262" s="10" t="s">
        <v>22</v>
      </c>
      <c r="D1262" s="10" t="s">
        <v>49</v>
      </c>
      <c r="E1262" s="16"/>
      <c r="F1262" s="16" t="s">
        <v>382</v>
      </c>
      <c r="G1262" s="13">
        <f>IFERROR(__xludf.DUMMYFUNCTION("if(counta(filter('Previous Rank'!$A$2:$A2766,'Previous Rank'!$B$2:$B2766=B1262,'Previous Rank'!$C$2:$C2766=C1262))=1,filter('Previous Rank'!$A$2:$A2766,'Previous Rank'!$B$2:$B2766=B1262,'Previous Rank'!$C$2:$C2766=C1262),"""")"),1247.0)</f>
        <v>1247</v>
      </c>
      <c r="H1262" s="8">
        <f t="shared" si="1"/>
        <v>-14</v>
      </c>
    </row>
    <row r="1263">
      <c r="A1263" s="10">
        <v>1262.0</v>
      </c>
      <c r="B1263" s="11" t="s">
        <v>1350</v>
      </c>
      <c r="C1263" s="10" t="s">
        <v>79</v>
      </c>
      <c r="D1263" s="10" t="s">
        <v>18</v>
      </c>
      <c r="E1263" s="15"/>
      <c r="F1263" s="15" t="s">
        <v>382</v>
      </c>
      <c r="G1263" s="13">
        <f>IFERROR(__xludf.DUMMYFUNCTION("if(counta(filter('Previous Rank'!$A$2:$A2766,'Previous Rank'!$B$2:$B2766=B1263,'Previous Rank'!$C$2:$C2766=C1263))=1,filter('Previous Rank'!$A$2:$A2766,'Previous Rank'!$B$2:$B2766=B1263,'Previous Rank'!$C$2:$C2766=C1263),"""")"),1248.0)</f>
        <v>1248</v>
      </c>
      <c r="H1263" s="8">
        <f t="shared" si="1"/>
        <v>-14</v>
      </c>
    </row>
    <row r="1264">
      <c r="A1264" s="10">
        <v>1263.0</v>
      </c>
      <c r="B1264" s="11" t="s">
        <v>1351</v>
      </c>
      <c r="C1264" s="10" t="s">
        <v>79</v>
      </c>
      <c r="D1264" s="10" t="s">
        <v>31</v>
      </c>
      <c r="E1264" s="16"/>
      <c r="F1264" s="16" t="s">
        <v>382</v>
      </c>
      <c r="G1264" s="13">
        <f>IFERROR(__xludf.DUMMYFUNCTION("if(counta(filter('Previous Rank'!$A$2:$A2766,'Previous Rank'!$B$2:$B2766=B1264,'Previous Rank'!$C$2:$C2766=C1264))=1,filter('Previous Rank'!$A$2:$A2766,'Previous Rank'!$B$2:$B2766=B1264,'Previous Rank'!$C$2:$C2766=C1264),"""")"),1249.0)</f>
        <v>1249</v>
      </c>
      <c r="H1264" s="8">
        <f t="shared" si="1"/>
        <v>-14</v>
      </c>
    </row>
    <row r="1265">
      <c r="A1265" s="10">
        <v>1264.0</v>
      </c>
      <c r="B1265" s="11" t="s">
        <v>1352</v>
      </c>
      <c r="C1265" s="10" t="s">
        <v>79</v>
      </c>
      <c r="D1265" s="10" t="s">
        <v>140</v>
      </c>
      <c r="E1265" s="15"/>
      <c r="F1265" s="15" t="s">
        <v>382</v>
      </c>
      <c r="G1265" s="13">
        <f>IFERROR(__xludf.DUMMYFUNCTION("if(counta(filter('Previous Rank'!$A$2:$A2766,'Previous Rank'!$B$2:$B2766=B1265,'Previous Rank'!$C$2:$C2766=C1265))=1,filter('Previous Rank'!$A$2:$A2766,'Previous Rank'!$B$2:$B2766=B1265,'Previous Rank'!$C$2:$C2766=C1265),"""")"),1250.0)</f>
        <v>1250</v>
      </c>
      <c r="H1265" s="8">
        <f t="shared" si="1"/>
        <v>-14</v>
      </c>
    </row>
    <row r="1266">
      <c r="A1266" s="10">
        <v>1265.0</v>
      </c>
      <c r="B1266" s="11" t="s">
        <v>1353</v>
      </c>
      <c r="C1266" s="10" t="s">
        <v>79</v>
      </c>
      <c r="D1266" s="10" t="s">
        <v>85</v>
      </c>
      <c r="E1266" s="16"/>
      <c r="F1266" s="16" t="s">
        <v>382</v>
      </c>
      <c r="G1266" s="13">
        <f>IFERROR(__xludf.DUMMYFUNCTION("if(counta(filter('Previous Rank'!$A$2:$A2766,'Previous Rank'!$B$2:$B2766=B1266,'Previous Rank'!$C$2:$C2766=C1266))=1,filter('Previous Rank'!$A$2:$A2766,'Previous Rank'!$B$2:$B2766=B1266,'Previous Rank'!$C$2:$C2766=C1266),"""")"),1251.0)</f>
        <v>1251</v>
      </c>
      <c r="H1266" s="8">
        <f t="shared" si="1"/>
        <v>-14</v>
      </c>
    </row>
    <row r="1267">
      <c r="A1267" s="10">
        <v>1266.0</v>
      </c>
      <c r="B1267" s="11" t="s">
        <v>1354</v>
      </c>
      <c r="C1267" s="10" t="s">
        <v>79</v>
      </c>
      <c r="D1267" s="10" t="s">
        <v>49</v>
      </c>
      <c r="E1267" s="15"/>
      <c r="F1267" s="15" t="s">
        <v>382</v>
      </c>
      <c r="G1267" s="13">
        <f>IFERROR(__xludf.DUMMYFUNCTION("if(counta(filter('Previous Rank'!$A$2:$A2766,'Previous Rank'!$B$2:$B2766=B1267,'Previous Rank'!$C$2:$C2766=C1267))=1,filter('Previous Rank'!$A$2:$A2766,'Previous Rank'!$B$2:$B2766=B1267,'Previous Rank'!$C$2:$C2766=C1267),"""")"),1252.0)</f>
        <v>1252</v>
      </c>
      <c r="H1267" s="8">
        <f t="shared" si="1"/>
        <v>-14</v>
      </c>
    </row>
    <row r="1268">
      <c r="A1268" s="10">
        <v>1267.0</v>
      </c>
      <c r="B1268" s="11" t="s">
        <v>1355</v>
      </c>
      <c r="C1268" s="10" t="s">
        <v>79</v>
      </c>
      <c r="D1268" s="10" t="s">
        <v>42</v>
      </c>
      <c r="E1268" s="16"/>
      <c r="F1268" s="16" t="s">
        <v>382</v>
      </c>
      <c r="G1268" s="13">
        <f>IFERROR(__xludf.DUMMYFUNCTION("if(counta(filter('Previous Rank'!$A$2:$A2766,'Previous Rank'!$B$2:$B2766=B1268,'Previous Rank'!$C$2:$C2766=C1268))=1,filter('Previous Rank'!$A$2:$A2766,'Previous Rank'!$B$2:$B2766=B1268,'Previous Rank'!$C$2:$C2766=C1268),"""")"),1253.0)</f>
        <v>1253</v>
      </c>
      <c r="H1268" s="8">
        <f t="shared" si="1"/>
        <v>-14</v>
      </c>
    </row>
    <row r="1269">
      <c r="A1269" s="10">
        <v>1268.0</v>
      </c>
      <c r="B1269" s="11" t="s">
        <v>1356</v>
      </c>
      <c r="C1269" s="10" t="s">
        <v>79</v>
      </c>
      <c r="D1269" s="10" t="s">
        <v>129</v>
      </c>
      <c r="E1269" s="15"/>
      <c r="F1269" s="15" t="s">
        <v>382</v>
      </c>
      <c r="G1269" s="13">
        <f>IFERROR(__xludf.DUMMYFUNCTION("if(counta(filter('Previous Rank'!$A$2:$A2766,'Previous Rank'!$B$2:$B2766=B1269,'Previous Rank'!$C$2:$C2766=C1269))=1,filter('Previous Rank'!$A$2:$A2766,'Previous Rank'!$B$2:$B2766=B1269,'Previous Rank'!$C$2:$C2766=C1269),"""")"),1254.0)</f>
        <v>1254</v>
      </c>
      <c r="H1269" s="8">
        <f t="shared" si="1"/>
        <v>-14</v>
      </c>
    </row>
    <row r="1270">
      <c r="A1270" s="10">
        <v>1269.0</v>
      </c>
      <c r="B1270" s="11" t="s">
        <v>1357</v>
      </c>
      <c r="C1270" s="10" t="s">
        <v>79</v>
      </c>
      <c r="D1270" s="10" t="s">
        <v>85</v>
      </c>
      <c r="E1270" s="16"/>
      <c r="F1270" s="16" t="s">
        <v>382</v>
      </c>
      <c r="G1270" s="13">
        <f>IFERROR(__xludf.DUMMYFUNCTION("if(counta(filter('Previous Rank'!$A$2:$A2766,'Previous Rank'!$B$2:$B2766=B1270,'Previous Rank'!$C$2:$C2766=C1270))=1,filter('Previous Rank'!$A$2:$A2766,'Previous Rank'!$B$2:$B2766=B1270,'Previous Rank'!$C$2:$C2766=C1270),"""")"),1255.0)</f>
        <v>1255</v>
      </c>
      <c r="H1270" s="8">
        <f t="shared" si="1"/>
        <v>-14</v>
      </c>
    </row>
    <row r="1271">
      <c r="A1271" s="10">
        <v>1270.0</v>
      </c>
      <c r="B1271" s="11" t="s">
        <v>1358</v>
      </c>
      <c r="C1271" s="10" t="s">
        <v>79</v>
      </c>
      <c r="D1271" s="10" t="s">
        <v>15</v>
      </c>
      <c r="E1271" s="15"/>
      <c r="F1271" s="15" t="s">
        <v>382</v>
      </c>
      <c r="G1271" s="13">
        <f>IFERROR(__xludf.DUMMYFUNCTION("if(counta(filter('Previous Rank'!$A$2:$A2766,'Previous Rank'!$B$2:$B2766=B1271,'Previous Rank'!$C$2:$C2766=C1271))=1,filter('Previous Rank'!$A$2:$A2766,'Previous Rank'!$B$2:$B2766=B1271,'Previous Rank'!$C$2:$C2766=C1271),"""")"),1256.0)</f>
        <v>1256</v>
      </c>
      <c r="H1271" s="8">
        <f t="shared" si="1"/>
        <v>-14</v>
      </c>
    </row>
    <row r="1272">
      <c r="A1272" s="10">
        <v>1271.0</v>
      </c>
      <c r="B1272" s="11" t="s">
        <v>1359</v>
      </c>
      <c r="C1272" s="10" t="s">
        <v>79</v>
      </c>
      <c r="D1272" s="10" t="s">
        <v>34</v>
      </c>
      <c r="E1272" s="16"/>
      <c r="F1272" s="16" t="s">
        <v>382</v>
      </c>
      <c r="G1272" s="13">
        <f>IFERROR(__xludf.DUMMYFUNCTION("if(counta(filter('Previous Rank'!$A$2:$A2766,'Previous Rank'!$B$2:$B2766=B1272,'Previous Rank'!$C$2:$C2766=C1272))=1,filter('Previous Rank'!$A$2:$A2766,'Previous Rank'!$B$2:$B2766=B1272,'Previous Rank'!$C$2:$C2766=C1272),"""")"),1257.0)</f>
        <v>1257</v>
      </c>
      <c r="H1272" s="8">
        <f t="shared" si="1"/>
        <v>-14</v>
      </c>
    </row>
    <row r="1273">
      <c r="A1273" s="10">
        <v>1272.0</v>
      </c>
      <c r="B1273" s="11" t="s">
        <v>1360</v>
      </c>
      <c r="C1273" s="10" t="s">
        <v>79</v>
      </c>
      <c r="D1273" s="10" t="s">
        <v>90</v>
      </c>
      <c r="E1273" s="15"/>
      <c r="F1273" s="15" t="s">
        <v>382</v>
      </c>
      <c r="G1273" s="13">
        <f>IFERROR(__xludf.DUMMYFUNCTION("if(counta(filter('Previous Rank'!$A$2:$A2766,'Previous Rank'!$B$2:$B2766=B1273,'Previous Rank'!$C$2:$C2766=C1273))=1,filter('Previous Rank'!$A$2:$A2766,'Previous Rank'!$B$2:$B2766=B1273,'Previous Rank'!$C$2:$C2766=C1273),"""")"),1258.0)</f>
        <v>1258</v>
      </c>
      <c r="H1273" s="8">
        <f t="shared" si="1"/>
        <v>-14</v>
      </c>
    </row>
    <row r="1274">
      <c r="A1274" s="10">
        <v>1273.0</v>
      </c>
      <c r="B1274" s="11" t="s">
        <v>1361</v>
      </c>
      <c r="C1274" s="10" t="s">
        <v>22</v>
      </c>
      <c r="D1274" s="10" t="s">
        <v>9</v>
      </c>
      <c r="E1274" s="16"/>
      <c r="F1274" s="16" t="s">
        <v>382</v>
      </c>
      <c r="G1274" s="13">
        <f>IFERROR(__xludf.DUMMYFUNCTION("if(counta(filter('Previous Rank'!$A$2:$A2766,'Previous Rank'!$B$2:$B2766=B1274,'Previous Rank'!$C$2:$C2766=C1274))=1,filter('Previous Rank'!$A$2:$A2766,'Previous Rank'!$B$2:$B2766=B1274,'Previous Rank'!$C$2:$C2766=C1274),"""")"),1259.0)</f>
        <v>1259</v>
      </c>
      <c r="H1274" s="8">
        <f t="shared" si="1"/>
        <v>-14</v>
      </c>
    </row>
    <row r="1275">
      <c r="A1275" s="10">
        <v>1274.0</v>
      </c>
      <c r="B1275" s="11" t="s">
        <v>1362</v>
      </c>
      <c r="C1275" s="10" t="s">
        <v>22</v>
      </c>
      <c r="D1275" s="10" t="s">
        <v>137</v>
      </c>
      <c r="E1275" s="15"/>
      <c r="F1275" s="15" t="s">
        <v>382</v>
      </c>
      <c r="G1275" s="13">
        <f>IFERROR(__xludf.DUMMYFUNCTION("if(counta(filter('Previous Rank'!$A$2:$A2766,'Previous Rank'!$B$2:$B2766=B1275,'Previous Rank'!$C$2:$C2766=C1275))=1,filter('Previous Rank'!$A$2:$A2766,'Previous Rank'!$B$2:$B2766=B1275,'Previous Rank'!$C$2:$C2766=C1275),"""")"),1260.0)</f>
        <v>1260</v>
      </c>
      <c r="H1275" s="8">
        <f t="shared" si="1"/>
        <v>-14</v>
      </c>
    </row>
    <row r="1276">
      <c r="A1276" s="10">
        <v>1275.0</v>
      </c>
      <c r="B1276" s="11" t="s">
        <v>1363</v>
      </c>
      <c r="C1276" s="10" t="s">
        <v>79</v>
      </c>
      <c r="D1276" s="10" t="s">
        <v>46</v>
      </c>
      <c r="E1276" s="16"/>
      <c r="F1276" s="16" t="s">
        <v>382</v>
      </c>
      <c r="G1276" s="13">
        <f>IFERROR(__xludf.DUMMYFUNCTION("if(counta(filter('Previous Rank'!$A$2:$A2766,'Previous Rank'!$B$2:$B2766=B1276,'Previous Rank'!$C$2:$C2766=C1276))=1,filter('Previous Rank'!$A$2:$A2766,'Previous Rank'!$B$2:$B2766=B1276,'Previous Rank'!$C$2:$C2766=C1276),"""")"),1261.0)</f>
        <v>1261</v>
      </c>
      <c r="H1276" s="8">
        <f t="shared" si="1"/>
        <v>-14</v>
      </c>
    </row>
    <row r="1277">
      <c r="A1277" s="10">
        <v>1276.0</v>
      </c>
      <c r="B1277" s="11" t="s">
        <v>1364</v>
      </c>
      <c r="C1277" s="10" t="s">
        <v>79</v>
      </c>
      <c r="D1277" s="10" t="s">
        <v>140</v>
      </c>
      <c r="E1277" s="12"/>
      <c r="F1277" s="12" t="s">
        <v>382</v>
      </c>
      <c r="G1277" s="13">
        <f>IFERROR(__xludf.DUMMYFUNCTION("if(counta(filter('Previous Rank'!$A$2:$A2766,'Previous Rank'!$B$2:$B2766=B1277,'Previous Rank'!$C$2:$C2766=C1277))=1,filter('Previous Rank'!$A$2:$A2766,'Previous Rank'!$B$2:$B2766=B1277,'Previous Rank'!$C$2:$C2766=C1277),"""")"),1262.0)</f>
        <v>1262</v>
      </c>
      <c r="H1277" s="8">
        <f t="shared" si="1"/>
        <v>-14</v>
      </c>
    </row>
    <row r="1278">
      <c r="A1278" s="10">
        <v>1277.0</v>
      </c>
      <c r="B1278" s="11" t="s">
        <v>1365</v>
      </c>
      <c r="C1278" s="10" t="s">
        <v>79</v>
      </c>
      <c r="D1278" s="10" t="s">
        <v>120</v>
      </c>
      <c r="E1278" s="16"/>
      <c r="F1278" s="16" t="s">
        <v>382</v>
      </c>
      <c r="G1278" s="13">
        <f>IFERROR(__xludf.DUMMYFUNCTION("if(counta(filter('Previous Rank'!$A$2:$A2766,'Previous Rank'!$B$2:$B2766=B1278,'Previous Rank'!$C$2:$C2766=C1278))=1,filter('Previous Rank'!$A$2:$A2766,'Previous Rank'!$B$2:$B2766=B1278,'Previous Rank'!$C$2:$C2766=C1278),"""")"),1263.0)</f>
        <v>1263</v>
      </c>
      <c r="H1278" s="8">
        <f t="shared" si="1"/>
        <v>-14</v>
      </c>
    </row>
    <row r="1279">
      <c r="A1279" s="10">
        <v>1278.0</v>
      </c>
      <c r="B1279" s="11" t="s">
        <v>1366</v>
      </c>
      <c r="C1279" s="10" t="s">
        <v>79</v>
      </c>
      <c r="D1279" s="10" t="s">
        <v>42</v>
      </c>
      <c r="E1279" s="15"/>
      <c r="F1279" s="15" t="s">
        <v>382</v>
      </c>
      <c r="G1279" s="13">
        <f>IFERROR(__xludf.DUMMYFUNCTION("if(counta(filter('Previous Rank'!$A$2:$A2766,'Previous Rank'!$B$2:$B2766=B1279,'Previous Rank'!$C$2:$C2766=C1279))=1,filter('Previous Rank'!$A$2:$A2766,'Previous Rank'!$B$2:$B2766=B1279,'Previous Rank'!$C$2:$C2766=C1279),"""")"),1264.0)</f>
        <v>1264</v>
      </c>
      <c r="H1279" s="8">
        <f t="shared" si="1"/>
        <v>-14</v>
      </c>
    </row>
    <row r="1280">
      <c r="A1280" s="10">
        <v>1279.0</v>
      </c>
      <c r="B1280" s="11" t="s">
        <v>1367</v>
      </c>
      <c r="C1280" s="10" t="s">
        <v>79</v>
      </c>
      <c r="D1280" s="10" t="s">
        <v>71</v>
      </c>
      <c r="E1280" s="16"/>
      <c r="F1280" s="16" t="s">
        <v>382</v>
      </c>
      <c r="G1280" s="13">
        <f>IFERROR(__xludf.DUMMYFUNCTION("if(counta(filter('Previous Rank'!$A$2:$A2766,'Previous Rank'!$B$2:$B2766=B1280,'Previous Rank'!$C$2:$C2766=C1280))=1,filter('Previous Rank'!$A$2:$A2766,'Previous Rank'!$B$2:$B2766=B1280,'Previous Rank'!$C$2:$C2766=C1280),"""")"),1265.0)</f>
        <v>1265</v>
      </c>
      <c r="H1280" s="8">
        <f t="shared" si="1"/>
        <v>-14</v>
      </c>
    </row>
    <row r="1281">
      <c r="A1281" s="10">
        <v>1280.0</v>
      </c>
      <c r="B1281" s="11" t="s">
        <v>1368</v>
      </c>
      <c r="C1281" s="10" t="s">
        <v>79</v>
      </c>
      <c r="D1281" s="10" t="s">
        <v>18</v>
      </c>
      <c r="E1281" s="15"/>
      <c r="F1281" s="15" t="s">
        <v>382</v>
      </c>
      <c r="G1281" s="13">
        <f>IFERROR(__xludf.DUMMYFUNCTION("if(counta(filter('Previous Rank'!$A$2:$A2766,'Previous Rank'!$B$2:$B2766=B1281,'Previous Rank'!$C$2:$C2766=C1281))=1,filter('Previous Rank'!$A$2:$A2766,'Previous Rank'!$B$2:$B2766=B1281,'Previous Rank'!$C$2:$C2766=C1281),"""")"),1266.0)</f>
        <v>1266</v>
      </c>
      <c r="H1281" s="8">
        <f t="shared" si="1"/>
        <v>-14</v>
      </c>
    </row>
    <row r="1282">
      <c r="A1282" s="10">
        <v>1281.0</v>
      </c>
      <c r="B1282" s="11" t="s">
        <v>1369</v>
      </c>
      <c r="C1282" s="10" t="s">
        <v>585</v>
      </c>
      <c r="D1282" s="10" t="s">
        <v>15</v>
      </c>
      <c r="E1282" s="16"/>
      <c r="F1282" s="16" t="s">
        <v>382</v>
      </c>
      <c r="G1282" s="13">
        <f>IFERROR(__xludf.DUMMYFUNCTION("if(counta(filter('Previous Rank'!$A$2:$A2766,'Previous Rank'!$B$2:$B2766=B1282,'Previous Rank'!$C$2:$C2766=C1282))=1,filter('Previous Rank'!$A$2:$A2766,'Previous Rank'!$B$2:$B2766=B1282,'Previous Rank'!$C$2:$C2766=C1282),"""")"),1267.0)</f>
        <v>1267</v>
      </c>
      <c r="H1282" s="8">
        <f t="shared" si="1"/>
        <v>-14</v>
      </c>
    </row>
    <row r="1283">
      <c r="A1283" s="10">
        <v>1282.0</v>
      </c>
      <c r="B1283" s="11" t="s">
        <v>1370</v>
      </c>
      <c r="C1283" s="10" t="s">
        <v>79</v>
      </c>
      <c r="D1283" s="10" t="s">
        <v>105</v>
      </c>
      <c r="E1283" s="15"/>
      <c r="F1283" s="15" t="s">
        <v>382</v>
      </c>
      <c r="G1283" s="13">
        <f>IFERROR(__xludf.DUMMYFUNCTION("if(counta(filter('Previous Rank'!$A$2:$A2766,'Previous Rank'!$B$2:$B2766=B1283,'Previous Rank'!$C$2:$C2766=C1283))=1,filter('Previous Rank'!$A$2:$A2766,'Previous Rank'!$B$2:$B2766=B1283,'Previous Rank'!$C$2:$C2766=C1283),"""")"),1268.0)</f>
        <v>1268</v>
      </c>
      <c r="H1283" s="8">
        <f t="shared" si="1"/>
        <v>-14</v>
      </c>
    </row>
    <row r="1284">
      <c r="A1284" s="10">
        <v>1283.0</v>
      </c>
      <c r="B1284" s="11" t="s">
        <v>1371</v>
      </c>
      <c r="C1284" s="10" t="s">
        <v>22</v>
      </c>
      <c r="D1284" s="10" t="s">
        <v>49</v>
      </c>
      <c r="E1284" s="16">
        <v>252.8</v>
      </c>
      <c r="F1284" s="16">
        <v>1.0</v>
      </c>
      <c r="G1284" s="13">
        <f>IFERROR(__xludf.DUMMYFUNCTION("if(counta(filter('Previous Rank'!$A$2:$A2766,'Previous Rank'!$B$2:$B2766=B1284,'Previous Rank'!$C$2:$C2766=C1284))=1,filter('Previous Rank'!$A$2:$A2766,'Previous Rank'!$B$2:$B2766=B1284,'Previous Rank'!$C$2:$C2766=C1284),"""")"),1269.0)</f>
        <v>1269</v>
      </c>
      <c r="H1284" s="8">
        <f t="shared" si="1"/>
        <v>-14</v>
      </c>
    </row>
    <row r="1285">
      <c r="A1285" s="10">
        <v>1284.0</v>
      </c>
      <c r="B1285" s="11" t="s">
        <v>1372</v>
      </c>
      <c r="C1285" s="10" t="s">
        <v>79</v>
      </c>
      <c r="D1285" s="10" t="s">
        <v>49</v>
      </c>
      <c r="E1285" s="15"/>
      <c r="F1285" s="15" t="s">
        <v>382</v>
      </c>
      <c r="G1285" s="13">
        <f>IFERROR(__xludf.DUMMYFUNCTION("if(counta(filter('Previous Rank'!$A$2:$A2766,'Previous Rank'!$B$2:$B2766=B1285,'Previous Rank'!$C$2:$C2766=C1285))=1,filter('Previous Rank'!$A$2:$A2766,'Previous Rank'!$B$2:$B2766=B1285,'Previous Rank'!$C$2:$C2766=C1285),"""")"),1270.0)</f>
        <v>1270</v>
      </c>
      <c r="H1285" s="8">
        <f t="shared" si="1"/>
        <v>-14</v>
      </c>
    </row>
    <row r="1286">
      <c r="A1286" s="10">
        <v>1285.0</v>
      </c>
      <c r="B1286" s="11" t="s">
        <v>1373</v>
      </c>
      <c r="C1286" s="10" t="s">
        <v>220</v>
      </c>
      <c r="D1286" s="10" t="s">
        <v>129</v>
      </c>
      <c r="E1286" s="16"/>
      <c r="F1286" s="16" t="s">
        <v>382</v>
      </c>
      <c r="G1286" s="13">
        <f>IFERROR(__xludf.DUMMYFUNCTION("if(counta(filter('Previous Rank'!$A$2:$A2766,'Previous Rank'!$B$2:$B2766=B1286,'Previous Rank'!$C$2:$C2766=C1286))=1,filter('Previous Rank'!$A$2:$A2766,'Previous Rank'!$B$2:$B2766=B1286,'Previous Rank'!$C$2:$C2766=C1286),"""")"),1271.0)</f>
        <v>1271</v>
      </c>
      <c r="H1286" s="8">
        <f t="shared" si="1"/>
        <v>-14</v>
      </c>
    </row>
    <row r="1287">
      <c r="A1287" s="10">
        <v>1286.0</v>
      </c>
      <c r="B1287" s="11" t="s">
        <v>1374</v>
      </c>
      <c r="C1287" s="10" t="s">
        <v>79</v>
      </c>
      <c r="D1287" s="10" t="s">
        <v>18</v>
      </c>
      <c r="E1287" s="15"/>
      <c r="F1287" s="15" t="s">
        <v>382</v>
      </c>
      <c r="G1287" s="13">
        <f>IFERROR(__xludf.DUMMYFUNCTION("if(counta(filter('Previous Rank'!$A$2:$A2766,'Previous Rank'!$B$2:$B2766=B1287,'Previous Rank'!$C$2:$C2766=C1287))=1,filter('Previous Rank'!$A$2:$A2766,'Previous Rank'!$B$2:$B2766=B1287,'Previous Rank'!$C$2:$C2766=C1287),"""")"),1272.0)</f>
        <v>1272</v>
      </c>
      <c r="H1287" s="8">
        <f t="shared" si="1"/>
        <v>-14</v>
      </c>
    </row>
    <row r="1288">
      <c r="A1288" s="10">
        <v>1287.0</v>
      </c>
      <c r="B1288" s="11" t="s">
        <v>1375</v>
      </c>
      <c r="C1288" s="10" t="s">
        <v>79</v>
      </c>
      <c r="D1288" s="10" t="s">
        <v>140</v>
      </c>
      <c r="E1288" s="16"/>
      <c r="F1288" s="16" t="s">
        <v>382</v>
      </c>
      <c r="G1288" s="13">
        <f>IFERROR(__xludf.DUMMYFUNCTION("if(counta(filter('Previous Rank'!$A$2:$A2766,'Previous Rank'!$B$2:$B2766=B1288,'Previous Rank'!$C$2:$C2766=C1288))=1,filter('Previous Rank'!$A$2:$A2766,'Previous Rank'!$B$2:$B2766=B1288,'Previous Rank'!$C$2:$C2766=C1288),"""")"),1273.0)</f>
        <v>1273</v>
      </c>
      <c r="H1288" s="8">
        <f t="shared" si="1"/>
        <v>-14</v>
      </c>
    </row>
    <row r="1289">
      <c r="A1289" s="10">
        <v>1288.0</v>
      </c>
      <c r="B1289" s="11" t="s">
        <v>1376</v>
      </c>
      <c r="C1289" s="10" t="s">
        <v>79</v>
      </c>
      <c r="D1289" s="10" t="s">
        <v>82</v>
      </c>
      <c r="E1289" s="15"/>
      <c r="F1289" s="15" t="s">
        <v>382</v>
      </c>
      <c r="G1289" s="13">
        <f>IFERROR(__xludf.DUMMYFUNCTION("if(counta(filter('Previous Rank'!$A$2:$A2766,'Previous Rank'!$B$2:$B2766=B1289,'Previous Rank'!$C$2:$C2766=C1289))=1,filter('Previous Rank'!$A$2:$A2766,'Previous Rank'!$B$2:$B2766=B1289,'Previous Rank'!$C$2:$C2766=C1289),"""")"),1274.0)</f>
        <v>1274</v>
      </c>
      <c r="H1289" s="8">
        <f t="shared" si="1"/>
        <v>-14</v>
      </c>
    </row>
    <row r="1290">
      <c r="A1290" s="10">
        <v>1289.0</v>
      </c>
      <c r="B1290" s="11" t="s">
        <v>1377</v>
      </c>
      <c r="C1290" s="10" t="s">
        <v>79</v>
      </c>
      <c r="D1290" s="10" t="s">
        <v>31</v>
      </c>
      <c r="E1290" s="16"/>
      <c r="F1290" s="16" t="s">
        <v>382</v>
      </c>
      <c r="G1290" s="13">
        <f>IFERROR(__xludf.DUMMYFUNCTION("if(counta(filter('Previous Rank'!$A$2:$A2766,'Previous Rank'!$B$2:$B2766=B1290,'Previous Rank'!$C$2:$C2766=C1290))=1,filter('Previous Rank'!$A$2:$A2766,'Previous Rank'!$B$2:$B2766=B1290,'Previous Rank'!$C$2:$C2766=C1290),"""")"),1275.0)</f>
        <v>1275</v>
      </c>
      <c r="H1290" s="8">
        <f t="shared" si="1"/>
        <v>-14</v>
      </c>
    </row>
    <row r="1291">
      <c r="A1291" s="10">
        <v>1290.0</v>
      </c>
      <c r="B1291" s="11" t="s">
        <v>1378</v>
      </c>
      <c r="C1291" s="10" t="s">
        <v>79</v>
      </c>
      <c r="D1291" s="10" t="s">
        <v>90</v>
      </c>
      <c r="E1291" s="15"/>
      <c r="F1291" s="15" t="s">
        <v>382</v>
      </c>
      <c r="G1291" s="13">
        <f>IFERROR(__xludf.DUMMYFUNCTION("if(counta(filter('Previous Rank'!$A$2:$A2766,'Previous Rank'!$B$2:$B2766=B1291,'Previous Rank'!$C$2:$C2766=C1291))=1,filter('Previous Rank'!$A$2:$A2766,'Previous Rank'!$B$2:$B2766=B1291,'Previous Rank'!$C$2:$C2766=C1291),"""")"),1276.0)</f>
        <v>1276</v>
      </c>
      <c r="H1291" s="8">
        <f t="shared" si="1"/>
        <v>-14</v>
      </c>
    </row>
    <row r="1292">
      <c r="A1292" s="10">
        <v>1291.0</v>
      </c>
      <c r="B1292" s="11" t="s">
        <v>1379</v>
      </c>
      <c r="C1292" s="10" t="s">
        <v>79</v>
      </c>
      <c r="D1292" s="10" t="s">
        <v>85</v>
      </c>
      <c r="E1292" s="16"/>
      <c r="F1292" s="16" t="s">
        <v>382</v>
      </c>
      <c r="G1292" s="13">
        <f>IFERROR(__xludf.DUMMYFUNCTION("if(counta(filter('Previous Rank'!$A$2:$A2766,'Previous Rank'!$B$2:$B2766=B1292,'Previous Rank'!$C$2:$C2766=C1292))=1,filter('Previous Rank'!$A$2:$A2766,'Previous Rank'!$B$2:$B2766=B1292,'Previous Rank'!$C$2:$C2766=C1292),"""")"),1277.0)</f>
        <v>1277</v>
      </c>
      <c r="H1292" s="8">
        <f t="shared" si="1"/>
        <v>-14</v>
      </c>
    </row>
    <row r="1293">
      <c r="A1293" s="10">
        <v>1292.0</v>
      </c>
      <c r="B1293" s="11" t="s">
        <v>1380</v>
      </c>
      <c r="C1293" s="10" t="s">
        <v>79</v>
      </c>
      <c r="D1293" s="10" t="s">
        <v>67</v>
      </c>
      <c r="E1293" s="15"/>
      <c r="F1293" s="15" t="s">
        <v>382</v>
      </c>
      <c r="G1293" s="13">
        <f>IFERROR(__xludf.DUMMYFUNCTION("if(counta(filter('Previous Rank'!$A$2:$A2766,'Previous Rank'!$B$2:$B2766=B1293,'Previous Rank'!$C$2:$C2766=C1293))=1,filter('Previous Rank'!$A$2:$A2766,'Previous Rank'!$B$2:$B2766=B1293,'Previous Rank'!$C$2:$C2766=C1293),"""")"),1278.0)</f>
        <v>1278</v>
      </c>
      <c r="H1293" s="8">
        <f t="shared" si="1"/>
        <v>-14</v>
      </c>
    </row>
    <row r="1294">
      <c r="A1294" s="10">
        <v>1293.0</v>
      </c>
      <c r="B1294" s="11" t="s">
        <v>1381</v>
      </c>
      <c r="C1294" s="10" t="s">
        <v>79</v>
      </c>
      <c r="D1294" s="10" t="s">
        <v>99</v>
      </c>
      <c r="E1294" s="16"/>
      <c r="F1294" s="16" t="s">
        <v>382</v>
      </c>
      <c r="G1294" s="13">
        <f>IFERROR(__xludf.DUMMYFUNCTION("if(counta(filter('Previous Rank'!$A$2:$A2766,'Previous Rank'!$B$2:$B2766=B1294,'Previous Rank'!$C$2:$C2766=C1294))=1,filter('Previous Rank'!$A$2:$A2766,'Previous Rank'!$B$2:$B2766=B1294,'Previous Rank'!$C$2:$C2766=C1294),"""")"),1279.0)</f>
        <v>1279</v>
      </c>
      <c r="H1294" s="8">
        <f t="shared" si="1"/>
        <v>-14</v>
      </c>
    </row>
    <row r="1295">
      <c r="A1295" s="10">
        <v>1294.0</v>
      </c>
      <c r="B1295" s="11" t="s">
        <v>1382</v>
      </c>
      <c r="C1295" s="10" t="s">
        <v>79</v>
      </c>
      <c r="D1295" s="10" t="s">
        <v>122</v>
      </c>
      <c r="E1295" s="15"/>
      <c r="F1295" s="15" t="s">
        <v>382</v>
      </c>
      <c r="G1295" s="13">
        <f>IFERROR(__xludf.DUMMYFUNCTION("if(counta(filter('Previous Rank'!$A$2:$A2766,'Previous Rank'!$B$2:$B2766=B1295,'Previous Rank'!$C$2:$C2766=C1295))=1,filter('Previous Rank'!$A$2:$A2766,'Previous Rank'!$B$2:$B2766=B1295,'Previous Rank'!$C$2:$C2766=C1295),"""")"),1280.0)</f>
        <v>1280</v>
      </c>
      <c r="H1295" s="8">
        <f t="shared" si="1"/>
        <v>-14</v>
      </c>
    </row>
    <row r="1296">
      <c r="A1296" s="10">
        <v>1295.0</v>
      </c>
      <c r="B1296" s="11" t="s">
        <v>1383</v>
      </c>
      <c r="C1296" s="10" t="s">
        <v>79</v>
      </c>
      <c r="D1296" s="10" t="s">
        <v>9</v>
      </c>
      <c r="E1296" s="16"/>
      <c r="F1296" s="16" t="s">
        <v>382</v>
      </c>
      <c r="G1296" s="13">
        <f>IFERROR(__xludf.DUMMYFUNCTION("if(counta(filter('Previous Rank'!$A$2:$A2766,'Previous Rank'!$B$2:$B2766=B1296,'Previous Rank'!$C$2:$C2766=C1296))=1,filter('Previous Rank'!$A$2:$A2766,'Previous Rank'!$B$2:$B2766=B1296,'Previous Rank'!$C$2:$C2766=C1296),"""")"),1281.0)</f>
        <v>1281</v>
      </c>
      <c r="H1296" s="8">
        <f t="shared" si="1"/>
        <v>-14</v>
      </c>
    </row>
    <row r="1297">
      <c r="A1297" s="10">
        <v>1296.0</v>
      </c>
      <c r="B1297" s="11" t="s">
        <v>1384</v>
      </c>
      <c r="C1297" s="10" t="s">
        <v>79</v>
      </c>
      <c r="D1297" s="10" t="s">
        <v>206</v>
      </c>
      <c r="E1297" s="15"/>
      <c r="F1297" s="15" t="s">
        <v>382</v>
      </c>
      <c r="G1297" s="13">
        <f>IFERROR(__xludf.DUMMYFUNCTION("if(counta(filter('Previous Rank'!$A$2:$A2766,'Previous Rank'!$B$2:$B2766=B1297,'Previous Rank'!$C$2:$C2766=C1297))=1,filter('Previous Rank'!$A$2:$A2766,'Previous Rank'!$B$2:$B2766=B1297,'Previous Rank'!$C$2:$C2766=C1297),"""")"),1282.0)</f>
        <v>1282</v>
      </c>
      <c r="H1297" s="8">
        <f t="shared" si="1"/>
        <v>-14</v>
      </c>
    </row>
    <row r="1298">
      <c r="A1298" s="10">
        <v>1297.0</v>
      </c>
      <c r="B1298" s="11" t="s">
        <v>1385</v>
      </c>
      <c r="C1298" s="10" t="s">
        <v>79</v>
      </c>
      <c r="D1298" s="10" t="s">
        <v>206</v>
      </c>
      <c r="E1298" s="16"/>
      <c r="F1298" s="16" t="s">
        <v>382</v>
      </c>
      <c r="G1298" s="13">
        <f>IFERROR(__xludf.DUMMYFUNCTION("if(counta(filter('Previous Rank'!$A$2:$A2766,'Previous Rank'!$B$2:$B2766=B1298,'Previous Rank'!$C$2:$C2766=C1298))=1,filter('Previous Rank'!$A$2:$A2766,'Previous Rank'!$B$2:$B2766=B1298,'Previous Rank'!$C$2:$C2766=C1298),"""")"),1283.0)</f>
        <v>1283</v>
      </c>
      <c r="H1298" s="8">
        <f t="shared" si="1"/>
        <v>-14</v>
      </c>
    </row>
    <row r="1299">
      <c r="A1299" s="10">
        <v>1298.0</v>
      </c>
      <c r="B1299" s="11" t="s">
        <v>1386</v>
      </c>
      <c r="C1299" s="10" t="s">
        <v>79</v>
      </c>
      <c r="D1299" s="10" t="s">
        <v>95</v>
      </c>
      <c r="E1299" s="15">
        <v>250.8</v>
      </c>
      <c r="F1299" s="15">
        <v>1.4</v>
      </c>
      <c r="G1299" s="13">
        <f>IFERROR(__xludf.DUMMYFUNCTION("if(counta(filter('Previous Rank'!$A$2:$A2766,'Previous Rank'!$B$2:$B2766=B1299,'Previous Rank'!$C$2:$C2766=C1299))=1,filter('Previous Rank'!$A$2:$A2766,'Previous Rank'!$B$2:$B2766=B1299,'Previous Rank'!$C$2:$C2766=C1299),"""")"),1284.0)</f>
        <v>1284</v>
      </c>
      <c r="H1299" s="8">
        <f t="shared" si="1"/>
        <v>-14</v>
      </c>
    </row>
    <row r="1300">
      <c r="A1300" s="10">
        <v>1299.0</v>
      </c>
      <c r="B1300" s="11" t="s">
        <v>1387</v>
      </c>
      <c r="C1300" s="10" t="s">
        <v>79</v>
      </c>
      <c r="D1300" s="10" t="s">
        <v>82</v>
      </c>
      <c r="E1300" s="16"/>
      <c r="F1300" s="16"/>
      <c r="G1300" s="13">
        <f>IFERROR(__xludf.DUMMYFUNCTION("if(counta(filter('Previous Rank'!$A$2:$A2766,'Previous Rank'!$B$2:$B2766=B1300,'Previous Rank'!$C$2:$C2766=C1300))=1,filter('Previous Rank'!$A$2:$A2766,'Previous Rank'!$B$2:$B2766=B1300,'Previous Rank'!$C$2:$C2766=C1300),"""")"),1285.0)</f>
        <v>1285</v>
      </c>
      <c r="H1300" s="8">
        <f t="shared" si="1"/>
        <v>-14</v>
      </c>
    </row>
    <row r="1301">
      <c r="A1301" s="10">
        <v>1300.0</v>
      </c>
      <c r="B1301" s="11" t="s">
        <v>1388</v>
      </c>
      <c r="C1301" s="10" t="s">
        <v>79</v>
      </c>
      <c r="D1301" s="10" t="s">
        <v>71</v>
      </c>
      <c r="E1301" s="15"/>
      <c r="F1301" s="15" t="s">
        <v>382</v>
      </c>
      <c r="G1301" s="13">
        <f>IFERROR(__xludf.DUMMYFUNCTION("if(counta(filter('Previous Rank'!$A$2:$A2766,'Previous Rank'!$B$2:$B2766=B1301,'Previous Rank'!$C$2:$C2766=C1301))=1,filter('Previous Rank'!$A$2:$A2766,'Previous Rank'!$B$2:$B2766=B1301,'Previous Rank'!$C$2:$C2766=C1301),"""")"),1286.0)</f>
        <v>1286</v>
      </c>
      <c r="H1301" s="8">
        <f t="shared" si="1"/>
        <v>-14</v>
      </c>
    </row>
    <row r="1302">
      <c r="A1302" s="10">
        <v>1301.0</v>
      </c>
      <c r="B1302" s="11" t="s">
        <v>1389</v>
      </c>
      <c r="C1302" s="10" t="s">
        <v>79</v>
      </c>
      <c r="D1302" s="10" t="s">
        <v>122</v>
      </c>
      <c r="E1302" s="16"/>
      <c r="F1302" s="16" t="s">
        <v>382</v>
      </c>
      <c r="G1302" s="13">
        <f>IFERROR(__xludf.DUMMYFUNCTION("if(counta(filter('Previous Rank'!$A$2:$A2766,'Previous Rank'!$B$2:$B2766=B1302,'Previous Rank'!$C$2:$C2766=C1302))=1,filter('Previous Rank'!$A$2:$A2766,'Previous Rank'!$B$2:$B2766=B1302,'Previous Rank'!$C$2:$C2766=C1302),"""")"),1287.0)</f>
        <v>1287</v>
      </c>
      <c r="H1302" s="8">
        <f t="shared" si="1"/>
        <v>-14</v>
      </c>
    </row>
    <row r="1303">
      <c r="A1303" s="10">
        <v>1302.0</v>
      </c>
      <c r="B1303" s="11" t="s">
        <v>1390</v>
      </c>
      <c r="C1303" s="10" t="s">
        <v>79</v>
      </c>
      <c r="D1303" s="10" t="s">
        <v>31</v>
      </c>
      <c r="E1303" s="15"/>
      <c r="F1303" s="15" t="s">
        <v>382</v>
      </c>
      <c r="G1303" s="13">
        <f>IFERROR(__xludf.DUMMYFUNCTION("if(counta(filter('Previous Rank'!$A$2:$A2766,'Previous Rank'!$B$2:$B2766=B1303,'Previous Rank'!$C$2:$C2766=C1303))=1,filter('Previous Rank'!$A$2:$A2766,'Previous Rank'!$B$2:$B2766=B1303,'Previous Rank'!$C$2:$C2766=C1303),"""")"),1288.0)</f>
        <v>1288</v>
      </c>
      <c r="H1303" s="8">
        <f t="shared" si="1"/>
        <v>-14</v>
      </c>
    </row>
    <row r="1304">
      <c r="A1304" s="10">
        <v>1303.0</v>
      </c>
      <c r="B1304" s="11" t="s">
        <v>1391</v>
      </c>
      <c r="C1304" s="10" t="s">
        <v>79</v>
      </c>
      <c r="D1304" s="10" t="s">
        <v>67</v>
      </c>
      <c r="E1304" s="16"/>
      <c r="F1304" s="16" t="s">
        <v>382</v>
      </c>
      <c r="G1304" s="13">
        <f>IFERROR(__xludf.DUMMYFUNCTION("if(counta(filter('Previous Rank'!$A$2:$A2766,'Previous Rank'!$B$2:$B2766=B1304,'Previous Rank'!$C$2:$C2766=C1304))=1,filter('Previous Rank'!$A$2:$A2766,'Previous Rank'!$B$2:$B2766=B1304,'Previous Rank'!$C$2:$C2766=C1304),"""")"),1289.0)</f>
        <v>1289</v>
      </c>
      <c r="H1304" s="8">
        <f t="shared" si="1"/>
        <v>-14</v>
      </c>
    </row>
    <row r="1305">
      <c r="A1305" s="10">
        <v>1304.0</v>
      </c>
      <c r="B1305" s="11" t="s">
        <v>1392</v>
      </c>
      <c r="C1305" s="10" t="s">
        <v>79</v>
      </c>
      <c r="D1305" s="10" t="s">
        <v>67</v>
      </c>
      <c r="E1305" s="15"/>
      <c r="F1305" s="15" t="s">
        <v>382</v>
      </c>
      <c r="G1305" s="13">
        <f>IFERROR(__xludf.DUMMYFUNCTION("if(counta(filter('Previous Rank'!$A$2:$A2766,'Previous Rank'!$B$2:$B2766=B1305,'Previous Rank'!$C$2:$C2766=C1305))=1,filter('Previous Rank'!$A$2:$A2766,'Previous Rank'!$B$2:$B2766=B1305,'Previous Rank'!$C$2:$C2766=C1305),"""")"),1290.0)</f>
        <v>1290</v>
      </c>
      <c r="H1305" s="8">
        <f t="shared" si="1"/>
        <v>-14</v>
      </c>
    </row>
    <row r="1306">
      <c r="A1306" s="10">
        <v>1305.0</v>
      </c>
      <c r="B1306" s="11" t="s">
        <v>1393</v>
      </c>
      <c r="C1306" s="10" t="s">
        <v>79</v>
      </c>
      <c r="D1306" s="10" t="s">
        <v>122</v>
      </c>
      <c r="E1306" s="16"/>
      <c r="F1306" s="16" t="s">
        <v>382</v>
      </c>
      <c r="G1306" s="13">
        <f>IFERROR(__xludf.DUMMYFUNCTION("if(counta(filter('Previous Rank'!$A$2:$A2766,'Previous Rank'!$B$2:$B2766=B1306,'Previous Rank'!$C$2:$C2766=C1306))=1,filter('Previous Rank'!$A$2:$A2766,'Previous Rank'!$B$2:$B2766=B1306,'Previous Rank'!$C$2:$C2766=C1306),"""")"),1291.0)</f>
        <v>1291</v>
      </c>
      <c r="H1306" s="8">
        <f t="shared" si="1"/>
        <v>-14</v>
      </c>
    </row>
    <row r="1307">
      <c r="A1307" s="10">
        <v>1306.0</v>
      </c>
      <c r="B1307" s="11" t="s">
        <v>1394</v>
      </c>
      <c r="C1307" s="10" t="s">
        <v>220</v>
      </c>
      <c r="D1307" s="10" t="s">
        <v>82</v>
      </c>
      <c r="E1307" s="15"/>
      <c r="F1307" s="15" t="s">
        <v>382</v>
      </c>
      <c r="G1307" s="13">
        <f>IFERROR(__xludf.DUMMYFUNCTION("if(counta(filter('Previous Rank'!$A$2:$A2766,'Previous Rank'!$B$2:$B2766=B1307,'Previous Rank'!$C$2:$C2766=C1307))=1,filter('Previous Rank'!$A$2:$A2766,'Previous Rank'!$B$2:$B2766=B1307,'Previous Rank'!$C$2:$C2766=C1307),"""")"),1292.0)</f>
        <v>1292</v>
      </c>
      <c r="H1307" s="8">
        <f t="shared" si="1"/>
        <v>-14</v>
      </c>
    </row>
    <row r="1308">
      <c r="A1308" s="10">
        <v>1307.0</v>
      </c>
      <c r="B1308" s="11" t="s">
        <v>1395</v>
      </c>
      <c r="C1308" s="10" t="s">
        <v>79</v>
      </c>
      <c r="D1308" s="10" t="s">
        <v>46</v>
      </c>
      <c r="E1308" s="16"/>
      <c r="F1308" s="16" t="s">
        <v>382</v>
      </c>
      <c r="G1308" s="13">
        <f>IFERROR(__xludf.DUMMYFUNCTION("if(counta(filter('Previous Rank'!$A$2:$A2766,'Previous Rank'!$B$2:$B2766=B1308,'Previous Rank'!$C$2:$C2766=C1308))=1,filter('Previous Rank'!$A$2:$A2766,'Previous Rank'!$B$2:$B2766=B1308,'Previous Rank'!$C$2:$C2766=C1308),"""")"),1293.0)</f>
        <v>1293</v>
      </c>
      <c r="H1308" s="8">
        <f t="shared" si="1"/>
        <v>-14</v>
      </c>
    </row>
    <row r="1309">
      <c r="A1309" s="10">
        <v>1308.0</v>
      </c>
      <c r="B1309" s="11" t="s">
        <v>1396</v>
      </c>
      <c r="C1309" s="10" t="s">
        <v>79</v>
      </c>
      <c r="D1309" s="10" t="s">
        <v>52</v>
      </c>
      <c r="E1309" s="15"/>
      <c r="F1309" s="15" t="s">
        <v>382</v>
      </c>
      <c r="G1309" s="13">
        <f>IFERROR(__xludf.DUMMYFUNCTION("if(counta(filter('Previous Rank'!$A$2:$A2766,'Previous Rank'!$B$2:$B2766=B1309,'Previous Rank'!$C$2:$C2766=C1309))=1,filter('Previous Rank'!$A$2:$A2766,'Previous Rank'!$B$2:$B2766=B1309,'Previous Rank'!$C$2:$C2766=C1309),"""")"),1294.0)</f>
        <v>1294</v>
      </c>
      <c r="H1309" s="8">
        <f t="shared" si="1"/>
        <v>-14</v>
      </c>
    </row>
    <row r="1310">
      <c r="A1310" s="10">
        <v>1309.0</v>
      </c>
      <c r="B1310" s="11" t="s">
        <v>1397</v>
      </c>
      <c r="C1310" s="10" t="s">
        <v>79</v>
      </c>
      <c r="D1310" s="10" t="s">
        <v>25</v>
      </c>
      <c r="E1310" s="16"/>
      <c r="F1310" s="16" t="s">
        <v>382</v>
      </c>
      <c r="G1310" s="13">
        <f>IFERROR(__xludf.DUMMYFUNCTION("if(counta(filter('Previous Rank'!$A$2:$A2766,'Previous Rank'!$B$2:$B2766=B1310,'Previous Rank'!$C$2:$C2766=C1310))=1,filter('Previous Rank'!$A$2:$A2766,'Previous Rank'!$B$2:$B2766=B1310,'Previous Rank'!$C$2:$C2766=C1310),"""")"),1295.0)</f>
        <v>1295</v>
      </c>
      <c r="H1310" s="8">
        <f t="shared" si="1"/>
        <v>-14</v>
      </c>
    </row>
    <row r="1311">
      <c r="A1311" s="10">
        <v>1310.0</v>
      </c>
      <c r="B1311" s="11" t="s">
        <v>1398</v>
      </c>
      <c r="C1311" s="10" t="s">
        <v>22</v>
      </c>
      <c r="D1311" s="10" t="s">
        <v>42</v>
      </c>
      <c r="E1311" s="15"/>
      <c r="F1311" s="15" t="s">
        <v>382</v>
      </c>
      <c r="G1311" s="13">
        <f>IFERROR(__xludf.DUMMYFUNCTION("if(counta(filter('Previous Rank'!$A$2:$A2766,'Previous Rank'!$B$2:$B2766=B1311,'Previous Rank'!$C$2:$C2766=C1311))=1,filter('Previous Rank'!$A$2:$A2766,'Previous Rank'!$B$2:$B2766=B1311,'Previous Rank'!$C$2:$C2766=C1311),"""")"),1296.0)</f>
        <v>1296</v>
      </c>
      <c r="H1311" s="8">
        <f t="shared" si="1"/>
        <v>-14</v>
      </c>
    </row>
    <row r="1312">
      <c r="A1312" s="10">
        <v>1311.0</v>
      </c>
      <c r="B1312" s="11" t="s">
        <v>1399</v>
      </c>
      <c r="C1312" s="10" t="s">
        <v>22</v>
      </c>
      <c r="D1312" s="10" t="s">
        <v>36</v>
      </c>
      <c r="E1312" s="16"/>
      <c r="F1312" s="16" t="s">
        <v>382</v>
      </c>
      <c r="G1312" s="13">
        <f>IFERROR(__xludf.DUMMYFUNCTION("if(counta(filter('Previous Rank'!$A$2:$A2766,'Previous Rank'!$B$2:$B2766=B1312,'Previous Rank'!$C$2:$C2766=C1312))=1,filter('Previous Rank'!$A$2:$A2766,'Previous Rank'!$B$2:$B2766=B1312,'Previous Rank'!$C$2:$C2766=C1312),"""")"),1297.0)</f>
        <v>1297</v>
      </c>
      <c r="H1312" s="8">
        <f t="shared" si="1"/>
        <v>-14</v>
      </c>
    </row>
    <row r="1313">
      <c r="A1313" s="10">
        <v>1312.0</v>
      </c>
      <c r="B1313" s="11" t="s">
        <v>1400</v>
      </c>
      <c r="C1313" s="10" t="s">
        <v>79</v>
      </c>
      <c r="D1313" s="10" t="s">
        <v>36</v>
      </c>
      <c r="E1313" s="15"/>
      <c r="F1313" s="15" t="s">
        <v>382</v>
      </c>
      <c r="G1313" s="13">
        <f>IFERROR(__xludf.DUMMYFUNCTION("if(counta(filter('Previous Rank'!$A$2:$A2766,'Previous Rank'!$B$2:$B2766=B1313,'Previous Rank'!$C$2:$C2766=C1313))=1,filter('Previous Rank'!$A$2:$A2766,'Previous Rank'!$B$2:$B2766=B1313,'Previous Rank'!$C$2:$C2766=C1313),"""")"),1298.0)</f>
        <v>1298</v>
      </c>
      <c r="H1313" s="8">
        <f t="shared" si="1"/>
        <v>-14</v>
      </c>
    </row>
    <row r="1314">
      <c r="A1314" s="10">
        <v>1313.0</v>
      </c>
      <c r="B1314" s="11" t="s">
        <v>1401</v>
      </c>
      <c r="C1314" s="10" t="s">
        <v>79</v>
      </c>
      <c r="D1314" s="10" t="s">
        <v>129</v>
      </c>
      <c r="E1314" s="16"/>
      <c r="F1314" s="16" t="s">
        <v>382</v>
      </c>
      <c r="G1314" s="13">
        <f>IFERROR(__xludf.DUMMYFUNCTION("if(counta(filter('Previous Rank'!$A$2:$A2766,'Previous Rank'!$B$2:$B2766=B1314,'Previous Rank'!$C$2:$C2766=C1314))=1,filter('Previous Rank'!$A$2:$A2766,'Previous Rank'!$B$2:$B2766=B1314,'Previous Rank'!$C$2:$C2766=C1314),"""")"),1299.0)</f>
        <v>1299</v>
      </c>
      <c r="H1314" s="8">
        <f t="shared" si="1"/>
        <v>-14</v>
      </c>
    </row>
    <row r="1315">
      <c r="A1315" s="10">
        <v>1314.0</v>
      </c>
      <c r="B1315" s="11" t="s">
        <v>1402</v>
      </c>
      <c r="C1315" s="10" t="s">
        <v>22</v>
      </c>
      <c r="D1315" s="10" t="s">
        <v>34</v>
      </c>
      <c r="E1315" s="15"/>
      <c r="F1315" s="15" t="s">
        <v>382</v>
      </c>
      <c r="G1315" s="13">
        <f>IFERROR(__xludf.DUMMYFUNCTION("if(counta(filter('Previous Rank'!$A$2:$A2766,'Previous Rank'!$B$2:$B2766=B1315,'Previous Rank'!$C$2:$C2766=C1315))=1,filter('Previous Rank'!$A$2:$A2766,'Previous Rank'!$B$2:$B2766=B1315,'Previous Rank'!$C$2:$C2766=C1315),"""")"),1300.0)</f>
        <v>1300</v>
      </c>
      <c r="H1315" s="8">
        <f t="shared" si="1"/>
        <v>-14</v>
      </c>
    </row>
    <row r="1316">
      <c r="A1316" s="10">
        <v>1315.0</v>
      </c>
      <c r="B1316" s="11" t="s">
        <v>1403</v>
      </c>
      <c r="C1316" s="10" t="s">
        <v>22</v>
      </c>
      <c r="D1316" s="10" t="s">
        <v>23</v>
      </c>
      <c r="E1316" s="16"/>
      <c r="F1316" s="16" t="s">
        <v>382</v>
      </c>
      <c r="G1316" s="13">
        <f>IFERROR(__xludf.DUMMYFUNCTION("if(counta(filter('Previous Rank'!$A$2:$A2766,'Previous Rank'!$B$2:$B2766=B1316,'Previous Rank'!$C$2:$C2766=C1316))=1,filter('Previous Rank'!$A$2:$A2766,'Previous Rank'!$B$2:$B2766=B1316,'Previous Rank'!$C$2:$C2766=C1316),"""")"),1301.0)</f>
        <v>1301</v>
      </c>
      <c r="H1316" s="8">
        <f t="shared" si="1"/>
        <v>-14</v>
      </c>
    </row>
    <row r="1317">
      <c r="A1317" s="10">
        <v>1316.0</v>
      </c>
      <c r="B1317" s="11" t="s">
        <v>1404</v>
      </c>
      <c r="C1317" s="10" t="s">
        <v>79</v>
      </c>
      <c r="D1317" s="10" t="s">
        <v>34</v>
      </c>
      <c r="E1317" s="15"/>
      <c r="F1317" s="15" t="s">
        <v>382</v>
      </c>
      <c r="G1317" s="13">
        <f>IFERROR(__xludf.DUMMYFUNCTION("if(counta(filter('Previous Rank'!$A$2:$A2766,'Previous Rank'!$B$2:$B2766=B1317,'Previous Rank'!$C$2:$C2766=C1317))=1,filter('Previous Rank'!$A$2:$A2766,'Previous Rank'!$B$2:$B2766=B1317,'Previous Rank'!$C$2:$C2766=C1317),"""")"),1302.0)</f>
        <v>1302</v>
      </c>
      <c r="H1317" s="8">
        <f t="shared" si="1"/>
        <v>-14</v>
      </c>
    </row>
    <row r="1318">
      <c r="A1318" s="10">
        <v>1317.0</v>
      </c>
      <c r="B1318" s="11" t="s">
        <v>1405</v>
      </c>
      <c r="C1318" s="10" t="s">
        <v>79</v>
      </c>
      <c r="D1318" s="10" t="s">
        <v>95</v>
      </c>
      <c r="E1318" s="16"/>
      <c r="F1318" s="16" t="s">
        <v>382</v>
      </c>
      <c r="G1318" s="13">
        <f>IFERROR(__xludf.DUMMYFUNCTION("if(counta(filter('Previous Rank'!$A$2:$A2766,'Previous Rank'!$B$2:$B2766=B1318,'Previous Rank'!$C$2:$C2766=C1318))=1,filter('Previous Rank'!$A$2:$A2766,'Previous Rank'!$B$2:$B2766=B1318,'Previous Rank'!$C$2:$C2766=C1318),"""")"),1303.0)</f>
        <v>1303</v>
      </c>
      <c r="H1318" s="8">
        <f t="shared" si="1"/>
        <v>-14</v>
      </c>
    </row>
    <row r="1319">
      <c r="A1319" s="10">
        <v>1318.0</v>
      </c>
      <c r="B1319" s="11" t="s">
        <v>1406</v>
      </c>
      <c r="C1319" s="10" t="s">
        <v>79</v>
      </c>
      <c r="D1319" s="10" t="s">
        <v>206</v>
      </c>
      <c r="E1319" s="15"/>
      <c r="F1319" s="15" t="s">
        <v>382</v>
      </c>
      <c r="G1319" s="13">
        <f>IFERROR(__xludf.DUMMYFUNCTION("if(counta(filter('Previous Rank'!$A$2:$A2766,'Previous Rank'!$B$2:$B2766=B1319,'Previous Rank'!$C$2:$C2766=C1319))=1,filter('Previous Rank'!$A$2:$A2766,'Previous Rank'!$B$2:$B2766=B1319,'Previous Rank'!$C$2:$C2766=C1319),"""")"),1304.0)</f>
        <v>1304</v>
      </c>
      <c r="H1319" s="8">
        <f t="shared" si="1"/>
        <v>-14</v>
      </c>
    </row>
    <row r="1320">
      <c r="A1320" s="10">
        <v>1319.0</v>
      </c>
      <c r="B1320" s="11" t="s">
        <v>1407</v>
      </c>
      <c r="C1320" s="10" t="s">
        <v>79</v>
      </c>
      <c r="D1320" s="10" t="s">
        <v>73</v>
      </c>
      <c r="E1320" s="16"/>
      <c r="F1320" s="16" t="s">
        <v>382</v>
      </c>
      <c r="G1320" s="13">
        <f>IFERROR(__xludf.DUMMYFUNCTION("if(counta(filter('Previous Rank'!$A$2:$A2766,'Previous Rank'!$B$2:$B2766=B1320,'Previous Rank'!$C$2:$C2766=C1320))=1,filter('Previous Rank'!$A$2:$A2766,'Previous Rank'!$B$2:$B2766=B1320,'Previous Rank'!$C$2:$C2766=C1320),"""")"),1305.0)</f>
        <v>1305</v>
      </c>
      <c r="H1320" s="8">
        <f t="shared" si="1"/>
        <v>-14</v>
      </c>
    </row>
    <row r="1321">
      <c r="A1321" s="10">
        <v>1320.0</v>
      </c>
      <c r="B1321" s="11" t="s">
        <v>1408</v>
      </c>
      <c r="C1321" s="10" t="s">
        <v>22</v>
      </c>
      <c r="D1321" s="10" t="s">
        <v>82</v>
      </c>
      <c r="E1321" s="15"/>
      <c r="F1321" s="15" t="s">
        <v>382</v>
      </c>
      <c r="G1321" s="13">
        <f>IFERROR(__xludf.DUMMYFUNCTION("if(counta(filter('Previous Rank'!$A$2:$A2766,'Previous Rank'!$B$2:$B2766=B1321,'Previous Rank'!$C$2:$C2766=C1321))=1,filter('Previous Rank'!$A$2:$A2766,'Previous Rank'!$B$2:$B2766=B1321,'Previous Rank'!$C$2:$C2766=C1321),"""")"),1306.0)</f>
        <v>1306</v>
      </c>
      <c r="H1321" s="8">
        <f t="shared" si="1"/>
        <v>-14</v>
      </c>
    </row>
    <row r="1322">
      <c r="A1322" s="10">
        <v>1321.0</v>
      </c>
      <c r="B1322" s="11" t="s">
        <v>1409</v>
      </c>
      <c r="C1322" s="10" t="s">
        <v>79</v>
      </c>
      <c r="D1322" s="10" t="s">
        <v>34</v>
      </c>
      <c r="E1322" s="16"/>
      <c r="F1322" s="16" t="s">
        <v>382</v>
      </c>
      <c r="G1322" s="13">
        <f>IFERROR(__xludf.DUMMYFUNCTION("if(counta(filter('Previous Rank'!$A$2:$A2766,'Previous Rank'!$B$2:$B2766=B1322,'Previous Rank'!$C$2:$C2766=C1322))=1,filter('Previous Rank'!$A$2:$A2766,'Previous Rank'!$B$2:$B2766=B1322,'Previous Rank'!$C$2:$C2766=C1322),"""")"),1307.0)</f>
        <v>1307</v>
      </c>
      <c r="H1322" s="8">
        <f t="shared" si="1"/>
        <v>-14</v>
      </c>
    </row>
    <row r="1323">
      <c r="A1323" s="10">
        <v>1322.0</v>
      </c>
      <c r="B1323" s="11" t="s">
        <v>1410</v>
      </c>
      <c r="C1323" s="10" t="s">
        <v>79</v>
      </c>
      <c r="D1323" s="10" t="s">
        <v>52</v>
      </c>
      <c r="E1323" s="15"/>
      <c r="F1323" s="15" t="s">
        <v>382</v>
      </c>
      <c r="G1323" s="13">
        <f>IFERROR(__xludf.DUMMYFUNCTION("if(counta(filter('Previous Rank'!$A$2:$A2766,'Previous Rank'!$B$2:$B2766=B1323,'Previous Rank'!$C$2:$C2766=C1323))=1,filter('Previous Rank'!$A$2:$A2766,'Previous Rank'!$B$2:$B2766=B1323,'Previous Rank'!$C$2:$C2766=C1323),"""")"),1308.0)</f>
        <v>1308</v>
      </c>
      <c r="H1323" s="8">
        <f t="shared" si="1"/>
        <v>-14</v>
      </c>
    </row>
    <row r="1324">
      <c r="A1324" s="10">
        <v>1323.0</v>
      </c>
      <c r="B1324" s="11" t="s">
        <v>1411</v>
      </c>
      <c r="C1324" s="10" t="s">
        <v>79</v>
      </c>
      <c r="D1324" s="10" t="s">
        <v>9</v>
      </c>
      <c r="E1324" s="16"/>
      <c r="F1324" s="16" t="s">
        <v>382</v>
      </c>
      <c r="G1324" s="13">
        <f>IFERROR(__xludf.DUMMYFUNCTION("if(counta(filter('Previous Rank'!$A$2:$A2766,'Previous Rank'!$B$2:$B2766=B1324,'Previous Rank'!$C$2:$C2766=C1324))=1,filter('Previous Rank'!$A$2:$A2766,'Previous Rank'!$B$2:$B2766=B1324,'Previous Rank'!$C$2:$C2766=C1324),"""")"),1309.0)</f>
        <v>1309</v>
      </c>
      <c r="H1324" s="8">
        <f t="shared" si="1"/>
        <v>-14</v>
      </c>
    </row>
    <row r="1325">
      <c r="A1325" s="10">
        <v>1324.0</v>
      </c>
      <c r="B1325" s="11" t="s">
        <v>1412</v>
      </c>
      <c r="C1325" s="10" t="s">
        <v>79</v>
      </c>
      <c r="D1325" s="10" t="s">
        <v>113</v>
      </c>
      <c r="E1325" s="15"/>
      <c r="F1325" s="15" t="s">
        <v>382</v>
      </c>
      <c r="G1325" s="13">
        <f>IFERROR(__xludf.DUMMYFUNCTION("if(counta(filter('Previous Rank'!$A$2:$A2766,'Previous Rank'!$B$2:$B2766=B1325,'Previous Rank'!$C$2:$C2766=C1325))=1,filter('Previous Rank'!$A$2:$A2766,'Previous Rank'!$B$2:$B2766=B1325,'Previous Rank'!$C$2:$C2766=C1325),"""")"),1310.0)</f>
        <v>1310</v>
      </c>
      <c r="H1325" s="8">
        <f t="shared" si="1"/>
        <v>-14</v>
      </c>
    </row>
    <row r="1326">
      <c r="A1326" s="10">
        <v>1325.0</v>
      </c>
      <c r="B1326" s="11" t="s">
        <v>1413</v>
      </c>
      <c r="C1326" s="10" t="s">
        <v>79</v>
      </c>
      <c r="D1326" s="10" t="s">
        <v>122</v>
      </c>
      <c r="E1326" s="16"/>
      <c r="F1326" s="16" t="s">
        <v>382</v>
      </c>
      <c r="G1326" s="13">
        <f>IFERROR(__xludf.DUMMYFUNCTION("if(counta(filter('Previous Rank'!$A$2:$A2766,'Previous Rank'!$B$2:$B2766=B1326,'Previous Rank'!$C$2:$C2766=C1326))=1,filter('Previous Rank'!$A$2:$A2766,'Previous Rank'!$B$2:$B2766=B1326,'Previous Rank'!$C$2:$C2766=C1326),"""")"),1312.0)</f>
        <v>1312</v>
      </c>
      <c r="H1326" s="8">
        <f t="shared" si="1"/>
        <v>-13</v>
      </c>
    </row>
    <row r="1327">
      <c r="A1327" s="10">
        <v>1326.0</v>
      </c>
      <c r="B1327" s="11" t="s">
        <v>1414</v>
      </c>
      <c r="C1327" s="10" t="s">
        <v>79</v>
      </c>
      <c r="D1327" s="10" t="s">
        <v>49</v>
      </c>
      <c r="E1327" s="15"/>
      <c r="F1327" s="15" t="s">
        <v>382</v>
      </c>
      <c r="G1327" s="13">
        <f>IFERROR(__xludf.DUMMYFUNCTION("if(counta(filter('Previous Rank'!$A$2:$A2766,'Previous Rank'!$B$2:$B2766=B1327,'Previous Rank'!$C$2:$C2766=C1327))=1,filter('Previous Rank'!$A$2:$A2766,'Previous Rank'!$B$2:$B2766=B1327,'Previous Rank'!$C$2:$C2766=C1327),"""")"),1313.0)</f>
        <v>1313</v>
      </c>
      <c r="H1327" s="8">
        <f t="shared" si="1"/>
        <v>-13</v>
      </c>
    </row>
    <row r="1328">
      <c r="A1328" s="10">
        <v>1327.0</v>
      </c>
      <c r="B1328" s="11" t="s">
        <v>1415</v>
      </c>
      <c r="C1328" s="10" t="s">
        <v>79</v>
      </c>
      <c r="D1328" s="10" t="s">
        <v>137</v>
      </c>
      <c r="E1328" s="16"/>
      <c r="F1328" s="16" t="s">
        <v>382</v>
      </c>
      <c r="G1328" s="13">
        <f>IFERROR(__xludf.DUMMYFUNCTION("if(counta(filter('Previous Rank'!$A$2:$A2766,'Previous Rank'!$B$2:$B2766=B1328,'Previous Rank'!$C$2:$C2766=C1328))=1,filter('Previous Rank'!$A$2:$A2766,'Previous Rank'!$B$2:$B2766=B1328,'Previous Rank'!$C$2:$C2766=C1328),"""")"),1314.0)</f>
        <v>1314</v>
      </c>
      <c r="H1328" s="8">
        <f t="shared" si="1"/>
        <v>-13</v>
      </c>
    </row>
    <row r="1329">
      <c r="A1329" s="10">
        <v>1328.0</v>
      </c>
      <c r="B1329" s="11" t="s">
        <v>1416</v>
      </c>
      <c r="C1329" s="10" t="s">
        <v>220</v>
      </c>
      <c r="D1329" s="10" t="s">
        <v>23</v>
      </c>
      <c r="E1329" s="15"/>
      <c r="F1329" s="15" t="s">
        <v>382</v>
      </c>
      <c r="G1329" s="13">
        <f>IFERROR(__xludf.DUMMYFUNCTION("if(counta(filter('Previous Rank'!$A$2:$A2766,'Previous Rank'!$B$2:$B2766=B1329,'Previous Rank'!$C$2:$C2766=C1329))=1,filter('Previous Rank'!$A$2:$A2766,'Previous Rank'!$B$2:$B2766=B1329,'Previous Rank'!$C$2:$C2766=C1329),"""")"),1315.0)</f>
        <v>1315</v>
      </c>
      <c r="H1329" s="8">
        <f t="shared" si="1"/>
        <v>-13</v>
      </c>
    </row>
    <row r="1330">
      <c r="A1330" s="10">
        <v>1329.0</v>
      </c>
      <c r="B1330" s="11" t="s">
        <v>1417</v>
      </c>
      <c r="C1330" s="10" t="s">
        <v>79</v>
      </c>
      <c r="D1330" s="10" t="s">
        <v>105</v>
      </c>
      <c r="E1330" s="16"/>
      <c r="F1330" s="16" t="s">
        <v>382</v>
      </c>
      <c r="G1330" s="13">
        <f>IFERROR(__xludf.DUMMYFUNCTION("if(counta(filter('Previous Rank'!$A$2:$A2766,'Previous Rank'!$B$2:$B2766=B1330,'Previous Rank'!$C$2:$C2766=C1330))=1,filter('Previous Rank'!$A$2:$A2766,'Previous Rank'!$B$2:$B2766=B1330,'Previous Rank'!$C$2:$C2766=C1330),"""")"),1316.0)</f>
        <v>1316</v>
      </c>
      <c r="H1330" s="8">
        <f t="shared" si="1"/>
        <v>-13</v>
      </c>
    </row>
    <row r="1331">
      <c r="A1331" s="10">
        <v>1330.0</v>
      </c>
      <c r="B1331" s="11" t="s">
        <v>1418</v>
      </c>
      <c r="C1331" s="10" t="s">
        <v>79</v>
      </c>
      <c r="D1331" s="10" t="s">
        <v>23</v>
      </c>
      <c r="E1331" s="15"/>
      <c r="F1331" s="15" t="s">
        <v>382</v>
      </c>
      <c r="G1331" s="13">
        <f>IFERROR(__xludf.DUMMYFUNCTION("if(counta(filter('Previous Rank'!$A$2:$A2766,'Previous Rank'!$B$2:$B2766=B1331,'Previous Rank'!$C$2:$C2766=C1331))=1,filter('Previous Rank'!$A$2:$A2766,'Previous Rank'!$B$2:$B2766=B1331,'Previous Rank'!$C$2:$C2766=C1331),"""")"),1317.0)</f>
        <v>1317</v>
      </c>
      <c r="H1331" s="8">
        <f t="shared" si="1"/>
        <v>-13</v>
      </c>
    </row>
    <row r="1332">
      <c r="A1332" s="10">
        <v>1331.0</v>
      </c>
      <c r="B1332" s="11" t="s">
        <v>1419</v>
      </c>
      <c r="C1332" s="10" t="s">
        <v>79</v>
      </c>
      <c r="D1332" s="10" t="s">
        <v>23</v>
      </c>
      <c r="E1332" s="16"/>
      <c r="F1332" s="16" t="s">
        <v>382</v>
      </c>
      <c r="G1332" s="13">
        <f>IFERROR(__xludf.DUMMYFUNCTION("if(counta(filter('Previous Rank'!$A$2:$A2766,'Previous Rank'!$B$2:$B2766=B1332,'Previous Rank'!$C$2:$C2766=C1332))=1,filter('Previous Rank'!$A$2:$A2766,'Previous Rank'!$B$2:$B2766=B1332,'Previous Rank'!$C$2:$C2766=C1332),"""")"),1318.0)</f>
        <v>1318</v>
      </c>
      <c r="H1332" s="8">
        <f t="shared" si="1"/>
        <v>-13</v>
      </c>
    </row>
    <row r="1333">
      <c r="A1333" s="10">
        <v>1332.0</v>
      </c>
      <c r="B1333" s="11" t="s">
        <v>1420</v>
      </c>
      <c r="C1333" s="10" t="s">
        <v>79</v>
      </c>
      <c r="D1333" s="10" t="s">
        <v>49</v>
      </c>
      <c r="E1333" s="15"/>
      <c r="F1333" s="15" t="s">
        <v>382</v>
      </c>
      <c r="G1333" s="13">
        <f>IFERROR(__xludf.DUMMYFUNCTION("if(counta(filter('Previous Rank'!$A$2:$A2766,'Previous Rank'!$B$2:$B2766=B1333,'Previous Rank'!$C$2:$C2766=C1333))=1,filter('Previous Rank'!$A$2:$A2766,'Previous Rank'!$B$2:$B2766=B1333,'Previous Rank'!$C$2:$C2766=C1333),"""")"),1319.0)</f>
        <v>1319</v>
      </c>
      <c r="H1333" s="8">
        <f t="shared" si="1"/>
        <v>-13</v>
      </c>
    </row>
    <row r="1334">
      <c r="A1334" s="10">
        <v>1333.0</v>
      </c>
      <c r="B1334" s="11" t="s">
        <v>1421</v>
      </c>
      <c r="C1334" s="10" t="s">
        <v>79</v>
      </c>
      <c r="D1334" s="10" t="s">
        <v>34</v>
      </c>
      <c r="E1334" s="16"/>
      <c r="F1334" s="16" t="s">
        <v>382</v>
      </c>
      <c r="G1334" s="13">
        <f>IFERROR(__xludf.DUMMYFUNCTION("if(counta(filter('Previous Rank'!$A$2:$A2766,'Previous Rank'!$B$2:$B2766=B1334,'Previous Rank'!$C$2:$C2766=C1334))=1,filter('Previous Rank'!$A$2:$A2766,'Previous Rank'!$B$2:$B2766=B1334,'Previous Rank'!$C$2:$C2766=C1334),"""")"),1320.0)</f>
        <v>1320</v>
      </c>
      <c r="H1334" s="8">
        <f t="shared" si="1"/>
        <v>-13</v>
      </c>
    </row>
    <row r="1335">
      <c r="A1335" s="10">
        <v>1334.0</v>
      </c>
      <c r="B1335" s="11" t="s">
        <v>1422</v>
      </c>
      <c r="C1335" s="10" t="s">
        <v>79</v>
      </c>
      <c r="D1335" s="10" t="s">
        <v>23</v>
      </c>
      <c r="E1335" s="15"/>
      <c r="F1335" s="15" t="s">
        <v>382</v>
      </c>
      <c r="G1335" s="13">
        <f>IFERROR(__xludf.DUMMYFUNCTION("if(counta(filter('Previous Rank'!$A$2:$A2766,'Previous Rank'!$B$2:$B2766=B1335,'Previous Rank'!$C$2:$C2766=C1335))=1,filter('Previous Rank'!$A$2:$A2766,'Previous Rank'!$B$2:$B2766=B1335,'Previous Rank'!$C$2:$C2766=C1335),"""")"),1321.0)</f>
        <v>1321</v>
      </c>
      <c r="H1335" s="8">
        <f t="shared" si="1"/>
        <v>-13</v>
      </c>
    </row>
    <row r="1336">
      <c r="A1336" s="10">
        <v>1335.0</v>
      </c>
      <c r="B1336" s="11" t="s">
        <v>1423</v>
      </c>
      <c r="C1336" s="10" t="s">
        <v>79</v>
      </c>
      <c r="D1336" s="10" t="s">
        <v>113</v>
      </c>
      <c r="E1336" s="16"/>
      <c r="F1336" s="16" t="s">
        <v>382</v>
      </c>
      <c r="G1336" s="13">
        <f>IFERROR(__xludf.DUMMYFUNCTION("if(counta(filter('Previous Rank'!$A$2:$A2766,'Previous Rank'!$B$2:$B2766=B1336,'Previous Rank'!$C$2:$C2766=C1336))=1,filter('Previous Rank'!$A$2:$A2766,'Previous Rank'!$B$2:$B2766=B1336,'Previous Rank'!$C$2:$C2766=C1336),"""")"),1322.0)</f>
        <v>1322</v>
      </c>
      <c r="H1336" s="8">
        <f t="shared" si="1"/>
        <v>-13</v>
      </c>
    </row>
    <row r="1337">
      <c r="A1337" s="10">
        <v>1336.0</v>
      </c>
      <c r="B1337" s="11" t="s">
        <v>1424</v>
      </c>
      <c r="C1337" s="10" t="s">
        <v>79</v>
      </c>
      <c r="D1337" s="10" t="s">
        <v>23</v>
      </c>
      <c r="E1337" s="15"/>
      <c r="F1337" s="15" t="s">
        <v>382</v>
      </c>
      <c r="G1337" s="13">
        <f>IFERROR(__xludf.DUMMYFUNCTION("if(counta(filter('Previous Rank'!$A$2:$A2766,'Previous Rank'!$B$2:$B2766=B1337,'Previous Rank'!$C$2:$C2766=C1337))=1,filter('Previous Rank'!$A$2:$A2766,'Previous Rank'!$B$2:$B2766=B1337,'Previous Rank'!$C$2:$C2766=C1337),"""")"),1323.0)</f>
        <v>1323</v>
      </c>
      <c r="H1337" s="8">
        <f t="shared" si="1"/>
        <v>-13</v>
      </c>
    </row>
    <row r="1338">
      <c r="A1338" s="10">
        <v>1337.0</v>
      </c>
      <c r="B1338" s="11" t="s">
        <v>1425</v>
      </c>
      <c r="C1338" s="10" t="s">
        <v>585</v>
      </c>
      <c r="D1338" s="10" t="s">
        <v>137</v>
      </c>
      <c r="E1338" s="16"/>
      <c r="F1338" s="16" t="s">
        <v>382</v>
      </c>
      <c r="G1338" s="13">
        <f>IFERROR(__xludf.DUMMYFUNCTION("if(counta(filter('Previous Rank'!$A$2:$A2766,'Previous Rank'!$B$2:$B2766=B1338,'Previous Rank'!$C$2:$C2766=C1338))=1,filter('Previous Rank'!$A$2:$A2766,'Previous Rank'!$B$2:$B2766=B1338,'Previous Rank'!$C$2:$C2766=C1338),"""")"),1324.0)</f>
        <v>1324</v>
      </c>
      <c r="H1338" s="8">
        <f t="shared" si="1"/>
        <v>-13</v>
      </c>
    </row>
    <row r="1339">
      <c r="A1339" s="10">
        <v>1338.0</v>
      </c>
      <c r="B1339" s="11" t="s">
        <v>1426</v>
      </c>
      <c r="C1339" s="10" t="s">
        <v>79</v>
      </c>
      <c r="D1339" s="10" t="s">
        <v>129</v>
      </c>
      <c r="E1339" s="15"/>
      <c r="F1339" s="15" t="s">
        <v>382</v>
      </c>
      <c r="G1339" s="13">
        <f>IFERROR(__xludf.DUMMYFUNCTION("if(counta(filter('Previous Rank'!$A$2:$A2766,'Previous Rank'!$B$2:$B2766=B1339,'Previous Rank'!$C$2:$C2766=C1339))=1,filter('Previous Rank'!$A$2:$A2766,'Previous Rank'!$B$2:$B2766=B1339,'Previous Rank'!$C$2:$C2766=C1339),"""")"),1325.0)</f>
        <v>1325</v>
      </c>
      <c r="H1339" s="8">
        <f t="shared" si="1"/>
        <v>-13</v>
      </c>
    </row>
    <row r="1340">
      <c r="A1340" s="10">
        <v>1339.0</v>
      </c>
      <c r="B1340" s="11" t="s">
        <v>1427</v>
      </c>
      <c r="C1340" s="10" t="s">
        <v>22</v>
      </c>
      <c r="D1340" s="10" t="s">
        <v>25</v>
      </c>
      <c r="E1340" s="16"/>
      <c r="F1340" s="16" t="s">
        <v>382</v>
      </c>
      <c r="G1340" s="13">
        <f>IFERROR(__xludf.DUMMYFUNCTION("if(counta(filter('Previous Rank'!$A$2:$A2766,'Previous Rank'!$B$2:$B2766=B1340,'Previous Rank'!$C$2:$C2766=C1340))=1,filter('Previous Rank'!$A$2:$A2766,'Previous Rank'!$B$2:$B2766=B1340,'Previous Rank'!$C$2:$C2766=C1340),"""")"),1326.0)</f>
        <v>1326</v>
      </c>
      <c r="H1340" s="8">
        <f t="shared" si="1"/>
        <v>-13</v>
      </c>
    </row>
    <row r="1341">
      <c r="A1341" s="10">
        <v>1340.0</v>
      </c>
      <c r="B1341" s="11" t="s">
        <v>1428</v>
      </c>
      <c r="C1341" s="10" t="s">
        <v>79</v>
      </c>
      <c r="D1341" s="10" t="s">
        <v>122</v>
      </c>
      <c r="E1341" s="15"/>
      <c r="F1341" s="15" t="s">
        <v>382</v>
      </c>
      <c r="G1341" s="13">
        <f>IFERROR(__xludf.DUMMYFUNCTION("if(counta(filter('Previous Rank'!$A$2:$A2766,'Previous Rank'!$B$2:$B2766=B1341,'Previous Rank'!$C$2:$C2766=C1341))=1,filter('Previous Rank'!$A$2:$A2766,'Previous Rank'!$B$2:$B2766=B1341,'Previous Rank'!$C$2:$C2766=C1341),"""")"),1327.0)</f>
        <v>1327</v>
      </c>
      <c r="H1341" s="8">
        <f t="shared" si="1"/>
        <v>-13</v>
      </c>
    </row>
    <row r="1342">
      <c r="A1342" s="10">
        <v>1341.0</v>
      </c>
      <c r="B1342" s="11" t="s">
        <v>1429</v>
      </c>
      <c r="C1342" s="10" t="s">
        <v>79</v>
      </c>
      <c r="D1342" s="10" t="s">
        <v>25</v>
      </c>
      <c r="E1342" s="16"/>
      <c r="F1342" s="16" t="s">
        <v>382</v>
      </c>
      <c r="G1342" s="13">
        <f>IFERROR(__xludf.DUMMYFUNCTION("if(counta(filter('Previous Rank'!$A$2:$A2766,'Previous Rank'!$B$2:$B2766=B1342,'Previous Rank'!$C$2:$C2766=C1342))=1,filter('Previous Rank'!$A$2:$A2766,'Previous Rank'!$B$2:$B2766=B1342,'Previous Rank'!$C$2:$C2766=C1342),"""")"),1328.0)</f>
        <v>1328</v>
      </c>
      <c r="H1342" s="8">
        <f t="shared" si="1"/>
        <v>-13</v>
      </c>
    </row>
    <row r="1343">
      <c r="A1343" s="10">
        <v>1342.0</v>
      </c>
      <c r="B1343" s="11" t="s">
        <v>1430</v>
      </c>
      <c r="C1343" s="10" t="s">
        <v>79</v>
      </c>
      <c r="D1343" s="10" t="s">
        <v>18</v>
      </c>
      <c r="E1343" s="15"/>
      <c r="F1343" s="15" t="s">
        <v>382</v>
      </c>
      <c r="G1343" s="13">
        <f>IFERROR(__xludf.DUMMYFUNCTION("if(counta(filter('Previous Rank'!$A$2:$A2766,'Previous Rank'!$B$2:$B2766=B1343,'Previous Rank'!$C$2:$C2766=C1343))=1,filter('Previous Rank'!$A$2:$A2766,'Previous Rank'!$B$2:$B2766=B1343,'Previous Rank'!$C$2:$C2766=C1343),"""")"),1329.0)</f>
        <v>1329</v>
      </c>
      <c r="H1343" s="8">
        <f t="shared" si="1"/>
        <v>-13</v>
      </c>
    </row>
    <row r="1344">
      <c r="A1344" s="10">
        <v>1343.0</v>
      </c>
      <c r="B1344" s="11" t="s">
        <v>1431</v>
      </c>
      <c r="C1344" s="10" t="s">
        <v>79</v>
      </c>
      <c r="D1344" s="10" t="s">
        <v>34</v>
      </c>
      <c r="E1344" s="16"/>
      <c r="F1344" s="16" t="s">
        <v>382</v>
      </c>
      <c r="G1344" s="13">
        <f>IFERROR(__xludf.DUMMYFUNCTION("if(counta(filter('Previous Rank'!$A$2:$A2766,'Previous Rank'!$B$2:$B2766=B1344,'Previous Rank'!$C$2:$C2766=C1344))=1,filter('Previous Rank'!$A$2:$A2766,'Previous Rank'!$B$2:$B2766=B1344,'Previous Rank'!$C$2:$C2766=C1344),"""")"),1330.0)</f>
        <v>1330</v>
      </c>
      <c r="H1344" s="8">
        <f t="shared" si="1"/>
        <v>-13</v>
      </c>
    </row>
    <row r="1345">
      <c r="A1345" s="10">
        <v>1344.0</v>
      </c>
      <c r="B1345" s="11" t="s">
        <v>1432</v>
      </c>
      <c r="C1345" s="10" t="s">
        <v>22</v>
      </c>
      <c r="D1345" s="10" t="s">
        <v>27</v>
      </c>
      <c r="E1345" s="15"/>
      <c r="F1345" s="15" t="s">
        <v>382</v>
      </c>
      <c r="G1345" s="13">
        <f>IFERROR(__xludf.DUMMYFUNCTION("if(counta(filter('Previous Rank'!$A$2:$A2766,'Previous Rank'!$B$2:$B2766=B1345,'Previous Rank'!$C$2:$C2766=C1345))=1,filter('Previous Rank'!$A$2:$A2766,'Previous Rank'!$B$2:$B2766=B1345,'Previous Rank'!$C$2:$C2766=C1345),"""")"),1331.0)</f>
        <v>1331</v>
      </c>
      <c r="H1345" s="8">
        <f t="shared" si="1"/>
        <v>-13</v>
      </c>
    </row>
    <row r="1346">
      <c r="A1346" s="10">
        <v>1345.0</v>
      </c>
      <c r="B1346" s="11" t="s">
        <v>1433</v>
      </c>
      <c r="C1346" s="10" t="s">
        <v>79</v>
      </c>
      <c r="D1346" s="10" t="s">
        <v>90</v>
      </c>
      <c r="E1346" s="16"/>
      <c r="F1346" s="16" t="s">
        <v>382</v>
      </c>
      <c r="G1346" s="13">
        <f>IFERROR(__xludf.DUMMYFUNCTION("if(counta(filter('Previous Rank'!$A$2:$A2766,'Previous Rank'!$B$2:$B2766=B1346,'Previous Rank'!$C$2:$C2766=C1346))=1,filter('Previous Rank'!$A$2:$A2766,'Previous Rank'!$B$2:$B2766=B1346,'Previous Rank'!$C$2:$C2766=C1346),"""")"),1332.0)</f>
        <v>1332</v>
      </c>
      <c r="H1346" s="8">
        <f t="shared" si="1"/>
        <v>-13</v>
      </c>
    </row>
    <row r="1347">
      <c r="A1347" s="10">
        <v>1346.0</v>
      </c>
      <c r="B1347" s="11" t="s">
        <v>1434</v>
      </c>
      <c r="C1347" s="10" t="s">
        <v>79</v>
      </c>
      <c r="D1347" s="10" t="s">
        <v>9</v>
      </c>
      <c r="E1347" s="15"/>
      <c r="F1347" s="15" t="s">
        <v>382</v>
      </c>
      <c r="G1347" s="13">
        <f>IFERROR(__xludf.DUMMYFUNCTION("if(counta(filter('Previous Rank'!$A$2:$A2766,'Previous Rank'!$B$2:$B2766=B1347,'Previous Rank'!$C$2:$C2766=C1347))=1,filter('Previous Rank'!$A$2:$A2766,'Previous Rank'!$B$2:$B2766=B1347,'Previous Rank'!$C$2:$C2766=C1347),"""")"),1334.0)</f>
        <v>1334</v>
      </c>
      <c r="H1347" s="8">
        <f t="shared" si="1"/>
        <v>-12</v>
      </c>
    </row>
    <row r="1348">
      <c r="A1348" s="10">
        <v>1347.0</v>
      </c>
      <c r="B1348" s="11" t="s">
        <v>1435</v>
      </c>
      <c r="C1348" s="10" t="s">
        <v>79</v>
      </c>
      <c r="D1348" s="10" t="s">
        <v>15</v>
      </c>
      <c r="E1348" s="16"/>
      <c r="F1348" s="16" t="s">
        <v>382</v>
      </c>
      <c r="G1348" s="13">
        <f>IFERROR(__xludf.DUMMYFUNCTION("if(counta(filter('Previous Rank'!$A$2:$A2766,'Previous Rank'!$B$2:$B2766=B1348,'Previous Rank'!$C$2:$C2766=C1348))=1,filter('Previous Rank'!$A$2:$A2766,'Previous Rank'!$B$2:$B2766=B1348,'Previous Rank'!$C$2:$C2766=C1348),"""")"),1335.0)</f>
        <v>1335</v>
      </c>
      <c r="H1348" s="8">
        <f t="shared" si="1"/>
        <v>-12</v>
      </c>
    </row>
    <row r="1349">
      <c r="A1349" s="10">
        <v>1348.0</v>
      </c>
      <c r="B1349" s="11" t="s">
        <v>1436</v>
      </c>
      <c r="C1349" s="10" t="s">
        <v>79</v>
      </c>
      <c r="D1349" s="10" t="s">
        <v>49</v>
      </c>
      <c r="E1349" s="15"/>
      <c r="F1349" s="15" t="s">
        <v>382</v>
      </c>
      <c r="G1349" s="13">
        <f>IFERROR(__xludf.DUMMYFUNCTION("if(counta(filter('Previous Rank'!$A$2:$A2766,'Previous Rank'!$B$2:$B2766=B1349,'Previous Rank'!$C$2:$C2766=C1349))=1,filter('Previous Rank'!$A$2:$A2766,'Previous Rank'!$B$2:$B2766=B1349,'Previous Rank'!$C$2:$C2766=C1349),"""")"),1336.0)</f>
        <v>1336</v>
      </c>
      <c r="H1349" s="8">
        <f t="shared" si="1"/>
        <v>-12</v>
      </c>
    </row>
    <row r="1350">
      <c r="A1350" s="10">
        <v>1349.0</v>
      </c>
      <c r="B1350" s="11" t="s">
        <v>1437</v>
      </c>
      <c r="C1350" s="10" t="s">
        <v>79</v>
      </c>
      <c r="D1350" s="10" t="s">
        <v>25</v>
      </c>
      <c r="E1350" s="16"/>
      <c r="F1350" s="16" t="s">
        <v>382</v>
      </c>
      <c r="G1350" s="13">
        <f>IFERROR(__xludf.DUMMYFUNCTION("if(counta(filter('Previous Rank'!$A$2:$A2766,'Previous Rank'!$B$2:$B2766=B1350,'Previous Rank'!$C$2:$C2766=C1350))=1,filter('Previous Rank'!$A$2:$A2766,'Previous Rank'!$B$2:$B2766=B1350,'Previous Rank'!$C$2:$C2766=C1350),"""")"),1337.0)</f>
        <v>1337</v>
      </c>
      <c r="H1350" s="8">
        <f t="shared" si="1"/>
        <v>-12</v>
      </c>
    </row>
    <row r="1351">
      <c r="A1351" s="10">
        <v>1350.0</v>
      </c>
      <c r="B1351" s="11" t="s">
        <v>1438</v>
      </c>
      <c r="C1351" s="10" t="s">
        <v>220</v>
      </c>
      <c r="D1351" s="10" t="s">
        <v>90</v>
      </c>
      <c r="E1351" s="15"/>
      <c r="F1351" s="15" t="s">
        <v>382</v>
      </c>
      <c r="G1351" s="13">
        <f>IFERROR(__xludf.DUMMYFUNCTION("if(counta(filter('Previous Rank'!$A$2:$A2766,'Previous Rank'!$B$2:$B2766=B1351,'Previous Rank'!$C$2:$C2766=C1351))=1,filter('Previous Rank'!$A$2:$A2766,'Previous Rank'!$B$2:$B2766=B1351,'Previous Rank'!$C$2:$C2766=C1351),"""")"),1338.0)</f>
        <v>1338</v>
      </c>
      <c r="H1351" s="8">
        <f t="shared" si="1"/>
        <v>-12</v>
      </c>
    </row>
    <row r="1352">
      <c r="A1352" s="10">
        <v>1351.0</v>
      </c>
      <c r="B1352" s="11" t="s">
        <v>1439</v>
      </c>
      <c r="C1352" s="10" t="s">
        <v>22</v>
      </c>
      <c r="D1352" s="10" t="s">
        <v>31</v>
      </c>
      <c r="E1352" s="16"/>
      <c r="F1352" s="16" t="s">
        <v>382</v>
      </c>
      <c r="G1352" s="13">
        <f>IFERROR(__xludf.DUMMYFUNCTION("if(counta(filter('Previous Rank'!$A$2:$A2766,'Previous Rank'!$B$2:$B2766=B1352,'Previous Rank'!$C$2:$C2766=C1352))=1,filter('Previous Rank'!$A$2:$A2766,'Previous Rank'!$B$2:$B2766=B1352,'Previous Rank'!$C$2:$C2766=C1352),"""")"),1339.0)</f>
        <v>1339</v>
      </c>
      <c r="H1352" s="8">
        <f t="shared" si="1"/>
        <v>-12</v>
      </c>
    </row>
    <row r="1353">
      <c r="A1353" s="10">
        <v>1352.0</v>
      </c>
      <c r="B1353" s="11" t="s">
        <v>1440</v>
      </c>
      <c r="C1353" s="10" t="s">
        <v>79</v>
      </c>
      <c r="D1353" s="10" t="s">
        <v>15</v>
      </c>
      <c r="E1353" s="15"/>
      <c r="F1353" s="15" t="s">
        <v>382</v>
      </c>
      <c r="G1353" s="13">
        <f>IFERROR(__xludf.DUMMYFUNCTION("if(counta(filter('Previous Rank'!$A$2:$A2766,'Previous Rank'!$B$2:$B2766=B1353,'Previous Rank'!$C$2:$C2766=C1353))=1,filter('Previous Rank'!$A$2:$A2766,'Previous Rank'!$B$2:$B2766=B1353,'Previous Rank'!$C$2:$C2766=C1353),"""")"),1340.0)</f>
        <v>1340</v>
      </c>
      <c r="H1353" s="8">
        <f t="shared" si="1"/>
        <v>-12</v>
      </c>
    </row>
    <row r="1354">
      <c r="A1354" s="10">
        <v>1353.0</v>
      </c>
      <c r="B1354" s="11" t="s">
        <v>1441</v>
      </c>
      <c r="C1354" s="10" t="s">
        <v>79</v>
      </c>
      <c r="D1354" s="10" t="s">
        <v>42</v>
      </c>
      <c r="E1354" s="16"/>
      <c r="F1354" s="16" t="s">
        <v>382</v>
      </c>
      <c r="G1354" s="13">
        <f>IFERROR(__xludf.DUMMYFUNCTION("if(counta(filter('Previous Rank'!$A$2:$A2766,'Previous Rank'!$B$2:$B2766=B1354,'Previous Rank'!$C$2:$C2766=C1354))=1,filter('Previous Rank'!$A$2:$A2766,'Previous Rank'!$B$2:$B2766=B1354,'Previous Rank'!$C$2:$C2766=C1354),"""")"),1341.0)</f>
        <v>1341</v>
      </c>
      <c r="H1354" s="8">
        <f t="shared" si="1"/>
        <v>-12</v>
      </c>
    </row>
    <row r="1355">
      <c r="A1355" s="10">
        <v>1354.0</v>
      </c>
      <c r="B1355" s="11" t="s">
        <v>1442</v>
      </c>
      <c r="C1355" s="10" t="s">
        <v>79</v>
      </c>
      <c r="D1355" s="10" t="s">
        <v>82</v>
      </c>
      <c r="E1355" s="15"/>
      <c r="F1355" s="15" t="s">
        <v>382</v>
      </c>
      <c r="G1355" s="13">
        <f>IFERROR(__xludf.DUMMYFUNCTION("if(counta(filter('Previous Rank'!$A$2:$A2766,'Previous Rank'!$B$2:$B2766=B1355,'Previous Rank'!$C$2:$C2766=C1355))=1,filter('Previous Rank'!$A$2:$A2766,'Previous Rank'!$B$2:$B2766=B1355,'Previous Rank'!$C$2:$C2766=C1355),"""")"),1342.0)</f>
        <v>1342</v>
      </c>
      <c r="H1355" s="8">
        <f t="shared" si="1"/>
        <v>-12</v>
      </c>
    </row>
    <row r="1356">
      <c r="A1356" s="10">
        <v>1355.0</v>
      </c>
      <c r="B1356" s="11" t="s">
        <v>1443</v>
      </c>
      <c r="C1356" s="10" t="s">
        <v>79</v>
      </c>
      <c r="D1356" s="10" t="s">
        <v>25</v>
      </c>
      <c r="E1356" s="16"/>
      <c r="F1356" s="16" t="s">
        <v>382</v>
      </c>
      <c r="G1356" s="13">
        <f>IFERROR(__xludf.DUMMYFUNCTION("if(counta(filter('Previous Rank'!$A$2:$A2766,'Previous Rank'!$B$2:$B2766=B1356,'Previous Rank'!$C$2:$C2766=C1356))=1,filter('Previous Rank'!$A$2:$A2766,'Previous Rank'!$B$2:$B2766=B1356,'Previous Rank'!$C$2:$C2766=C1356),"""")"),1343.0)</f>
        <v>1343</v>
      </c>
      <c r="H1356" s="8">
        <f t="shared" si="1"/>
        <v>-12</v>
      </c>
    </row>
    <row r="1357">
      <c r="A1357" s="10">
        <v>1356.0</v>
      </c>
      <c r="B1357" s="11" t="s">
        <v>1444</v>
      </c>
      <c r="C1357" s="10" t="s">
        <v>79</v>
      </c>
      <c r="D1357" s="10" t="s">
        <v>49</v>
      </c>
      <c r="E1357" s="15"/>
      <c r="F1357" s="15" t="s">
        <v>382</v>
      </c>
      <c r="G1357" s="13">
        <f>IFERROR(__xludf.DUMMYFUNCTION("if(counta(filter('Previous Rank'!$A$2:$A2766,'Previous Rank'!$B$2:$B2766=B1357,'Previous Rank'!$C$2:$C2766=C1357))=1,filter('Previous Rank'!$A$2:$A2766,'Previous Rank'!$B$2:$B2766=B1357,'Previous Rank'!$C$2:$C2766=C1357),"""")"),1344.0)</f>
        <v>1344</v>
      </c>
      <c r="H1357" s="8">
        <f t="shared" si="1"/>
        <v>-12</v>
      </c>
    </row>
    <row r="1358">
      <c r="A1358" s="10">
        <v>1357.0</v>
      </c>
      <c r="B1358" s="11" t="s">
        <v>1445</v>
      </c>
      <c r="C1358" s="10" t="s">
        <v>79</v>
      </c>
      <c r="D1358" s="10" t="s">
        <v>36</v>
      </c>
      <c r="E1358" s="16"/>
      <c r="F1358" s="16" t="s">
        <v>382</v>
      </c>
      <c r="G1358" s="13">
        <f>IFERROR(__xludf.DUMMYFUNCTION("if(counta(filter('Previous Rank'!$A$2:$A2766,'Previous Rank'!$B$2:$B2766=B1358,'Previous Rank'!$C$2:$C2766=C1358))=1,filter('Previous Rank'!$A$2:$A2766,'Previous Rank'!$B$2:$B2766=B1358,'Previous Rank'!$C$2:$C2766=C1358),"""")"),1345.0)</f>
        <v>1345</v>
      </c>
      <c r="H1358" s="8">
        <f t="shared" si="1"/>
        <v>-12</v>
      </c>
    </row>
    <row r="1359">
      <c r="A1359" s="10">
        <v>1358.0</v>
      </c>
      <c r="B1359" s="11" t="s">
        <v>1446</v>
      </c>
      <c r="C1359" s="10" t="s">
        <v>22</v>
      </c>
      <c r="D1359" s="10" t="s">
        <v>42</v>
      </c>
      <c r="E1359" s="15"/>
      <c r="F1359" s="15" t="s">
        <v>382</v>
      </c>
      <c r="G1359" s="13">
        <f>IFERROR(__xludf.DUMMYFUNCTION("if(counta(filter('Previous Rank'!$A$2:$A2766,'Previous Rank'!$B$2:$B2766=B1359,'Previous Rank'!$C$2:$C2766=C1359))=1,filter('Previous Rank'!$A$2:$A2766,'Previous Rank'!$B$2:$B2766=B1359,'Previous Rank'!$C$2:$C2766=C1359),"""")"),1346.0)</f>
        <v>1346</v>
      </c>
      <c r="H1359" s="8">
        <f t="shared" si="1"/>
        <v>-12</v>
      </c>
    </row>
    <row r="1360">
      <c r="A1360" s="10">
        <v>1359.0</v>
      </c>
      <c r="B1360" s="11" t="s">
        <v>1447</v>
      </c>
      <c r="C1360" s="10" t="s">
        <v>79</v>
      </c>
      <c r="D1360" s="10" t="s">
        <v>34</v>
      </c>
      <c r="E1360" s="16"/>
      <c r="F1360" s="16" t="s">
        <v>382</v>
      </c>
      <c r="G1360" s="13">
        <f>IFERROR(__xludf.DUMMYFUNCTION("if(counta(filter('Previous Rank'!$A$2:$A2766,'Previous Rank'!$B$2:$B2766=B1360,'Previous Rank'!$C$2:$C2766=C1360))=1,filter('Previous Rank'!$A$2:$A2766,'Previous Rank'!$B$2:$B2766=B1360,'Previous Rank'!$C$2:$C2766=C1360),"""")"),1347.0)</f>
        <v>1347</v>
      </c>
      <c r="H1360" s="8">
        <f t="shared" si="1"/>
        <v>-12</v>
      </c>
    </row>
    <row r="1361">
      <c r="A1361" s="10">
        <v>1360.0</v>
      </c>
      <c r="B1361" s="11" t="s">
        <v>1448</v>
      </c>
      <c r="C1361" s="10" t="s">
        <v>22</v>
      </c>
      <c r="D1361" s="10" t="s">
        <v>71</v>
      </c>
      <c r="E1361" s="15"/>
      <c r="F1361" s="15" t="s">
        <v>382</v>
      </c>
      <c r="G1361" s="13">
        <f>IFERROR(__xludf.DUMMYFUNCTION("if(counta(filter('Previous Rank'!$A$2:$A2766,'Previous Rank'!$B$2:$B2766=B1361,'Previous Rank'!$C$2:$C2766=C1361))=1,filter('Previous Rank'!$A$2:$A2766,'Previous Rank'!$B$2:$B2766=B1361,'Previous Rank'!$C$2:$C2766=C1361),"""")"),1348.0)</f>
        <v>1348</v>
      </c>
      <c r="H1361" s="8">
        <f t="shared" si="1"/>
        <v>-12</v>
      </c>
    </row>
    <row r="1362">
      <c r="A1362" s="10">
        <v>1361.0</v>
      </c>
      <c r="B1362" s="11" t="s">
        <v>1449</v>
      </c>
      <c r="C1362" s="10" t="s">
        <v>22</v>
      </c>
      <c r="D1362" s="10" t="s">
        <v>129</v>
      </c>
      <c r="E1362" s="16"/>
      <c r="F1362" s="16" t="s">
        <v>382</v>
      </c>
      <c r="G1362" s="13">
        <f>IFERROR(__xludf.DUMMYFUNCTION("if(counta(filter('Previous Rank'!$A$2:$A2766,'Previous Rank'!$B$2:$B2766=B1362,'Previous Rank'!$C$2:$C2766=C1362))=1,filter('Previous Rank'!$A$2:$A2766,'Previous Rank'!$B$2:$B2766=B1362,'Previous Rank'!$C$2:$C2766=C1362),"""")"),1349.0)</f>
        <v>1349</v>
      </c>
      <c r="H1362" s="8">
        <f t="shared" si="1"/>
        <v>-12</v>
      </c>
    </row>
    <row r="1363">
      <c r="A1363" s="10">
        <v>1362.0</v>
      </c>
      <c r="B1363" s="11" t="s">
        <v>1450</v>
      </c>
      <c r="C1363" s="10" t="s">
        <v>79</v>
      </c>
      <c r="D1363" s="10" t="s">
        <v>25</v>
      </c>
      <c r="E1363" s="15"/>
      <c r="F1363" s="15" t="s">
        <v>382</v>
      </c>
      <c r="G1363" s="13">
        <f>IFERROR(__xludf.DUMMYFUNCTION("if(counta(filter('Previous Rank'!$A$2:$A2766,'Previous Rank'!$B$2:$B2766=B1363,'Previous Rank'!$C$2:$C2766=C1363))=1,filter('Previous Rank'!$A$2:$A2766,'Previous Rank'!$B$2:$B2766=B1363,'Previous Rank'!$C$2:$C2766=C1363),"""")"),1350.0)</f>
        <v>1350</v>
      </c>
      <c r="H1363" s="8">
        <f t="shared" si="1"/>
        <v>-12</v>
      </c>
    </row>
    <row r="1364">
      <c r="A1364" s="10">
        <v>1363.0</v>
      </c>
      <c r="B1364" s="11" t="s">
        <v>1451</v>
      </c>
      <c r="C1364" s="10" t="s">
        <v>79</v>
      </c>
      <c r="D1364" s="10" t="s">
        <v>25</v>
      </c>
      <c r="E1364" s="16"/>
      <c r="F1364" s="16" t="s">
        <v>382</v>
      </c>
      <c r="G1364" s="13">
        <f>IFERROR(__xludf.DUMMYFUNCTION("if(counta(filter('Previous Rank'!$A$2:$A2766,'Previous Rank'!$B$2:$B2766=B1364,'Previous Rank'!$C$2:$C2766=C1364))=1,filter('Previous Rank'!$A$2:$A2766,'Previous Rank'!$B$2:$B2766=B1364,'Previous Rank'!$C$2:$C2766=C1364),"""")"),1351.0)</f>
        <v>1351</v>
      </c>
      <c r="H1364" s="8">
        <f t="shared" si="1"/>
        <v>-12</v>
      </c>
    </row>
    <row r="1365">
      <c r="A1365" s="10">
        <v>1364.0</v>
      </c>
      <c r="B1365" s="11" t="s">
        <v>1452</v>
      </c>
      <c r="C1365" s="10" t="s">
        <v>79</v>
      </c>
      <c r="D1365" s="10" t="s">
        <v>90</v>
      </c>
      <c r="E1365" s="15"/>
      <c r="F1365" s="15" t="s">
        <v>382</v>
      </c>
      <c r="G1365" s="13">
        <f>IFERROR(__xludf.DUMMYFUNCTION("if(counta(filter('Previous Rank'!$A$2:$A2766,'Previous Rank'!$B$2:$B2766=B1365,'Previous Rank'!$C$2:$C2766=C1365))=1,filter('Previous Rank'!$A$2:$A2766,'Previous Rank'!$B$2:$B2766=B1365,'Previous Rank'!$C$2:$C2766=C1365),"""")"),1352.0)</f>
        <v>1352</v>
      </c>
      <c r="H1365" s="8">
        <f t="shared" si="1"/>
        <v>-12</v>
      </c>
    </row>
    <row r="1366">
      <c r="A1366" s="10">
        <v>1365.0</v>
      </c>
      <c r="B1366" s="11" t="s">
        <v>1453</v>
      </c>
      <c r="C1366" s="10" t="s">
        <v>22</v>
      </c>
      <c r="D1366" s="10" t="s">
        <v>9</v>
      </c>
      <c r="E1366" s="16"/>
      <c r="F1366" s="16" t="s">
        <v>382</v>
      </c>
      <c r="G1366" s="13">
        <f>IFERROR(__xludf.DUMMYFUNCTION("if(counta(filter('Previous Rank'!$A$2:$A2766,'Previous Rank'!$B$2:$B2766=B1366,'Previous Rank'!$C$2:$C2766=C1366))=1,filter('Previous Rank'!$A$2:$A2766,'Previous Rank'!$B$2:$B2766=B1366,'Previous Rank'!$C$2:$C2766=C1366),"""")"),1353.0)</f>
        <v>1353</v>
      </c>
      <c r="H1366" s="8">
        <f t="shared" si="1"/>
        <v>-12</v>
      </c>
    </row>
    <row r="1367">
      <c r="A1367" s="10">
        <v>1366.0</v>
      </c>
      <c r="B1367" s="11" t="s">
        <v>1454</v>
      </c>
      <c r="C1367" s="10" t="s">
        <v>79</v>
      </c>
      <c r="D1367" s="10" t="s">
        <v>34</v>
      </c>
      <c r="E1367" s="15"/>
      <c r="F1367" s="15" t="s">
        <v>382</v>
      </c>
      <c r="G1367" s="13">
        <f>IFERROR(__xludf.DUMMYFUNCTION("if(counta(filter('Previous Rank'!$A$2:$A2766,'Previous Rank'!$B$2:$B2766=B1367,'Previous Rank'!$C$2:$C2766=C1367))=1,filter('Previous Rank'!$A$2:$A2766,'Previous Rank'!$B$2:$B2766=B1367,'Previous Rank'!$C$2:$C2766=C1367),"""")"),1354.0)</f>
        <v>1354</v>
      </c>
      <c r="H1367" s="8">
        <f t="shared" si="1"/>
        <v>-12</v>
      </c>
    </row>
    <row r="1368">
      <c r="A1368" s="10">
        <v>1367.0</v>
      </c>
      <c r="B1368" s="11" t="s">
        <v>1455</v>
      </c>
      <c r="C1368" s="10" t="s">
        <v>79</v>
      </c>
      <c r="D1368" s="10" t="s">
        <v>137</v>
      </c>
      <c r="E1368" s="16"/>
      <c r="F1368" s="16" t="s">
        <v>382</v>
      </c>
      <c r="G1368" s="13">
        <f>IFERROR(__xludf.DUMMYFUNCTION("if(counta(filter('Previous Rank'!$A$2:$A2766,'Previous Rank'!$B$2:$B2766=B1368,'Previous Rank'!$C$2:$C2766=C1368))=1,filter('Previous Rank'!$A$2:$A2766,'Previous Rank'!$B$2:$B2766=B1368,'Previous Rank'!$C$2:$C2766=C1368),"""")"),1355.0)</f>
        <v>1355</v>
      </c>
      <c r="H1368" s="8">
        <f t="shared" si="1"/>
        <v>-12</v>
      </c>
    </row>
    <row r="1369">
      <c r="A1369" s="10">
        <v>1368.0</v>
      </c>
      <c r="B1369" s="11" t="s">
        <v>1456</v>
      </c>
      <c r="C1369" s="10" t="s">
        <v>79</v>
      </c>
      <c r="D1369" s="10" t="s">
        <v>99</v>
      </c>
      <c r="E1369" s="15"/>
      <c r="F1369" s="15" t="s">
        <v>382</v>
      </c>
      <c r="G1369" s="13">
        <f>IFERROR(__xludf.DUMMYFUNCTION("if(counta(filter('Previous Rank'!$A$2:$A2766,'Previous Rank'!$B$2:$B2766=B1369,'Previous Rank'!$C$2:$C2766=C1369))=1,filter('Previous Rank'!$A$2:$A2766,'Previous Rank'!$B$2:$B2766=B1369,'Previous Rank'!$C$2:$C2766=C1369),"""")"),1356.0)</f>
        <v>1356</v>
      </c>
      <c r="H1369" s="8">
        <f t="shared" si="1"/>
        <v>-12</v>
      </c>
    </row>
    <row r="1370">
      <c r="A1370" s="10">
        <v>1369.0</v>
      </c>
      <c r="B1370" s="11" t="s">
        <v>1457</v>
      </c>
      <c r="C1370" s="10" t="s">
        <v>79</v>
      </c>
      <c r="D1370" s="10" t="s">
        <v>71</v>
      </c>
      <c r="E1370" s="16"/>
      <c r="F1370" s="16" t="s">
        <v>382</v>
      </c>
      <c r="G1370" s="13">
        <f>IFERROR(__xludf.DUMMYFUNCTION("if(counta(filter('Previous Rank'!$A$2:$A2766,'Previous Rank'!$B$2:$B2766=B1370,'Previous Rank'!$C$2:$C2766=C1370))=1,filter('Previous Rank'!$A$2:$A2766,'Previous Rank'!$B$2:$B2766=B1370,'Previous Rank'!$C$2:$C2766=C1370),"""")"),1357.0)</f>
        <v>1357</v>
      </c>
      <c r="H1370" s="8">
        <f t="shared" si="1"/>
        <v>-12</v>
      </c>
    </row>
    <row r="1371">
      <c r="A1371" s="10">
        <v>1370.0</v>
      </c>
      <c r="B1371" s="11" t="s">
        <v>1458</v>
      </c>
      <c r="C1371" s="10" t="s">
        <v>79</v>
      </c>
      <c r="D1371" s="10" t="s">
        <v>113</v>
      </c>
      <c r="E1371" s="15"/>
      <c r="F1371" s="15" t="s">
        <v>382</v>
      </c>
      <c r="G1371" s="13">
        <f>IFERROR(__xludf.DUMMYFUNCTION("if(counta(filter('Previous Rank'!$A$2:$A2766,'Previous Rank'!$B$2:$B2766=B1371,'Previous Rank'!$C$2:$C2766=C1371))=1,filter('Previous Rank'!$A$2:$A2766,'Previous Rank'!$B$2:$B2766=B1371,'Previous Rank'!$C$2:$C2766=C1371),"""")"),1358.0)</f>
        <v>1358</v>
      </c>
      <c r="H1371" s="8">
        <f t="shared" si="1"/>
        <v>-12</v>
      </c>
    </row>
    <row r="1372">
      <c r="A1372" s="10">
        <v>1371.0</v>
      </c>
      <c r="B1372" s="11" t="s">
        <v>1459</v>
      </c>
      <c r="C1372" s="10" t="s">
        <v>79</v>
      </c>
      <c r="D1372" s="10" t="s">
        <v>31</v>
      </c>
      <c r="E1372" s="16"/>
      <c r="F1372" s="16" t="s">
        <v>382</v>
      </c>
      <c r="G1372" s="13">
        <f>IFERROR(__xludf.DUMMYFUNCTION("if(counta(filter('Previous Rank'!$A$2:$A2766,'Previous Rank'!$B$2:$B2766=B1372,'Previous Rank'!$C$2:$C2766=C1372))=1,filter('Previous Rank'!$A$2:$A2766,'Previous Rank'!$B$2:$B2766=B1372,'Previous Rank'!$C$2:$C2766=C1372),"""")"),1359.0)</f>
        <v>1359</v>
      </c>
      <c r="H1372" s="8">
        <f t="shared" si="1"/>
        <v>-12</v>
      </c>
    </row>
    <row r="1373">
      <c r="A1373" s="10">
        <v>1372.0</v>
      </c>
      <c r="B1373" s="11" t="s">
        <v>1460</v>
      </c>
      <c r="C1373" s="10" t="s">
        <v>79</v>
      </c>
      <c r="D1373" s="10" t="s">
        <v>12</v>
      </c>
      <c r="E1373" s="12"/>
      <c r="F1373" s="12" t="s">
        <v>382</v>
      </c>
      <c r="G1373" s="13">
        <f>IFERROR(__xludf.DUMMYFUNCTION("if(counta(filter('Previous Rank'!$A$2:$A2766,'Previous Rank'!$B$2:$B2766=B1373,'Previous Rank'!$C$2:$C2766=C1373))=1,filter('Previous Rank'!$A$2:$A2766,'Previous Rank'!$B$2:$B2766=B1373,'Previous Rank'!$C$2:$C2766=C1373),"""")"),1360.0)</f>
        <v>1360</v>
      </c>
      <c r="H1373" s="8">
        <f t="shared" si="1"/>
        <v>-12</v>
      </c>
    </row>
    <row r="1374">
      <c r="A1374" s="10">
        <v>1373.0</v>
      </c>
      <c r="B1374" s="11" t="s">
        <v>1461</v>
      </c>
      <c r="C1374" s="10" t="s">
        <v>79</v>
      </c>
      <c r="D1374" s="10" t="s">
        <v>95</v>
      </c>
      <c r="E1374" s="16"/>
      <c r="F1374" s="16" t="s">
        <v>382</v>
      </c>
      <c r="G1374" s="13">
        <f>IFERROR(__xludf.DUMMYFUNCTION("if(counta(filter('Previous Rank'!$A$2:$A2766,'Previous Rank'!$B$2:$B2766=B1374,'Previous Rank'!$C$2:$C2766=C1374))=1,filter('Previous Rank'!$A$2:$A2766,'Previous Rank'!$B$2:$B2766=B1374,'Previous Rank'!$C$2:$C2766=C1374),"""")"),1361.0)</f>
        <v>1361</v>
      </c>
      <c r="H1374" s="8">
        <f t="shared" si="1"/>
        <v>-12</v>
      </c>
    </row>
    <row r="1375">
      <c r="A1375" s="10">
        <v>1374.0</v>
      </c>
      <c r="B1375" s="11" t="s">
        <v>1462</v>
      </c>
      <c r="C1375" s="10" t="s">
        <v>79</v>
      </c>
      <c r="D1375" s="10" t="s">
        <v>46</v>
      </c>
      <c r="E1375" s="15"/>
      <c r="F1375" s="15" t="s">
        <v>382</v>
      </c>
      <c r="G1375" s="13">
        <f>IFERROR(__xludf.DUMMYFUNCTION("if(counta(filter('Previous Rank'!$A$2:$A2766,'Previous Rank'!$B$2:$B2766=B1375,'Previous Rank'!$C$2:$C2766=C1375))=1,filter('Previous Rank'!$A$2:$A2766,'Previous Rank'!$B$2:$B2766=B1375,'Previous Rank'!$C$2:$C2766=C1375),"""")"),1362.0)</f>
        <v>1362</v>
      </c>
      <c r="H1375" s="8">
        <f t="shared" si="1"/>
        <v>-12</v>
      </c>
    </row>
    <row r="1376">
      <c r="A1376" s="10">
        <v>1375.0</v>
      </c>
      <c r="B1376" s="11" t="s">
        <v>1463</v>
      </c>
      <c r="C1376" s="10" t="s">
        <v>585</v>
      </c>
      <c r="D1376" s="10" t="s">
        <v>120</v>
      </c>
      <c r="E1376" s="16"/>
      <c r="F1376" s="16" t="s">
        <v>382</v>
      </c>
      <c r="G1376" s="13">
        <f>IFERROR(__xludf.DUMMYFUNCTION("if(counta(filter('Previous Rank'!$A$2:$A2766,'Previous Rank'!$B$2:$B2766=B1376,'Previous Rank'!$C$2:$C2766=C1376))=1,filter('Previous Rank'!$A$2:$A2766,'Previous Rank'!$B$2:$B2766=B1376,'Previous Rank'!$C$2:$C2766=C1376),"""")"),1363.0)</f>
        <v>1363</v>
      </c>
      <c r="H1376" s="8">
        <f t="shared" si="1"/>
        <v>-12</v>
      </c>
    </row>
    <row r="1377">
      <c r="A1377" s="10">
        <v>1376.0</v>
      </c>
      <c r="B1377" s="11" t="s">
        <v>1464</v>
      </c>
      <c r="C1377" s="10" t="s">
        <v>79</v>
      </c>
      <c r="D1377" s="10" t="s">
        <v>206</v>
      </c>
      <c r="E1377" s="12"/>
      <c r="F1377" s="12" t="s">
        <v>382</v>
      </c>
      <c r="G1377" s="13">
        <f>IFERROR(__xludf.DUMMYFUNCTION("if(counta(filter('Previous Rank'!$A$2:$A2766,'Previous Rank'!$B$2:$B2766=B1377,'Previous Rank'!$C$2:$C2766=C1377))=1,filter('Previous Rank'!$A$2:$A2766,'Previous Rank'!$B$2:$B2766=B1377,'Previous Rank'!$C$2:$C2766=C1377),"""")"),1364.0)</f>
        <v>1364</v>
      </c>
      <c r="H1377" s="8">
        <f t="shared" si="1"/>
        <v>-12</v>
      </c>
    </row>
    <row r="1378">
      <c r="A1378" s="10">
        <v>1377.0</v>
      </c>
      <c r="B1378" s="11" t="s">
        <v>1465</v>
      </c>
      <c r="C1378" s="10" t="s">
        <v>79</v>
      </c>
      <c r="D1378" s="10" t="s">
        <v>82</v>
      </c>
      <c r="E1378" s="16"/>
      <c r="F1378" s="16" t="s">
        <v>382</v>
      </c>
      <c r="G1378" s="13">
        <f>IFERROR(__xludf.DUMMYFUNCTION("if(counta(filter('Previous Rank'!$A$2:$A2766,'Previous Rank'!$B$2:$B2766=B1378,'Previous Rank'!$C$2:$C2766=C1378))=1,filter('Previous Rank'!$A$2:$A2766,'Previous Rank'!$B$2:$B2766=B1378,'Previous Rank'!$C$2:$C2766=C1378),"""")"),1365.0)</f>
        <v>1365</v>
      </c>
      <c r="H1378" s="8">
        <f t="shared" si="1"/>
        <v>-12</v>
      </c>
    </row>
    <row r="1379">
      <c r="A1379" s="10">
        <v>1378.0</v>
      </c>
      <c r="B1379" s="11" t="s">
        <v>1466</v>
      </c>
      <c r="C1379" s="10" t="s">
        <v>79</v>
      </c>
      <c r="D1379" s="10" t="s">
        <v>73</v>
      </c>
      <c r="E1379" s="15"/>
      <c r="F1379" s="15" t="s">
        <v>382</v>
      </c>
      <c r="G1379" s="13">
        <f>IFERROR(__xludf.DUMMYFUNCTION("if(counta(filter('Previous Rank'!$A$2:$A2766,'Previous Rank'!$B$2:$B2766=B1379,'Previous Rank'!$C$2:$C2766=C1379))=1,filter('Previous Rank'!$A$2:$A2766,'Previous Rank'!$B$2:$B2766=B1379,'Previous Rank'!$C$2:$C2766=C1379),"""")"),1366.0)</f>
        <v>1366</v>
      </c>
      <c r="H1379" s="8">
        <f t="shared" si="1"/>
        <v>-12</v>
      </c>
    </row>
    <row r="1380">
      <c r="A1380" s="10">
        <v>1379.0</v>
      </c>
      <c r="B1380" s="11" t="s">
        <v>1467</v>
      </c>
      <c r="C1380" s="10" t="s">
        <v>22</v>
      </c>
      <c r="D1380" s="10" t="s">
        <v>206</v>
      </c>
      <c r="E1380" s="16"/>
      <c r="F1380" s="16" t="s">
        <v>382</v>
      </c>
      <c r="G1380" s="13">
        <f>IFERROR(__xludf.DUMMYFUNCTION("if(counta(filter('Previous Rank'!$A$2:$A2766,'Previous Rank'!$B$2:$B2766=B1380,'Previous Rank'!$C$2:$C2766=C1380))=1,filter('Previous Rank'!$A$2:$A2766,'Previous Rank'!$B$2:$B2766=B1380,'Previous Rank'!$C$2:$C2766=C1380),"""")"),1367.0)</f>
        <v>1367</v>
      </c>
      <c r="H1380" s="8">
        <f t="shared" si="1"/>
        <v>-12</v>
      </c>
    </row>
    <row r="1381">
      <c r="A1381" s="10">
        <v>1380.0</v>
      </c>
      <c r="B1381" s="11" t="s">
        <v>1468</v>
      </c>
      <c r="C1381" s="10" t="s">
        <v>79</v>
      </c>
      <c r="D1381" s="10" t="s">
        <v>25</v>
      </c>
      <c r="E1381" s="15"/>
      <c r="F1381" s="15" t="s">
        <v>382</v>
      </c>
      <c r="G1381" s="13">
        <f>IFERROR(__xludf.DUMMYFUNCTION("if(counta(filter('Previous Rank'!$A$2:$A2766,'Previous Rank'!$B$2:$B2766=B1381,'Previous Rank'!$C$2:$C2766=C1381))=1,filter('Previous Rank'!$A$2:$A2766,'Previous Rank'!$B$2:$B2766=B1381,'Previous Rank'!$C$2:$C2766=C1381),"""")"),1368.0)</f>
        <v>1368</v>
      </c>
      <c r="H1381" s="8">
        <f t="shared" si="1"/>
        <v>-12</v>
      </c>
    </row>
    <row r="1382">
      <c r="A1382" s="10">
        <v>1381.0</v>
      </c>
      <c r="B1382" s="11" t="s">
        <v>1469</v>
      </c>
      <c r="C1382" s="10" t="s">
        <v>419</v>
      </c>
      <c r="D1382" s="10" t="s">
        <v>49</v>
      </c>
      <c r="E1382" s="16"/>
      <c r="F1382" s="16" t="s">
        <v>382</v>
      </c>
      <c r="G1382" s="13">
        <f>IFERROR(__xludf.DUMMYFUNCTION("if(counta(filter('Previous Rank'!$A$2:$A2766,'Previous Rank'!$B$2:$B2766=B1382,'Previous Rank'!$C$2:$C2766=C1382))=1,filter('Previous Rank'!$A$2:$A2766,'Previous Rank'!$B$2:$B2766=B1382,'Previous Rank'!$C$2:$C2766=C1382),"""")"),1369.0)</f>
        <v>1369</v>
      </c>
      <c r="H1382" s="8">
        <f t="shared" si="1"/>
        <v>-12</v>
      </c>
    </row>
    <row r="1383">
      <c r="A1383" s="10">
        <v>1382.0</v>
      </c>
      <c r="B1383" s="11" t="s">
        <v>1470</v>
      </c>
      <c r="C1383" s="10" t="s">
        <v>55</v>
      </c>
      <c r="D1383" s="10" t="s">
        <v>34</v>
      </c>
      <c r="E1383" s="15"/>
      <c r="F1383" s="15" t="s">
        <v>382</v>
      </c>
      <c r="G1383" s="13">
        <f>IFERROR(__xludf.DUMMYFUNCTION("if(counta(filter('Previous Rank'!$A$2:$A2766,'Previous Rank'!$B$2:$B2766=B1383,'Previous Rank'!$C$2:$C2766=C1383))=1,filter('Previous Rank'!$A$2:$A2766,'Previous Rank'!$B$2:$B2766=B1383,'Previous Rank'!$C$2:$C2766=C1383),"""")"),1370.0)</f>
        <v>1370</v>
      </c>
      <c r="H1383" s="8">
        <f t="shared" si="1"/>
        <v>-12</v>
      </c>
    </row>
    <row r="1384">
      <c r="A1384" s="10">
        <v>1383.0</v>
      </c>
      <c r="B1384" s="11" t="s">
        <v>1471</v>
      </c>
      <c r="C1384" s="10" t="s">
        <v>220</v>
      </c>
      <c r="D1384" s="10" t="s">
        <v>122</v>
      </c>
      <c r="E1384" s="16"/>
      <c r="F1384" s="16" t="s">
        <v>382</v>
      </c>
      <c r="G1384" s="13">
        <f>IFERROR(__xludf.DUMMYFUNCTION("if(counta(filter('Previous Rank'!$A$2:$A2766,'Previous Rank'!$B$2:$B2766=B1384,'Previous Rank'!$C$2:$C2766=C1384))=1,filter('Previous Rank'!$A$2:$A2766,'Previous Rank'!$B$2:$B2766=B1384,'Previous Rank'!$C$2:$C2766=C1384),"""")"),1371.0)</f>
        <v>1371</v>
      </c>
      <c r="H1384" s="8">
        <f t="shared" si="1"/>
        <v>-12</v>
      </c>
    </row>
    <row r="1385">
      <c r="A1385" s="10">
        <v>1384.0</v>
      </c>
      <c r="B1385" s="11" t="s">
        <v>1472</v>
      </c>
      <c r="C1385" s="10" t="s">
        <v>79</v>
      </c>
      <c r="D1385" s="10" t="s">
        <v>120</v>
      </c>
      <c r="E1385" s="15"/>
      <c r="F1385" s="15" t="s">
        <v>382</v>
      </c>
      <c r="G1385" s="13">
        <f>IFERROR(__xludf.DUMMYFUNCTION("if(counta(filter('Previous Rank'!$A$2:$A2766,'Previous Rank'!$B$2:$B2766=B1385,'Previous Rank'!$C$2:$C2766=C1385))=1,filter('Previous Rank'!$A$2:$A2766,'Previous Rank'!$B$2:$B2766=B1385,'Previous Rank'!$C$2:$C2766=C1385),"""")"),1372.0)</f>
        <v>1372</v>
      </c>
      <c r="H1385" s="8">
        <f t="shared" si="1"/>
        <v>-12</v>
      </c>
    </row>
    <row r="1386">
      <c r="A1386" s="10">
        <v>1385.0</v>
      </c>
      <c r="B1386" s="11" t="s">
        <v>1473</v>
      </c>
      <c r="C1386" s="10" t="s">
        <v>79</v>
      </c>
      <c r="D1386" s="10" t="s">
        <v>82</v>
      </c>
      <c r="E1386" s="14"/>
      <c r="F1386" s="14" t="s">
        <v>382</v>
      </c>
      <c r="G1386" s="13">
        <f>IFERROR(__xludf.DUMMYFUNCTION("if(counta(filter('Previous Rank'!$A$2:$A2766,'Previous Rank'!$B$2:$B2766=B1386,'Previous Rank'!$C$2:$C2766=C1386))=1,filter('Previous Rank'!$A$2:$A2766,'Previous Rank'!$B$2:$B2766=B1386,'Previous Rank'!$C$2:$C2766=C1386),"""")"),1373.0)</f>
        <v>1373</v>
      </c>
      <c r="H1386" s="8">
        <f t="shared" si="1"/>
        <v>-12</v>
      </c>
    </row>
    <row r="1387">
      <c r="A1387" s="10">
        <v>1386.0</v>
      </c>
      <c r="B1387" s="11" t="s">
        <v>1474</v>
      </c>
      <c r="C1387" s="10" t="s">
        <v>79</v>
      </c>
      <c r="D1387" s="10" t="s">
        <v>105</v>
      </c>
      <c r="E1387" s="15">
        <v>234.2</v>
      </c>
      <c r="F1387" s="15">
        <v>1.3</v>
      </c>
      <c r="G1387" s="13">
        <f>IFERROR(__xludf.DUMMYFUNCTION("if(counta(filter('Previous Rank'!$A$2:$A2766,'Previous Rank'!$B$2:$B2766=B1387,'Previous Rank'!$C$2:$C2766=C1387))=1,filter('Previous Rank'!$A$2:$A2766,'Previous Rank'!$B$2:$B2766=B1387,'Previous Rank'!$C$2:$C2766=C1387),"""")"),1374.0)</f>
        <v>1374</v>
      </c>
      <c r="H1387" s="8">
        <f t="shared" si="1"/>
        <v>-12</v>
      </c>
    </row>
    <row r="1388">
      <c r="A1388" s="10">
        <v>1387.0</v>
      </c>
      <c r="B1388" s="11" t="s">
        <v>1475</v>
      </c>
      <c r="C1388" s="10" t="s">
        <v>22</v>
      </c>
      <c r="D1388" s="10" t="s">
        <v>18</v>
      </c>
      <c r="E1388" s="16"/>
      <c r="F1388" s="16" t="s">
        <v>382</v>
      </c>
      <c r="G1388" s="13">
        <f>IFERROR(__xludf.DUMMYFUNCTION("if(counta(filter('Previous Rank'!$A$2:$A2766,'Previous Rank'!$B$2:$B2766=B1388,'Previous Rank'!$C$2:$C2766=C1388))=1,filter('Previous Rank'!$A$2:$A2766,'Previous Rank'!$B$2:$B2766=B1388,'Previous Rank'!$C$2:$C2766=C1388),"""")"),1375.0)</f>
        <v>1375</v>
      </c>
      <c r="H1388" s="8">
        <f t="shared" si="1"/>
        <v>-12</v>
      </c>
    </row>
    <row r="1389">
      <c r="A1389" s="10">
        <v>1388.0</v>
      </c>
      <c r="B1389" s="11" t="s">
        <v>1476</v>
      </c>
      <c r="C1389" s="10" t="s">
        <v>79</v>
      </c>
      <c r="D1389" s="10" t="s">
        <v>99</v>
      </c>
      <c r="E1389" s="15"/>
      <c r="F1389" s="15" t="s">
        <v>382</v>
      </c>
      <c r="G1389" s="13">
        <f>IFERROR(__xludf.DUMMYFUNCTION("if(counta(filter('Previous Rank'!$A$2:$A2766,'Previous Rank'!$B$2:$B2766=B1389,'Previous Rank'!$C$2:$C2766=C1389))=1,filter('Previous Rank'!$A$2:$A2766,'Previous Rank'!$B$2:$B2766=B1389,'Previous Rank'!$C$2:$C2766=C1389),"""")"),1376.0)</f>
        <v>1376</v>
      </c>
      <c r="H1389" s="8">
        <f t="shared" si="1"/>
        <v>-12</v>
      </c>
    </row>
    <row r="1390">
      <c r="A1390" s="10">
        <v>1389.0</v>
      </c>
      <c r="B1390" s="11" t="s">
        <v>1477</v>
      </c>
      <c r="C1390" s="10" t="s">
        <v>79</v>
      </c>
      <c r="D1390" s="10" t="s">
        <v>42</v>
      </c>
      <c r="E1390" s="16"/>
      <c r="F1390" s="16" t="s">
        <v>382</v>
      </c>
      <c r="G1390" s="13">
        <f>IFERROR(__xludf.DUMMYFUNCTION("if(counta(filter('Previous Rank'!$A$2:$A2766,'Previous Rank'!$B$2:$B2766=B1390,'Previous Rank'!$C$2:$C2766=C1390))=1,filter('Previous Rank'!$A$2:$A2766,'Previous Rank'!$B$2:$B2766=B1390,'Previous Rank'!$C$2:$C2766=C1390),"""")"),1377.0)</f>
        <v>1377</v>
      </c>
      <c r="H1390" s="8">
        <f t="shared" si="1"/>
        <v>-12</v>
      </c>
    </row>
    <row r="1391">
      <c r="A1391" s="10">
        <v>1390.0</v>
      </c>
      <c r="B1391" s="11" t="s">
        <v>1478</v>
      </c>
      <c r="C1391" s="10" t="s">
        <v>79</v>
      </c>
      <c r="D1391" s="10" t="s">
        <v>140</v>
      </c>
      <c r="E1391" s="12"/>
      <c r="F1391" s="12" t="s">
        <v>382</v>
      </c>
      <c r="G1391" s="13">
        <f>IFERROR(__xludf.DUMMYFUNCTION("if(counta(filter('Previous Rank'!$A$2:$A2766,'Previous Rank'!$B$2:$B2766=B1391,'Previous Rank'!$C$2:$C2766=C1391))=1,filter('Previous Rank'!$A$2:$A2766,'Previous Rank'!$B$2:$B2766=B1391,'Previous Rank'!$C$2:$C2766=C1391),"""")"),1378.0)</f>
        <v>1378</v>
      </c>
      <c r="H1391" s="8">
        <f t="shared" si="1"/>
        <v>-12</v>
      </c>
    </row>
    <row r="1392">
      <c r="A1392" s="10">
        <v>1391.0</v>
      </c>
      <c r="B1392" s="11" t="s">
        <v>1479</v>
      </c>
      <c r="C1392" s="10" t="s">
        <v>79</v>
      </c>
      <c r="D1392" s="10" t="s">
        <v>99</v>
      </c>
      <c r="E1392" s="16"/>
      <c r="F1392" s="16" t="s">
        <v>382</v>
      </c>
      <c r="G1392" s="13">
        <f>IFERROR(__xludf.DUMMYFUNCTION("if(counta(filter('Previous Rank'!$A$2:$A2766,'Previous Rank'!$B$2:$B2766=B1392,'Previous Rank'!$C$2:$C2766=C1392))=1,filter('Previous Rank'!$A$2:$A2766,'Previous Rank'!$B$2:$B2766=B1392,'Previous Rank'!$C$2:$C2766=C1392),"""")"),1379.0)</f>
        <v>1379</v>
      </c>
      <c r="H1392" s="8">
        <f t="shared" si="1"/>
        <v>-12</v>
      </c>
    </row>
    <row r="1393">
      <c r="A1393" s="10">
        <v>1392.0</v>
      </c>
      <c r="B1393" s="11" t="s">
        <v>1480</v>
      </c>
      <c r="C1393" s="10" t="s">
        <v>20</v>
      </c>
      <c r="D1393" s="10" t="s">
        <v>9</v>
      </c>
      <c r="E1393" s="15"/>
      <c r="F1393" s="15" t="s">
        <v>382</v>
      </c>
      <c r="G1393" s="13">
        <f>IFERROR(__xludf.DUMMYFUNCTION("if(counta(filter('Previous Rank'!$A$2:$A2766,'Previous Rank'!$B$2:$B2766=B1393,'Previous Rank'!$C$2:$C2766=C1393))=1,filter('Previous Rank'!$A$2:$A2766,'Previous Rank'!$B$2:$B2766=B1393,'Previous Rank'!$C$2:$C2766=C1393),"""")"),1380.0)</f>
        <v>1380</v>
      </c>
      <c r="H1393" s="8">
        <f t="shared" si="1"/>
        <v>-12</v>
      </c>
    </row>
    <row r="1394">
      <c r="A1394" s="10">
        <v>1393.0</v>
      </c>
      <c r="B1394" s="11" t="s">
        <v>1481</v>
      </c>
      <c r="C1394" s="10" t="s">
        <v>79</v>
      </c>
      <c r="D1394" s="10" t="s">
        <v>105</v>
      </c>
      <c r="E1394" s="16"/>
      <c r="F1394" s="16" t="s">
        <v>382</v>
      </c>
      <c r="G1394" s="13">
        <f>IFERROR(__xludf.DUMMYFUNCTION("if(counta(filter('Previous Rank'!$A$2:$A2766,'Previous Rank'!$B$2:$B2766=B1394,'Previous Rank'!$C$2:$C2766=C1394))=1,filter('Previous Rank'!$A$2:$A2766,'Previous Rank'!$B$2:$B2766=B1394,'Previous Rank'!$C$2:$C2766=C1394),"""")"),1381.0)</f>
        <v>1381</v>
      </c>
      <c r="H1394" s="8">
        <f t="shared" si="1"/>
        <v>-12</v>
      </c>
    </row>
    <row r="1395">
      <c r="A1395" s="10">
        <v>1394.0</v>
      </c>
      <c r="B1395" s="11" t="s">
        <v>1482</v>
      </c>
      <c r="C1395" s="10" t="s">
        <v>22</v>
      </c>
      <c r="D1395" s="10" t="s">
        <v>12</v>
      </c>
      <c r="E1395" s="15"/>
      <c r="F1395" s="15" t="s">
        <v>382</v>
      </c>
      <c r="G1395" s="13">
        <f>IFERROR(__xludf.DUMMYFUNCTION("if(counta(filter('Previous Rank'!$A$2:$A2766,'Previous Rank'!$B$2:$B2766=B1395,'Previous Rank'!$C$2:$C2766=C1395))=1,filter('Previous Rank'!$A$2:$A2766,'Previous Rank'!$B$2:$B2766=B1395,'Previous Rank'!$C$2:$C2766=C1395),"""")"),1382.0)</f>
        <v>1382</v>
      </c>
      <c r="H1395" s="8">
        <f t="shared" si="1"/>
        <v>-12</v>
      </c>
    </row>
    <row r="1396">
      <c r="A1396" s="10">
        <v>1395.0</v>
      </c>
      <c r="B1396" s="11" t="s">
        <v>1483</v>
      </c>
      <c r="C1396" s="10" t="s">
        <v>79</v>
      </c>
      <c r="D1396" s="10" t="s">
        <v>85</v>
      </c>
      <c r="E1396" s="16"/>
      <c r="F1396" s="16" t="s">
        <v>382</v>
      </c>
      <c r="G1396" s="13">
        <f>IFERROR(__xludf.DUMMYFUNCTION("if(counta(filter('Previous Rank'!$A$2:$A2766,'Previous Rank'!$B$2:$B2766=B1396,'Previous Rank'!$C$2:$C2766=C1396))=1,filter('Previous Rank'!$A$2:$A2766,'Previous Rank'!$B$2:$B2766=B1396,'Previous Rank'!$C$2:$C2766=C1396),"""")"),1383.0)</f>
        <v>1383</v>
      </c>
      <c r="H1396" s="8">
        <f t="shared" si="1"/>
        <v>-12</v>
      </c>
    </row>
    <row r="1397">
      <c r="A1397" s="10">
        <v>1396.0</v>
      </c>
      <c r="B1397" s="11" t="s">
        <v>1484</v>
      </c>
      <c r="C1397" s="10" t="s">
        <v>79</v>
      </c>
      <c r="D1397" s="10" t="s">
        <v>73</v>
      </c>
      <c r="E1397" s="15"/>
      <c r="F1397" s="15" t="s">
        <v>382</v>
      </c>
      <c r="G1397" s="13">
        <f>IFERROR(__xludf.DUMMYFUNCTION("if(counta(filter('Previous Rank'!$A$2:$A2766,'Previous Rank'!$B$2:$B2766=B1397,'Previous Rank'!$C$2:$C2766=C1397))=1,filter('Previous Rank'!$A$2:$A2766,'Previous Rank'!$B$2:$B2766=B1397,'Previous Rank'!$C$2:$C2766=C1397),"""")"),1384.0)</f>
        <v>1384</v>
      </c>
      <c r="H1397" s="8">
        <f t="shared" si="1"/>
        <v>-12</v>
      </c>
    </row>
    <row r="1398">
      <c r="A1398" s="10">
        <v>1397.0</v>
      </c>
      <c r="B1398" s="11" t="s">
        <v>1485</v>
      </c>
      <c r="C1398" s="10" t="s">
        <v>79</v>
      </c>
      <c r="D1398" s="10" t="s">
        <v>23</v>
      </c>
      <c r="E1398" s="16"/>
      <c r="F1398" s="16" t="s">
        <v>382</v>
      </c>
      <c r="G1398" s="13">
        <f>IFERROR(__xludf.DUMMYFUNCTION("if(counta(filter('Previous Rank'!$A$2:$A2766,'Previous Rank'!$B$2:$B2766=B1398,'Previous Rank'!$C$2:$C2766=C1398))=1,filter('Previous Rank'!$A$2:$A2766,'Previous Rank'!$B$2:$B2766=B1398,'Previous Rank'!$C$2:$C2766=C1398),"""")"),1385.0)</f>
        <v>1385</v>
      </c>
      <c r="H1398" s="8">
        <f t="shared" si="1"/>
        <v>-12</v>
      </c>
    </row>
    <row r="1399">
      <c r="A1399" s="10">
        <v>1398.0</v>
      </c>
      <c r="B1399" s="11" t="s">
        <v>1486</v>
      </c>
      <c r="C1399" s="10" t="s">
        <v>79</v>
      </c>
      <c r="D1399" s="10" t="s">
        <v>73</v>
      </c>
      <c r="E1399" s="15"/>
      <c r="F1399" s="15" t="s">
        <v>382</v>
      </c>
      <c r="G1399" s="13">
        <f>IFERROR(__xludf.DUMMYFUNCTION("if(counta(filter('Previous Rank'!$A$2:$A2766,'Previous Rank'!$B$2:$B2766=B1399,'Previous Rank'!$C$2:$C2766=C1399))=1,filter('Previous Rank'!$A$2:$A2766,'Previous Rank'!$B$2:$B2766=B1399,'Previous Rank'!$C$2:$C2766=C1399),"""")"),1386.0)</f>
        <v>1386</v>
      </c>
      <c r="H1399" s="8">
        <f t="shared" si="1"/>
        <v>-12</v>
      </c>
    </row>
    <row r="1400">
      <c r="A1400" s="10">
        <v>1399.0</v>
      </c>
      <c r="B1400" s="11" t="s">
        <v>1487</v>
      </c>
      <c r="C1400" s="10" t="s">
        <v>79</v>
      </c>
      <c r="D1400" s="10" t="s">
        <v>113</v>
      </c>
      <c r="E1400" s="14"/>
      <c r="F1400" s="14" t="s">
        <v>382</v>
      </c>
      <c r="G1400" s="13">
        <f>IFERROR(__xludf.DUMMYFUNCTION("if(counta(filter('Previous Rank'!$A$2:$A2766,'Previous Rank'!$B$2:$B2766=B1400,'Previous Rank'!$C$2:$C2766=C1400))=1,filter('Previous Rank'!$A$2:$A2766,'Previous Rank'!$B$2:$B2766=B1400,'Previous Rank'!$C$2:$C2766=C1400),"""")"),1387.0)</f>
        <v>1387</v>
      </c>
      <c r="H1400" s="8">
        <f t="shared" si="1"/>
        <v>-12</v>
      </c>
    </row>
    <row r="1401">
      <c r="A1401" s="10">
        <v>1400.0</v>
      </c>
      <c r="B1401" s="11" t="s">
        <v>1488</v>
      </c>
      <c r="C1401" s="10" t="s">
        <v>79</v>
      </c>
      <c r="D1401" s="10" t="s">
        <v>18</v>
      </c>
      <c r="E1401" s="15"/>
      <c r="F1401" s="15" t="s">
        <v>382</v>
      </c>
      <c r="G1401" s="13">
        <f>IFERROR(__xludf.DUMMYFUNCTION("if(counta(filter('Previous Rank'!$A$2:$A2766,'Previous Rank'!$B$2:$B2766=B1401,'Previous Rank'!$C$2:$C2766=C1401))=1,filter('Previous Rank'!$A$2:$A2766,'Previous Rank'!$B$2:$B2766=B1401,'Previous Rank'!$C$2:$C2766=C1401),"""")"),1388.0)</f>
        <v>1388</v>
      </c>
      <c r="H1401" s="8">
        <f t="shared" si="1"/>
        <v>-12</v>
      </c>
    </row>
    <row r="1402">
      <c r="A1402" s="10">
        <v>1401.0</v>
      </c>
      <c r="B1402" s="11" t="s">
        <v>1489</v>
      </c>
      <c r="C1402" s="10" t="s">
        <v>79</v>
      </c>
      <c r="D1402" s="10" t="s">
        <v>49</v>
      </c>
      <c r="E1402" s="16"/>
      <c r="F1402" s="16" t="s">
        <v>382</v>
      </c>
      <c r="G1402" s="13">
        <f>IFERROR(__xludf.DUMMYFUNCTION("if(counta(filter('Previous Rank'!$A$2:$A2766,'Previous Rank'!$B$2:$B2766=B1402,'Previous Rank'!$C$2:$C2766=C1402))=1,filter('Previous Rank'!$A$2:$A2766,'Previous Rank'!$B$2:$B2766=B1402,'Previous Rank'!$C$2:$C2766=C1402),"""")"),1389.0)</f>
        <v>1389</v>
      </c>
      <c r="H1402" s="8">
        <f t="shared" si="1"/>
        <v>-12</v>
      </c>
    </row>
    <row r="1403">
      <c r="A1403" s="10">
        <v>1402.0</v>
      </c>
      <c r="B1403" s="11" t="s">
        <v>1490</v>
      </c>
      <c r="C1403" s="10" t="s">
        <v>22</v>
      </c>
      <c r="D1403" s="10" t="s">
        <v>46</v>
      </c>
      <c r="E1403" s="15"/>
      <c r="F1403" s="15" t="s">
        <v>382</v>
      </c>
      <c r="G1403" s="13">
        <f>IFERROR(__xludf.DUMMYFUNCTION("if(counta(filter('Previous Rank'!$A$2:$A2766,'Previous Rank'!$B$2:$B2766=B1403,'Previous Rank'!$C$2:$C2766=C1403))=1,filter('Previous Rank'!$A$2:$A2766,'Previous Rank'!$B$2:$B2766=B1403,'Previous Rank'!$C$2:$C2766=C1403),"""")"),1390.0)</f>
        <v>1390</v>
      </c>
      <c r="H1403" s="8">
        <f t="shared" si="1"/>
        <v>-12</v>
      </c>
    </row>
    <row r="1404">
      <c r="A1404" s="10">
        <v>1403.0</v>
      </c>
      <c r="B1404" s="11" t="s">
        <v>1491</v>
      </c>
      <c r="C1404" s="10" t="s">
        <v>158</v>
      </c>
      <c r="D1404" s="10" t="s">
        <v>85</v>
      </c>
      <c r="E1404" s="16"/>
      <c r="F1404" s="16" t="s">
        <v>382</v>
      </c>
      <c r="G1404" s="13">
        <f>IFERROR(__xludf.DUMMYFUNCTION("if(counta(filter('Previous Rank'!$A$2:$A2766,'Previous Rank'!$B$2:$B2766=B1404,'Previous Rank'!$C$2:$C2766=C1404))=1,filter('Previous Rank'!$A$2:$A2766,'Previous Rank'!$B$2:$B2766=B1404,'Previous Rank'!$C$2:$C2766=C1404),"""")"),1391.0)</f>
        <v>1391</v>
      </c>
      <c r="H1404" s="8">
        <f t="shared" si="1"/>
        <v>-12</v>
      </c>
    </row>
    <row r="1405">
      <c r="A1405" s="10">
        <v>1404.0</v>
      </c>
      <c r="B1405" s="11" t="s">
        <v>1492</v>
      </c>
      <c r="C1405" s="10" t="s">
        <v>79</v>
      </c>
      <c r="D1405" s="10" t="s">
        <v>120</v>
      </c>
      <c r="E1405" s="15"/>
      <c r="F1405" s="15" t="s">
        <v>382</v>
      </c>
      <c r="G1405" s="13">
        <f>IFERROR(__xludf.DUMMYFUNCTION("if(counta(filter('Previous Rank'!$A$2:$A2766,'Previous Rank'!$B$2:$B2766=B1405,'Previous Rank'!$C$2:$C2766=C1405))=1,filter('Previous Rank'!$A$2:$A2766,'Previous Rank'!$B$2:$B2766=B1405,'Previous Rank'!$C$2:$C2766=C1405),"""")"),1392.0)</f>
        <v>1392</v>
      </c>
      <c r="H1405" s="8">
        <f t="shared" si="1"/>
        <v>-12</v>
      </c>
    </row>
    <row r="1406">
      <c r="A1406" s="10">
        <v>1405.0</v>
      </c>
      <c r="B1406" s="11" t="s">
        <v>1493</v>
      </c>
      <c r="C1406" s="10" t="s">
        <v>79</v>
      </c>
      <c r="D1406" s="10" t="s">
        <v>67</v>
      </c>
      <c r="E1406" s="16"/>
      <c r="F1406" s="16" t="s">
        <v>382</v>
      </c>
      <c r="G1406" s="13">
        <f>IFERROR(__xludf.DUMMYFUNCTION("if(counta(filter('Previous Rank'!$A$2:$A2766,'Previous Rank'!$B$2:$B2766=B1406,'Previous Rank'!$C$2:$C2766=C1406))=1,filter('Previous Rank'!$A$2:$A2766,'Previous Rank'!$B$2:$B2766=B1406,'Previous Rank'!$C$2:$C2766=C1406),"""")"),1393.0)</f>
        <v>1393</v>
      </c>
      <c r="H1406" s="8">
        <f t="shared" si="1"/>
        <v>-12</v>
      </c>
    </row>
    <row r="1407">
      <c r="A1407" s="10">
        <v>1406.0</v>
      </c>
      <c r="B1407" s="11" t="s">
        <v>1494</v>
      </c>
      <c r="C1407" s="10" t="s">
        <v>14</v>
      </c>
      <c r="D1407" s="10" t="s">
        <v>120</v>
      </c>
      <c r="E1407" s="12"/>
      <c r="F1407" s="12" t="s">
        <v>382</v>
      </c>
      <c r="G1407" s="13">
        <f>IFERROR(__xludf.DUMMYFUNCTION("if(counta(filter('Previous Rank'!$A$2:$A2766,'Previous Rank'!$B$2:$B2766=B1407,'Previous Rank'!$C$2:$C2766=C1407))=1,filter('Previous Rank'!$A$2:$A2766,'Previous Rank'!$B$2:$B2766=B1407,'Previous Rank'!$C$2:$C2766=C1407),"""")"),1394.0)</f>
        <v>1394</v>
      </c>
      <c r="H1407" s="8">
        <f t="shared" si="1"/>
        <v>-12</v>
      </c>
    </row>
    <row r="1408">
      <c r="A1408" s="10">
        <v>1407.0</v>
      </c>
      <c r="B1408" s="11" t="s">
        <v>1495</v>
      </c>
      <c r="C1408" s="10" t="s">
        <v>79</v>
      </c>
      <c r="D1408" s="10" t="s">
        <v>31</v>
      </c>
      <c r="E1408" s="16"/>
      <c r="F1408" s="16" t="s">
        <v>382</v>
      </c>
      <c r="G1408" s="13">
        <f>IFERROR(__xludf.DUMMYFUNCTION("if(counta(filter('Previous Rank'!$A$2:$A2766,'Previous Rank'!$B$2:$B2766=B1408,'Previous Rank'!$C$2:$C2766=C1408))=1,filter('Previous Rank'!$A$2:$A2766,'Previous Rank'!$B$2:$B2766=B1408,'Previous Rank'!$C$2:$C2766=C1408),"""")"),1395.0)</f>
        <v>1395</v>
      </c>
      <c r="H1408" s="8">
        <f t="shared" si="1"/>
        <v>-12</v>
      </c>
    </row>
    <row r="1409">
      <c r="A1409" s="10">
        <v>1408.0</v>
      </c>
      <c r="B1409" s="11" t="s">
        <v>1496</v>
      </c>
      <c r="C1409" s="10" t="s">
        <v>79</v>
      </c>
      <c r="D1409" s="10" t="s">
        <v>122</v>
      </c>
      <c r="E1409" s="15"/>
      <c r="F1409" s="15" t="s">
        <v>382</v>
      </c>
      <c r="G1409" s="13">
        <f>IFERROR(__xludf.DUMMYFUNCTION("if(counta(filter('Previous Rank'!$A$2:$A2766,'Previous Rank'!$B$2:$B2766=B1409,'Previous Rank'!$C$2:$C2766=C1409))=1,filter('Previous Rank'!$A$2:$A2766,'Previous Rank'!$B$2:$B2766=B1409,'Previous Rank'!$C$2:$C2766=C1409),"""")"),1396.0)</f>
        <v>1396</v>
      </c>
      <c r="H1409" s="8">
        <f t="shared" si="1"/>
        <v>-12</v>
      </c>
    </row>
    <row r="1410">
      <c r="A1410" s="10">
        <v>1409.0</v>
      </c>
      <c r="B1410" s="11" t="s">
        <v>1497</v>
      </c>
      <c r="C1410" s="10" t="s">
        <v>79</v>
      </c>
      <c r="D1410" s="10" t="s">
        <v>31</v>
      </c>
      <c r="E1410" s="16"/>
      <c r="F1410" s="16" t="s">
        <v>382</v>
      </c>
      <c r="G1410" s="13">
        <f>IFERROR(__xludf.DUMMYFUNCTION("if(counta(filter('Previous Rank'!$A$2:$A2766,'Previous Rank'!$B$2:$B2766=B1410,'Previous Rank'!$C$2:$C2766=C1410))=1,filter('Previous Rank'!$A$2:$A2766,'Previous Rank'!$B$2:$B2766=B1410,'Previous Rank'!$C$2:$C2766=C1410),"""")"),1397.0)</f>
        <v>1397</v>
      </c>
      <c r="H1410" s="8">
        <f t="shared" si="1"/>
        <v>-12</v>
      </c>
    </row>
    <row r="1411">
      <c r="A1411" s="10">
        <v>1410.0</v>
      </c>
      <c r="B1411" s="11" t="s">
        <v>1498</v>
      </c>
      <c r="C1411" s="10" t="s">
        <v>79</v>
      </c>
      <c r="D1411" s="10" t="s">
        <v>105</v>
      </c>
      <c r="E1411" s="15"/>
      <c r="F1411" s="15" t="s">
        <v>382</v>
      </c>
      <c r="G1411" s="13">
        <f>IFERROR(__xludf.DUMMYFUNCTION("if(counta(filter('Previous Rank'!$A$2:$A2766,'Previous Rank'!$B$2:$B2766=B1411,'Previous Rank'!$C$2:$C2766=C1411))=1,filter('Previous Rank'!$A$2:$A2766,'Previous Rank'!$B$2:$B2766=B1411,'Previous Rank'!$C$2:$C2766=C1411),"""")"),1398.0)</f>
        <v>1398</v>
      </c>
      <c r="H1411" s="8">
        <f t="shared" si="1"/>
        <v>-12</v>
      </c>
    </row>
    <row r="1412">
      <c r="A1412" s="10">
        <v>1411.0</v>
      </c>
      <c r="B1412" s="11" t="s">
        <v>1499</v>
      </c>
      <c r="C1412" s="10" t="s">
        <v>79</v>
      </c>
      <c r="D1412" s="10" t="s">
        <v>140</v>
      </c>
      <c r="E1412" s="16"/>
      <c r="F1412" s="16" t="s">
        <v>382</v>
      </c>
      <c r="G1412" s="13">
        <f>IFERROR(__xludf.DUMMYFUNCTION("if(counta(filter('Previous Rank'!$A$2:$A2766,'Previous Rank'!$B$2:$B2766=B1412,'Previous Rank'!$C$2:$C2766=C1412))=1,filter('Previous Rank'!$A$2:$A2766,'Previous Rank'!$B$2:$B2766=B1412,'Previous Rank'!$C$2:$C2766=C1412),"""")"),1399.0)</f>
        <v>1399</v>
      </c>
      <c r="H1412" s="8">
        <f t="shared" si="1"/>
        <v>-12</v>
      </c>
    </row>
    <row r="1413">
      <c r="A1413" s="10">
        <v>1412.0</v>
      </c>
      <c r="B1413" s="11" t="s">
        <v>1500</v>
      </c>
      <c r="C1413" s="10" t="s">
        <v>79</v>
      </c>
      <c r="D1413" s="10" t="s">
        <v>105</v>
      </c>
      <c r="E1413" s="15"/>
      <c r="F1413" s="15" t="s">
        <v>382</v>
      </c>
      <c r="G1413" s="13">
        <f>IFERROR(__xludf.DUMMYFUNCTION("if(counta(filter('Previous Rank'!$A$2:$A2766,'Previous Rank'!$B$2:$B2766=B1413,'Previous Rank'!$C$2:$C2766=C1413))=1,filter('Previous Rank'!$A$2:$A2766,'Previous Rank'!$B$2:$B2766=B1413,'Previous Rank'!$C$2:$C2766=C1413),"""")"),1400.0)</f>
        <v>1400</v>
      </c>
      <c r="H1413" s="8">
        <f t="shared" si="1"/>
        <v>-12</v>
      </c>
    </row>
    <row r="1414">
      <c r="A1414" s="10">
        <v>1413.0</v>
      </c>
      <c r="B1414" s="11" t="s">
        <v>1501</v>
      </c>
      <c r="C1414" s="10" t="s">
        <v>79</v>
      </c>
      <c r="D1414" s="10" t="s">
        <v>82</v>
      </c>
      <c r="E1414" s="16"/>
      <c r="F1414" s="16" t="s">
        <v>382</v>
      </c>
      <c r="G1414" s="13">
        <f>IFERROR(__xludf.DUMMYFUNCTION("if(counta(filter('Previous Rank'!$A$2:$A2766,'Previous Rank'!$B$2:$B2766=B1414,'Previous Rank'!$C$2:$C2766=C1414))=1,filter('Previous Rank'!$A$2:$A2766,'Previous Rank'!$B$2:$B2766=B1414,'Previous Rank'!$C$2:$C2766=C1414),"""")"),1401.0)</f>
        <v>1401</v>
      </c>
      <c r="H1414" s="8">
        <f t="shared" si="1"/>
        <v>-12</v>
      </c>
    </row>
    <row r="1415">
      <c r="A1415" s="10">
        <v>1414.0</v>
      </c>
      <c r="B1415" s="11" t="s">
        <v>1502</v>
      </c>
      <c r="C1415" s="10" t="s">
        <v>22</v>
      </c>
      <c r="D1415" s="10" t="s">
        <v>99</v>
      </c>
      <c r="E1415" s="15"/>
      <c r="F1415" s="15" t="s">
        <v>382</v>
      </c>
      <c r="G1415" s="13">
        <f>IFERROR(__xludf.DUMMYFUNCTION("if(counta(filter('Previous Rank'!$A$2:$A2766,'Previous Rank'!$B$2:$B2766=B1415,'Previous Rank'!$C$2:$C2766=C1415))=1,filter('Previous Rank'!$A$2:$A2766,'Previous Rank'!$B$2:$B2766=B1415,'Previous Rank'!$C$2:$C2766=C1415),"""")"),1402.0)</f>
        <v>1402</v>
      </c>
      <c r="H1415" s="8">
        <f t="shared" si="1"/>
        <v>-12</v>
      </c>
    </row>
    <row r="1416">
      <c r="A1416" s="10">
        <v>1415.0</v>
      </c>
      <c r="B1416" s="11" t="s">
        <v>1503</v>
      </c>
      <c r="C1416" s="10" t="s">
        <v>22</v>
      </c>
      <c r="D1416" s="10" t="s">
        <v>25</v>
      </c>
      <c r="E1416" s="16"/>
      <c r="F1416" s="16" t="s">
        <v>382</v>
      </c>
      <c r="G1416" s="13">
        <f>IFERROR(__xludf.DUMMYFUNCTION("if(counta(filter('Previous Rank'!$A$2:$A2766,'Previous Rank'!$B$2:$B2766=B1416,'Previous Rank'!$C$2:$C2766=C1416))=1,filter('Previous Rank'!$A$2:$A2766,'Previous Rank'!$B$2:$B2766=B1416,'Previous Rank'!$C$2:$C2766=C1416),"""")"),1403.0)</f>
        <v>1403</v>
      </c>
      <c r="H1416" s="8">
        <f t="shared" si="1"/>
        <v>-12</v>
      </c>
    </row>
    <row r="1417">
      <c r="A1417" s="10">
        <v>1416.0</v>
      </c>
      <c r="B1417" s="11" t="s">
        <v>1504</v>
      </c>
      <c r="C1417" s="10" t="s">
        <v>79</v>
      </c>
      <c r="D1417" s="10" t="s">
        <v>9</v>
      </c>
      <c r="E1417" s="15"/>
      <c r="F1417" s="15" t="s">
        <v>382</v>
      </c>
      <c r="G1417" s="13">
        <f>IFERROR(__xludf.DUMMYFUNCTION("if(counta(filter('Previous Rank'!$A$2:$A2766,'Previous Rank'!$B$2:$B2766=B1417,'Previous Rank'!$C$2:$C2766=C1417))=1,filter('Previous Rank'!$A$2:$A2766,'Previous Rank'!$B$2:$B2766=B1417,'Previous Rank'!$C$2:$C2766=C1417),"""")"),1404.0)</f>
        <v>1404</v>
      </c>
      <c r="H1417" s="8">
        <f t="shared" si="1"/>
        <v>-12</v>
      </c>
    </row>
    <row r="1418">
      <c r="A1418" s="10">
        <v>1417.0</v>
      </c>
      <c r="B1418" s="11" t="s">
        <v>1505</v>
      </c>
      <c r="C1418" s="10" t="s">
        <v>79</v>
      </c>
      <c r="D1418" s="10" t="s">
        <v>82</v>
      </c>
      <c r="E1418" s="16"/>
      <c r="F1418" s="16" t="s">
        <v>382</v>
      </c>
      <c r="G1418" s="13">
        <f>IFERROR(__xludf.DUMMYFUNCTION("if(counta(filter('Previous Rank'!$A$2:$A2766,'Previous Rank'!$B$2:$B2766=B1418,'Previous Rank'!$C$2:$C2766=C1418))=1,filter('Previous Rank'!$A$2:$A2766,'Previous Rank'!$B$2:$B2766=B1418,'Previous Rank'!$C$2:$C2766=C1418),"""")"),1405.0)</f>
        <v>1405</v>
      </c>
      <c r="H1418" s="8">
        <f t="shared" si="1"/>
        <v>-12</v>
      </c>
    </row>
    <row r="1419">
      <c r="A1419" s="10">
        <v>1418.0</v>
      </c>
      <c r="B1419" s="11" t="s">
        <v>1506</v>
      </c>
      <c r="C1419" s="10" t="s">
        <v>22</v>
      </c>
      <c r="D1419" s="10" t="s">
        <v>122</v>
      </c>
      <c r="E1419" s="15"/>
      <c r="F1419" s="15" t="s">
        <v>382</v>
      </c>
      <c r="G1419" s="13">
        <f>IFERROR(__xludf.DUMMYFUNCTION("if(counta(filter('Previous Rank'!$A$2:$A2766,'Previous Rank'!$B$2:$B2766=B1419,'Previous Rank'!$C$2:$C2766=C1419))=1,filter('Previous Rank'!$A$2:$A2766,'Previous Rank'!$B$2:$B2766=B1419,'Previous Rank'!$C$2:$C2766=C1419),"""")"),1406.0)</f>
        <v>1406</v>
      </c>
      <c r="H1419" s="8">
        <f t="shared" si="1"/>
        <v>-12</v>
      </c>
    </row>
    <row r="1420">
      <c r="A1420" s="10">
        <v>1419.0</v>
      </c>
      <c r="B1420" s="11" t="s">
        <v>1507</v>
      </c>
      <c r="C1420" s="10" t="s">
        <v>79</v>
      </c>
      <c r="D1420" s="10" t="s">
        <v>42</v>
      </c>
      <c r="E1420" s="16"/>
      <c r="F1420" s="16" t="s">
        <v>382</v>
      </c>
      <c r="G1420" s="13">
        <f>IFERROR(__xludf.DUMMYFUNCTION("if(counta(filter('Previous Rank'!$A$2:$A2766,'Previous Rank'!$B$2:$B2766=B1420,'Previous Rank'!$C$2:$C2766=C1420))=1,filter('Previous Rank'!$A$2:$A2766,'Previous Rank'!$B$2:$B2766=B1420,'Previous Rank'!$C$2:$C2766=C1420),"""")"),1407.0)</f>
        <v>1407</v>
      </c>
      <c r="H1420" s="8">
        <f t="shared" si="1"/>
        <v>-12</v>
      </c>
    </row>
    <row r="1421">
      <c r="A1421" s="10">
        <v>1420.0</v>
      </c>
      <c r="B1421" s="11" t="s">
        <v>1508</v>
      </c>
      <c r="C1421" s="10" t="s">
        <v>79</v>
      </c>
      <c r="D1421" s="10" t="s">
        <v>129</v>
      </c>
      <c r="E1421" s="15"/>
      <c r="F1421" s="15" t="s">
        <v>382</v>
      </c>
      <c r="G1421" s="13">
        <f>IFERROR(__xludf.DUMMYFUNCTION("if(counta(filter('Previous Rank'!$A$2:$A2766,'Previous Rank'!$B$2:$B2766=B1421,'Previous Rank'!$C$2:$C2766=C1421))=1,filter('Previous Rank'!$A$2:$A2766,'Previous Rank'!$B$2:$B2766=B1421,'Previous Rank'!$C$2:$C2766=C1421),"""")"),1408.0)</f>
        <v>1408</v>
      </c>
      <c r="H1421" s="8">
        <f t="shared" si="1"/>
        <v>-12</v>
      </c>
    </row>
    <row r="1422">
      <c r="A1422" s="10">
        <v>1421.0</v>
      </c>
      <c r="B1422" s="11" t="s">
        <v>1509</v>
      </c>
      <c r="C1422" s="10" t="s">
        <v>22</v>
      </c>
      <c r="D1422" s="10" t="s">
        <v>34</v>
      </c>
      <c r="E1422" s="16"/>
      <c r="F1422" s="16" t="s">
        <v>382</v>
      </c>
      <c r="G1422" s="13">
        <f>IFERROR(__xludf.DUMMYFUNCTION("if(counta(filter('Previous Rank'!$A$2:$A2766,'Previous Rank'!$B$2:$B2766=B1422,'Previous Rank'!$C$2:$C2766=C1422))=1,filter('Previous Rank'!$A$2:$A2766,'Previous Rank'!$B$2:$B2766=B1422,'Previous Rank'!$C$2:$C2766=C1422),"""")"),1409.0)</f>
        <v>1409</v>
      </c>
      <c r="H1422" s="8">
        <f t="shared" si="1"/>
        <v>-12</v>
      </c>
    </row>
    <row r="1423">
      <c r="A1423" s="10">
        <v>1422.0</v>
      </c>
      <c r="B1423" s="11" t="s">
        <v>1510</v>
      </c>
      <c r="C1423" s="10" t="s">
        <v>22</v>
      </c>
      <c r="D1423" s="10" t="s">
        <v>129</v>
      </c>
      <c r="E1423" s="15"/>
      <c r="F1423" s="15" t="s">
        <v>382</v>
      </c>
      <c r="G1423" s="13">
        <f>IFERROR(__xludf.DUMMYFUNCTION("if(counta(filter('Previous Rank'!$A$2:$A2766,'Previous Rank'!$B$2:$B2766=B1423,'Previous Rank'!$C$2:$C2766=C1423))=1,filter('Previous Rank'!$A$2:$A2766,'Previous Rank'!$B$2:$B2766=B1423,'Previous Rank'!$C$2:$C2766=C1423),"""")"),1410.0)</f>
        <v>1410</v>
      </c>
      <c r="H1423" s="8">
        <f t="shared" si="1"/>
        <v>-12</v>
      </c>
    </row>
    <row r="1424">
      <c r="A1424" s="10">
        <v>1423.0</v>
      </c>
      <c r="B1424" s="11" t="s">
        <v>1511</v>
      </c>
      <c r="C1424" s="10" t="s">
        <v>79</v>
      </c>
      <c r="D1424" s="10" t="s">
        <v>23</v>
      </c>
      <c r="E1424" s="16"/>
      <c r="F1424" s="16" t="s">
        <v>382</v>
      </c>
      <c r="G1424" s="13">
        <f>IFERROR(__xludf.DUMMYFUNCTION("if(counta(filter('Previous Rank'!$A$2:$A2766,'Previous Rank'!$B$2:$B2766=B1424,'Previous Rank'!$C$2:$C2766=C1424))=1,filter('Previous Rank'!$A$2:$A2766,'Previous Rank'!$B$2:$B2766=B1424,'Previous Rank'!$C$2:$C2766=C1424),"""")"),1411.0)</f>
        <v>1411</v>
      </c>
      <c r="H1424" s="8">
        <f t="shared" si="1"/>
        <v>-12</v>
      </c>
    </row>
    <row r="1425">
      <c r="A1425" s="10">
        <v>1424.0</v>
      </c>
      <c r="B1425" s="11" t="s">
        <v>1512</v>
      </c>
      <c r="C1425" s="10" t="s">
        <v>77</v>
      </c>
      <c r="D1425" s="10" t="s">
        <v>34</v>
      </c>
      <c r="E1425" s="15"/>
      <c r="F1425" s="15" t="s">
        <v>382</v>
      </c>
      <c r="G1425" s="13">
        <f>IFERROR(__xludf.DUMMYFUNCTION("if(counta(filter('Previous Rank'!$A$2:$A2766,'Previous Rank'!$B$2:$B2766=B1425,'Previous Rank'!$C$2:$C2766=C1425))=1,filter('Previous Rank'!$A$2:$A2766,'Previous Rank'!$B$2:$B2766=B1425,'Previous Rank'!$C$2:$C2766=C1425),"""")"),1412.0)</f>
        <v>1412</v>
      </c>
      <c r="H1425" s="8">
        <f t="shared" si="1"/>
        <v>-12</v>
      </c>
    </row>
    <row r="1426">
      <c r="A1426" s="10">
        <v>1425.0</v>
      </c>
      <c r="B1426" s="11" t="s">
        <v>1513</v>
      </c>
      <c r="C1426" s="10" t="s">
        <v>79</v>
      </c>
      <c r="D1426" s="10" t="s">
        <v>18</v>
      </c>
      <c r="E1426" s="16"/>
      <c r="F1426" s="16" t="s">
        <v>382</v>
      </c>
      <c r="G1426" s="13">
        <f>IFERROR(__xludf.DUMMYFUNCTION("if(counta(filter('Previous Rank'!$A$2:$A2766,'Previous Rank'!$B$2:$B2766=B1426,'Previous Rank'!$C$2:$C2766=C1426))=1,filter('Previous Rank'!$A$2:$A2766,'Previous Rank'!$B$2:$B2766=B1426,'Previous Rank'!$C$2:$C2766=C1426),"""")"),1413.0)</f>
        <v>1413</v>
      </c>
      <c r="H1426" s="8">
        <f t="shared" si="1"/>
        <v>-12</v>
      </c>
    </row>
    <row r="1427">
      <c r="A1427" s="10">
        <v>1426.0</v>
      </c>
      <c r="B1427" s="11" t="s">
        <v>1514</v>
      </c>
      <c r="C1427" s="10" t="s">
        <v>79</v>
      </c>
      <c r="D1427" s="10" t="s">
        <v>27</v>
      </c>
      <c r="E1427" s="15"/>
      <c r="F1427" s="15" t="s">
        <v>382</v>
      </c>
      <c r="G1427" s="13">
        <f>IFERROR(__xludf.DUMMYFUNCTION("if(counta(filter('Previous Rank'!$A$2:$A2766,'Previous Rank'!$B$2:$B2766=B1427,'Previous Rank'!$C$2:$C2766=C1427))=1,filter('Previous Rank'!$A$2:$A2766,'Previous Rank'!$B$2:$B2766=B1427,'Previous Rank'!$C$2:$C2766=C1427),"""")"),1414.0)</f>
        <v>1414</v>
      </c>
      <c r="H1427" s="8">
        <f t="shared" si="1"/>
        <v>-12</v>
      </c>
    </row>
    <row r="1428">
      <c r="A1428" s="10">
        <v>1427.0</v>
      </c>
      <c r="B1428" s="11" t="s">
        <v>1515</v>
      </c>
      <c r="C1428" s="10" t="s">
        <v>585</v>
      </c>
      <c r="D1428" s="10" t="s">
        <v>95</v>
      </c>
      <c r="E1428" s="16"/>
      <c r="F1428" s="16" t="s">
        <v>382</v>
      </c>
      <c r="G1428" s="13">
        <f>IFERROR(__xludf.DUMMYFUNCTION("if(counta(filter('Previous Rank'!$A$2:$A2766,'Previous Rank'!$B$2:$B2766=B1428,'Previous Rank'!$C$2:$C2766=C1428))=1,filter('Previous Rank'!$A$2:$A2766,'Previous Rank'!$B$2:$B2766=B1428,'Previous Rank'!$C$2:$C2766=C1428),"""")"),1415.0)</f>
        <v>1415</v>
      </c>
      <c r="H1428" s="8">
        <f t="shared" si="1"/>
        <v>-12</v>
      </c>
    </row>
    <row r="1429">
      <c r="A1429" s="10">
        <v>1428.0</v>
      </c>
      <c r="B1429" s="11" t="s">
        <v>1516</v>
      </c>
      <c r="C1429" s="10" t="s">
        <v>79</v>
      </c>
      <c r="D1429" s="10" t="s">
        <v>18</v>
      </c>
      <c r="E1429" s="15"/>
      <c r="F1429" s="15" t="s">
        <v>382</v>
      </c>
      <c r="G1429" s="13">
        <f>IFERROR(__xludf.DUMMYFUNCTION("if(counta(filter('Previous Rank'!$A$2:$A2766,'Previous Rank'!$B$2:$B2766=B1429,'Previous Rank'!$C$2:$C2766=C1429))=1,filter('Previous Rank'!$A$2:$A2766,'Previous Rank'!$B$2:$B2766=B1429,'Previous Rank'!$C$2:$C2766=C1429),"""")"),1416.0)</f>
        <v>1416</v>
      </c>
      <c r="H1429" s="8">
        <f t="shared" si="1"/>
        <v>-12</v>
      </c>
    </row>
    <row r="1430">
      <c r="A1430" s="10">
        <v>1429.0</v>
      </c>
      <c r="B1430" s="11" t="s">
        <v>1517</v>
      </c>
      <c r="C1430" s="10" t="s">
        <v>22</v>
      </c>
      <c r="D1430" s="10" t="s">
        <v>36</v>
      </c>
      <c r="E1430" s="16"/>
      <c r="F1430" s="16" t="s">
        <v>382</v>
      </c>
      <c r="G1430" s="13">
        <f>IFERROR(__xludf.DUMMYFUNCTION("if(counta(filter('Previous Rank'!$A$2:$A2766,'Previous Rank'!$B$2:$B2766=B1430,'Previous Rank'!$C$2:$C2766=C1430))=1,filter('Previous Rank'!$A$2:$A2766,'Previous Rank'!$B$2:$B2766=B1430,'Previous Rank'!$C$2:$C2766=C1430),"""")"),1417.0)</f>
        <v>1417</v>
      </c>
      <c r="H1430" s="8">
        <f t="shared" si="1"/>
        <v>-12</v>
      </c>
    </row>
    <row r="1431">
      <c r="A1431" s="10">
        <v>1430.0</v>
      </c>
      <c r="B1431" s="11" t="s">
        <v>1518</v>
      </c>
      <c r="C1431" s="10" t="s">
        <v>79</v>
      </c>
      <c r="D1431" s="10" t="s">
        <v>27</v>
      </c>
      <c r="E1431" s="15"/>
      <c r="F1431" s="15" t="s">
        <v>382</v>
      </c>
      <c r="G1431" s="13">
        <f>IFERROR(__xludf.DUMMYFUNCTION("if(counta(filter('Previous Rank'!$A$2:$A2766,'Previous Rank'!$B$2:$B2766=B1431,'Previous Rank'!$C$2:$C2766=C1431))=1,filter('Previous Rank'!$A$2:$A2766,'Previous Rank'!$B$2:$B2766=B1431,'Previous Rank'!$C$2:$C2766=C1431),"""")"),1418.0)</f>
        <v>1418</v>
      </c>
      <c r="H1431" s="8">
        <f t="shared" si="1"/>
        <v>-12</v>
      </c>
    </row>
    <row r="1432">
      <c r="A1432" s="10">
        <v>1431.0</v>
      </c>
      <c r="B1432" s="11" t="s">
        <v>1519</v>
      </c>
      <c r="C1432" s="10" t="s">
        <v>79</v>
      </c>
      <c r="D1432" s="10" t="s">
        <v>31</v>
      </c>
      <c r="E1432" s="16"/>
      <c r="F1432" s="16" t="s">
        <v>382</v>
      </c>
      <c r="G1432" s="13">
        <f>IFERROR(__xludf.DUMMYFUNCTION("if(counta(filter('Previous Rank'!$A$2:$A2766,'Previous Rank'!$B$2:$B2766=B1432,'Previous Rank'!$C$2:$C2766=C1432))=1,filter('Previous Rank'!$A$2:$A2766,'Previous Rank'!$B$2:$B2766=B1432,'Previous Rank'!$C$2:$C2766=C1432),"""")"),1419.0)</f>
        <v>1419</v>
      </c>
      <c r="H1432" s="8">
        <f t="shared" si="1"/>
        <v>-12</v>
      </c>
    </row>
    <row r="1433">
      <c r="A1433" s="10">
        <v>1432.0</v>
      </c>
      <c r="B1433" s="11" t="s">
        <v>1520</v>
      </c>
      <c r="C1433" s="10" t="s">
        <v>79</v>
      </c>
      <c r="D1433" s="10" t="s">
        <v>52</v>
      </c>
      <c r="E1433" s="15"/>
      <c r="F1433" s="15" t="s">
        <v>382</v>
      </c>
      <c r="G1433" s="13">
        <f>IFERROR(__xludf.DUMMYFUNCTION("if(counta(filter('Previous Rank'!$A$2:$A2766,'Previous Rank'!$B$2:$B2766=B1433,'Previous Rank'!$C$2:$C2766=C1433))=1,filter('Previous Rank'!$A$2:$A2766,'Previous Rank'!$B$2:$B2766=B1433,'Previous Rank'!$C$2:$C2766=C1433),"""")"),1420.0)</f>
        <v>1420</v>
      </c>
      <c r="H1433" s="8">
        <f t="shared" si="1"/>
        <v>-12</v>
      </c>
    </row>
    <row r="1434">
      <c r="A1434" s="10">
        <v>1433.0</v>
      </c>
      <c r="B1434" s="11" t="s">
        <v>1521</v>
      </c>
      <c r="C1434" s="10" t="s">
        <v>79</v>
      </c>
      <c r="D1434" s="10" t="s">
        <v>71</v>
      </c>
      <c r="E1434" s="16"/>
      <c r="F1434" s="16" t="s">
        <v>382</v>
      </c>
      <c r="G1434" s="13">
        <f>IFERROR(__xludf.DUMMYFUNCTION("if(counta(filter('Previous Rank'!$A$2:$A2766,'Previous Rank'!$B$2:$B2766=B1434,'Previous Rank'!$C$2:$C2766=C1434))=1,filter('Previous Rank'!$A$2:$A2766,'Previous Rank'!$B$2:$B2766=B1434,'Previous Rank'!$C$2:$C2766=C1434),"""")"),1421.0)</f>
        <v>1421</v>
      </c>
      <c r="H1434" s="8">
        <f t="shared" si="1"/>
        <v>-12</v>
      </c>
    </row>
    <row r="1435">
      <c r="A1435" s="10">
        <v>1434.0</v>
      </c>
      <c r="B1435" s="11" t="s">
        <v>1522</v>
      </c>
      <c r="C1435" s="10" t="s">
        <v>240</v>
      </c>
      <c r="D1435" s="10" t="s">
        <v>34</v>
      </c>
      <c r="E1435" s="15"/>
      <c r="F1435" s="15" t="s">
        <v>382</v>
      </c>
      <c r="G1435" s="13">
        <f>IFERROR(__xludf.DUMMYFUNCTION("if(counta(filter('Previous Rank'!$A$2:$A2766,'Previous Rank'!$B$2:$B2766=B1435,'Previous Rank'!$C$2:$C2766=C1435))=1,filter('Previous Rank'!$A$2:$A2766,'Previous Rank'!$B$2:$B2766=B1435,'Previous Rank'!$C$2:$C2766=C1435),"""")"),1422.0)</f>
        <v>1422</v>
      </c>
      <c r="H1435" s="8">
        <f t="shared" si="1"/>
        <v>-12</v>
      </c>
    </row>
    <row r="1436">
      <c r="A1436" s="10">
        <v>1435.0</v>
      </c>
      <c r="B1436" s="11" t="s">
        <v>1523</v>
      </c>
      <c r="C1436" s="10" t="s">
        <v>79</v>
      </c>
      <c r="D1436" s="10" t="s">
        <v>23</v>
      </c>
      <c r="E1436" s="16"/>
      <c r="F1436" s="16" t="s">
        <v>382</v>
      </c>
      <c r="G1436" s="13">
        <f>IFERROR(__xludf.DUMMYFUNCTION("if(counta(filter('Previous Rank'!$A$2:$A2766,'Previous Rank'!$B$2:$B2766=B1436,'Previous Rank'!$C$2:$C2766=C1436))=1,filter('Previous Rank'!$A$2:$A2766,'Previous Rank'!$B$2:$B2766=B1436,'Previous Rank'!$C$2:$C2766=C1436),"""")"),1423.0)</f>
        <v>1423</v>
      </c>
      <c r="H1436" s="8">
        <f t="shared" si="1"/>
        <v>-12</v>
      </c>
    </row>
    <row r="1437">
      <c r="A1437" s="10">
        <v>1436.0</v>
      </c>
      <c r="B1437" s="11" t="s">
        <v>1524</v>
      </c>
      <c r="C1437" s="10" t="s">
        <v>79</v>
      </c>
      <c r="D1437" s="10" t="s">
        <v>85</v>
      </c>
      <c r="E1437" s="15"/>
      <c r="F1437" s="15" t="s">
        <v>382</v>
      </c>
      <c r="G1437" s="13">
        <f>IFERROR(__xludf.DUMMYFUNCTION("if(counta(filter('Previous Rank'!$A$2:$A2766,'Previous Rank'!$B$2:$B2766=B1437,'Previous Rank'!$C$2:$C2766=C1437))=1,filter('Previous Rank'!$A$2:$A2766,'Previous Rank'!$B$2:$B2766=B1437,'Previous Rank'!$C$2:$C2766=C1437),"""")"),1424.0)</f>
        <v>1424</v>
      </c>
      <c r="H1437" s="8">
        <f t="shared" si="1"/>
        <v>-12</v>
      </c>
    </row>
    <row r="1438">
      <c r="A1438" s="10">
        <v>1437.0</v>
      </c>
      <c r="B1438" s="11" t="s">
        <v>1525</v>
      </c>
      <c r="C1438" s="10" t="s">
        <v>79</v>
      </c>
      <c r="D1438" s="10" t="s">
        <v>27</v>
      </c>
      <c r="E1438" s="16"/>
      <c r="F1438" s="16" t="s">
        <v>382</v>
      </c>
      <c r="G1438" s="13">
        <f>IFERROR(__xludf.DUMMYFUNCTION("if(counta(filter('Previous Rank'!$A$2:$A2766,'Previous Rank'!$B$2:$B2766=B1438,'Previous Rank'!$C$2:$C2766=C1438))=1,filter('Previous Rank'!$A$2:$A2766,'Previous Rank'!$B$2:$B2766=B1438,'Previous Rank'!$C$2:$C2766=C1438),"""")"),1425.0)</f>
        <v>1425</v>
      </c>
      <c r="H1438" s="8">
        <f t="shared" si="1"/>
        <v>-12</v>
      </c>
    </row>
    <row r="1439">
      <c r="A1439" s="10">
        <v>1438.0</v>
      </c>
      <c r="B1439" s="11" t="s">
        <v>1526</v>
      </c>
      <c r="C1439" s="10" t="s">
        <v>79</v>
      </c>
      <c r="D1439" s="10" t="s">
        <v>71</v>
      </c>
      <c r="E1439" s="15"/>
      <c r="F1439" s="15" t="s">
        <v>382</v>
      </c>
      <c r="G1439" s="13">
        <f>IFERROR(__xludf.DUMMYFUNCTION("if(counta(filter('Previous Rank'!$A$2:$A2766,'Previous Rank'!$B$2:$B2766=B1439,'Previous Rank'!$C$2:$C2766=C1439))=1,filter('Previous Rank'!$A$2:$A2766,'Previous Rank'!$B$2:$B2766=B1439,'Previous Rank'!$C$2:$C2766=C1439),"""")"),1426.0)</f>
        <v>1426</v>
      </c>
      <c r="H1439" s="8">
        <f t="shared" si="1"/>
        <v>-12</v>
      </c>
    </row>
    <row r="1440">
      <c r="A1440" s="10">
        <v>1439.0</v>
      </c>
      <c r="B1440" s="11" t="s">
        <v>1527</v>
      </c>
      <c r="C1440" s="10" t="s">
        <v>700</v>
      </c>
      <c r="D1440" s="10" t="s">
        <v>27</v>
      </c>
      <c r="E1440" s="16"/>
      <c r="F1440" s="16" t="s">
        <v>382</v>
      </c>
      <c r="G1440" s="13">
        <f>IFERROR(__xludf.DUMMYFUNCTION("if(counta(filter('Previous Rank'!$A$2:$A2766,'Previous Rank'!$B$2:$B2766=B1440,'Previous Rank'!$C$2:$C2766=C1440))=1,filter('Previous Rank'!$A$2:$A2766,'Previous Rank'!$B$2:$B2766=B1440,'Previous Rank'!$C$2:$C2766=C1440),"""")"),1427.0)</f>
        <v>1427</v>
      </c>
      <c r="H1440" s="8">
        <f t="shared" si="1"/>
        <v>-12</v>
      </c>
    </row>
    <row r="1441">
      <c r="A1441" s="10">
        <v>1440.0</v>
      </c>
      <c r="B1441" s="11" t="s">
        <v>1528</v>
      </c>
      <c r="C1441" s="10" t="s">
        <v>79</v>
      </c>
      <c r="D1441" s="10" t="s">
        <v>137</v>
      </c>
      <c r="E1441" s="15"/>
      <c r="F1441" s="15" t="s">
        <v>382</v>
      </c>
      <c r="G1441" s="13">
        <f>IFERROR(__xludf.DUMMYFUNCTION("if(counta(filter('Previous Rank'!$A$2:$A2766,'Previous Rank'!$B$2:$B2766=B1441,'Previous Rank'!$C$2:$C2766=C1441))=1,filter('Previous Rank'!$A$2:$A2766,'Previous Rank'!$B$2:$B2766=B1441,'Previous Rank'!$C$2:$C2766=C1441),"""")"),1428.0)</f>
        <v>1428</v>
      </c>
      <c r="H1441" s="8">
        <f t="shared" si="1"/>
        <v>-12</v>
      </c>
    </row>
    <row r="1442">
      <c r="A1442" s="10">
        <v>1441.0</v>
      </c>
      <c r="B1442" s="11" t="s">
        <v>1529</v>
      </c>
      <c r="C1442" s="10" t="s">
        <v>79</v>
      </c>
      <c r="D1442" s="10" t="s">
        <v>18</v>
      </c>
      <c r="E1442" s="16"/>
      <c r="F1442" s="16" t="s">
        <v>382</v>
      </c>
      <c r="G1442" s="13">
        <f>IFERROR(__xludf.DUMMYFUNCTION("if(counta(filter('Previous Rank'!$A$2:$A2766,'Previous Rank'!$B$2:$B2766=B1442,'Previous Rank'!$C$2:$C2766=C1442))=1,filter('Previous Rank'!$A$2:$A2766,'Previous Rank'!$B$2:$B2766=B1442,'Previous Rank'!$C$2:$C2766=C1442),"""")"),1429.0)</f>
        <v>1429</v>
      </c>
      <c r="H1442" s="8">
        <f t="shared" si="1"/>
        <v>-12</v>
      </c>
    </row>
    <row r="1443">
      <c r="A1443" s="10">
        <v>1442.0</v>
      </c>
      <c r="B1443" s="11" t="s">
        <v>1530</v>
      </c>
      <c r="C1443" s="10" t="s">
        <v>79</v>
      </c>
      <c r="D1443" s="10" t="s">
        <v>113</v>
      </c>
      <c r="E1443" s="15"/>
      <c r="F1443" s="15" t="s">
        <v>382</v>
      </c>
      <c r="G1443" s="13">
        <f>IFERROR(__xludf.DUMMYFUNCTION("if(counta(filter('Previous Rank'!$A$2:$A2766,'Previous Rank'!$B$2:$B2766=B1443,'Previous Rank'!$C$2:$C2766=C1443))=1,filter('Previous Rank'!$A$2:$A2766,'Previous Rank'!$B$2:$B2766=B1443,'Previous Rank'!$C$2:$C2766=C1443),"""")"),1430.0)</f>
        <v>1430</v>
      </c>
      <c r="H1443" s="8">
        <f t="shared" si="1"/>
        <v>-12</v>
      </c>
    </row>
    <row r="1444">
      <c r="A1444" s="10">
        <v>1443.0</v>
      </c>
      <c r="B1444" s="11" t="s">
        <v>1531</v>
      </c>
      <c r="C1444" s="10" t="s">
        <v>79</v>
      </c>
      <c r="D1444" s="10" t="s">
        <v>27</v>
      </c>
      <c r="E1444" s="16"/>
      <c r="F1444" s="16" t="s">
        <v>382</v>
      </c>
      <c r="G1444" s="13">
        <f>IFERROR(__xludf.DUMMYFUNCTION("if(counta(filter('Previous Rank'!$A$2:$A2766,'Previous Rank'!$B$2:$B2766=B1444,'Previous Rank'!$C$2:$C2766=C1444))=1,filter('Previous Rank'!$A$2:$A2766,'Previous Rank'!$B$2:$B2766=B1444,'Previous Rank'!$C$2:$C2766=C1444),"""")"),1431.0)</f>
        <v>1431</v>
      </c>
      <c r="H1444" s="8">
        <f t="shared" si="1"/>
        <v>-12</v>
      </c>
    </row>
    <row r="1445">
      <c r="A1445" s="10">
        <v>1444.0</v>
      </c>
      <c r="B1445" s="11" t="s">
        <v>1532</v>
      </c>
      <c r="C1445" s="10" t="s">
        <v>79</v>
      </c>
      <c r="D1445" s="10" t="s">
        <v>137</v>
      </c>
      <c r="E1445" s="15"/>
      <c r="F1445" s="15" t="s">
        <v>382</v>
      </c>
      <c r="G1445" s="13">
        <f>IFERROR(__xludf.DUMMYFUNCTION("if(counta(filter('Previous Rank'!$A$2:$A2766,'Previous Rank'!$B$2:$B2766=B1445,'Previous Rank'!$C$2:$C2766=C1445))=1,filter('Previous Rank'!$A$2:$A2766,'Previous Rank'!$B$2:$B2766=B1445,'Previous Rank'!$C$2:$C2766=C1445),"""")"),1432.0)</f>
        <v>1432</v>
      </c>
      <c r="H1445" s="8">
        <f t="shared" si="1"/>
        <v>-12</v>
      </c>
    </row>
    <row r="1446">
      <c r="A1446" s="10">
        <v>1445.0</v>
      </c>
      <c r="B1446" s="11" t="s">
        <v>1533</v>
      </c>
      <c r="C1446" s="10" t="s">
        <v>79</v>
      </c>
      <c r="D1446" s="10" t="s">
        <v>36</v>
      </c>
      <c r="E1446" s="16"/>
      <c r="F1446" s="16" t="s">
        <v>382</v>
      </c>
      <c r="G1446" s="13">
        <f>IFERROR(__xludf.DUMMYFUNCTION("if(counta(filter('Previous Rank'!$A$2:$A2766,'Previous Rank'!$B$2:$B2766=B1446,'Previous Rank'!$C$2:$C2766=C1446))=1,filter('Previous Rank'!$A$2:$A2766,'Previous Rank'!$B$2:$B2766=B1446,'Previous Rank'!$C$2:$C2766=C1446),"""")"),1433.0)</f>
        <v>1433</v>
      </c>
      <c r="H1446" s="8">
        <f t="shared" si="1"/>
        <v>-12</v>
      </c>
    </row>
    <row r="1447">
      <c r="A1447" s="10">
        <v>1446.0</v>
      </c>
      <c r="B1447" s="11" t="s">
        <v>1534</v>
      </c>
      <c r="C1447" s="10" t="s">
        <v>79</v>
      </c>
      <c r="D1447" s="10" t="s">
        <v>15</v>
      </c>
      <c r="E1447" s="15"/>
      <c r="F1447" s="15" t="s">
        <v>382</v>
      </c>
      <c r="G1447" s="13">
        <f>IFERROR(__xludf.DUMMYFUNCTION("if(counta(filter('Previous Rank'!$A$2:$A2766,'Previous Rank'!$B$2:$B2766=B1447,'Previous Rank'!$C$2:$C2766=C1447))=1,filter('Previous Rank'!$A$2:$A2766,'Previous Rank'!$B$2:$B2766=B1447,'Previous Rank'!$C$2:$C2766=C1447),"""")"),1434.0)</f>
        <v>1434</v>
      </c>
      <c r="H1447" s="8">
        <f t="shared" si="1"/>
        <v>-12</v>
      </c>
    </row>
    <row r="1448">
      <c r="A1448" s="10">
        <v>1447.0</v>
      </c>
      <c r="B1448" s="11" t="s">
        <v>1535</v>
      </c>
      <c r="C1448" s="10" t="s">
        <v>79</v>
      </c>
      <c r="D1448" s="10" t="s">
        <v>90</v>
      </c>
      <c r="E1448" s="16"/>
      <c r="F1448" s="16" t="s">
        <v>382</v>
      </c>
      <c r="G1448" s="13">
        <f>IFERROR(__xludf.DUMMYFUNCTION("if(counta(filter('Previous Rank'!$A$2:$A2766,'Previous Rank'!$B$2:$B2766=B1448,'Previous Rank'!$C$2:$C2766=C1448))=1,filter('Previous Rank'!$A$2:$A2766,'Previous Rank'!$B$2:$B2766=B1448,'Previous Rank'!$C$2:$C2766=C1448),"""")"),1435.0)</f>
        <v>1435</v>
      </c>
      <c r="H1448" s="8">
        <f t="shared" si="1"/>
        <v>-12</v>
      </c>
    </row>
    <row r="1449">
      <c r="A1449" s="10">
        <v>1448.0</v>
      </c>
      <c r="B1449" s="11" t="s">
        <v>1536</v>
      </c>
      <c r="C1449" s="10" t="s">
        <v>79</v>
      </c>
      <c r="D1449" s="10" t="s">
        <v>67</v>
      </c>
      <c r="E1449" s="15"/>
      <c r="F1449" s="15" t="s">
        <v>382</v>
      </c>
      <c r="G1449" s="13">
        <f>IFERROR(__xludf.DUMMYFUNCTION("if(counta(filter('Previous Rank'!$A$2:$A2766,'Previous Rank'!$B$2:$B2766=B1449,'Previous Rank'!$C$2:$C2766=C1449))=1,filter('Previous Rank'!$A$2:$A2766,'Previous Rank'!$B$2:$B2766=B1449,'Previous Rank'!$C$2:$C2766=C1449),"""")"),1436.0)</f>
        <v>1436</v>
      </c>
      <c r="H1449" s="8">
        <f t="shared" si="1"/>
        <v>-12</v>
      </c>
    </row>
    <row r="1450">
      <c r="A1450" s="10">
        <v>1449.0</v>
      </c>
      <c r="B1450" s="11" t="s">
        <v>1537</v>
      </c>
      <c r="C1450" s="10" t="s">
        <v>79</v>
      </c>
      <c r="D1450" s="10" t="s">
        <v>137</v>
      </c>
      <c r="E1450" s="16"/>
      <c r="F1450" s="16" t="s">
        <v>382</v>
      </c>
      <c r="G1450" s="13">
        <f>IFERROR(__xludf.DUMMYFUNCTION("if(counta(filter('Previous Rank'!$A$2:$A2766,'Previous Rank'!$B$2:$B2766=B1450,'Previous Rank'!$C$2:$C2766=C1450))=1,filter('Previous Rank'!$A$2:$A2766,'Previous Rank'!$B$2:$B2766=B1450,'Previous Rank'!$C$2:$C2766=C1450),"""")"),1437.0)</f>
        <v>1437</v>
      </c>
      <c r="H1450" s="8">
        <f t="shared" si="1"/>
        <v>-12</v>
      </c>
    </row>
    <row r="1451">
      <c r="A1451" s="10">
        <v>1450.0</v>
      </c>
      <c r="B1451" s="11" t="s">
        <v>1538</v>
      </c>
      <c r="C1451" s="10" t="s">
        <v>79</v>
      </c>
      <c r="D1451" s="10" t="s">
        <v>18</v>
      </c>
      <c r="E1451" s="15"/>
      <c r="F1451" s="15" t="s">
        <v>382</v>
      </c>
      <c r="G1451" s="13" t="str">
        <f>IFERROR(__xludf.DUMMYFUNCTION("if(counta(filter('Previous Rank'!$A$2:$A2766,'Previous Rank'!$B$2:$B2766=B1451,'Previous Rank'!$C$2:$C2766=C1451))=1,filter('Previous Rank'!$A$2:$A2766,'Previous Rank'!$B$2:$B2766=B1451,'Previous Rank'!$C$2:$C2766=C1451),"""")"),"#N/A")</f>
        <v>#N/A</v>
      </c>
      <c r="H1451" s="8" t="str">
        <f t="shared" si="1"/>
        <v>#N/A</v>
      </c>
    </row>
    <row r="1452">
      <c r="A1452" s="10">
        <v>1451.0</v>
      </c>
      <c r="B1452" s="11" t="s">
        <v>1539</v>
      </c>
      <c r="C1452" s="10" t="s">
        <v>79</v>
      </c>
      <c r="D1452" s="10" t="s">
        <v>122</v>
      </c>
      <c r="E1452" s="16"/>
      <c r="F1452" s="16" t="s">
        <v>382</v>
      </c>
      <c r="G1452" s="13">
        <f>IFERROR(__xludf.DUMMYFUNCTION("if(counta(filter('Previous Rank'!$A$2:$A2766,'Previous Rank'!$B$2:$B2766=B1452,'Previous Rank'!$C$2:$C2766=C1452))=1,filter('Previous Rank'!$A$2:$A2766,'Previous Rank'!$B$2:$B2766=B1452,'Previous Rank'!$C$2:$C2766=C1452),"""")"),1439.0)</f>
        <v>1439</v>
      </c>
      <c r="H1452" s="8">
        <f t="shared" si="1"/>
        <v>-12</v>
      </c>
    </row>
    <row r="1453">
      <c r="A1453" s="10">
        <v>1452.0</v>
      </c>
      <c r="B1453" s="11" t="s">
        <v>1540</v>
      </c>
      <c r="C1453" s="10" t="s">
        <v>79</v>
      </c>
      <c r="D1453" s="10" t="s">
        <v>113</v>
      </c>
      <c r="E1453" s="15"/>
      <c r="F1453" s="15" t="s">
        <v>382</v>
      </c>
      <c r="G1453" s="13">
        <f>IFERROR(__xludf.DUMMYFUNCTION("if(counta(filter('Previous Rank'!$A$2:$A2766,'Previous Rank'!$B$2:$B2766=B1453,'Previous Rank'!$C$2:$C2766=C1453))=1,filter('Previous Rank'!$A$2:$A2766,'Previous Rank'!$B$2:$B2766=B1453,'Previous Rank'!$C$2:$C2766=C1453),"""")"),1440.0)</f>
        <v>1440</v>
      </c>
      <c r="H1453" s="8">
        <f t="shared" si="1"/>
        <v>-12</v>
      </c>
    </row>
    <row r="1454">
      <c r="A1454" s="10">
        <v>1453.0</v>
      </c>
      <c r="B1454" s="11" t="s">
        <v>1541</v>
      </c>
      <c r="C1454" s="10" t="s">
        <v>220</v>
      </c>
      <c r="D1454" s="10" t="s">
        <v>52</v>
      </c>
      <c r="E1454" s="16"/>
      <c r="F1454" s="16" t="s">
        <v>382</v>
      </c>
      <c r="G1454" s="13">
        <f>IFERROR(__xludf.DUMMYFUNCTION("if(counta(filter('Previous Rank'!$A$2:$A2766,'Previous Rank'!$B$2:$B2766=B1454,'Previous Rank'!$C$2:$C2766=C1454))=1,filter('Previous Rank'!$A$2:$A2766,'Previous Rank'!$B$2:$B2766=B1454,'Previous Rank'!$C$2:$C2766=C1454),"""")"),1441.0)</f>
        <v>1441</v>
      </c>
      <c r="H1454" s="8">
        <f t="shared" si="1"/>
        <v>-12</v>
      </c>
    </row>
    <row r="1455">
      <c r="A1455" s="10">
        <v>1454.0</v>
      </c>
      <c r="B1455" s="11" t="s">
        <v>1542</v>
      </c>
      <c r="C1455" s="10" t="s">
        <v>22</v>
      </c>
      <c r="D1455" s="10" t="s">
        <v>120</v>
      </c>
      <c r="E1455" s="15"/>
      <c r="F1455" s="15" t="s">
        <v>382</v>
      </c>
      <c r="G1455" s="13">
        <f>IFERROR(__xludf.DUMMYFUNCTION("if(counta(filter('Previous Rank'!$A$2:$A2766,'Previous Rank'!$B$2:$B2766=B1455,'Previous Rank'!$C$2:$C2766=C1455))=1,filter('Previous Rank'!$A$2:$A2766,'Previous Rank'!$B$2:$B2766=B1455,'Previous Rank'!$C$2:$C2766=C1455),"""")"),1442.0)</f>
        <v>1442</v>
      </c>
      <c r="H1455" s="8">
        <f t="shared" si="1"/>
        <v>-12</v>
      </c>
    </row>
    <row r="1456">
      <c r="A1456" s="10">
        <v>1455.0</v>
      </c>
      <c r="B1456" s="11" t="s">
        <v>1543</v>
      </c>
      <c r="C1456" s="10" t="s">
        <v>79</v>
      </c>
      <c r="D1456" s="10" t="s">
        <v>52</v>
      </c>
      <c r="E1456" s="16"/>
      <c r="F1456" s="16" t="s">
        <v>382</v>
      </c>
      <c r="G1456" s="13">
        <f>IFERROR(__xludf.DUMMYFUNCTION("if(counta(filter('Previous Rank'!$A$2:$A2766,'Previous Rank'!$B$2:$B2766=B1456,'Previous Rank'!$C$2:$C2766=C1456))=1,filter('Previous Rank'!$A$2:$A2766,'Previous Rank'!$B$2:$B2766=B1456,'Previous Rank'!$C$2:$C2766=C1456),"""")"),1443.0)</f>
        <v>1443</v>
      </c>
      <c r="H1456" s="8">
        <f t="shared" si="1"/>
        <v>-12</v>
      </c>
    </row>
    <row r="1457">
      <c r="A1457" s="10">
        <v>1456.0</v>
      </c>
      <c r="B1457" s="11" t="s">
        <v>1544</v>
      </c>
      <c r="C1457" s="10" t="s">
        <v>22</v>
      </c>
      <c r="D1457" s="10" t="s">
        <v>42</v>
      </c>
      <c r="E1457" s="15"/>
      <c r="F1457" s="15" t="s">
        <v>382</v>
      </c>
      <c r="G1457" s="13">
        <f>IFERROR(__xludf.DUMMYFUNCTION("if(counta(filter('Previous Rank'!$A$2:$A2766,'Previous Rank'!$B$2:$B2766=B1457,'Previous Rank'!$C$2:$C2766=C1457))=1,filter('Previous Rank'!$A$2:$A2766,'Previous Rank'!$B$2:$B2766=B1457,'Previous Rank'!$C$2:$C2766=C1457),"""")"),1444.0)</f>
        <v>1444</v>
      </c>
      <c r="H1457" s="8">
        <f t="shared" si="1"/>
        <v>-12</v>
      </c>
    </row>
    <row r="1458">
      <c r="A1458" s="10">
        <v>1457.0</v>
      </c>
      <c r="B1458" s="11" t="s">
        <v>1545</v>
      </c>
      <c r="C1458" s="10" t="s">
        <v>22</v>
      </c>
      <c r="D1458" s="10" t="s">
        <v>140</v>
      </c>
      <c r="E1458" s="16"/>
      <c r="F1458" s="16" t="s">
        <v>382</v>
      </c>
      <c r="G1458" s="13">
        <f>IFERROR(__xludf.DUMMYFUNCTION("if(counta(filter('Previous Rank'!$A$2:$A2766,'Previous Rank'!$B$2:$B2766=B1458,'Previous Rank'!$C$2:$C2766=C1458))=1,filter('Previous Rank'!$A$2:$A2766,'Previous Rank'!$B$2:$B2766=B1458,'Previous Rank'!$C$2:$C2766=C1458),"""")"),1445.0)</f>
        <v>1445</v>
      </c>
      <c r="H1458" s="8">
        <f t="shared" si="1"/>
        <v>-12</v>
      </c>
    </row>
    <row r="1459">
      <c r="A1459" s="10">
        <v>1458.0</v>
      </c>
      <c r="B1459" s="11" t="s">
        <v>1546</v>
      </c>
      <c r="C1459" s="10" t="s">
        <v>11</v>
      </c>
      <c r="D1459" s="10" t="s">
        <v>85</v>
      </c>
      <c r="E1459" s="15"/>
      <c r="F1459" s="15" t="s">
        <v>382</v>
      </c>
      <c r="G1459" s="13">
        <f>IFERROR(__xludf.DUMMYFUNCTION("if(counta(filter('Previous Rank'!$A$2:$A2766,'Previous Rank'!$B$2:$B2766=B1459,'Previous Rank'!$C$2:$C2766=C1459))=1,filter('Previous Rank'!$A$2:$A2766,'Previous Rank'!$B$2:$B2766=B1459,'Previous Rank'!$C$2:$C2766=C1459),"""")"),1446.0)</f>
        <v>1446</v>
      </c>
      <c r="H1459" s="8">
        <f t="shared" si="1"/>
        <v>-12</v>
      </c>
    </row>
    <row r="1460">
      <c r="A1460" s="10">
        <v>1459.0</v>
      </c>
      <c r="B1460" s="11" t="s">
        <v>1547</v>
      </c>
      <c r="C1460" s="10" t="s">
        <v>79</v>
      </c>
      <c r="D1460" s="10" t="s">
        <v>99</v>
      </c>
      <c r="E1460" s="16"/>
      <c r="F1460" s="16" t="s">
        <v>382</v>
      </c>
      <c r="G1460" s="13">
        <f>IFERROR(__xludf.DUMMYFUNCTION("if(counta(filter('Previous Rank'!$A$2:$A2766,'Previous Rank'!$B$2:$B2766=B1460,'Previous Rank'!$C$2:$C2766=C1460))=1,filter('Previous Rank'!$A$2:$A2766,'Previous Rank'!$B$2:$B2766=B1460,'Previous Rank'!$C$2:$C2766=C1460),"""")"),1447.0)</f>
        <v>1447</v>
      </c>
      <c r="H1460" s="8">
        <f t="shared" si="1"/>
        <v>-12</v>
      </c>
    </row>
    <row r="1461">
      <c r="A1461" s="10">
        <v>1460.0</v>
      </c>
      <c r="B1461" s="11" t="s">
        <v>1548</v>
      </c>
      <c r="C1461" s="10" t="s">
        <v>79</v>
      </c>
      <c r="D1461" s="10" t="s">
        <v>18</v>
      </c>
      <c r="E1461" s="15"/>
      <c r="F1461" s="15" t="s">
        <v>382</v>
      </c>
      <c r="G1461" s="13">
        <f>IFERROR(__xludf.DUMMYFUNCTION("if(counta(filter('Previous Rank'!$A$2:$A2766,'Previous Rank'!$B$2:$B2766=B1461,'Previous Rank'!$C$2:$C2766=C1461))=1,filter('Previous Rank'!$A$2:$A2766,'Previous Rank'!$B$2:$B2766=B1461,'Previous Rank'!$C$2:$C2766=C1461),"""")"),1448.0)</f>
        <v>1448</v>
      </c>
      <c r="H1461" s="8">
        <f t="shared" si="1"/>
        <v>-12</v>
      </c>
    </row>
    <row r="1462">
      <c r="A1462" s="10">
        <v>1461.0</v>
      </c>
      <c r="B1462" s="11" t="s">
        <v>1549</v>
      </c>
      <c r="C1462" s="10" t="s">
        <v>79</v>
      </c>
      <c r="D1462" s="10" t="s">
        <v>71</v>
      </c>
      <c r="E1462" s="16"/>
      <c r="F1462" s="16" t="s">
        <v>382</v>
      </c>
      <c r="G1462" s="13">
        <f>IFERROR(__xludf.DUMMYFUNCTION("if(counta(filter('Previous Rank'!$A$2:$A2766,'Previous Rank'!$B$2:$B2766=B1462,'Previous Rank'!$C$2:$C2766=C1462))=1,filter('Previous Rank'!$A$2:$A2766,'Previous Rank'!$B$2:$B2766=B1462,'Previous Rank'!$C$2:$C2766=C1462),"""")"),1449.0)</f>
        <v>1449</v>
      </c>
      <c r="H1462" s="8">
        <f t="shared" si="1"/>
        <v>-12</v>
      </c>
    </row>
    <row r="1463">
      <c r="A1463" s="10">
        <v>1462.0</v>
      </c>
      <c r="B1463" s="11" t="s">
        <v>1550</v>
      </c>
      <c r="C1463" s="10" t="s">
        <v>79</v>
      </c>
      <c r="D1463" s="10" t="s">
        <v>18</v>
      </c>
      <c r="E1463" s="15"/>
      <c r="F1463" s="15" t="s">
        <v>382</v>
      </c>
      <c r="G1463" s="13">
        <f>IFERROR(__xludf.DUMMYFUNCTION("if(counta(filter('Previous Rank'!$A$2:$A2766,'Previous Rank'!$B$2:$B2766=B1463,'Previous Rank'!$C$2:$C2766=C1463))=1,filter('Previous Rank'!$A$2:$A2766,'Previous Rank'!$B$2:$B2766=B1463,'Previous Rank'!$C$2:$C2766=C1463),"""")"),1450.0)</f>
        <v>1450</v>
      </c>
      <c r="H1463" s="8">
        <f t="shared" si="1"/>
        <v>-12</v>
      </c>
    </row>
    <row r="1464">
      <c r="A1464" s="10">
        <v>1463.0</v>
      </c>
      <c r="B1464" s="11" t="s">
        <v>1551</v>
      </c>
      <c r="C1464" s="10" t="s">
        <v>22</v>
      </c>
      <c r="D1464" s="10" t="s">
        <v>85</v>
      </c>
      <c r="E1464" s="16"/>
      <c r="F1464" s="16" t="s">
        <v>382</v>
      </c>
      <c r="G1464" s="13">
        <f>IFERROR(__xludf.DUMMYFUNCTION("if(counta(filter('Previous Rank'!$A$2:$A2766,'Previous Rank'!$B$2:$B2766=B1464,'Previous Rank'!$C$2:$C2766=C1464))=1,filter('Previous Rank'!$A$2:$A2766,'Previous Rank'!$B$2:$B2766=B1464,'Previous Rank'!$C$2:$C2766=C1464),"""")"),1451.0)</f>
        <v>1451</v>
      </c>
      <c r="H1464" s="8">
        <f t="shared" si="1"/>
        <v>-12</v>
      </c>
    </row>
    <row r="1465">
      <c r="A1465" s="10">
        <v>1464.0</v>
      </c>
      <c r="B1465" s="11" t="s">
        <v>1552</v>
      </c>
      <c r="C1465" s="10" t="s">
        <v>22</v>
      </c>
      <c r="D1465" s="10" t="s">
        <v>36</v>
      </c>
      <c r="E1465" s="15"/>
      <c r="F1465" s="15" t="s">
        <v>382</v>
      </c>
      <c r="G1465" s="13">
        <f>IFERROR(__xludf.DUMMYFUNCTION("if(counta(filter('Previous Rank'!$A$2:$A2766,'Previous Rank'!$B$2:$B2766=B1465,'Previous Rank'!$C$2:$C2766=C1465))=1,filter('Previous Rank'!$A$2:$A2766,'Previous Rank'!$B$2:$B2766=B1465,'Previous Rank'!$C$2:$C2766=C1465),"""")"),1452.0)</f>
        <v>1452</v>
      </c>
      <c r="H1465" s="8">
        <f t="shared" si="1"/>
        <v>-12</v>
      </c>
    </row>
    <row r="1466">
      <c r="A1466" s="10">
        <v>1465.0</v>
      </c>
      <c r="B1466" s="11" t="s">
        <v>1553</v>
      </c>
      <c r="C1466" s="10" t="s">
        <v>79</v>
      </c>
      <c r="D1466" s="10" t="s">
        <v>85</v>
      </c>
      <c r="E1466" s="16"/>
      <c r="F1466" s="16" t="s">
        <v>382</v>
      </c>
      <c r="G1466" s="13">
        <f>IFERROR(__xludf.DUMMYFUNCTION("if(counta(filter('Previous Rank'!$A$2:$A2766,'Previous Rank'!$B$2:$B2766=B1466,'Previous Rank'!$C$2:$C2766=C1466))=1,filter('Previous Rank'!$A$2:$A2766,'Previous Rank'!$B$2:$B2766=B1466,'Previous Rank'!$C$2:$C2766=C1466),"""")"),1453.0)</f>
        <v>1453</v>
      </c>
      <c r="H1466" s="8">
        <f t="shared" si="1"/>
        <v>-12</v>
      </c>
    </row>
    <row r="1467">
      <c r="A1467" s="10">
        <v>1466.0</v>
      </c>
      <c r="B1467" s="11" t="s">
        <v>1554</v>
      </c>
      <c r="C1467" s="10" t="s">
        <v>79</v>
      </c>
      <c r="D1467" s="10" t="s">
        <v>67</v>
      </c>
      <c r="E1467" s="12"/>
      <c r="F1467" s="12" t="s">
        <v>382</v>
      </c>
      <c r="G1467" s="13">
        <f>IFERROR(__xludf.DUMMYFUNCTION("if(counta(filter('Previous Rank'!$A$2:$A2766,'Previous Rank'!$B$2:$B2766=B1467,'Previous Rank'!$C$2:$C2766=C1467))=1,filter('Previous Rank'!$A$2:$A2766,'Previous Rank'!$B$2:$B2766=B1467,'Previous Rank'!$C$2:$C2766=C1467),"""")"),1454.0)</f>
        <v>1454</v>
      </c>
      <c r="H1467" s="8">
        <f t="shared" si="1"/>
        <v>-12</v>
      </c>
    </row>
    <row r="1468">
      <c r="A1468" s="10">
        <v>1467.0</v>
      </c>
      <c r="B1468" s="11" t="s">
        <v>1555</v>
      </c>
      <c r="C1468" s="10" t="s">
        <v>79</v>
      </c>
      <c r="D1468" s="10" t="s">
        <v>9</v>
      </c>
      <c r="E1468" s="16"/>
      <c r="F1468" s="16" t="s">
        <v>382</v>
      </c>
      <c r="G1468" s="13">
        <f>IFERROR(__xludf.DUMMYFUNCTION("if(counta(filter('Previous Rank'!$A$2:$A2766,'Previous Rank'!$B$2:$B2766=B1468,'Previous Rank'!$C$2:$C2766=C1468))=1,filter('Previous Rank'!$A$2:$A2766,'Previous Rank'!$B$2:$B2766=B1468,'Previous Rank'!$C$2:$C2766=C1468),"""")"),1455.0)</f>
        <v>1455</v>
      </c>
      <c r="H1468" s="8">
        <f t="shared" si="1"/>
        <v>-12</v>
      </c>
    </row>
    <row r="1469">
      <c r="A1469" s="10">
        <v>1468.0</v>
      </c>
      <c r="B1469" s="11" t="s">
        <v>1556</v>
      </c>
      <c r="C1469" s="10" t="s">
        <v>79</v>
      </c>
      <c r="D1469" s="10" t="s">
        <v>122</v>
      </c>
      <c r="E1469" s="15"/>
      <c r="F1469" s="15" t="s">
        <v>382</v>
      </c>
      <c r="G1469" s="13">
        <f>IFERROR(__xludf.DUMMYFUNCTION("if(counta(filter('Previous Rank'!$A$2:$A2766,'Previous Rank'!$B$2:$B2766=B1469,'Previous Rank'!$C$2:$C2766=C1469))=1,filter('Previous Rank'!$A$2:$A2766,'Previous Rank'!$B$2:$B2766=B1469,'Previous Rank'!$C$2:$C2766=C1469),"""")"),1456.0)</f>
        <v>1456</v>
      </c>
      <c r="H1469" s="8">
        <f t="shared" si="1"/>
        <v>-12</v>
      </c>
    </row>
    <row r="1470">
      <c r="A1470" s="10">
        <v>1469.0</v>
      </c>
      <c r="B1470" s="11" t="s">
        <v>1557</v>
      </c>
      <c r="C1470" s="10" t="s">
        <v>22</v>
      </c>
      <c r="D1470" s="10" t="s">
        <v>129</v>
      </c>
      <c r="E1470" s="16"/>
      <c r="F1470" s="16" t="s">
        <v>382</v>
      </c>
      <c r="G1470" s="13">
        <f>IFERROR(__xludf.DUMMYFUNCTION("if(counta(filter('Previous Rank'!$A$2:$A2766,'Previous Rank'!$B$2:$B2766=B1470,'Previous Rank'!$C$2:$C2766=C1470))=1,filter('Previous Rank'!$A$2:$A2766,'Previous Rank'!$B$2:$B2766=B1470,'Previous Rank'!$C$2:$C2766=C1470),"""")"),1457.0)</f>
        <v>1457</v>
      </c>
      <c r="H1470" s="8">
        <f t="shared" si="1"/>
        <v>-12</v>
      </c>
    </row>
    <row r="1471">
      <c r="A1471" s="10">
        <v>1470.0</v>
      </c>
      <c r="B1471" s="11" t="s">
        <v>1558</v>
      </c>
      <c r="C1471" s="10" t="s">
        <v>14</v>
      </c>
      <c r="D1471" s="10" t="s">
        <v>140</v>
      </c>
      <c r="E1471" s="15"/>
      <c r="F1471" s="15" t="s">
        <v>382</v>
      </c>
      <c r="G1471" s="13">
        <f>IFERROR(__xludf.DUMMYFUNCTION("if(counta(filter('Previous Rank'!$A$2:$A2766,'Previous Rank'!$B$2:$B2766=B1471,'Previous Rank'!$C$2:$C2766=C1471))=1,filter('Previous Rank'!$A$2:$A2766,'Previous Rank'!$B$2:$B2766=B1471,'Previous Rank'!$C$2:$C2766=C1471),"""")"),1458.0)</f>
        <v>1458</v>
      </c>
      <c r="H1471" s="8">
        <f t="shared" si="1"/>
        <v>-12</v>
      </c>
    </row>
    <row r="1472">
      <c r="A1472" s="10">
        <v>1471.0</v>
      </c>
      <c r="B1472" s="11" t="s">
        <v>1559</v>
      </c>
      <c r="C1472" s="10" t="s">
        <v>79</v>
      </c>
      <c r="D1472" s="10" t="s">
        <v>140</v>
      </c>
      <c r="E1472" s="16"/>
      <c r="F1472" s="16" t="s">
        <v>382</v>
      </c>
      <c r="G1472" s="13">
        <f>IFERROR(__xludf.DUMMYFUNCTION("if(counta(filter('Previous Rank'!$A$2:$A2766,'Previous Rank'!$B$2:$B2766=B1472,'Previous Rank'!$C$2:$C2766=C1472))=1,filter('Previous Rank'!$A$2:$A2766,'Previous Rank'!$B$2:$B2766=B1472,'Previous Rank'!$C$2:$C2766=C1472),"""")"),1459.0)</f>
        <v>1459</v>
      </c>
      <c r="H1472" s="8">
        <f t="shared" si="1"/>
        <v>-12</v>
      </c>
    </row>
    <row r="1473">
      <c r="A1473" s="10">
        <v>1472.0</v>
      </c>
      <c r="B1473" s="11" t="s">
        <v>1560</v>
      </c>
      <c r="C1473" s="10" t="s">
        <v>79</v>
      </c>
      <c r="D1473" s="10" t="s">
        <v>120</v>
      </c>
      <c r="E1473" s="15"/>
      <c r="F1473" s="15" t="s">
        <v>382</v>
      </c>
      <c r="G1473" s="13">
        <f>IFERROR(__xludf.DUMMYFUNCTION("if(counta(filter('Previous Rank'!$A$2:$A2766,'Previous Rank'!$B$2:$B2766=B1473,'Previous Rank'!$C$2:$C2766=C1473))=1,filter('Previous Rank'!$A$2:$A2766,'Previous Rank'!$B$2:$B2766=B1473,'Previous Rank'!$C$2:$C2766=C1473),"""")"),1460.0)</f>
        <v>1460</v>
      </c>
      <c r="H1473" s="8">
        <f t="shared" si="1"/>
        <v>-12</v>
      </c>
    </row>
    <row r="1474">
      <c r="A1474" s="10">
        <v>1473.0</v>
      </c>
      <c r="B1474" s="11" t="s">
        <v>1561</v>
      </c>
      <c r="C1474" s="10" t="s">
        <v>79</v>
      </c>
      <c r="D1474" s="10" t="s">
        <v>18</v>
      </c>
      <c r="E1474" s="16"/>
      <c r="F1474" s="16" t="s">
        <v>382</v>
      </c>
      <c r="G1474" s="13">
        <f>IFERROR(__xludf.DUMMYFUNCTION("if(counta(filter('Previous Rank'!$A$2:$A2766,'Previous Rank'!$B$2:$B2766=B1474,'Previous Rank'!$C$2:$C2766=C1474))=1,filter('Previous Rank'!$A$2:$A2766,'Previous Rank'!$B$2:$B2766=B1474,'Previous Rank'!$C$2:$C2766=C1474),"""")"),1461.0)</f>
        <v>1461</v>
      </c>
      <c r="H1474" s="8">
        <f t="shared" si="1"/>
        <v>-12</v>
      </c>
    </row>
    <row r="1475">
      <c r="A1475" s="10">
        <v>1474.0</v>
      </c>
      <c r="B1475" s="11" t="s">
        <v>1562</v>
      </c>
      <c r="C1475" s="10" t="s">
        <v>79</v>
      </c>
      <c r="D1475" s="10" t="s">
        <v>42</v>
      </c>
      <c r="E1475" s="12"/>
      <c r="F1475" s="12" t="s">
        <v>382</v>
      </c>
      <c r="G1475" s="13">
        <f>IFERROR(__xludf.DUMMYFUNCTION("if(counta(filter('Previous Rank'!$A$2:$A2766,'Previous Rank'!$B$2:$B2766=B1475,'Previous Rank'!$C$2:$C2766=C1475))=1,filter('Previous Rank'!$A$2:$A2766,'Previous Rank'!$B$2:$B2766=B1475,'Previous Rank'!$C$2:$C2766=C1475),"""")"),1462.0)</f>
        <v>1462</v>
      </c>
      <c r="H1475" s="8">
        <f t="shared" si="1"/>
        <v>-12</v>
      </c>
    </row>
    <row r="1476">
      <c r="A1476" s="10">
        <v>1475.0</v>
      </c>
      <c r="B1476" s="11" t="s">
        <v>1563</v>
      </c>
      <c r="C1476" s="10" t="s">
        <v>22</v>
      </c>
      <c r="D1476" s="10" t="s">
        <v>122</v>
      </c>
      <c r="E1476" s="16"/>
      <c r="F1476" s="16" t="s">
        <v>382</v>
      </c>
      <c r="G1476" s="13">
        <f>IFERROR(__xludf.DUMMYFUNCTION("if(counta(filter('Previous Rank'!$A$2:$A2766,'Previous Rank'!$B$2:$B2766=B1476,'Previous Rank'!$C$2:$C2766=C1476))=1,filter('Previous Rank'!$A$2:$A2766,'Previous Rank'!$B$2:$B2766=B1476,'Previous Rank'!$C$2:$C2766=C1476),"""")"),1463.0)</f>
        <v>1463</v>
      </c>
      <c r="H1476" s="8">
        <f t="shared" si="1"/>
        <v>-12</v>
      </c>
    </row>
    <row r="1477">
      <c r="A1477" s="10">
        <v>1476.0</v>
      </c>
      <c r="B1477" s="11" t="s">
        <v>1564</v>
      </c>
      <c r="C1477" s="10" t="s">
        <v>22</v>
      </c>
      <c r="D1477" s="10" t="s">
        <v>85</v>
      </c>
      <c r="E1477" s="15"/>
      <c r="F1477" s="15" t="s">
        <v>382</v>
      </c>
      <c r="G1477" s="13">
        <f>IFERROR(__xludf.DUMMYFUNCTION("if(counta(filter('Previous Rank'!$A$2:$A2766,'Previous Rank'!$B$2:$B2766=B1477,'Previous Rank'!$C$2:$C2766=C1477))=1,filter('Previous Rank'!$A$2:$A2766,'Previous Rank'!$B$2:$B2766=B1477,'Previous Rank'!$C$2:$C2766=C1477),"""")"),1464.0)</f>
        <v>1464</v>
      </c>
      <c r="H1477" s="8">
        <f t="shared" si="1"/>
        <v>-12</v>
      </c>
    </row>
    <row r="1478">
      <c r="A1478" s="10">
        <v>1477.0</v>
      </c>
      <c r="B1478" s="11" t="s">
        <v>1565</v>
      </c>
      <c r="C1478" s="10" t="s">
        <v>79</v>
      </c>
      <c r="D1478" s="10" t="s">
        <v>36</v>
      </c>
      <c r="E1478" s="16"/>
      <c r="F1478" s="16" t="s">
        <v>382</v>
      </c>
      <c r="G1478" s="13">
        <f>IFERROR(__xludf.DUMMYFUNCTION("if(counta(filter('Previous Rank'!$A$2:$A2766,'Previous Rank'!$B$2:$B2766=B1478,'Previous Rank'!$C$2:$C2766=C1478))=1,filter('Previous Rank'!$A$2:$A2766,'Previous Rank'!$B$2:$B2766=B1478,'Previous Rank'!$C$2:$C2766=C1478),"""")"),1465.0)</f>
        <v>1465</v>
      </c>
      <c r="H1478" s="8">
        <f t="shared" si="1"/>
        <v>-12</v>
      </c>
    </row>
    <row r="1479">
      <c r="A1479" s="10">
        <v>1478.0</v>
      </c>
      <c r="B1479" s="11" t="s">
        <v>1566</v>
      </c>
      <c r="C1479" s="10" t="s">
        <v>79</v>
      </c>
      <c r="D1479" s="10" t="s">
        <v>122</v>
      </c>
      <c r="E1479" s="15"/>
      <c r="F1479" s="15" t="s">
        <v>382</v>
      </c>
      <c r="G1479" s="13">
        <f>IFERROR(__xludf.DUMMYFUNCTION("if(counta(filter('Previous Rank'!$A$2:$A2766,'Previous Rank'!$B$2:$B2766=B1479,'Previous Rank'!$C$2:$C2766=C1479))=1,filter('Previous Rank'!$A$2:$A2766,'Previous Rank'!$B$2:$B2766=B1479,'Previous Rank'!$C$2:$C2766=C1479),"""")"),1466.0)</f>
        <v>1466</v>
      </c>
      <c r="H1479" s="8">
        <f t="shared" si="1"/>
        <v>-12</v>
      </c>
    </row>
    <row r="1480">
      <c r="A1480" s="10">
        <v>1479.0</v>
      </c>
      <c r="B1480" s="11" t="s">
        <v>1567</v>
      </c>
      <c r="C1480" s="10" t="s">
        <v>79</v>
      </c>
      <c r="D1480" s="10" t="s">
        <v>36</v>
      </c>
      <c r="E1480" s="16"/>
      <c r="F1480" s="16" t="s">
        <v>382</v>
      </c>
      <c r="G1480" s="13">
        <f>IFERROR(__xludf.DUMMYFUNCTION("if(counta(filter('Previous Rank'!$A$2:$A2766,'Previous Rank'!$B$2:$B2766=B1480,'Previous Rank'!$C$2:$C2766=C1480))=1,filter('Previous Rank'!$A$2:$A2766,'Previous Rank'!$B$2:$B2766=B1480,'Previous Rank'!$C$2:$C2766=C1480),"""")"),1467.0)</f>
        <v>1467</v>
      </c>
      <c r="H1480" s="8">
        <f t="shared" si="1"/>
        <v>-12</v>
      </c>
    </row>
    <row r="1481">
      <c r="A1481" s="10">
        <v>1480.0</v>
      </c>
      <c r="B1481" s="11" t="s">
        <v>1568</v>
      </c>
      <c r="C1481" s="10" t="s">
        <v>79</v>
      </c>
      <c r="D1481" s="10" t="s">
        <v>140</v>
      </c>
      <c r="E1481" s="15"/>
      <c r="F1481" s="15" t="s">
        <v>382</v>
      </c>
      <c r="G1481" s="13">
        <f>IFERROR(__xludf.DUMMYFUNCTION("if(counta(filter('Previous Rank'!$A$2:$A2766,'Previous Rank'!$B$2:$B2766=B1481,'Previous Rank'!$C$2:$C2766=C1481))=1,filter('Previous Rank'!$A$2:$A2766,'Previous Rank'!$B$2:$B2766=B1481,'Previous Rank'!$C$2:$C2766=C1481),"""")"),1468.0)</f>
        <v>1468</v>
      </c>
      <c r="H1481" s="8">
        <f t="shared" si="1"/>
        <v>-12</v>
      </c>
    </row>
    <row r="1482">
      <c r="A1482" s="10">
        <v>1481.0</v>
      </c>
      <c r="B1482" s="11" t="s">
        <v>1569</v>
      </c>
      <c r="C1482" s="10" t="s">
        <v>63</v>
      </c>
      <c r="D1482" s="10" t="s">
        <v>12</v>
      </c>
      <c r="E1482" s="16"/>
      <c r="F1482" s="16" t="s">
        <v>382</v>
      </c>
      <c r="G1482" s="13">
        <f>IFERROR(__xludf.DUMMYFUNCTION("if(counta(filter('Previous Rank'!$A$2:$A2766,'Previous Rank'!$B$2:$B2766=B1482,'Previous Rank'!$C$2:$C2766=C1482))=1,filter('Previous Rank'!$A$2:$A2766,'Previous Rank'!$B$2:$B2766=B1482,'Previous Rank'!$C$2:$C2766=C1482),"""")"),1469.0)</f>
        <v>1469</v>
      </c>
      <c r="H1482" s="8">
        <f t="shared" si="1"/>
        <v>-12</v>
      </c>
    </row>
    <row r="1483">
      <c r="A1483" s="10">
        <v>1482.0</v>
      </c>
      <c r="B1483" s="11" t="s">
        <v>1570</v>
      </c>
      <c r="C1483" s="10" t="s">
        <v>79</v>
      </c>
      <c r="D1483" s="10" t="s">
        <v>9</v>
      </c>
      <c r="E1483" s="15"/>
      <c r="F1483" s="15" t="s">
        <v>382</v>
      </c>
      <c r="G1483" s="13">
        <f>IFERROR(__xludf.DUMMYFUNCTION("if(counta(filter('Previous Rank'!$A$2:$A2766,'Previous Rank'!$B$2:$B2766=B1483,'Previous Rank'!$C$2:$C2766=C1483))=1,filter('Previous Rank'!$A$2:$A2766,'Previous Rank'!$B$2:$B2766=B1483,'Previous Rank'!$C$2:$C2766=C1483),"""")"),1470.0)</f>
        <v>1470</v>
      </c>
      <c r="H1483" s="8">
        <f t="shared" si="1"/>
        <v>-12</v>
      </c>
    </row>
    <row r="1484">
      <c r="A1484" s="10">
        <v>1483.0</v>
      </c>
      <c r="B1484" s="11" t="s">
        <v>1571</v>
      </c>
      <c r="C1484" s="10" t="s">
        <v>220</v>
      </c>
      <c r="D1484" s="10" t="s">
        <v>105</v>
      </c>
      <c r="E1484" s="16"/>
      <c r="F1484" s="16" t="s">
        <v>382</v>
      </c>
      <c r="G1484" s="13">
        <f>IFERROR(__xludf.DUMMYFUNCTION("if(counta(filter('Previous Rank'!$A$2:$A2766,'Previous Rank'!$B$2:$B2766=B1484,'Previous Rank'!$C$2:$C2766=C1484))=1,filter('Previous Rank'!$A$2:$A2766,'Previous Rank'!$B$2:$B2766=B1484,'Previous Rank'!$C$2:$C2766=C1484),"""")"),1471.0)</f>
        <v>1471</v>
      </c>
      <c r="H1484" s="8">
        <f t="shared" si="1"/>
        <v>-12</v>
      </c>
    </row>
    <row r="1485">
      <c r="A1485" s="10">
        <v>1484.0</v>
      </c>
      <c r="B1485" s="11" t="s">
        <v>1572</v>
      </c>
      <c r="C1485" s="10" t="s">
        <v>79</v>
      </c>
      <c r="D1485" s="10" t="s">
        <v>105</v>
      </c>
      <c r="E1485" s="15"/>
      <c r="F1485" s="15" t="s">
        <v>382</v>
      </c>
      <c r="G1485" s="13">
        <f>IFERROR(__xludf.DUMMYFUNCTION("if(counta(filter('Previous Rank'!$A$2:$A2766,'Previous Rank'!$B$2:$B2766=B1485,'Previous Rank'!$C$2:$C2766=C1485))=1,filter('Previous Rank'!$A$2:$A2766,'Previous Rank'!$B$2:$B2766=B1485,'Previous Rank'!$C$2:$C2766=C1485),"""")"),1472.0)</f>
        <v>1472</v>
      </c>
      <c r="H1485" s="8">
        <f t="shared" si="1"/>
        <v>-12</v>
      </c>
    </row>
    <row r="1486">
      <c r="A1486" s="10">
        <v>1485.0</v>
      </c>
      <c r="B1486" s="11" t="s">
        <v>1573</v>
      </c>
      <c r="C1486" s="10" t="s">
        <v>218</v>
      </c>
      <c r="D1486" s="10" t="s">
        <v>25</v>
      </c>
      <c r="E1486" s="16"/>
      <c r="F1486" s="16" t="s">
        <v>382</v>
      </c>
      <c r="G1486" s="13">
        <f>IFERROR(__xludf.DUMMYFUNCTION("if(counta(filter('Previous Rank'!$A$2:$A2766,'Previous Rank'!$B$2:$B2766=B1486,'Previous Rank'!$C$2:$C2766=C1486))=1,filter('Previous Rank'!$A$2:$A2766,'Previous Rank'!$B$2:$B2766=B1486,'Previous Rank'!$C$2:$C2766=C1486),"""")"),1473.0)</f>
        <v>1473</v>
      </c>
      <c r="H1486" s="8">
        <f t="shared" si="1"/>
        <v>-12</v>
      </c>
    </row>
    <row r="1487">
      <c r="A1487" s="10">
        <v>1486.0</v>
      </c>
      <c r="B1487" s="11" t="s">
        <v>1574</v>
      </c>
      <c r="C1487" s="10" t="s">
        <v>22</v>
      </c>
      <c r="D1487" s="10" t="s">
        <v>122</v>
      </c>
      <c r="E1487" s="15"/>
      <c r="F1487" s="15" t="s">
        <v>382</v>
      </c>
      <c r="G1487" s="13">
        <f>IFERROR(__xludf.DUMMYFUNCTION("if(counta(filter('Previous Rank'!$A$2:$A2766,'Previous Rank'!$B$2:$B2766=B1487,'Previous Rank'!$C$2:$C2766=C1487))=1,filter('Previous Rank'!$A$2:$A2766,'Previous Rank'!$B$2:$B2766=B1487,'Previous Rank'!$C$2:$C2766=C1487),"""")"),1475.0)</f>
        <v>1475</v>
      </c>
      <c r="H1487" s="8">
        <f t="shared" si="1"/>
        <v>-11</v>
      </c>
    </row>
    <row r="1488">
      <c r="A1488" s="10">
        <v>1487.0</v>
      </c>
      <c r="B1488" s="11" t="s">
        <v>1575</v>
      </c>
      <c r="C1488" s="10" t="s">
        <v>79</v>
      </c>
      <c r="D1488" s="10" t="s">
        <v>90</v>
      </c>
      <c r="E1488" s="16"/>
      <c r="F1488" s="16" t="s">
        <v>382</v>
      </c>
      <c r="G1488" s="13">
        <f>IFERROR(__xludf.DUMMYFUNCTION("if(counta(filter('Previous Rank'!$A$2:$A2766,'Previous Rank'!$B$2:$B2766=B1488,'Previous Rank'!$C$2:$C2766=C1488))=1,filter('Previous Rank'!$A$2:$A2766,'Previous Rank'!$B$2:$B2766=B1488,'Previous Rank'!$C$2:$C2766=C1488),"""")"),1476.0)</f>
        <v>1476</v>
      </c>
      <c r="H1488" s="8">
        <f t="shared" si="1"/>
        <v>-11</v>
      </c>
    </row>
    <row r="1489">
      <c r="A1489" s="10">
        <v>1488.0</v>
      </c>
      <c r="B1489" s="11" t="s">
        <v>1576</v>
      </c>
      <c r="C1489" s="10" t="s">
        <v>79</v>
      </c>
      <c r="D1489" s="10" t="s">
        <v>137</v>
      </c>
      <c r="E1489" s="15"/>
      <c r="F1489" s="15" t="s">
        <v>382</v>
      </c>
      <c r="G1489" s="13">
        <f>IFERROR(__xludf.DUMMYFUNCTION("if(counta(filter('Previous Rank'!$A$2:$A2766,'Previous Rank'!$B$2:$B2766=B1489,'Previous Rank'!$C$2:$C2766=C1489))=1,filter('Previous Rank'!$A$2:$A2766,'Previous Rank'!$B$2:$B2766=B1489,'Previous Rank'!$C$2:$C2766=C1489),"""")"),1477.0)</f>
        <v>1477</v>
      </c>
      <c r="H1489" s="8">
        <f t="shared" si="1"/>
        <v>-11</v>
      </c>
    </row>
    <row r="1490">
      <c r="A1490" s="10">
        <v>1489.0</v>
      </c>
      <c r="B1490" s="11" t="s">
        <v>1577</v>
      </c>
      <c r="C1490" s="10" t="s">
        <v>79</v>
      </c>
      <c r="D1490" s="10" t="s">
        <v>140</v>
      </c>
      <c r="E1490" s="16"/>
      <c r="F1490" s="16" t="s">
        <v>382</v>
      </c>
      <c r="G1490" s="13">
        <f>IFERROR(__xludf.DUMMYFUNCTION("if(counta(filter('Previous Rank'!$A$2:$A2766,'Previous Rank'!$B$2:$B2766=B1490,'Previous Rank'!$C$2:$C2766=C1490))=1,filter('Previous Rank'!$A$2:$A2766,'Previous Rank'!$B$2:$B2766=B1490,'Previous Rank'!$C$2:$C2766=C1490),"""")"),1478.0)</f>
        <v>1478</v>
      </c>
      <c r="H1490" s="8">
        <f t="shared" si="1"/>
        <v>-11</v>
      </c>
    </row>
    <row r="1491">
      <c r="A1491" s="10">
        <v>1490.0</v>
      </c>
      <c r="B1491" s="11" t="s">
        <v>1578</v>
      </c>
      <c r="C1491" s="10" t="s">
        <v>79</v>
      </c>
      <c r="D1491" s="10" t="s">
        <v>27</v>
      </c>
      <c r="E1491" s="15"/>
      <c r="F1491" s="15" t="s">
        <v>382</v>
      </c>
      <c r="G1491" s="13">
        <f>IFERROR(__xludf.DUMMYFUNCTION("if(counta(filter('Previous Rank'!$A$2:$A2766,'Previous Rank'!$B$2:$B2766=B1491,'Previous Rank'!$C$2:$C2766=C1491))=1,filter('Previous Rank'!$A$2:$A2766,'Previous Rank'!$B$2:$B2766=B1491,'Previous Rank'!$C$2:$C2766=C1491),"""")"),1479.0)</f>
        <v>1479</v>
      </c>
      <c r="H1491" s="8">
        <f t="shared" si="1"/>
        <v>-11</v>
      </c>
    </row>
    <row r="1492">
      <c r="A1492" s="10">
        <v>1491.0</v>
      </c>
      <c r="B1492" s="11" t="s">
        <v>1579</v>
      </c>
      <c r="C1492" s="10" t="s">
        <v>220</v>
      </c>
      <c r="D1492" s="10" t="s">
        <v>15</v>
      </c>
      <c r="E1492" s="16"/>
      <c r="F1492" s="16" t="s">
        <v>382</v>
      </c>
      <c r="G1492" s="13">
        <f>IFERROR(__xludf.DUMMYFUNCTION("if(counta(filter('Previous Rank'!$A$2:$A2766,'Previous Rank'!$B$2:$B2766=B1492,'Previous Rank'!$C$2:$C2766=C1492))=1,filter('Previous Rank'!$A$2:$A2766,'Previous Rank'!$B$2:$B2766=B1492,'Previous Rank'!$C$2:$C2766=C1492),"""")"),1480.0)</f>
        <v>1480</v>
      </c>
      <c r="H1492" s="8">
        <f t="shared" si="1"/>
        <v>-11</v>
      </c>
    </row>
    <row r="1493">
      <c r="A1493" s="10">
        <v>1492.0</v>
      </c>
      <c r="B1493" s="11" t="s">
        <v>1580</v>
      </c>
      <c r="C1493" s="10" t="s">
        <v>79</v>
      </c>
      <c r="D1493" s="10" t="s">
        <v>85</v>
      </c>
      <c r="E1493" s="12"/>
      <c r="F1493" s="12" t="s">
        <v>382</v>
      </c>
      <c r="G1493" s="13">
        <f>IFERROR(__xludf.DUMMYFUNCTION("if(counta(filter('Previous Rank'!$A$2:$A2766,'Previous Rank'!$B$2:$B2766=B1493,'Previous Rank'!$C$2:$C2766=C1493))=1,filter('Previous Rank'!$A$2:$A2766,'Previous Rank'!$B$2:$B2766=B1493,'Previous Rank'!$C$2:$C2766=C1493),"""")"),1481.0)</f>
        <v>1481</v>
      </c>
      <c r="H1493" s="8">
        <f t="shared" si="1"/>
        <v>-11</v>
      </c>
    </row>
    <row r="1494">
      <c r="A1494" s="10">
        <v>1493.0</v>
      </c>
      <c r="B1494" s="11" t="s">
        <v>1581</v>
      </c>
      <c r="C1494" s="10" t="s">
        <v>22</v>
      </c>
      <c r="D1494" s="10" t="s">
        <v>122</v>
      </c>
      <c r="E1494" s="16"/>
      <c r="F1494" s="16" t="s">
        <v>382</v>
      </c>
      <c r="G1494" s="13">
        <f>IFERROR(__xludf.DUMMYFUNCTION("if(counta(filter('Previous Rank'!$A$2:$A2766,'Previous Rank'!$B$2:$B2766=B1494,'Previous Rank'!$C$2:$C2766=C1494))=1,filter('Previous Rank'!$A$2:$A2766,'Previous Rank'!$B$2:$B2766=B1494,'Previous Rank'!$C$2:$C2766=C1494),"""")"),1482.0)</f>
        <v>1482</v>
      </c>
      <c r="H1494" s="8">
        <f t="shared" si="1"/>
        <v>-11</v>
      </c>
    </row>
    <row r="1495">
      <c r="A1495" s="10">
        <v>1494.0</v>
      </c>
      <c r="B1495" s="11" t="s">
        <v>1582</v>
      </c>
      <c r="C1495" s="10" t="s">
        <v>79</v>
      </c>
      <c r="D1495" s="10" t="s">
        <v>105</v>
      </c>
      <c r="E1495" s="15"/>
      <c r="F1495" s="15" t="s">
        <v>382</v>
      </c>
      <c r="G1495" s="13">
        <f>IFERROR(__xludf.DUMMYFUNCTION("if(counta(filter('Previous Rank'!$A$2:$A2766,'Previous Rank'!$B$2:$B2766=B1495,'Previous Rank'!$C$2:$C2766=C1495))=1,filter('Previous Rank'!$A$2:$A2766,'Previous Rank'!$B$2:$B2766=B1495,'Previous Rank'!$C$2:$C2766=C1495),"""")"),1483.0)</f>
        <v>1483</v>
      </c>
      <c r="H1495" s="8">
        <f t="shared" si="1"/>
        <v>-11</v>
      </c>
    </row>
    <row r="1496">
      <c r="A1496" s="10">
        <v>1495.0</v>
      </c>
      <c r="B1496" s="11" t="s">
        <v>1583</v>
      </c>
      <c r="C1496" s="10" t="s">
        <v>79</v>
      </c>
      <c r="D1496" s="10" t="s">
        <v>42</v>
      </c>
      <c r="E1496" s="16"/>
      <c r="F1496" s="16" t="s">
        <v>382</v>
      </c>
      <c r="G1496" s="13">
        <f>IFERROR(__xludf.DUMMYFUNCTION("if(counta(filter('Previous Rank'!$A$2:$A2766,'Previous Rank'!$B$2:$B2766=B1496,'Previous Rank'!$C$2:$C2766=C1496))=1,filter('Previous Rank'!$A$2:$A2766,'Previous Rank'!$B$2:$B2766=B1496,'Previous Rank'!$C$2:$C2766=C1496),"""")"),1484.0)</f>
        <v>1484</v>
      </c>
      <c r="H1496" s="8">
        <f t="shared" si="1"/>
        <v>-11</v>
      </c>
    </row>
    <row r="1497">
      <c r="A1497" s="10">
        <v>1496.0</v>
      </c>
      <c r="B1497" s="11" t="s">
        <v>1584</v>
      </c>
      <c r="C1497" s="10" t="s">
        <v>79</v>
      </c>
      <c r="D1497" s="10" t="s">
        <v>18</v>
      </c>
      <c r="E1497" s="15"/>
      <c r="F1497" s="15" t="s">
        <v>382</v>
      </c>
      <c r="G1497" s="13">
        <f>IFERROR(__xludf.DUMMYFUNCTION("if(counta(filter('Previous Rank'!$A$2:$A2766,'Previous Rank'!$B$2:$B2766=B1497,'Previous Rank'!$C$2:$C2766=C1497))=1,filter('Previous Rank'!$A$2:$A2766,'Previous Rank'!$B$2:$B2766=B1497,'Previous Rank'!$C$2:$C2766=C1497),"""")"),1485.0)</f>
        <v>1485</v>
      </c>
      <c r="H1497" s="8">
        <f t="shared" si="1"/>
        <v>-11</v>
      </c>
    </row>
    <row r="1498">
      <c r="A1498" s="10">
        <v>1497.0</v>
      </c>
      <c r="B1498" s="11" t="s">
        <v>1585</v>
      </c>
      <c r="C1498" s="10" t="s">
        <v>79</v>
      </c>
      <c r="D1498" s="10" t="s">
        <v>36</v>
      </c>
      <c r="E1498" s="16"/>
      <c r="F1498" s="16" t="s">
        <v>382</v>
      </c>
      <c r="G1498" s="13">
        <f>IFERROR(__xludf.DUMMYFUNCTION("if(counta(filter('Previous Rank'!$A$2:$A2766,'Previous Rank'!$B$2:$B2766=B1498,'Previous Rank'!$C$2:$C2766=C1498))=1,filter('Previous Rank'!$A$2:$A2766,'Previous Rank'!$B$2:$B2766=B1498,'Previous Rank'!$C$2:$C2766=C1498),"""")"),1486.0)</f>
        <v>1486</v>
      </c>
      <c r="H1498" s="8">
        <f t="shared" si="1"/>
        <v>-11</v>
      </c>
    </row>
    <row r="1499">
      <c r="A1499" s="10">
        <v>1498.0</v>
      </c>
      <c r="B1499" s="11" t="s">
        <v>1586</v>
      </c>
      <c r="C1499" s="10" t="s">
        <v>79</v>
      </c>
      <c r="D1499" s="10" t="s">
        <v>18</v>
      </c>
      <c r="E1499" s="15"/>
      <c r="F1499" s="15" t="s">
        <v>382</v>
      </c>
      <c r="G1499" s="13">
        <f>IFERROR(__xludf.DUMMYFUNCTION("if(counta(filter('Previous Rank'!$A$2:$A2766,'Previous Rank'!$B$2:$B2766=B1499,'Previous Rank'!$C$2:$C2766=C1499))=1,filter('Previous Rank'!$A$2:$A2766,'Previous Rank'!$B$2:$B2766=B1499,'Previous Rank'!$C$2:$C2766=C1499),"""")"),1487.0)</f>
        <v>1487</v>
      </c>
      <c r="H1499" s="8">
        <f t="shared" si="1"/>
        <v>-11</v>
      </c>
    </row>
    <row r="1500">
      <c r="A1500" s="10">
        <v>1499.0</v>
      </c>
      <c r="B1500" s="11" t="s">
        <v>1587</v>
      </c>
      <c r="C1500" s="10" t="s">
        <v>79</v>
      </c>
      <c r="D1500" s="10" t="s">
        <v>113</v>
      </c>
      <c r="E1500" s="16"/>
      <c r="F1500" s="16" t="s">
        <v>382</v>
      </c>
      <c r="G1500" s="13">
        <f>IFERROR(__xludf.DUMMYFUNCTION("if(counta(filter('Previous Rank'!$A$2:$A2766,'Previous Rank'!$B$2:$B2766=B1500,'Previous Rank'!$C$2:$C2766=C1500))=1,filter('Previous Rank'!$A$2:$A2766,'Previous Rank'!$B$2:$B2766=B1500,'Previous Rank'!$C$2:$C2766=C1500),"""")"),1488.0)</f>
        <v>1488</v>
      </c>
      <c r="H1500" s="8">
        <f t="shared" si="1"/>
        <v>-11</v>
      </c>
    </row>
    <row r="1501">
      <c r="A1501" s="10">
        <v>1500.0</v>
      </c>
      <c r="B1501" s="11" t="s">
        <v>1588</v>
      </c>
      <c r="C1501" s="10" t="s">
        <v>79</v>
      </c>
      <c r="D1501" s="10" t="s">
        <v>113</v>
      </c>
      <c r="E1501" s="15"/>
      <c r="F1501" s="15" t="s">
        <v>382</v>
      </c>
      <c r="G1501" s="13">
        <f>IFERROR(__xludf.DUMMYFUNCTION("if(counta(filter('Previous Rank'!$A$2:$A2766,'Previous Rank'!$B$2:$B2766=B1501,'Previous Rank'!$C$2:$C2766=C1501))=1,filter('Previous Rank'!$A$2:$A2766,'Previous Rank'!$B$2:$B2766=B1501,'Previous Rank'!$C$2:$C2766=C1501),"""")"),1489.0)</f>
        <v>1489</v>
      </c>
      <c r="H1501" s="8">
        <f t="shared" si="1"/>
        <v>-11</v>
      </c>
    </row>
    <row r="1502">
      <c r="A1502" s="10">
        <v>1501.0</v>
      </c>
      <c r="B1502" s="11" t="s">
        <v>1589</v>
      </c>
      <c r="C1502" s="10" t="s">
        <v>8</v>
      </c>
      <c r="D1502" s="10" t="s">
        <v>18</v>
      </c>
      <c r="E1502" s="16"/>
      <c r="F1502" s="16" t="s">
        <v>382</v>
      </c>
      <c r="G1502" s="13">
        <f>IFERROR(__xludf.DUMMYFUNCTION("if(counta(filter('Previous Rank'!$A$2:$A2766,'Previous Rank'!$B$2:$B2766=B1502,'Previous Rank'!$C$2:$C2766=C1502))=1,filter('Previous Rank'!$A$2:$A2766,'Previous Rank'!$B$2:$B2766=B1502,'Previous Rank'!$C$2:$C2766=C1502),"""")"),1490.0)</f>
        <v>1490</v>
      </c>
      <c r="H1502" s="8">
        <f t="shared" si="1"/>
        <v>-11</v>
      </c>
    </row>
    <row r="1503">
      <c r="A1503" s="10">
        <v>1502.0</v>
      </c>
      <c r="B1503" s="11" t="s">
        <v>1590</v>
      </c>
      <c r="C1503" s="10" t="s">
        <v>79</v>
      </c>
      <c r="D1503" s="10" t="s">
        <v>122</v>
      </c>
      <c r="E1503" s="15"/>
      <c r="F1503" s="15" t="s">
        <v>382</v>
      </c>
      <c r="G1503" s="13">
        <f>IFERROR(__xludf.DUMMYFUNCTION("if(counta(filter('Previous Rank'!$A$2:$A2766,'Previous Rank'!$B$2:$B2766=B1503,'Previous Rank'!$C$2:$C2766=C1503))=1,filter('Previous Rank'!$A$2:$A2766,'Previous Rank'!$B$2:$B2766=B1503,'Previous Rank'!$C$2:$C2766=C1503),"""")"),1491.0)</f>
        <v>1491</v>
      </c>
      <c r="H1503" s="8">
        <f t="shared" si="1"/>
        <v>-11</v>
      </c>
    </row>
    <row r="1504">
      <c r="A1504" s="10">
        <v>1503.0</v>
      </c>
      <c r="B1504" s="11" t="s">
        <v>1591</v>
      </c>
      <c r="C1504" s="10" t="s">
        <v>79</v>
      </c>
      <c r="D1504" s="10" t="s">
        <v>99</v>
      </c>
      <c r="E1504" s="16"/>
      <c r="F1504" s="16" t="s">
        <v>382</v>
      </c>
      <c r="G1504" s="13">
        <f>IFERROR(__xludf.DUMMYFUNCTION("if(counta(filter('Previous Rank'!$A$2:$A2766,'Previous Rank'!$B$2:$B2766=B1504,'Previous Rank'!$C$2:$C2766=C1504))=1,filter('Previous Rank'!$A$2:$A2766,'Previous Rank'!$B$2:$B2766=B1504,'Previous Rank'!$C$2:$C2766=C1504),"""")"),1492.0)</f>
        <v>1492</v>
      </c>
      <c r="H1504" s="8">
        <f t="shared" si="1"/>
        <v>-11</v>
      </c>
    </row>
    <row r="1505">
      <c r="A1505" s="10">
        <v>1504.0</v>
      </c>
      <c r="B1505" s="11" t="s">
        <v>1592</v>
      </c>
      <c r="C1505" s="10" t="s">
        <v>79</v>
      </c>
      <c r="D1505" s="10" t="s">
        <v>18</v>
      </c>
      <c r="E1505" s="15"/>
      <c r="F1505" s="15" t="s">
        <v>382</v>
      </c>
      <c r="G1505" s="13">
        <f>IFERROR(__xludf.DUMMYFUNCTION("if(counta(filter('Previous Rank'!$A$2:$A2766,'Previous Rank'!$B$2:$B2766=B1505,'Previous Rank'!$C$2:$C2766=C1505))=1,filter('Previous Rank'!$A$2:$A2766,'Previous Rank'!$B$2:$B2766=B1505,'Previous Rank'!$C$2:$C2766=C1505),"""")"),1493.0)</f>
        <v>1493</v>
      </c>
      <c r="H1505" s="8">
        <f t="shared" si="1"/>
        <v>-11</v>
      </c>
    </row>
    <row r="1506">
      <c r="A1506" s="10">
        <v>1505.0</v>
      </c>
      <c r="B1506" s="11" t="s">
        <v>1593</v>
      </c>
      <c r="C1506" s="10" t="s">
        <v>220</v>
      </c>
      <c r="D1506" s="10" t="s">
        <v>140</v>
      </c>
      <c r="E1506" s="16"/>
      <c r="F1506" s="16" t="s">
        <v>382</v>
      </c>
      <c r="G1506" s="13">
        <f>IFERROR(__xludf.DUMMYFUNCTION("if(counta(filter('Previous Rank'!$A$2:$A2766,'Previous Rank'!$B$2:$B2766=B1506,'Previous Rank'!$C$2:$C2766=C1506))=1,filter('Previous Rank'!$A$2:$A2766,'Previous Rank'!$B$2:$B2766=B1506,'Previous Rank'!$C$2:$C2766=C1506),"""")"),1494.0)</f>
        <v>1494</v>
      </c>
      <c r="H1506" s="8">
        <f t="shared" si="1"/>
        <v>-11</v>
      </c>
    </row>
    <row r="1507">
      <c r="A1507" s="10">
        <v>1506.0</v>
      </c>
      <c r="B1507" s="11" t="s">
        <v>1594</v>
      </c>
      <c r="C1507" s="10" t="s">
        <v>39</v>
      </c>
      <c r="D1507" s="10" t="s">
        <v>122</v>
      </c>
      <c r="E1507" s="15"/>
      <c r="F1507" s="15" t="s">
        <v>382</v>
      </c>
      <c r="G1507" s="13">
        <f>IFERROR(__xludf.DUMMYFUNCTION("if(counta(filter('Previous Rank'!$A$2:$A2766,'Previous Rank'!$B$2:$B2766=B1507,'Previous Rank'!$C$2:$C2766=C1507))=1,filter('Previous Rank'!$A$2:$A2766,'Previous Rank'!$B$2:$B2766=B1507,'Previous Rank'!$C$2:$C2766=C1507),"""")"),1495.0)</f>
        <v>1495</v>
      </c>
      <c r="H1507" s="8">
        <f t="shared" si="1"/>
        <v>-11</v>
      </c>
    </row>
    <row r="1508">
      <c r="A1508" s="10">
        <v>1507.0</v>
      </c>
      <c r="B1508" s="11" t="s">
        <v>1595</v>
      </c>
      <c r="C1508" s="10" t="s">
        <v>79</v>
      </c>
      <c r="D1508" s="10" t="s">
        <v>140</v>
      </c>
      <c r="E1508" s="16"/>
      <c r="F1508" s="16" t="s">
        <v>382</v>
      </c>
      <c r="G1508" s="13">
        <f>IFERROR(__xludf.DUMMYFUNCTION("if(counta(filter('Previous Rank'!$A$2:$A2766,'Previous Rank'!$B$2:$B2766=B1508,'Previous Rank'!$C$2:$C2766=C1508))=1,filter('Previous Rank'!$A$2:$A2766,'Previous Rank'!$B$2:$B2766=B1508,'Previous Rank'!$C$2:$C2766=C1508),"""")"),1496.0)</f>
        <v>1496</v>
      </c>
      <c r="H1508" s="8">
        <f t="shared" si="1"/>
        <v>-11</v>
      </c>
    </row>
    <row r="1509">
      <c r="A1509" s="10">
        <v>1508.0</v>
      </c>
      <c r="B1509" s="11" t="s">
        <v>1596</v>
      </c>
      <c r="C1509" s="10" t="s">
        <v>79</v>
      </c>
      <c r="D1509" s="10" t="s">
        <v>9</v>
      </c>
      <c r="E1509" s="15"/>
      <c r="F1509" s="15" t="s">
        <v>382</v>
      </c>
      <c r="G1509" s="13">
        <f>IFERROR(__xludf.DUMMYFUNCTION("if(counta(filter('Previous Rank'!$A$2:$A2766,'Previous Rank'!$B$2:$B2766=B1509,'Previous Rank'!$C$2:$C2766=C1509))=1,filter('Previous Rank'!$A$2:$A2766,'Previous Rank'!$B$2:$B2766=B1509,'Previous Rank'!$C$2:$C2766=C1509),"""")"),1497.0)</f>
        <v>1497</v>
      </c>
      <c r="H1509" s="8">
        <f t="shared" si="1"/>
        <v>-11</v>
      </c>
    </row>
    <row r="1510">
      <c r="A1510" s="10">
        <v>1509.0</v>
      </c>
      <c r="B1510" s="11" t="s">
        <v>1597</v>
      </c>
      <c r="C1510" s="10" t="s">
        <v>79</v>
      </c>
      <c r="D1510" s="10" t="s">
        <v>140</v>
      </c>
      <c r="E1510" s="16"/>
      <c r="F1510" s="16" t="s">
        <v>382</v>
      </c>
      <c r="G1510" s="13">
        <f>IFERROR(__xludf.DUMMYFUNCTION("if(counta(filter('Previous Rank'!$A$2:$A2766,'Previous Rank'!$B$2:$B2766=B1510,'Previous Rank'!$C$2:$C2766=C1510))=1,filter('Previous Rank'!$A$2:$A2766,'Previous Rank'!$B$2:$B2766=B1510,'Previous Rank'!$C$2:$C2766=C1510),"""")"),1498.0)</f>
        <v>1498</v>
      </c>
      <c r="H1510" s="8">
        <f t="shared" si="1"/>
        <v>-11</v>
      </c>
    </row>
    <row r="1511">
      <c r="A1511" s="10">
        <v>1510.0</v>
      </c>
      <c r="B1511" s="11" t="s">
        <v>1598</v>
      </c>
      <c r="C1511" s="10" t="s">
        <v>220</v>
      </c>
      <c r="D1511" s="10" t="s">
        <v>140</v>
      </c>
      <c r="E1511" s="15"/>
      <c r="F1511" s="15" t="s">
        <v>382</v>
      </c>
      <c r="G1511" s="13">
        <f>IFERROR(__xludf.DUMMYFUNCTION("if(counta(filter('Previous Rank'!$A$2:$A2766,'Previous Rank'!$B$2:$B2766=B1511,'Previous Rank'!$C$2:$C2766=C1511))=1,filter('Previous Rank'!$A$2:$A2766,'Previous Rank'!$B$2:$B2766=B1511,'Previous Rank'!$C$2:$C2766=C1511),"""")"),1499.0)</f>
        <v>1499</v>
      </c>
      <c r="H1511" s="8">
        <f t="shared" si="1"/>
        <v>-11</v>
      </c>
    </row>
    <row r="1512">
      <c r="A1512" s="10">
        <v>1511.0</v>
      </c>
      <c r="B1512" s="11" t="s">
        <v>1599</v>
      </c>
      <c r="C1512" s="10" t="s">
        <v>69</v>
      </c>
      <c r="D1512" s="10" t="s">
        <v>120</v>
      </c>
      <c r="E1512" s="16">
        <v>260.3</v>
      </c>
      <c r="F1512" s="16">
        <v>1.0</v>
      </c>
      <c r="G1512" s="13">
        <f>IFERROR(__xludf.DUMMYFUNCTION("if(counta(filter('Previous Rank'!$A$2:$A2766,'Previous Rank'!$B$2:$B2766=B1512,'Previous Rank'!$C$2:$C2766=C1512))=1,filter('Previous Rank'!$A$2:$A2766,'Previous Rank'!$B$2:$B2766=B1512,'Previous Rank'!$C$2:$C2766=C1512),"""")"),1500.0)</f>
        <v>1500</v>
      </c>
      <c r="H1512" s="8">
        <f t="shared" si="1"/>
        <v>-11</v>
      </c>
    </row>
    <row r="1513">
      <c r="A1513" s="10">
        <v>1512.0</v>
      </c>
      <c r="B1513" s="11" t="s">
        <v>1600</v>
      </c>
      <c r="C1513" s="10" t="s">
        <v>585</v>
      </c>
      <c r="D1513" s="10" t="s">
        <v>23</v>
      </c>
      <c r="E1513" s="15"/>
      <c r="F1513" s="15" t="s">
        <v>382</v>
      </c>
      <c r="G1513" s="13">
        <f>IFERROR(__xludf.DUMMYFUNCTION("if(counta(filter('Previous Rank'!$A$2:$A2766,'Previous Rank'!$B$2:$B2766=B1513,'Previous Rank'!$C$2:$C2766=C1513))=1,filter('Previous Rank'!$A$2:$A2766,'Previous Rank'!$B$2:$B2766=B1513,'Previous Rank'!$C$2:$C2766=C1513),"""")"),1501.0)</f>
        <v>1501</v>
      </c>
      <c r="H1513" s="8">
        <f t="shared" si="1"/>
        <v>-11</v>
      </c>
    </row>
    <row r="1514">
      <c r="A1514" s="10">
        <v>1513.0</v>
      </c>
      <c r="B1514" s="11" t="s">
        <v>1601</v>
      </c>
      <c r="C1514" s="10" t="s">
        <v>79</v>
      </c>
      <c r="D1514" s="10" t="s">
        <v>140</v>
      </c>
      <c r="E1514" s="16"/>
      <c r="F1514" s="16" t="s">
        <v>382</v>
      </c>
      <c r="G1514" s="13">
        <f>IFERROR(__xludf.DUMMYFUNCTION("if(counta(filter('Previous Rank'!$A$2:$A2766,'Previous Rank'!$B$2:$B2766=B1514,'Previous Rank'!$C$2:$C2766=C1514))=1,filter('Previous Rank'!$A$2:$A2766,'Previous Rank'!$B$2:$B2766=B1514,'Previous Rank'!$C$2:$C2766=C1514),"""")"),1502.0)</f>
        <v>1502</v>
      </c>
      <c r="H1514" s="8">
        <f t="shared" si="1"/>
        <v>-11</v>
      </c>
    </row>
    <row r="1515">
      <c r="A1515" s="10">
        <v>1514.0</v>
      </c>
      <c r="B1515" s="11" t="s">
        <v>1602</v>
      </c>
      <c r="C1515" s="10" t="s">
        <v>79</v>
      </c>
      <c r="D1515" s="10" t="s">
        <v>99</v>
      </c>
      <c r="E1515" s="15"/>
      <c r="F1515" s="15" t="s">
        <v>382</v>
      </c>
      <c r="G1515" s="13">
        <f>IFERROR(__xludf.DUMMYFUNCTION("if(counta(filter('Previous Rank'!$A$2:$A2766,'Previous Rank'!$B$2:$B2766=B1515,'Previous Rank'!$C$2:$C2766=C1515))=1,filter('Previous Rank'!$A$2:$A2766,'Previous Rank'!$B$2:$B2766=B1515,'Previous Rank'!$C$2:$C2766=C1515),"""")"),1503.0)</f>
        <v>1503</v>
      </c>
      <c r="H1515" s="8">
        <f t="shared" si="1"/>
        <v>-11</v>
      </c>
    </row>
    <row r="1516">
      <c r="A1516" s="10">
        <v>1515.0</v>
      </c>
      <c r="B1516" s="11" t="s">
        <v>1603</v>
      </c>
      <c r="C1516" s="10" t="s">
        <v>79</v>
      </c>
      <c r="D1516" s="10" t="s">
        <v>82</v>
      </c>
      <c r="E1516" s="16"/>
      <c r="F1516" s="16" t="s">
        <v>382</v>
      </c>
      <c r="G1516" s="13">
        <f>IFERROR(__xludf.DUMMYFUNCTION("if(counta(filter('Previous Rank'!$A$2:$A2766,'Previous Rank'!$B$2:$B2766=B1516,'Previous Rank'!$C$2:$C2766=C1516))=1,filter('Previous Rank'!$A$2:$A2766,'Previous Rank'!$B$2:$B2766=B1516,'Previous Rank'!$C$2:$C2766=C1516),"""")"),1504.0)</f>
        <v>1504</v>
      </c>
      <c r="H1516" s="8">
        <f t="shared" si="1"/>
        <v>-11</v>
      </c>
    </row>
    <row r="1517">
      <c r="A1517" s="10">
        <v>1516.0</v>
      </c>
      <c r="B1517" s="11" t="s">
        <v>1604</v>
      </c>
      <c r="C1517" s="10" t="s">
        <v>22</v>
      </c>
      <c r="D1517" s="10" t="s">
        <v>105</v>
      </c>
      <c r="E1517" s="15"/>
      <c r="F1517" s="15" t="s">
        <v>382</v>
      </c>
      <c r="G1517" s="13">
        <f>IFERROR(__xludf.DUMMYFUNCTION("if(counta(filter('Previous Rank'!$A$2:$A2766,'Previous Rank'!$B$2:$B2766=B1517,'Previous Rank'!$C$2:$C2766=C1517))=1,filter('Previous Rank'!$A$2:$A2766,'Previous Rank'!$B$2:$B2766=B1517,'Previous Rank'!$C$2:$C2766=C1517),"""")"),1505.0)</f>
        <v>1505</v>
      </c>
      <c r="H1517" s="8">
        <f t="shared" si="1"/>
        <v>-11</v>
      </c>
    </row>
    <row r="1518">
      <c r="A1518" s="10">
        <v>1517.0</v>
      </c>
      <c r="B1518" s="11" t="s">
        <v>1605</v>
      </c>
      <c r="C1518" s="10" t="s">
        <v>79</v>
      </c>
      <c r="D1518" s="10" t="s">
        <v>120</v>
      </c>
      <c r="E1518" s="16"/>
      <c r="F1518" s="16" t="s">
        <v>382</v>
      </c>
      <c r="G1518" s="13">
        <f>IFERROR(__xludf.DUMMYFUNCTION("if(counta(filter('Previous Rank'!$A$2:$A2766,'Previous Rank'!$B$2:$B2766=B1518,'Previous Rank'!$C$2:$C2766=C1518))=1,filter('Previous Rank'!$A$2:$A2766,'Previous Rank'!$B$2:$B2766=B1518,'Previous Rank'!$C$2:$C2766=C1518),"""")"),1506.0)</f>
        <v>1506</v>
      </c>
      <c r="H1518" s="8">
        <f t="shared" si="1"/>
        <v>-11</v>
      </c>
    </row>
    <row r="1519">
      <c r="A1519" s="10">
        <v>1518.0</v>
      </c>
      <c r="B1519" s="11" t="s">
        <v>1606</v>
      </c>
      <c r="C1519" s="10" t="s">
        <v>79</v>
      </c>
      <c r="D1519" s="10" t="s">
        <v>95</v>
      </c>
      <c r="E1519" s="15"/>
      <c r="F1519" s="15" t="s">
        <v>382</v>
      </c>
      <c r="G1519" s="13">
        <f>IFERROR(__xludf.DUMMYFUNCTION("if(counta(filter('Previous Rank'!$A$2:$A2766,'Previous Rank'!$B$2:$B2766=B1519,'Previous Rank'!$C$2:$C2766=C1519))=1,filter('Previous Rank'!$A$2:$A2766,'Previous Rank'!$B$2:$B2766=B1519,'Previous Rank'!$C$2:$C2766=C1519),"""")"),1507.0)</f>
        <v>1507</v>
      </c>
      <c r="H1519" s="8">
        <f t="shared" si="1"/>
        <v>-11</v>
      </c>
    </row>
    <row r="1520">
      <c r="A1520" s="10">
        <v>1519.0</v>
      </c>
      <c r="B1520" s="11" t="s">
        <v>1607</v>
      </c>
      <c r="C1520" s="10" t="s">
        <v>79</v>
      </c>
      <c r="D1520" s="10" t="s">
        <v>73</v>
      </c>
      <c r="E1520" s="16"/>
      <c r="F1520" s="16" t="s">
        <v>382</v>
      </c>
      <c r="G1520" s="13">
        <f>IFERROR(__xludf.DUMMYFUNCTION("if(counta(filter('Previous Rank'!$A$2:$A2766,'Previous Rank'!$B$2:$B2766=B1520,'Previous Rank'!$C$2:$C2766=C1520))=1,filter('Previous Rank'!$A$2:$A2766,'Previous Rank'!$B$2:$B2766=B1520,'Previous Rank'!$C$2:$C2766=C1520),"""")"),1508.0)</f>
        <v>1508</v>
      </c>
      <c r="H1520" s="8">
        <f t="shared" si="1"/>
        <v>-11</v>
      </c>
    </row>
    <row r="1521">
      <c r="A1521" s="10">
        <v>1520.0</v>
      </c>
      <c r="B1521" s="11" t="s">
        <v>1608</v>
      </c>
      <c r="C1521" s="10" t="s">
        <v>79</v>
      </c>
      <c r="D1521" s="10" t="s">
        <v>140</v>
      </c>
      <c r="E1521" s="15"/>
      <c r="F1521" s="15" t="s">
        <v>382</v>
      </c>
      <c r="G1521" s="13">
        <f>IFERROR(__xludf.DUMMYFUNCTION("if(counta(filter('Previous Rank'!$A$2:$A2766,'Previous Rank'!$B$2:$B2766=B1521,'Previous Rank'!$C$2:$C2766=C1521))=1,filter('Previous Rank'!$A$2:$A2766,'Previous Rank'!$B$2:$B2766=B1521,'Previous Rank'!$C$2:$C2766=C1521),"""")"),1509.0)</f>
        <v>1509</v>
      </c>
      <c r="H1521" s="8">
        <f t="shared" si="1"/>
        <v>-11</v>
      </c>
    </row>
    <row r="1522">
      <c r="A1522" s="10">
        <v>1521.0</v>
      </c>
      <c r="B1522" s="11" t="s">
        <v>1609</v>
      </c>
      <c r="C1522" s="10" t="s">
        <v>22</v>
      </c>
      <c r="D1522" s="10" t="s">
        <v>105</v>
      </c>
      <c r="E1522" s="16"/>
      <c r="F1522" s="16" t="s">
        <v>382</v>
      </c>
      <c r="G1522" s="13">
        <f>IFERROR(__xludf.DUMMYFUNCTION("if(counta(filter('Previous Rank'!$A$2:$A2766,'Previous Rank'!$B$2:$B2766=B1522,'Previous Rank'!$C$2:$C2766=C1522))=1,filter('Previous Rank'!$A$2:$A2766,'Previous Rank'!$B$2:$B2766=B1522,'Previous Rank'!$C$2:$C2766=C1522),"""")"),1510.0)</f>
        <v>1510</v>
      </c>
      <c r="H1522" s="8">
        <f t="shared" si="1"/>
        <v>-11</v>
      </c>
    </row>
    <row r="1523">
      <c r="A1523" s="10">
        <v>1522.0</v>
      </c>
      <c r="B1523" s="11" t="s">
        <v>1610</v>
      </c>
      <c r="C1523" s="10" t="s">
        <v>79</v>
      </c>
      <c r="D1523" s="10" t="s">
        <v>42</v>
      </c>
      <c r="E1523" s="15"/>
      <c r="F1523" s="15" t="s">
        <v>382</v>
      </c>
      <c r="G1523" s="13">
        <f>IFERROR(__xludf.DUMMYFUNCTION("if(counta(filter('Previous Rank'!$A$2:$A2766,'Previous Rank'!$B$2:$B2766=B1523,'Previous Rank'!$C$2:$C2766=C1523))=1,filter('Previous Rank'!$A$2:$A2766,'Previous Rank'!$B$2:$B2766=B1523,'Previous Rank'!$C$2:$C2766=C1523),"""")"),1511.0)</f>
        <v>1511</v>
      </c>
      <c r="H1523" s="8">
        <f t="shared" si="1"/>
        <v>-11</v>
      </c>
    </row>
    <row r="1524">
      <c r="A1524" s="10">
        <v>1523.0</v>
      </c>
      <c r="B1524" s="11" t="s">
        <v>1611</v>
      </c>
      <c r="C1524" s="10" t="s">
        <v>585</v>
      </c>
      <c r="D1524" s="10" t="s">
        <v>67</v>
      </c>
      <c r="E1524" s="16"/>
      <c r="F1524" s="16" t="s">
        <v>382</v>
      </c>
      <c r="G1524" s="13">
        <f>IFERROR(__xludf.DUMMYFUNCTION("if(counta(filter('Previous Rank'!$A$2:$A2766,'Previous Rank'!$B$2:$B2766=B1524,'Previous Rank'!$C$2:$C2766=C1524))=1,filter('Previous Rank'!$A$2:$A2766,'Previous Rank'!$B$2:$B2766=B1524,'Previous Rank'!$C$2:$C2766=C1524),"""")"),1512.0)</f>
        <v>1512</v>
      </c>
      <c r="H1524" s="8">
        <f t="shared" si="1"/>
        <v>-11</v>
      </c>
    </row>
    <row r="1525">
      <c r="A1525" s="10">
        <v>1524.0</v>
      </c>
      <c r="B1525" s="11" t="s">
        <v>1612</v>
      </c>
      <c r="C1525" s="10" t="s">
        <v>79</v>
      </c>
      <c r="D1525" s="10" t="s">
        <v>25</v>
      </c>
      <c r="E1525" s="15"/>
      <c r="F1525" s="15" t="s">
        <v>382</v>
      </c>
      <c r="G1525" s="13">
        <f>IFERROR(__xludf.DUMMYFUNCTION("if(counta(filter('Previous Rank'!$A$2:$A2766,'Previous Rank'!$B$2:$B2766=B1525,'Previous Rank'!$C$2:$C2766=C1525))=1,filter('Previous Rank'!$A$2:$A2766,'Previous Rank'!$B$2:$B2766=B1525,'Previous Rank'!$C$2:$C2766=C1525),"""")"),1513.0)</f>
        <v>1513</v>
      </c>
      <c r="H1525" s="8">
        <f t="shared" si="1"/>
        <v>-11</v>
      </c>
    </row>
    <row r="1526">
      <c r="A1526" s="10">
        <v>1525.0</v>
      </c>
      <c r="B1526" s="11" t="s">
        <v>1613</v>
      </c>
      <c r="C1526" s="10" t="s">
        <v>79</v>
      </c>
      <c r="D1526" s="10" t="s">
        <v>42</v>
      </c>
      <c r="E1526" s="16"/>
      <c r="F1526" s="16" t="s">
        <v>382</v>
      </c>
      <c r="G1526" s="13">
        <f>IFERROR(__xludf.DUMMYFUNCTION("if(counta(filter('Previous Rank'!$A$2:$A2766,'Previous Rank'!$B$2:$B2766=B1526,'Previous Rank'!$C$2:$C2766=C1526))=1,filter('Previous Rank'!$A$2:$A2766,'Previous Rank'!$B$2:$B2766=B1526,'Previous Rank'!$C$2:$C2766=C1526),"""")"),1514.0)</f>
        <v>1514</v>
      </c>
      <c r="H1526" s="8">
        <f t="shared" si="1"/>
        <v>-11</v>
      </c>
    </row>
    <row r="1527">
      <c r="A1527" s="10">
        <v>1526.0</v>
      </c>
      <c r="B1527" s="11" t="s">
        <v>1614</v>
      </c>
      <c r="C1527" s="10" t="s">
        <v>79</v>
      </c>
      <c r="D1527" s="10" t="s">
        <v>31</v>
      </c>
      <c r="E1527" s="15"/>
      <c r="F1527" s="15" t="s">
        <v>382</v>
      </c>
      <c r="G1527" s="13">
        <f>IFERROR(__xludf.DUMMYFUNCTION("if(counta(filter('Previous Rank'!$A$2:$A2766,'Previous Rank'!$B$2:$B2766=B1527,'Previous Rank'!$C$2:$C2766=C1527))=1,filter('Previous Rank'!$A$2:$A2766,'Previous Rank'!$B$2:$B2766=B1527,'Previous Rank'!$C$2:$C2766=C1527),"""")"),1515.0)</f>
        <v>1515</v>
      </c>
      <c r="H1527" s="8">
        <f t="shared" si="1"/>
        <v>-11</v>
      </c>
    </row>
    <row r="1528">
      <c r="A1528" s="10">
        <v>1527.0</v>
      </c>
      <c r="B1528" s="11" t="s">
        <v>1615</v>
      </c>
      <c r="C1528" s="10" t="s">
        <v>79</v>
      </c>
      <c r="D1528" s="10" t="s">
        <v>206</v>
      </c>
      <c r="E1528" s="16"/>
      <c r="F1528" s="16" t="s">
        <v>382</v>
      </c>
      <c r="G1528" s="13">
        <f>IFERROR(__xludf.DUMMYFUNCTION("if(counta(filter('Previous Rank'!$A$2:$A2766,'Previous Rank'!$B$2:$B2766=B1528,'Previous Rank'!$C$2:$C2766=C1528))=1,filter('Previous Rank'!$A$2:$A2766,'Previous Rank'!$B$2:$B2766=B1528,'Previous Rank'!$C$2:$C2766=C1528),"""")"),1516.0)</f>
        <v>1516</v>
      </c>
      <c r="H1528" s="8">
        <f t="shared" si="1"/>
        <v>-11</v>
      </c>
    </row>
    <row r="1529">
      <c r="A1529" s="10">
        <v>1528.0</v>
      </c>
      <c r="B1529" s="11" t="s">
        <v>1616</v>
      </c>
      <c r="C1529" s="10" t="s">
        <v>79</v>
      </c>
      <c r="D1529" s="10" t="s">
        <v>36</v>
      </c>
      <c r="E1529" s="15"/>
      <c r="F1529" s="15" t="s">
        <v>382</v>
      </c>
      <c r="G1529" s="13">
        <f>IFERROR(__xludf.DUMMYFUNCTION("if(counta(filter('Previous Rank'!$A$2:$A2766,'Previous Rank'!$B$2:$B2766=B1529,'Previous Rank'!$C$2:$C2766=C1529))=1,filter('Previous Rank'!$A$2:$A2766,'Previous Rank'!$B$2:$B2766=B1529,'Previous Rank'!$C$2:$C2766=C1529),"""")"),1517.0)</f>
        <v>1517</v>
      </c>
      <c r="H1529" s="8">
        <f t="shared" si="1"/>
        <v>-11</v>
      </c>
    </row>
    <row r="1530">
      <c r="A1530" s="10">
        <v>1529.0</v>
      </c>
      <c r="B1530" s="11" t="s">
        <v>1617</v>
      </c>
      <c r="C1530" s="10" t="s">
        <v>22</v>
      </c>
      <c r="D1530" s="10" t="s">
        <v>120</v>
      </c>
      <c r="E1530" s="16"/>
      <c r="F1530" s="16" t="s">
        <v>382</v>
      </c>
      <c r="G1530" s="13">
        <f>IFERROR(__xludf.DUMMYFUNCTION("if(counta(filter('Previous Rank'!$A$2:$A2766,'Previous Rank'!$B$2:$B2766=B1530,'Previous Rank'!$C$2:$C2766=C1530))=1,filter('Previous Rank'!$A$2:$A2766,'Previous Rank'!$B$2:$B2766=B1530,'Previous Rank'!$C$2:$C2766=C1530),"""")"),1518.0)</f>
        <v>1518</v>
      </c>
      <c r="H1530" s="8">
        <f t="shared" si="1"/>
        <v>-11</v>
      </c>
    </row>
    <row r="1531">
      <c r="A1531" s="10">
        <v>1530.0</v>
      </c>
      <c r="B1531" s="11" t="s">
        <v>1618</v>
      </c>
      <c r="C1531" s="10" t="s">
        <v>22</v>
      </c>
      <c r="D1531" s="10" t="s">
        <v>95</v>
      </c>
      <c r="E1531" s="15"/>
      <c r="F1531" s="15" t="s">
        <v>382</v>
      </c>
      <c r="G1531" s="13">
        <f>IFERROR(__xludf.DUMMYFUNCTION("if(counta(filter('Previous Rank'!$A$2:$A2766,'Previous Rank'!$B$2:$B2766=B1531,'Previous Rank'!$C$2:$C2766=C1531))=1,filter('Previous Rank'!$A$2:$A2766,'Previous Rank'!$B$2:$B2766=B1531,'Previous Rank'!$C$2:$C2766=C1531),"""")"),1519.0)</f>
        <v>1519</v>
      </c>
      <c r="H1531" s="8">
        <f t="shared" si="1"/>
        <v>-11</v>
      </c>
    </row>
    <row r="1532">
      <c r="A1532" s="10">
        <v>1531.0</v>
      </c>
      <c r="B1532" s="11" t="s">
        <v>1619</v>
      </c>
      <c r="C1532" s="10" t="s">
        <v>79</v>
      </c>
      <c r="D1532" s="10" t="s">
        <v>18</v>
      </c>
      <c r="E1532" s="16"/>
      <c r="F1532" s="16" t="s">
        <v>382</v>
      </c>
      <c r="G1532" s="13">
        <f>IFERROR(__xludf.DUMMYFUNCTION("if(counta(filter('Previous Rank'!$A$2:$A2766,'Previous Rank'!$B$2:$B2766=B1532,'Previous Rank'!$C$2:$C2766=C1532))=1,filter('Previous Rank'!$A$2:$A2766,'Previous Rank'!$B$2:$B2766=B1532,'Previous Rank'!$C$2:$C2766=C1532),"""")"),1520.0)</f>
        <v>1520</v>
      </c>
      <c r="H1532" s="8">
        <f t="shared" si="1"/>
        <v>-11</v>
      </c>
    </row>
    <row r="1533">
      <c r="A1533" s="10">
        <v>1532.0</v>
      </c>
      <c r="B1533" s="11" t="s">
        <v>1620</v>
      </c>
      <c r="C1533" s="10" t="s">
        <v>79</v>
      </c>
      <c r="D1533" s="10" t="s">
        <v>73</v>
      </c>
      <c r="E1533" s="15"/>
      <c r="F1533" s="15" t="s">
        <v>382</v>
      </c>
      <c r="G1533" s="13">
        <f>IFERROR(__xludf.DUMMYFUNCTION("if(counta(filter('Previous Rank'!$A$2:$A2766,'Previous Rank'!$B$2:$B2766=B1533,'Previous Rank'!$C$2:$C2766=C1533))=1,filter('Previous Rank'!$A$2:$A2766,'Previous Rank'!$B$2:$B2766=B1533,'Previous Rank'!$C$2:$C2766=C1533),"""")"),1521.0)</f>
        <v>1521</v>
      </c>
      <c r="H1533" s="8">
        <f t="shared" si="1"/>
        <v>-11</v>
      </c>
    </row>
    <row r="1534">
      <c r="A1534" s="10">
        <v>1533.0</v>
      </c>
      <c r="B1534" s="11" t="s">
        <v>1621</v>
      </c>
      <c r="C1534" s="10" t="s">
        <v>79</v>
      </c>
      <c r="D1534" s="10" t="s">
        <v>82</v>
      </c>
      <c r="E1534" s="16"/>
      <c r="F1534" s="16" t="s">
        <v>382</v>
      </c>
      <c r="G1534" s="13">
        <f>IFERROR(__xludf.DUMMYFUNCTION("if(counta(filter('Previous Rank'!$A$2:$A2766,'Previous Rank'!$B$2:$B2766=B1534,'Previous Rank'!$C$2:$C2766=C1534))=1,filter('Previous Rank'!$A$2:$A2766,'Previous Rank'!$B$2:$B2766=B1534,'Previous Rank'!$C$2:$C2766=C1534),"""")"),1522.0)</f>
        <v>1522</v>
      </c>
      <c r="H1534" s="8">
        <f t="shared" si="1"/>
        <v>-11</v>
      </c>
    </row>
    <row r="1535">
      <c r="A1535" s="10">
        <v>1534.0</v>
      </c>
      <c r="B1535" s="11" t="s">
        <v>1622</v>
      </c>
      <c r="C1535" s="10" t="s">
        <v>22</v>
      </c>
      <c r="D1535" s="10" t="s">
        <v>49</v>
      </c>
      <c r="E1535" s="15"/>
      <c r="F1535" s="15" t="s">
        <v>382</v>
      </c>
      <c r="G1535" s="13">
        <f>IFERROR(__xludf.DUMMYFUNCTION("if(counta(filter('Previous Rank'!$A$2:$A2766,'Previous Rank'!$B$2:$B2766=B1535,'Previous Rank'!$C$2:$C2766=C1535))=1,filter('Previous Rank'!$A$2:$A2766,'Previous Rank'!$B$2:$B2766=B1535,'Previous Rank'!$C$2:$C2766=C1535),"""")"),1523.0)</f>
        <v>1523</v>
      </c>
      <c r="H1535" s="8">
        <f t="shared" si="1"/>
        <v>-11</v>
      </c>
    </row>
    <row r="1536">
      <c r="A1536" s="10">
        <v>1535.0</v>
      </c>
      <c r="B1536" s="11" t="s">
        <v>1623</v>
      </c>
      <c r="C1536" s="10" t="s">
        <v>79</v>
      </c>
      <c r="D1536" s="10" t="s">
        <v>73</v>
      </c>
      <c r="E1536" s="16"/>
      <c r="F1536" s="16" t="s">
        <v>382</v>
      </c>
      <c r="G1536" s="13">
        <f>IFERROR(__xludf.DUMMYFUNCTION("if(counta(filter('Previous Rank'!$A$2:$A2766,'Previous Rank'!$B$2:$B2766=B1536,'Previous Rank'!$C$2:$C2766=C1536))=1,filter('Previous Rank'!$A$2:$A2766,'Previous Rank'!$B$2:$B2766=B1536,'Previous Rank'!$C$2:$C2766=C1536),"""")"),1524.0)</f>
        <v>1524</v>
      </c>
      <c r="H1536" s="8">
        <f t="shared" si="1"/>
        <v>-11</v>
      </c>
    </row>
    <row r="1537">
      <c r="A1537" s="10">
        <v>1536.0</v>
      </c>
      <c r="B1537" s="11" t="s">
        <v>1624</v>
      </c>
      <c r="C1537" s="10" t="s">
        <v>77</v>
      </c>
      <c r="D1537" s="10" t="s">
        <v>25</v>
      </c>
      <c r="E1537" s="15"/>
      <c r="F1537" s="15" t="s">
        <v>382</v>
      </c>
      <c r="G1537" s="13">
        <f>IFERROR(__xludf.DUMMYFUNCTION("if(counta(filter('Previous Rank'!$A$2:$A2766,'Previous Rank'!$B$2:$B2766=B1537,'Previous Rank'!$C$2:$C2766=C1537))=1,filter('Previous Rank'!$A$2:$A2766,'Previous Rank'!$B$2:$B2766=B1537,'Previous Rank'!$C$2:$C2766=C1537),"""")"),1525.0)</f>
        <v>1525</v>
      </c>
      <c r="H1537" s="8">
        <f t="shared" si="1"/>
        <v>-11</v>
      </c>
    </row>
    <row r="1538">
      <c r="A1538" s="10">
        <v>1537.0</v>
      </c>
      <c r="B1538" s="11" t="s">
        <v>1625</v>
      </c>
      <c r="C1538" s="10" t="s">
        <v>79</v>
      </c>
      <c r="D1538" s="10" t="s">
        <v>137</v>
      </c>
      <c r="E1538" s="16"/>
      <c r="F1538" s="16" t="s">
        <v>382</v>
      </c>
      <c r="G1538" s="13">
        <f>IFERROR(__xludf.DUMMYFUNCTION("if(counta(filter('Previous Rank'!$A$2:$A2766,'Previous Rank'!$B$2:$B2766=B1538,'Previous Rank'!$C$2:$C2766=C1538))=1,filter('Previous Rank'!$A$2:$A2766,'Previous Rank'!$B$2:$B2766=B1538,'Previous Rank'!$C$2:$C2766=C1538),"""")"),1526.0)</f>
        <v>1526</v>
      </c>
      <c r="H1538" s="8">
        <f t="shared" si="1"/>
        <v>-11</v>
      </c>
    </row>
    <row r="1539">
      <c r="A1539" s="10">
        <v>1538.0</v>
      </c>
      <c r="B1539" s="11" t="s">
        <v>1626</v>
      </c>
      <c r="C1539" s="10" t="s">
        <v>220</v>
      </c>
      <c r="D1539" s="10" t="s">
        <v>99</v>
      </c>
      <c r="E1539" s="15"/>
      <c r="F1539" s="15" t="s">
        <v>382</v>
      </c>
      <c r="G1539" s="13">
        <f>IFERROR(__xludf.DUMMYFUNCTION("if(counta(filter('Previous Rank'!$A$2:$A2766,'Previous Rank'!$B$2:$B2766=B1539,'Previous Rank'!$C$2:$C2766=C1539))=1,filter('Previous Rank'!$A$2:$A2766,'Previous Rank'!$B$2:$B2766=B1539,'Previous Rank'!$C$2:$C2766=C1539),"""")"),1527.0)</f>
        <v>1527</v>
      </c>
      <c r="H1539" s="8">
        <f t="shared" si="1"/>
        <v>-11</v>
      </c>
    </row>
    <row r="1540">
      <c r="A1540" s="10">
        <v>1539.0</v>
      </c>
      <c r="B1540" s="11" t="s">
        <v>1627</v>
      </c>
      <c r="C1540" s="10" t="s">
        <v>79</v>
      </c>
      <c r="D1540" s="10" t="s">
        <v>52</v>
      </c>
      <c r="E1540" s="16"/>
      <c r="F1540" s="16" t="s">
        <v>382</v>
      </c>
      <c r="G1540" s="13" t="str">
        <f>IFERROR(__xludf.DUMMYFUNCTION("if(counta(filter('Previous Rank'!$A$2:$A2766,'Previous Rank'!$B$2:$B2766=B1540,'Previous Rank'!$C$2:$C2766=C1540))=1,filter('Previous Rank'!$A$2:$A2766,'Previous Rank'!$B$2:$B2766=B1540,'Previous Rank'!$C$2:$C2766=C1540),"""")"),"")</f>
        <v/>
      </c>
      <c r="H1540" s="8" t="str">
        <f t="shared" si="1"/>
        <v/>
      </c>
    </row>
    <row r="1541">
      <c r="A1541" s="10">
        <v>1540.0</v>
      </c>
      <c r="B1541" s="11" t="s">
        <v>1628</v>
      </c>
      <c r="C1541" s="10" t="s">
        <v>79</v>
      </c>
      <c r="D1541" s="10" t="s">
        <v>206</v>
      </c>
      <c r="E1541" s="15"/>
      <c r="F1541" s="15" t="s">
        <v>382</v>
      </c>
      <c r="G1541" s="13">
        <f>IFERROR(__xludf.DUMMYFUNCTION("if(counta(filter('Previous Rank'!$A$2:$A2766,'Previous Rank'!$B$2:$B2766=B1541,'Previous Rank'!$C$2:$C2766=C1541))=1,filter('Previous Rank'!$A$2:$A2766,'Previous Rank'!$B$2:$B2766=B1541,'Previous Rank'!$C$2:$C2766=C1541),"""")"),1529.0)</f>
        <v>1529</v>
      </c>
      <c r="H1541" s="8">
        <f t="shared" si="1"/>
        <v>-11</v>
      </c>
    </row>
    <row r="1542">
      <c r="A1542" s="10">
        <v>1541.0</v>
      </c>
      <c r="B1542" s="11" t="s">
        <v>1629</v>
      </c>
      <c r="C1542" s="10" t="s">
        <v>220</v>
      </c>
      <c r="D1542" s="10" t="s">
        <v>18</v>
      </c>
      <c r="E1542" s="16"/>
      <c r="F1542" s="16" t="s">
        <v>382</v>
      </c>
      <c r="G1542" s="13">
        <f>IFERROR(__xludf.DUMMYFUNCTION("if(counta(filter('Previous Rank'!$A$2:$A2766,'Previous Rank'!$B$2:$B2766=B1542,'Previous Rank'!$C$2:$C2766=C1542))=1,filter('Previous Rank'!$A$2:$A2766,'Previous Rank'!$B$2:$B2766=B1542,'Previous Rank'!$C$2:$C2766=C1542),"""")"),1530.0)</f>
        <v>1530</v>
      </c>
      <c r="H1542" s="8">
        <f t="shared" si="1"/>
        <v>-11</v>
      </c>
    </row>
    <row r="1543">
      <c r="A1543" s="10">
        <v>1542.0</v>
      </c>
      <c r="B1543" s="11" t="s">
        <v>1630</v>
      </c>
      <c r="C1543" s="10" t="s">
        <v>63</v>
      </c>
      <c r="D1543" s="10" t="s">
        <v>113</v>
      </c>
      <c r="E1543" s="15"/>
      <c r="F1543" s="15" t="s">
        <v>382</v>
      </c>
      <c r="G1543" s="13">
        <f>IFERROR(__xludf.DUMMYFUNCTION("if(counta(filter('Previous Rank'!$A$2:$A2766,'Previous Rank'!$B$2:$B2766=B1543,'Previous Rank'!$C$2:$C2766=C1543))=1,filter('Previous Rank'!$A$2:$A2766,'Previous Rank'!$B$2:$B2766=B1543,'Previous Rank'!$C$2:$C2766=C1543),"""")"),1531.0)</f>
        <v>1531</v>
      </c>
      <c r="H1543" s="8">
        <f t="shared" si="1"/>
        <v>-11</v>
      </c>
    </row>
    <row r="1544">
      <c r="A1544" s="10">
        <v>1543.0</v>
      </c>
      <c r="B1544" s="11" t="s">
        <v>1631</v>
      </c>
      <c r="C1544" s="10" t="s">
        <v>79</v>
      </c>
      <c r="D1544" s="10" t="s">
        <v>140</v>
      </c>
      <c r="E1544" s="16"/>
      <c r="F1544" s="16" t="s">
        <v>382</v>
      </c>
      <c r="G1544" s="13">
        <f>IFERROR(__xludf.DUMMYFUNCTION("if(counta(filter('Previous Rank'!$A$2:$A2766,'Previous Rank'!$B$2:$B2766=B1544,'Previous Rank'!$C$2:$C2766=C1544))=1,filter('Previous Rank'!$A$2:$A2766,'Previous Rank'!$B$2:$B2766=B1544,'Previous Rank'!$C$2:$C2766=C1544),"""")"),1532.0)</f>
        <v>1532</v>
      </c>
      <c r="H1544" s="8">
        <f t="shared" si="1"/>
        <v>-11</v>
      </c>
    </row>
    <row r="1545">
      <c r="A1545" s="10">
        <v>1544.0</v>
      </c>
      <c r="B1545" s="11" t="s">
        <v>1632</v>
      </c>
      <c r="C1545" s="10" t="s">
        <v>79</v>
      </c>
      <c r="D1545" s="10" t="s">
        <v>206</v>
      </c>
      <c r="E1545" s="15"/>
      <c r="F1545" s="15" t="s">
        <v>382</v>
      </c>
      <c r="G1545" s="13">
        <f>IFERROR(__xludf.DUMMYFUNCTION("if(counta(filter('Previous Rank'!$A$2:$A2766,'Previous Rank'!$B$2:$B2766=B1545,'Previous Rank'!$C$2:$C2766=C1545))=1,filter('Previous Rank'!$A$2:$A2766,'Previous Rank'!$B$2:$B2766=B1545,'Previous Rank'!$C$2:$C2766=C1545),"""")"),1533.0)</f>
        <v>1533</v>
      </c>
      <c r="H1545" s="8">
        <f t="shared" si="1"/>
        <v>-11</v>
      </c>
    </row>
    <row r="1546">
      <c r="A1546" s="10">
        <v>1545.0</v>
      </c>
      <c r="B1546" s="11" t="s">
        <v>1633</v>
      </c>
      <c r="C1546" s="10" t="s">
        <v>79</v>
      </c>
      <c r="D1546" s="10" t="s">
        <v>67</v>
      </c>
      <c r="E1546" s="16"/>
      <c r="F1546" s="16" t="s">
        <v>382</v>
      </c>
      <c r="G1546" s="13">
        <f>IFERROR(__xludf.DUMMYFUNCTION("if(counta(filter('Previous Rank'!$A$2:$A2766,'Previous Rank'!$B$2:$B2766=B1546,'Previous Rank'!$C$2:$C2766=C1546))=1,filter('Previous Rank'!$A$2:$A2766,'Previous Rank'!$B$2:$B2766=B1546,'Previous Rank'!$C$2:$C2766=C1546),"""")"),1534.0)</f>
        <v>1534</v>
      </c>
      <c r="H1546" s="8">
        <f t="shared" si="1"/>
        <v>-11</v>
      </c>
    </row>
    <row r="1547">
      <c r="A1547" s="10">
        <v>1546.0</v>
      </c>
      <c r="B1547" s="11" t="s">
        <v>1634</v>
      </c>
      <c r="C1547" s="10" t="s">
        <v>77</v>
      </c>
      <c r="D1547" s="10" t="s">
        <v>85</v>
      </c>
      <c r="E1547" s="15"/>
      <c r="F1547" s="15" t="s">
        <v>382</v>
      </c>
      <c r="G1547" s="13">
        <f>IFERROR(__xludf.DUMMYFUNCTION("if(counta(filter('Previous Rank'!$A$2:$A2766,'Previous Rank'!$B$2:$B2766=B1547,'Previous Rank'!$C$2:$C2766=C1547))=1,filter('Previous Rank'!$A$2:$A2766,'Previous Rank'!$B$2:$B2766=B1547,'Previous Rank'!$C$2:$C2766=C1547),"""")"),1535.0)</f>
        <v>1535</v>
      </c>
      <c r="H1547" s="8">
        <f t="shared" si="1"/>
        <v>-11</v>
      </c>
    </row>
    <row r="1548">
      <c r="A1548" s="10">
        <v>1547.0</v>
      </c>
      <c r="B1548" s="11" t="s">
        <v>1635</v>
      </c>
      <c r="C1548" s="10" t="s">
        <v>22</v>
      </c>
      <c r="D1548" s="10" t="s">
        <v>137</v>
      </c>
      <c r="E1548" s="16"/>
      <c r="F1548" s="16" t="s">
        <v>382</v>
      </c>
      <c r="G1548" s="13">
        <f>IFERROR(__xludf.DUMMYFUNCTION("if(counta(filter('Previous Rank'!$A$2:$A2766,'Previous Rank'!$B$2:$B2766=B1548,'Previous Rank'!$C$2:$C2766=C1548))=1,filter('Previous Rank'!$A$2:$A2766,'Previous Rank'!$B$2:$B2766=B1548,'Previous Rank'!$C$2:$C2766=C1548),"""")"),1536.0)</f>
        <v>1536</v>
      </c>
      <c r="H1548" s="8">
        <f t="shared" si="1"/>
        <v>-11</v>
      </c>
    </row>
    <row r="1549">
      <c r="A1549" s="10">
        <v>1548.0</v>
      </c>
      <c r="B1549" s="11" t="s">
        <v>1636</v>
      </c>
      <c r="C1549" s="10" t="s">
        <v>220</v>
      </c>
      <c r="D1549" s="10" t="s">
        <v>140</v>
      </c>
      <c r="E1549" s="15"/>
      <c r="F1549" s="15" t="s">
        <v>382</v>
      </c>
      <c r="G1549" s="13">
        <f>IFERROR(__xludf.DUMMYFUNCTION("if(counta(filter('Previous Rank'!$A$2:$A2766,'Previous Rank'!$B$2:$B2766=B1549,'Previous Rank'!$C$2:$C2766=C1549))=1,filter('Previous Rank'!$A$2:$A2766,'Previous Rank'!$B$2:$B2766=B1549,'Previous Rank'!$C$2:$C2766=C1549),"""")"),1537.0)</f>
        <v>1537</v>
      </c>
      <c r="H1549" s="8">
        <f t="shared" si="1"/>
        <v>-11</v>
      </c>
    </row>
    <row r="1550">
      <c r="A1550" s="10">
        <v>1549.0</v>
      </c>
      <c r="B1550" s="11" t="s">
        <v>1637</v>
      </c>
      <c r="C1550" s="10" t="s">
        <v>79</v>
      </c>
      <c r="D1550" s="10" t="s">
        <v>31</v>
      </c>
      <c r="E1550" s="16"/>
      <c r="F1550" s="16" t="s">
        <v>382</v>
      </c>
      <c r="G1550" s="13">
        <f>IFERROR(__xludf.DUMMYFUNCTION("if(counta(filter('Previous Rank'!$A$2:$A2766,'Previous Rank'!$B$2:$B2766=B1550,'Previous Rank'!$C$2:$C2766=C1550))=1,filter('Previous Rank'!$A$2:$A2766,'Previous Rank'!$B$2:$B2766=B1550,'Previous Rank'!$C$2:$C2766=C1550),"""")"),1538.0)</f>
        <v>1538</v>
      </c>
      <c r="H1550" s="8">
        <f t="shared" si="1"/>
        <v>-11</v>
      </c>
    </row>
    <row r="1551">
      <c r="A1551" s="10">
        <v>1550.0</v>
      </c>
      <c r="B1551" s="11" t="s">
        <v>1638</v>
      </c>
      <c r="C1551" s="10" t="s">
        <v>79</v>
      </c>
      <c r="D1551" s="10" t="s">
        <v>82</v>
      </c>
      <c r="E1551" s="15"/>
      <c r="F1551" s="15" t="s">
        <v>382</v>
      </c>
      <c r="G1551" s="13">
        <f>IFERROR(__xludf.DUMMYFUNCTION("if(counta(filter('Previous Rank'!$A$2:$A2766,'Previous Rank'!$B$2:$B2766=B1551,'Previous Rank'!$C$2:$C2766=C1551))=1,filter('Previous Rank'!$A$2:$A2766,'Previous Rank'!$B$2:$B2766=B1551,'Previous Rank'!$C$2:$C2766=C1551),"""")"),1539.0)</f>
        <v>1539</v>
      </c>
      <c r="H1551" s="8">
        <f t="shared" si="1"/>
        <v>-11</v>
      </c>
    </row>
    <row r="1552">
      <c r="A1552" s="10">
        <v>1551.0</v>
      </c>
      <c r="B1552" s="11" t="s">
        <v>1639</v>
      </c>
      <c r="C1552" s="10" t="s">
        <v>22</v>
      </c>
      <c r="D1552" s="10" t="s">
        <v>85</v>
      </c>
      <c r="E1552" s="16"/>
      <c r="F1552" s="16" t="s">
        <v>382</v>
      </c>
      <c r="G1552" s="13">
        <f>IFERROR(__xludf.DUMMYFUNCTION("if(counta(filter('Previous Rank'!$A$2:$A2766,'Previous Rank'!$B$2:$B2766=B1552,'Previous Rank'!$C$2:$C2766=C1552))=1,filter('Previous Rank'!$A$2:$A2766,'Previous Rank'!$B$2:$B2766=B1552,'Previous Rank'!$C$2:$C2766=C1552),"""")"),1540.0)</f>
        <v>1540</v>
      </c>
      <c r="H1552" s="8">
        <f t="shared" si="1"/>
        <v>-11</v>
      </c>
    </row>
    <row r="1553">
      <c r="A1553" s="10">
        <v>1552.0</v>
      </c>
      <c r="B1553" s="11" t="s">
        <v>1640</v>
      </c>
      <c r="C1553" s="10" t="s">
        <v>79</v>
      </c>
      <c r="D1553" s="10" t="s">
        <v>71</v>
      </c>
      <c r="E1553" s="15"/>
      <c r="F1553" s="15" t="s">
        <v>382</v>
      </c>
      <c r="G1553" s="13">
        <f>IFERROR(__xludf.DUMMYFUNCTION("if(counta(filter('Previous Rank'!$A$2:$A2766,'Previous Rank'!$B$2:$B2766=B1553,'Previous Rank'!$C$2:$C2766=C1553))=1,filter('Previous Rank'!$A$2:$A2766,'Previous Rank'!$B$2:$B2766=B1553,'Previous Rank'!$C$2:$C2766=C1553),"""")"),1541.0)</f>
        <v>1541</v>
      </c>
      <c r="H1553" s="8">
        <f t="shared" si="1"/>
        <v>-11</v>
      </c>
    </row>
    <row r="1554">
      <c r="A1554" s="10">
        <v>1553.0</v>
      </c>
      <c r="B1554" s="11" t="s">
        <v>1641</v>
      </c>
      <c r="C1554" s="10" t="s">
        <v>79</v>
      </c>
      <c r="D1554" s="10" t="s">
        <v>25</v>
      </c>
      <c r="E1554" s="16"/>
      <c r="F1554" s="16" t="s">
        <v>382</v>
      </c>
      <c r="G1554" s="13">
        <f>IFERROR(__xludf.DUMMYFUNCTION("if(counta(filter('Previous Rank'!$A$2:$A2766,'Previous Rank'!$B$2:$B2766=B1554,'Previous Rank'!$C$2:$C2766=C1554))=1,filter('Previous Rank'!$A$2:$A2766,'Previous Rank'!$B$2:$B2766=B1554,'Previous Rank'!$C$2:$C2766=C1554),"""")"),1542.0)</f>
        <v>1542</v>
      </c>
      <c r="H1554" s="8">
        <f t="shared" si="1"/>
        <v>-11</v>
      </c>
    </row>
    <row r="1555">
      <c r="A1555" s="10">
        <v>1554.0</v>
      </c>
      <c r="B1555" s="11" t="s">
        <v>1642</v>
      </c>
      <c r="C1555" s="10" t="s">
        <v>79</v>
      </c>
      <c r="D1555" s="10" t="s">
        <v>34</v>
      </c>
      <c r="E1555" s="15"/>
      <c r="F1555" s="15" t="s">
        <v>382</v>
      </c>
      <c r="G1555" s="13">
        <f>IFERROR(__xludf.DUMMYFUNCTION("if(counta(filter('Previous Rank'!$A$2:$A2766,'Previous Rank'!$B$2:$B2766=B1555,'Previous Rank'!$C$2:$C2766=C1555))=1,filter('Previous Rank'!$A$2:$A2766,'Previous Rank'!$B$2:$B2766=B1555,'Previous Rank'!$C$2:$C2766=C1555),"""")"),1543.0)</f>
        <v>1543</v>
      </c>
      <c r="H1555" s="8">
        <f t="shared" si="1"/>
        <v>-11</v>
      </c>
    </row>
    <row r="1556">
      <c r="A1556" s="10">
        <v>1555.0</v>
      </c>
      <c r="B1556" s="11" t="s">
        <v>1643</v>
      </c>
      <c r="C1556" s="10" t="s">
        <v>79</v>
      </c>
      <c r="D1556" s="10" t="s">
        <v>9</v>
      </c>
      <c r="E1556" s="16"/>
      <c r="F1556" s="16" t="s">
        <v>382</v>
      </c>
      <c r="G1556" s="13">
        <f>IFERROR(__xludf.DUMMYFUNCTION("if(counta(filter('Previous Rank'!$A$2:$A2766,'Previous Rank'!$B$2:$B2766=B1556,'Previous Rank'!$C$2:$C2766=C1556))=1,filter('Previous Rank'!$A$2:$A2766,'Previous Rank'!$B$2:$B2766=B1556,'Previous Rank'!$C$2:$C2766=C1556),"""")"),1544.0)</f>
        <v>1544</v>
      </c>
      <c r="H1556" s="8">
        <f t="shared" si="1"/>
        <v>-11</v>
      </c>
    </row>
    <row r="1557">
      <c r="A1557" s="10">
        <v>1556.0</v>
      </c>
      <c r="B1557" s="11" t="s">
        <v>1644</v>
      </c>
      <c r="C1557" s="10" t="s">
        <v>22</v>
      </c>
      <c r="D1557" s="10" t="s">
        <v>82</v>
      </c>
      <c r="E1557" s="15"/>
      <c r="F1557" s="15" t="s">
        <v>382</v>
      </c>
      <c r="G1557" s="13">
        <f>IFERROR(__xludf.DUMMYFUNCTION("if(counta(filter('Previous Rank'!$A$2:$A2766,'Previous Rank'!$B$2:$B2766=B1557,'Previous Rank'!$C$2:$C2766=C1557))=1,filter('Previous Rank'!$A$2:$A2766,'Previous Rank'!$B$2:$B2766=B1557,'Previous Rank'!$C$2:$C2766=C1557),"""")"),1545.0)</f>
        <v>1545</v>
      </c>
      <c r="H1557" s="8">
        <f t="shared" si="1"/>
        <v>-11</v>
      </c>
    </row>
    <row r="1558">
      <c r="A1558" s="10">
        <v>1557.0</v>
      </c>
      <c r="B1558" s="11" t="s">
        <v>1645</v>
      </c>
      <c r="C1558" s="10" t="s">
        <v>22</v>
      </c>
      <c r="D1558" s="10" t="s">
        <v>34</v>
      </c>
      <c r="E1558" s="16"/>
      <c r="F1558" s="16" t="s">
        <v>382</v>
      </c>
      <c r="G1558" s="13">
        <f>IFERROR(__xludf.DUMMYFUNCTION("if(counta(filter('Previous Rank'!$A$2:$A2766,'Previous Rank'!$B$2:$B2766=B1558,'Previous Rank'!$C$2:$C2766=C1558))=1,filter('Previous Rank'!$A$2:$A2766,'Previous Rank'!$B$2:$B2766=B1558,'Previous Rank'!$C$2:$C2766=C1558),"""")"),1546.0)</f>
        <v>1546</v>
      </c>
      <c r="H1558" s="8">
        <f t="shared" si="1"/>
        <v>-11</v>
      </c>
    </row>
    <row r="1559">
      <c r="A1559" s="10">
        <v>1558.0</v>
      </c>
      <c r="B1559" s="11" t="s">
        <v>1646</v>
      </c>
      <c r="C1559" s="10" t="s">
        <v>79</v>
      </c>
      <c r="D1559" s="10" t="s">
        <v>137</v>
      </c>
      <c r="E1559" s="15"/>
      <c r="F1559" s="15" t="s">
        <v>382</v>
      </c>
      <c r="G1559" s="13">
        <f>IFERROR(__xludf.DUMMYFUNCTION("if(counta(filter('Previous Rank'!$A$2:$A2766,'Previous Rank'!$B$2:$B2766=B1559,'Previous Rank'!$C$2:$C2766=C1559))=1,filter('Previous Rank'!$A$2:$A2766,'Previous Rank'!$B$2:$B2766=B1559,'Previous Rank'!$C$2:$C2766=C1559),"""")"),1547.0)</f>
        <v>1547</v>
      </c>
      <c r="H1559" s="8">
        <f t="shared" si="1"/>
        <v>-11</v>
      </c>
    </row>
    <row r="1560">
      <c r="A1560" s="10">
        <v>1559.0</v>
      </c>
      <c r="B1560" s="11" t="s">
        <v>1647</v>
      </c>
      <c r="C1560" s="10" t="s">
        <v>79</v>
      </c>
      <c r="D1560" s="10" t="s">
        <v>34</v>
      </c>
      <c r="E1560" s="16"/>
      <c r="F1560" s="16" t="s">
        <v>382</v>
      </c>
      <c r="G1560" s="13">
        <f>IFERROR(__xludf.DUMMYFUNCTION("if(counta(filter('Previous Rank'!$A$2:$A2766,'Previous Rank'!$B$2:$B2766=B1560,'Previous Rank'!$C$2:$C2766=C1560))=1,filter('Previous Rank'!$A$2:$A2766,'Previous Rank'!$B$2:$B2766=B1560,'Previous Rank'!$C$2:$C2766=C1560),"""")"),1548.0)</f>
        <v>1548</v>
      </c>
      <c r="H1560" s="8">
        <f t="shared" si="1"/>
        <v>-11</v>
      </c>
    </row>
    <row r="1561">
      <c r="A1561" s="10">
        <v>1560.0</v>
      </c>
      <c r="B1561" s="11" t="s">
        <v>1648</v>
      </c>
      <c r="C1561" s="10" t="s">
        <v>79</v>
      </c>
      <c r="D1561" s="10" t="s">
        <v>73</v>
      </c>
      <c r="E1561" s="15"/>
      <c r="F1561" s="15" t="s">
        <v>382</v>
      </c>
      <c r="G1561" s="13">
        <f>IFERROR(__xludf.DUMMYFUNCTION("if(counta(filter('Previous Rank'!$A$2:$A2766,'Previous Rank'!$B$2:$B2766=B1561,'Previous Rank'!$C$2:$C2766=C1561))=1,filter('Previous Rank'!$A$2:$A2766,'Previous Rank'!$B$2:$B2766=B1561,'Previous Rank'!$C$2:$C2766=C1561),"""")"),1549.0)</f>
        <v>1549</v>
      </c>
      <c r="H1561" s="8">
        <f t="shared" si="1"/>
        <v>-11</v>
      </c>
    </row>
    <row r="1562">
      <c r="A1562" s="10">
        <v>1561.0</v>
      </c>
      <c r="B1562" s="11" t="s">
        <v>1649</v>
      </c>
      <c r="C1562" s="10" t="s">
        <v>79</v>
      </c>
      <c r="D1562" s="10" t="s">
        <v>36</v>
      </c>
      <c r="E1562" s="16"/>
      <c r="F1562" s="16" t="s">
        <v>382</v>
      </c>
      <c r="G1562" s="13">
        <f>IFERROR(__xludf.DUMMYFUNCTION("if(counta(filter('Previous Rank'!$A$2:$A2766,'Previous Rank'!$B$2:$B2766=B1562,'Previous Rank'!$C$2:$C2766=C1562))=1,filter('Previous Rank'!$A$2:$A2766,'Previous Rank'!$B$2:$B2766=B1562,'Previous Rank'!$C$2:$C2766=C1562),"""")"),1550.0)</f>
        <v>1550</v>
      </c>
      <c r="H1562" s="8">
        <f t="shared" si="1"/>
        <v>-11</v>
      </c>
    </row>
    <row r="1563">
      <c r="A1563" s="10">
        <v>1562.0</v>
      </c>
      <c r="B1563" s="11" t="s">
        <v>1650</v>
      </c>
      <c r="C1563" s="10" t="s">
        <v>79</v>
      </c>
      <c r="D1563" s="10" t="s">
        <v>31</v>
      </c>
      <c r="E1563" s="15"/>
      <c r="F1563" s="15" t="s">
        <v>382</v>
      </c>
      <c r="G1563" s="13">
        <f>IFERROR(__xludf.DUMMYFUNCTION("if(counta(filter('Previous Rank'!$A$2:$A2766,'Previous Rank'!$B$2:$B2766=B1563,'Previous Rank'!$C$2:$C2766=C1563))=1,filter('Previous Rank'!$A$2:$A2766,'Previous Rank'!$B$2:$B2766=B1563,'Previous Rank'!$C$2:$C2766=C1563),"""")"),1551.0)</f>
        <v>1551</v>
      </c>
      <c r="H1563" s="8">
        <f t="shared" si="1"/>
        <v>-11</v>
      </c>
    </row>
    <row r="1564">
      <c r="A1564" s="10">
        <v>1563.0</v>
      </c>
      <c r="B1564" s="11" t="s">
        <v>1651</v>
      </c>
      <c r="C1564" s="10" t="s">
        <v>22</v>
      </c>
      <c r="D1564" s="10" t="s">
        <v>99</v>
      </c>
      <c r="E1564" s="16"/>
      <c r="F1564" s="16" t="s">
        <v>382</v>
      </c>
      <c r="G1564" s="13">
        <f>IFERROR(__xludf.DUMMYFUNCTION("if(counta(filter('Previous Rank'!$A$2:$A2766,'Previous Rank'!$B$2:$B2766=B1564,'Previous Rank'!$C$2:$C2766=C1564))=1,filter('Previous Rank'!$A$2:$A2766,'Previous Rank'!$B$2:$B2766=B1564,'Previous Rank'!$C$2:$C2766=C1564),"""")"),1552.0)</f>
        <v>1552</v>
      </c>
      <c r="H1564" s="8">
        <f t="shared" si="1"/>
        <v>-11</v>
      </c>
    </row>
    <row r="1565">
      <c r="A1565" s="10">
        <v>1564.0</v>
      </c>
      <c r="B1565" s="11" t="s">
        <v>1652</v>
      </c>
      <c r="C1565" s="10" t="s">
        <v>79</v>
      </c>
      <c r="D1565" s="10" t="s">
        <v>52</v>
      </c>
      <c r="E1565" s="15"/>
      <c r="F1565" s="15" t="s">
        <v>382</v>
      </c>
      <c r="G1565" s="13">
        <f>IFERROR(__xludf.DUMMYFUNCTION("if(counta(filter('Previous Rank'!$A$2:$A2766,'Previous Rank'!$B$2:$B2766=B1565,'Previous Rank'!$C$2:$C2766=C1565))=1,filter('Previous Rank'!$A$2:$A2766,'Previous Rank'!$B$2:$B2766=B1565,'Previous Rank'!$C$2:$C2766=C1565),"""")"),1553.0)</f>
        <v>1553</v>
      </c>
      <c r="H1565" s="8">
        <f t="shared" si="1"/>
        <v>-11</v>
      </c>
    </row>
    <row r="1566">
      <c r="A1566" s="10">
        <v>1565.0</v>
      </c>
      <c r="B1566" s="11" t="s">
        <v>1653</v>
      </c>
      <c r="C1566" s="10" t="s">
        <v>79</v>
      </c>
      <c r="D1566" s="10" t="s">
        <v>137</v>
      </c>
      <c r="E1566" s="16"/>
      <c r="F1566" s="16" t="s">
        <v>382</v>
      </c>
      <c r="G1566" s="13">
        <f>IFERROR(__xludf.DUMMYFUNCTION("if(counta(filter('Previous Rank'!$A$2:$A2766,'Previous Rank'!$B$2:$B2766=B1566,'Previous Rank'!$C$2:$C2766=C1566))=1,filter('Previous Rank'!$A$2:$A2766,'Previous Rank'!$B$2:$B2766=B1566,'Previous Rank'!$C$2:$C2766=C1566),"""")"),1554.0)</f>
        <v>1554</v>
      </c>
      <c r="H1566" s="8">
        <f t="shared" si="1"/>
        <v>-11</v>
      </c>
    </row>
    <row r="1567">
      <c r="A1567" s="10">
        <v>1566.0</v>
      </c>
      <c r="B1567" s="11" t="s">
        <v>1654</v>
      </c>
      <c r="C1567" s="10" t="s">
        <v>17</v>
      </c>
      <c r="D1567" s="10" t="s">
        <v>15</v>
      </c>
      <c r="E1567" s="15"/>
      <c r="F1567" s="15" t="s">
        <v>382</v>
      </c>
      <c r="G1567" s="13">
        <f>IFERROR(__xludf.DUMMYFUNCTION("if(counta(filter('Previous Rank'!$A$2:$A2766,'Previous Rank'!$B$2:$B2766=B1567,'Previous Rank'!$C$2:$C2766=C1567))=1,filter('Previous Rank'!$A$2:$A2766,'Previous Rank'!$B$2:$B2766=B1567,'Previous Rank'!$C$2:$C2766=C1567),"""")"),1555.0)</f>
        <v>1555</v>
      </c>
      <c r="H1567" s="8">
        <f t="shared" si="1"/>
        <v>-11</v>
      </c>
    </row>
    <row r="1568">
      <c r="A1568" s="10">
        <v>1567.0</v>
      </c>
      <c r="B1568" s="11" t="s">
        <v>1655</v>
      </c>
      <c r="C1568" s="10" t="s">
        <v>136</v>
      </c>
      <c r="D1568" s="10" t="s">
        <v>23</v>
      </c>
      <c r="E1568" s="16"/>
      <c r="F1568" s="16" t="s">
        <v>382</v>
      </c>
      <c r="G1568" s="13">
        <f>IFERROR(__xludf.DUMMYFUNCTION("if(counta(filter('Previous Rank'!$A$2:$A2766,'Previous Rank'!$B$2:$B2766=B1568,'Previous Rank'!$C$2:$C2766=C1568))=1,filter('Previous Rank'!$A$2:$A2766,'Previous Rank'!$B$2:$B2766=B1568,'Previous Rank'!$C$2:$C2766=C1568),"""")"),1556.0)</f>
        <v>1556</v>
      </c>
      <c r="H1568" s="8">
        <f t="shared" si="1"/>
        <v>-11</v>
      </c>
    </row>
    <row r="1569">
      <c r="A1569" s="10">
        <v>1568.0</v>
      </c>
      <c r="B1569" s="11" t="s">
        <v>1656</v>
      </c>
      <c r="C1569" s="10" t="s">
        <v>79</v>
      </c>
      <c r="D1569" s="10" t="s">
        <v>140</v>
      </c>
      <c r="E1569" s="15"/>
      <c r="F1569" s="15" t="s">
        <v>382</v>
      </c>
      <c r="G1569" s="13">
        <f>IFERROR(__xludf.DUMMYFUNCTION("if(counta(filter('Previous Rank'!$A$2:$A2766,'Previous Rank'!$B$2:$B2766=B1569,'Previous Rank'!$C$2:$C2766=C1569))=1,filter('Previous Rank'!$A$2:$A2766,'Previous Rank'!$B$2:$B2766=B1569,'Previous Rank'!$C$2:$C2766=C1569),"""")"),1557.0)</f>
        <v>1557</v>
      </c>
      <c r="H1569" s="8">
        <f t="shared" si="1"/>
        <v>-11</v>
      </c>
    </row>
    <row r="1570">
      <c r="A1570" s="10">
        <v>1569.0</v>
      </c>
      <c r="B1570" s="11" t="s">
        <v>1657</v>
      </c>
      <c r="C1570" s="10" t="s">
        <v>79</v>
      </c>
      <c r="D1570" s="10" t="s">
        <v>18</v>
      </c>
      <c r="E1570" s="16"/>
      <c r="F1570" s="16" t="s">
        <v>382</v>
      </c>
      <c r="G1570" s="13">
        <f>IFERROR(__xludf.DUMMYFUNCTION("if(counta(filter('Previous Rank'!$A$2:$A2766,'Previous Rank'!$B$2:$B2766=B1570,'Previous Rank'!$C$2:$C2766=C1570))=1,filter('Previous Rank'!$A$2:$A2766,'Previous Rank'!$B$2:$B2766=B1570,'Previous Rank'!$C$2:$C2766=C1570),"""")"),1558.0)</f>
        <v>1558</v>
      </c>
      <c r="H1570" s="8">
        <f t="shared" si="1"/>
        <v>-11</v>
      </c>
    </row>
    <row r="1571">
      <c r="A1571" s="10">
        <v>1570.0</v>
      </c>
      <c r="B1571" s="11" t="s">
        <v>1658</v>
      </c>
      <c r="C1571" s="10" t="s">
        <v>148</v>
      </c>
      <c r="D1571" s="10" t="s">
        <v>95</v>
      </c>
      <c r="E1571" s="15"/>
      <c r="F1571" s="15" t="s">
        <v>382</v>
      </c>
      <c r="G1571" s="13">
        <f>IFERROR(__xludf.DUMMYFUNCTION("if(counta(filter('Previous Rank'!$A$2:$A2766,'Previous Rank'!$B$2:$B2766=B1571,'Previous Rank'!$C$2:$C2766=C1571))=1,filter('Previous Rank'!$A$2:$A2766,'Previous Rank'!$B$2:$B2766=B1571,'Previous Rank'!$C$2:$C2766=C1571),"""")"),1559.0)</f>
        <v>1559</v>
      </c>
      <c r="H1571" s="8">
        <f t="shared" si="1"/>
        <v>-11</v>
      </c>
    </row>
    <row r="1572">
      <c r="A1572" s="10">
        <v>1571.0</v>
      </c>
      <c r="B1572" s="11" t="s">
        <v>1659</v>
      </c>
      <c r="C1572" s="10" t="s">
        <v>79</v>
      </c>
      <c r="D1572" s="10" t="s">
        <v>85</v>
      </c>
      <c r="E1572" s="16"/>
      <c r="F1572" s="16" t="s">
        <v>382</v>
      </c>
      <c r="G1572" s="13">
        <f>IFERROR(__xludf.DUMMYFUNCTION("if(counta(filter('Previous Rank'!$A$2:$A2766,'Previous Rank'!$B$2:$B2766=B1572,'Previous Rank'!$C$2:$C2766=C1572))=1,filter('Previous Rank'!$A$2:$A2766,'Previous Rank'!$B$2:$B2766=B1572,'Previous Rank'!$C$2:$C2766=C1572),"""")"),1560.0)</f>
        <v>1560</v>
      </c>
      <c r="H1572" s="8">
        <f t="shared" si="1"/>
        <v>-11</v>
      </c>
    </row>
    <row r="1573">
      <c r="A1573" s="10">
        <v>1572.0</v>
      </c>
      <c r="B1573" s="11" t="s">
        <v>1660</v>
      </c>
      <c r="C1573" s="10" t="s">
        <v>22</v>
      </c>
      <c r="D1573" s="10" t="s">
        <v>36</v>
      </c>
      <c r="E1573" s="15"/>
      <c r="F1573" s="15" t="s">
        <v>382</v>
      </c>
      <c r="G1573" s="13">
        <f>IFERROR(__xludf.DUMMYFUNCTION("if(counta(filter('Previous Rank'!$A$2:$A2766,'Previous Rank'!$B$2:$B2766=B1573,'Previous Rank'!$C$2:$C2766=C1573))=1,filter('Previous Rank'!$A$2:$A2766,'Previous Rank'!$B$2:$B2766=B1573,'Previous Rank'!$C$2:$C2766=C1573),"""")"),1561.0)</f>
        <v>1561</v>
      </c>
      <c r="H1573" s="8">
        <f t="shared" si="1"/>
        <v>-11</v>
      </c>
    </row>
    <row r="1574">
      <c r="A1574" s="10">
        <v>1573.0</v>
      </c>
      <c r="B1574" s="11" t="s">
        <v>1661</v>
      </c>
      <c r="C1574" s="10" t="s">
        <v>79</v>
      </c>
      <c r="D1574" s="10" t="s">
        <v>18</v>
      </c>
      <c r="E1574" s="16"/>
      <c r="F1574" s="16" t="s">
        <v>382</v>
      </c>
      <c r="G1574" s="13">
        <f>IFERROR(__xludf.DUMMYFUNCTION("if(counta(filter('Previous Rank'!$A$2:$A2766,'Previous Rank'!$B$2:$B2766=B1574,'Previous Rank'!$C$2:$C2766=C1574))=1,filter('Previous Rank'!$A$2:$A2766,'Previous Rank'!$B$2:$B2766=B1574,'Previous Rank'!$C$2:$C2766=C1574),"""")"),1562.0)</f>
        <v>1562</v>
      </c>
      <c r="H1574" s="8">
        <f t="shared" si="1"/>
        <v>-11</v>
      </c>
    </row>
    <row r="1575">
      <c r="A1575" s="10">
        <v>1574.0</v>
      </c>
      <c r="B1575" s="11" t="s">
        <v>1662</v>
      </c>
      <c r="C1575" s="10" t="s">
        <v>22</v>
      </c>
      <c r="D1575" s="10" t="s">
        <v>99</v>
      </c>
      <c r="E1575" s="15"/>
      <c r="F1575" s="15" t="s">
        <v>382</v>
      </c>
      <c r="G1575" s="13">
        <f>IFERROR(__xludf.DUMMYFUNCTION("if(counta(filter('Previous Rank'!$A$2:$A2766,'Previous Rank'!$B$2:$B2766=B1575,'Previous Rank'!$C$2:$C2766=C1575))=1,filter('Previous Rank'!$A$2:$A2766,'Previous Rank'!$B$2:$B2766=B1575,'Previous Rank'!$C$2:$C2766=C1575),"""")"),1563.0)</f>
        <v>1563</v>
      </c>
      <c r="H1575" s="8">
        <f t="shared" si="1"/>
        <v>-11</v>
      </c>
    </row>
    <row r="1576">
      <c r="A1576" s="10">
        <v>1575.0</v>
      </c>
      <c r="B1576" s="11" t="s">
        <v>1663</v>
      </c>
      <c r="C1576" s="10" t="s">
        <v>79</v>
      </c>
      <c r="D1576" s="10" t="s">
        <v>67</v>
      </c>
      <c r="E1576" s="16"/>
      <c r="F1576" s="16" t="s">
        <v>382</v>
      </c>
      <c r="G1576" s="13">
        <f>IFERROR(__xludf.DUMMYFUNCTION("if(counta(filter('Previous Rank'!$A$2:$A2766,'Previous Rank'!$B$2:$B2766=B1576,'Previous Rank'!$C$2:$C2766=C1576))=1,filter('Previous Rank'!$A$2:$A2766,'Previous Rank'!$B$2:$B2766=B1576,'Previous Rank'!$C$2:$C2766=C1576),"""")"),1564.0)</f>
        <v>1564</v>
      </c>
      <c r="H1576" s="8">
        <f t="shared" si="1"/>
        <v>-11</v>
      </c>
    </row>
    <row r="1577">
      <c r="A1577" s="10">
        <v>1576.0</v>
      </c>
      <c r="B1577" s="11" t="s">
        <v>1664</v>
      </c>
      <c r="C1577" s="10" t="s">
        <v>22</v>
      </c>
      <c r="D1577" s="10" t="s">
        <v>95</v>
      </c>
      <c r="E1577" s="15"/>
      <c r="F1577" s="15" t="s">
        <v>382</v>
      </c>
      <c r="G1577" s="13">
        <f>IFERROR(__xludf.DUMMYFUNCTION("if(counta(filter('Previous Rank'!$A$2:$A2766,'Previous Rank'!$B$2:$B2766=B1577,'Previous Rank'!$C$2:$C2766=C1577))=1,filter('Previous Rank'!$A$2:$A2766,'Previous Rank'!$B$2:$B2766=B1577,'Previous Rank'!$C$2:$C2766=C1577),"""")"),1566.0)</f>
        <v>1566</v>
      </c>
      <c r="H1577" s="8">
        <f t="shared" si="1"/>
        <v>-10</v>
      </c>
    </row>
    <row r="1578">
      <c r="A1578" s="10">
        <v>1577.0</v>
      </c>
      <c r="B1578" s="11" t="s">
        <v>1665</v>
      </c>
      <c r="C1578" s="10" t="s">
        <v>79</v>
      </c>
      <c r="D1578" s="10" t="s">
        <v>85</v>
      </c>
      <c r="E1578" s="16"/>
      <c r="F1578" s="16" t="s">
        <v>382</v>
      </c>
      <c r="G1578" s="13">
        <f>IFERROR(__xludf.DUMMYFUNCTION("if(counta(filter('Previous Rank'!$A$2:$A2766,'Previous Rank'!$B$2:$B2766=B1578,'Previous Rank'!$C$2:$C2766=C1578))=1,filter('Previous Rank'!$A$2:$A2766,'Previous Rank'!$B$2:$B2766=B1578,'Previous Rank'!$C$2:$C2766=C1578),"""")"),1567.0)</f>
        <v>1567</v>
      </c>
      <c r="H1578" s="8">
        <f t="shared" si="1"/>
        <v>-10</v>
      </c>
    </row>
    <row r="1579">
      <c r="A1579" s="10">
        <v>1578.0</v>
      </c>
      <c r="B1579" s="11" t="s">
        <v>1666</v>
      </c>
      <c r="C1579" s="10" t="s">
        <v>79</v>
      </c>
      <c r="D1579" s="10" t="s">
        <v>206</v>
      </c>
      <c r="E1579" s="15"/>
      <c r="F1579" s="15" t="s">
        <v>382</v>
      </c>
      <c r="G1579" s="13">
        <f>IFERROR(__xludf.DUMMYFUNCTION("if(counta(filter('Previous Rank'!$A$2:$A2766,'Previous Rank'!$B$2:$B2766=B1579,'Previous Rank'!$C$2:$C2766=C1579))=1,filter('Previous Rank'!$A$2:$A2766,'Previous Rank'!$B$2:$B2766=B1579,'Previous Rank'!$C$2:$C2766=C1579),"""")"),1568.0)</f>
        <v>1568</v>
      </c>
      <c r="H1579" s="8">
        <f t="shared" si="1"/>
        <v>-10</v>
      </c>
    </row>
    <row r="1580">
      <c r="A1580" s="10">
        <v>1579.0</v>
      </c>
      <c r="B1580" s="11" t="s">
        <v>1667</v>
      </c>
      <c r="C1580" s="10" t="s">
        <v>283</v>
      </c>
      <c r="D1580" s="10" t="s">
        <v>9</v>
      </c>
      <c r="E1580" s="16"/>
      <c r="F1580" s="16" t="s">
        <v>382</v>
      </c>
      <c r="G1580" s="13">
        <f>IFERROR(__xludf.DUMMYFUNCTION("if(counta(filter('Previous Rank'!$A$2:$A2766,'Previous Rank'!$B$2:$B2766=B1580,'Previous Rank'!$C$2:$C2766=C1580))=1,filter('Previous Rank'!$A$2:$A2766,'Previous Rank'!$B$2:$B2766=B1580,'Previous Rank'!$C$2:$C2766=C1580),"""")"),1569.0)</f>
        <v>1569</v>
      </c>
      <c r="H1580" s="8">
        <f t="shared" si="1"/>
        <v>-10</v>
      </c>
    </row>
    <row r="1581">
      <c r="A1581" s="10">
        <v>1580.0</v>
      </c>
      <c r="B1581" s="11" t="s">
        <v>1668</v>
      </c>
      <c r="C1581" s="10" t="s">
        <v>22</v>
      </c>
      <c r="D1581" s="10" t="s">
        <v>105</v>
      </c>
      <c r="E1581" s="15"/>
      <c r="F1581" s="15" t="s">
        <v>382</v>
      </c>
      <c r="G1581" s="13">
        <f>IFERROR(__xludf.DUMMYFUNCTION("if(counta(filter('Previous Rank'!$A$2:$A2766,'Previous Rank'!$B$2:$B2766=B1581,'Previous Rank'!$C$2:$C2766=C1581))=1,filter('Previous Rank'!$A$2:$A2766,'Previous Rank'!$B$2:$B2766=B1581,'Previous Rank'!$C$2:$C2766=C1581),"""")"),1570.0)</f>
        <v>1570</v>
      </c>
      <c r="H1581" s="8">
        <f t="shared" si="1"/>
        <v>-10</v>
      </c>
    </row>
    <row r="1582">
      <c r="A1582" s="10">
        <v>1581.0</v>
      </c>
      <c r="B1582" s="11" t="s">
        <v>1669</v>
      </c>
      <c r="C1582" s="10" t="s">
        <v>220</v>
      </c>
      <c r="D1582" s="10" t="s">
        <v>67</v>
      </c>
      <c r="E1582" s="16">
        <v>243.6</v>
      </c>
      <c r="F1582" s="16">
        <v>1.2</v>
      </c>
      <c r="G1582" s="13">
        <f>IFERROR(__xludf.DUMMYFUNCTION("if(counta(filter('Previous Rank'!$A$2:$A2766,'Previous Rank'!$B$2:$B2766=B1582,'Previous Rank'!$C$2:$C2766=C1582))=1,filter('Previous Rank'!$A$2:$A2766,'Previous Rank'!$B$2:$B2766=B1582,'Previous Rank'!$C$2:$C2766=C1582),"""")"),1571.0)</f>
        <v>1571</v>
      </c>
      <c r="H1582" s="8">
        <f t="shared" si="1"/>
        <v>-10</v>
      </c>
    </row>
    <row r="1583">
      <c r="A1583" s="10">
        <v>1582.0</v>
      </c>
      <c r="B1583" s="11" t="s">
        <v>1670</v>
      </c>
      <c r="C1583" s="10" t="s">
        <v>22</v>
      </c>
      <c r="D1583" s="10" t="s">
        <v>206</v>
      </c>
      <c r="E1583" s="15"/>
      <c r="F1583" s="15" t="s">
        <v>382</v>
      </c>
      <c r="G1583" s="13">
        <f>IFERROR(__xludf.DUMMYFUNCTION("if(counta(filter('Previous Rank'!$A$2:$A2766,'Previous Rank'!$B$2:$B2766=B1583,'Previous Rank'!$C$2:$C2766=C1583))=1,filter('Previous Rank'!$A$2:$A2766,'Previous Rank'!$B$2:$B2766=B1583,'Previous Rank'!$C$2:$C2766=C1583),"""")"),1572.0)</f>
        <v>1572</v>
      </c>
      <c r="H1583" s="8">
        <f t="shared" si="1"/>
        <v>-10</v>
      </c>
    </row>
    <row r="1584">
      <c r="A1584" s="10">
        <v>1583.0</v>
      </c>
      <c r="B1584" s="11" t="s">
        <v>1671</v>
      </c>
      <c r="C1584" s="10" t="s">
        <v>22</v>
      </c>
      <c r="D1584" s="10" t="s">
        <v>73</v>
      </c>
      <c r="E1584" s="16"/>
      <c r="F1584" s="16" t="s">
        <v>382</v>
      </c>
      <c r="G1584" s="13">
        <f>IFERROR(__xludf.DUMMYFUNCTION("if(counta(filter('Previous Rank'!$A$2:$A2766,'Previous Rank'!$B$2:$B2766=B1584,'Previous Rank'!$C$2:$C2766=C1584))=1,filter('Previous Rank'!$A$2:$A2766,'Previous Rank'!$B$2:$B2766=B1584,'Previous Rank'!$C$2:$C2766=C1584),"""")"),1573.0)</f>
        <v>1573</v>
      </c>
      <c r="H1584" s="8">
        <f t="shared" si="1"/>
        <v>-10</v>
      </c>
    </row>
    <row r="1585">
      <c r="A1585" s="10">
        <v>1584.0</v>
      </c>
      <c r="B1585" s="11" t="s">
        <v>1672</v>
      </c>
      <c r="C1585" s="10" t="s">
        <v>87</v>
      </c>
      <c r="D1585" s="10" t="s">
        <v>129</v>
      </c>
      <c r="E1585" s="15"/>
      <c r="F1585" s="15" t="s">
        <v>382</v>
      </c>
      <c r="G1585" s="13">
        <f>IFERROR(__xludf.DUMMYFUNCTION("if(counta(filter('Previous Rank'!$A$2:$A2766,'Previous Rank'!$B$2:$B2766=B1585,'Previous Rank'!$C$2:$C2766=C1585))=1,filter('Previous Rank'!$A$2:$A2766,'Previous Rank'!$B$2:$B2766=B1585,'Previous Rank'!$C$2:$C2766=C1585),"""")"),1574.0)</f>
        <v>1574</v>
      </c>
      <c r="H1585" s="8">
        <f t="shared" si="1"/>
        <v>-10</v>
      </c>
    </row>
    <row r="1586">
      <c r="A1586" s="10">
        <v>1585.0</v>
      </c>
      <c r="B1586" s="11" t="s">
        <v>1673</v>
      </c>
      <c r="C1586" s="10" t="s">
        <v>79</v>
      </c>
      <c r="D1586" s="10" t="s">
        <v>206</v>
      </c>
      <c r="E1586" s="16"/>
      <c r="F1586" s="16" t="s">
        <v>382</v>
      </c>
      <c r="G1586" s="13">
        <f>IFERROR(__xludf.DUMMYFUNCTION("if(counta(filter('Previous Rank'!$A$2:$A2766,'Previous Rank'!$B$2:$B2766=B1586,'Previous Rank'!$C$2:$C2766=C1586))=1,filter('Previous Rank'!$A$2:$A2766,'Previous Rank'!$B$2:$B2766=B1586,'Previous Rank'!$C$2:$C2766=C1586),"""")"),1575.0)</f>
        <v>1575</v>
      </c>
      <c r="H1586" s="8">
        <f t="shared" si="1"/>
        <v>-10</v>
      </c>
    </row>
    <row r="1587">
      <c r="A1587" s="10">
        <v>1586.0</v>
      </c>
      <c r="B1587" s="11" t="s">
        <v>1674</v>
      </c>
      <c r="C1587" s="10" t="s">
        <v>79</v>
      </c>
      <c r="D1587" s="10" t="s">
        <v>23</v>
      </c>
      <c r="E1587" s="15"/>
      <c r="F1587" s="15" t="s">
        <v>382</v>
      </c>
      <c r="G1587" s="13">
        <f>IFERROR(__xludf.DUMMYFUNCTION("if(counta(filter('Previous Rank'!$A$2:$A2766,'Previous Rank'!$B$2:$B2766=B1587,'Previous Rank'!$C$2:$C2766=C1587))=1,filter('Previous Rank'!$A$2:$A2766,'Previous Rank'!$B$2:$B2766=B1587,'Previous Rank'!$C$2:$C2766=C1587),"""")"),1576.0)</f>
        <v>1576</v>
      </c>
      <c r="H1587" s="8">
        <f t="shared" si="1"/>
        <v>-10</v>
      </c>
    </row>
    <row r="1588">
      <c r="A1588" s="10">
        <v>1587.0</v>
      </c>
      <c r="B1588" s="11" t="s">
        <v>1675</v>
      </c>
      <c r="C1588" s="10" t="s">
        <v>79</v>
      </c>
      <c r="D1588" s="10" t="s">
        <v>73</v>
      </c>
      <c r="E1588" s="16"/>
      <c r="F1588" s="16" t="s">
        <v>382</v>
      </c>
      <c r="G1588" s="13">
        <f>IFERROR(__xludf.DUMMYFUNCTION("if(counta(filter('Previous Rank'!$A$2:$A2766,'Previous Rank'!$B$2:$B2766=B1588,'Previous Rank'!$C$2:$C2766=C1588))=1,filter('Previous Rank'!$A$2:$A2766,'Previous Rank'!$B$2:$B2766=B1588,'Previous Rank'!$C$2:$C2766=C1588),"""")"),1577.0)</f>
        <v>1577</v>
      </c>
      <c r="H1588" s="8">
        <f t="shared" si="1"/>
        <v>-10</v>
      </c>
    </row>
    <row r="1589">
      <c r="A1589" s="10">
        <v>1588.0</v>
      </c>
      <c r="B1589" s="11" t="s">
        <v>1676</v>
      </c>
      <c r="C1589" s="10" t="s">
        <v>22</v>
      </c>
      <c r="D1589" s="10" t="s">
        <v>95</v>
      </c>
      <c r="E1589" s="15"/>
      <c r="F1589" s="15" t="s">
        <v>382</v>
      </c>
      <c r="G1589" s="13">
        <f>IFERROR(__xludf.DUMMYFUNCTION("if(counta(filter('Previous Rank'!$A$2:$A2766,'Previous Rank'!$B$2:$B2766=B1589,'Previous Rank'!$C$2:$C2766=C1589))=1,filter('Previous Rank'!$A$2:$A2766,'Previous Rank'!$B$2:$B2766=B1589,'Previous Rank'!$C$2:$C2766=C1589),"""")"),1579.0)</f>
        <v>1579</v>
      </c>
      <c r="H1589" s="8">
        <f t="shared" si="1"/>
        <v>-9</v>
      </c>
    </row>
    <row r="1590">
      <c r="A1590" s="10">
        <v>1589.0</v>
      </c>
      <c r="B1590" s="11" t="s">
        <v>1677</v>
      </c>
      <c r="C1590" s="10" t="s">
        <v>262</v>
      </c>
      <c r="D1590" s="10" t="s">
        <v>9</v>
      </c>
      <c r="E1590" s="16"/>
      <c r="F1590" s="16" t="s">
        <v>382</v>
      </c>
      <c r="G1590" s="13">
        <f>IFERROR(__xludf.DUMMYFUNCTION("if(counta(filter('Previous Rank'!$A$2:$A2766,'Previous Rank'!$B$2:$B2766=B1590,'Previous Rank'!$C$2:$C2766=C1590))=1,filter('Previous Rank'!$A$2:$A2766,'Previous Rank'!$B$2:$B2766=B1590,'Previous Rank'!$C$2:$C2766=C1590),"""")"),1580.0)</f>
        <v>1580</v>
      </c>
      <c r="H1590" s="8">
        <f t="shared" si="1"/>
        <v>-9</v>
      </c>
    </row>
    <row r="1591">
      <c r="A1591" s="10">
        <v>1590.0</v>
      </c>
      <c r="B1591" s="11" t="s">
        <v>1678</v>
      </c>
      <c r="C1591" s="10" t="s">
        <v>22</v>
      </c>
      <c r="D1591" s="10" t="s">
        <v>18</v>
      </c>
      <c r="E1591" s="15"/>
      <c r="F1591" s="15" t="s">
        <v>382</v>
      </c>
      <c r="G1591" s="13">
        <f>IFERROR(__xludf.DUMMYFUNCTION("if(counta(filter('Previous Rank'!$A$2:$A2766,'Previous Rank'!$B$2:$B2766=B1591,'Previous Rank'!$C$2:$C2766=C1591))=1,filter('Previous Rank'!$A$2:$A2766,'Previous Rank'!$B$2:$B2766=B1591,'Previous Rank'!$C$2:$C2766=C1591),"""")"),1581.0)</f>
        <v>1581</v>
      </c>
      <c r="H1591" s="8">
        <f t="shared" si="1"/>
        <v>-9</v>
      </c>
    </row>
    <row r="1592">
      <c r="A1592" s="10">
        <v>1591.0</v>
      </c>
      <c r="B1592" s="11" t="s">
        <v>1679</v>
      </c>
      <c r="C1592" s="10" t="s">
        <v>22</v>
      </c>
      <c r="D1592" s="10" t="s">
        <v>49</v>
      </c>
      <c r="E1592" s="16"/>
      <c r="F1592" s="16" t="s">
        <v>382</v>
      </c>
      <c r="G1592" s="13">
        <f>IFERROR(__xludf.DUMMYFUNCTION("if(counta(filter('Previous Rank'!$A$2:$A2766,'Previous Rank'!$B$2:$B2766=B1592,'Previous Rank'!$C$2:$C2766=C1592))=1,filter('Previous Rank'!$A$2:$A2766,'Previous Rank'!$B$2:$B2766=B1592,'Previous Rank'!$C$2:$C2766=C1592),"""")"),1582.0)</f>
        <v>1582</v>
      </c>
      <c r="H1592" s="8">
        <f t="shared" si="1"/>
        <v>-9</v>
      </c>
    </row>
    <row r="1593">
      <c r="A1593" s="10">
        <v>1592.0</v>
      </c>
      <c r="B1593" s="11" t="s">
        <v>1680</v>
      </c>
      <c r="C1593" s="10" t="s">
        <v>220</v>
      </c>
      <c r="D1593" s="10" t="s">
        <v>122</v>
      </c>
      <c r="E1593" s="15"/>
      <c r="F1593" s="15" t="s">
        <v>382</v>
      </c>
      <c r="G1593" s="13">
        <f>IFERROR(__xludf.DUMMYFUNCTION("if(counta(filter('Previous Rank'!$A$2:$A2766,'Previous Rank'!$B$2:$B2766=B1593,'Previous Rank'!$C$2:$C2766=C1593))=1,filter('Previous Rank'!$A$2:$A2766,'Previous Rank'!$B$2:$B2766=B1593,'Previous Rank'!$C$2:$C2766=C1593),"""")"),1583.0)</f>
        <v>1583</v>
      </c>
      <c r="H1593" s="8">
        <f t="shared" si="1"/>
        <v>-9</v>
      </c>
    </row>
    <row r="1594">
      <c r="A1594" s="10">
        <v>1593.0</v>
      </c>
      <c r="B1594" s="11" t="s">
        <v>1681</v>
      </c>
      <c r="C1594" s="10" t="s">
        <v>22</v>
      </c>
      <c r="D1594" s="10" t="s">
        <v>34</v>
      </c>
      <c r="E1594" s="16"/>
      <c r="F1594" s="16" t="s">
        <v>382</v>
      </c>
      <c r="G1594" s="13">
        <f>IFERROR(__xludf.DUMMYFUNCTION("if(counta(filter('Previous Rank'!$A$2:$A2766,'Previous Rank'!$B$2:$B2766=B1594,'Previous Rank'!$C$2:$C2766=C1594))=1,filter('Previous Rank'!$A$2:$A2766,'Previous Rank'!$B$2:$B2766=B1594,'Previous Rank'!$C$2:$C2766=C1594),"""")"),1584.0)</f>
        <v>1584</v>
      </c>
      <c r="H1594" s="8">
        <f t="shared" si="1"/>
        <v>-9</v>
      </c>
    </row>
    <row r="1595">
      <c r="A1595" s="10">
        <v>1594.0</v>
      </c>
      <c r="B1595" s="11" t="s">
        <v>1682</v>
      </c>
      <c r="C1595" s="10" t="s">
        <v>22</v>
      </c>
      <c r="D1595" s="10" t="s">
        <v>105</v>
      </c>
      <c r="E1595" s="15"/>
      <c r="F1595" s="15" t="s">
        <v>382</v>
      </c>
      <c r="G1595" s="13">
        <f>IFERROR(__xludf.DUMMYFUNCTION("if(counta(filter('Previous Rank'!$A$2:$A2766,'Previous Rank'!$B$2:$B2766=B1595,'Previous Rank'!$C$2:$C2766=C1595))=1,filter('Previous Rank'!$A$2:$A2766,'Previous Rank'!$B$2:$B2766=B1595,'Previous Rank'!$C$2:$C2766=C1595),"""")"),1585.0)</f>
        <v>1585</v>
      </c>
      <c r="H1595" s="8">
        <f t="shared" si="1"/>
        <v>-9</v>
      </c>
    </row>
    <row r="1596">
      <c r="A1596" s="10">
        <v>1595.0</v>
      </c>
      <c r="B1596" s="11" t="s">
        <v>1683</v>
      </c>
      <c r="C1596" s="10" t="s">
        <v>79</v>
      </c>
      <c r="D1596" s="10" t="s">
        <v>140</v>
      </c>
      <c r="E1596" s="16"/>
      <c r="F1596" s="16" t="s">
        <v>382</v>
      </c>
      <c r="G1596" s="13">
        <f>IFERROR(__xludf.DUMMYFUNCTION("if(counta(filter('Previous Rank'!$A$2:$A2766,'Previous Rank'!$B$2:$B2766=B1596,'Previous Rank'!$C$2:$C2766=C1596))=1,filter('Previous Rank'!$A$2:$A2766,'Previous Rank'!$B$2:$B2766=B1596,'Previous Rank'!$C$2:$C2766=C1596),"""")"),1586.0)</f>
        <v>1586</v>
      </c>
      <c r="H1596" s="8">
        <f t="shared" si="1"/>
        <v>-9</v>
      </c>
    </row>
    <row r="1597">
      <c r="A1597" s="10">
        <v>1596.0</v>
      </c>
      <c r="B1597" s="11" t="s">
        <v>1684</v>
      </c>
      <c r="C1597" s="10" t="s">
        <v>22</v>
      </c>
      <c r="D1597" s="10" t="s">
        <v>137</v>
      </c>
      <c r="E1597" s="15"/>
      <c r="F1597" s="15" t="s">
        <v>382</v>
      </c>
      <c r="G1597" s="13">
        <f>IFERROR(__xludf.DUMMYFUNCTION("if(counta(filter('Previous Rank'!$A$2:$A2766,'Previous Rank'!$B$2:$B2766=B1597,'Previous Rank'!$C$2:$C2766=C1597))=1,filter('Previous Rank'!$A$2:$A2766,'Previous Rank'!$B$2:$B2766=B1597,'Previous Rank'!$C$2:$C2766=C1597),"""")"),1587.0)</f>
        <v>1587</v>
      </c>
      <c r="H1597" s="8">
        <f t="shared" si="1"/>
        <v>-9</v>
      </c>
    </row>
    <row r="1598">
      <c r="A1598" s="10">
        <v>1597.0</v>
      </c>
      <c r="B1598" s="11" t="s">
        <v>1685</v>
      </c>
      <c r="C1598" s="10" t="s">
        <v>22</v>
      </c>
      <c r="D1598" s="10" t="s">
        <v>120</v>
      </c>
      <c r="E1598" s="16"/>
      <c r="F1598" s="16" t="s">
        <v>382</v>
      </c>
      <c r="G1598" s="13">
        <f>IFERROR(__xludf.DUMMYFUNCTION("if(counta(filter('Previous Rank'!$A$2:$A2766,'Previous Rank'!$B$2:$B2766=B1598,'Previous Rank'!$C$2:$C2766=C1598))=1,filter('Previous Rank'!$A$2:$A2766,'Previous Rank'!$B$2:$B2766=B1598,'Previous Rank'!$C$2:$C2766=C1598),"""")"),1588.0)</f>
        <v>1588</v>
      </c>
      <c r="H1598" s="8">
        <f t="shared" si="1"/>
        <v>-9</v>
      </c>
    </row>
    <row r="1599">
      <c r="A1599" s="10">
        <v>1598.0</v>
      </c>
      <c r="B1599" s="11" t="s">
        <v>1686</v>
      </c>
      <c r="C1599" s="10" t="s">
        <v>22</v>
      </c>
      <c r="D1599" s="10" t="s">
        <v>34</v>
      </c>
      <c r="E1599" s="15"/>
      <c r="F1599" s="15" t="s">
        <v>382</v>
      </c>
      <c r="G1599" s="13">
        <f>IFERROR(__xludf.DUMMYFUNCTION("if(counta(filter('Previous Rank'!$A$2:$A2766,'Previous Rank'!$B$2:$B2766=B1599,'Previous Rank'!$C$2:$C2766=C1599))=1,filter('Previous Rank'!$A$2:$A2766,'Previous Rank'!$B$2:$B2766=B1599,'Previous Rank'!$C$2:$C2766=C1599),"""")"),1589.0)</f>
        <v>1589</v>
      </c>
      <c r="H1599" s="8">
        <f t="shared" si="1"/>
        <v>-9</v>
      </c>
    </row>
    <row r="1600">
      <c r="A1600" s="10">
        <v>1599.0</v>
      </c>
      <c r="B1600" s="11" t="s">
        <v>1687</v>
      </c>
      <c r="C1600" s="10" t="s">
        <v>79</v>
      </c>
      <c r="D1600" s="10" t="s">
        <v>9</v>
      </c>
      <c r="E1600" s="16"/>
      <c r="F1600" s="16" t="s">
        <v>382</v>
      </c>
      <c r="G1600" s="13">
        <f>IFERROR(__xludf.DUMMYFUNCTION("if(counta(filter('Previous Rank'!$A$2:$A2766,'Previous Rank'!$B$2:$B2766=B1600,'Previous Rank'!$C$2:$C2766=C1600))=1,filter('Previous Rank'!$A$2:$A2766,'Previous Rank'!$B$2:$B2766=B1600,'Previous Rank'!$C$2:$C2766=C1600),"""")"),1590.0)</f>
        <v>1590</v>
      </c>
      <c r="H1600" s="8">
        <f t="shared" si="1"/>
        <v>-9</v>
      </c>
    </row>
    <row r="1601">
      <c r="A1601" s="10">
        <v>1600.0</v>
      </c>
      <c r="B1601" s="11" t="s">
        <v>1688</v>
      </c>
      <c r="C1601" s="10" t="s">
        <v>220</v>
      </c>
      <c r="D1601" s="10" t="s">
        <v>99</v>
      </c>
      <c r="E1601" s="15"/>
      <c r="F1601" s="15" t="s">
        <v>382</v>
      </c>
      <c r="G1601" s="13">
        <f>IFERROR(__xludf.DUMMYFUNCTION("if(counta(filter('Previous Rank'!$A$2:$A2766,'Previous Rank'!$B$2:$B2766=B1601,'Previous Rank'!$C$2:$C2766=C1601))=1,filter('Previous Rank'!$A$2:$A2766,'Previous Rank'!$B$2:$B2766=B1601,'Previous Rank'!$C$2:$C2766=C1601),"""")"),1591.0)</f>
        <v>1591</v>
      </c>
      <c r="H1601" s="8">
        <f t="shared" si="1"/>
        <v>-9</v>
      </c>
    </row>
    <row r="1602">
      <c r="A1602" s="10">
        <v>1601.0</v>
      </c>
      <c r="B1602" s="11" t="s">
        <v>1689</v>
      </c>
      <c r="C1602" s="10" t="s">
        <v>1690</v>
      </c>
      <c r="D1602" s="10" t="s">
        <v>25</v>
      </c>
      <c r="E1602" s="16"/>
      <c r="F1602" s="16" t="s">
        <v>382</v>
      </c>
      <c r="G1602" s="13">
        <f>IFERROR(__xludf.DUMMYFUNCTION("if(counta(filter('Previous Rank'!$A$2:$A2766,'Previous Rank'!$B$2:$B2766=B1602,'Previous Rank'!$C$2:$C2766=C1602))=1,filter('Previous Rank'!$A$2:$A2766,'Previous Rank'!$B$2:$B2766=B1602,'Previous Rank'!$C$2:$C2766=C1602),"""")"),1592.0)</f>
        <v>1592</v>
      </c>
      <c r="H1602" s="8">
        <f t="shared" si="1"/>
        <v>-9</v>
      </c>
    </row>
    <row r="1603">
      <c r="A1603" s="10">
        <v>1602.0</v>
      </c>
      <c r="B1603" s="11" t="s">
        <v>1691</v>
      </c>
      <c r="C1603" s="10" t="s">
        <v>11</v>
      </c>
      <c r="D1603" s="10" t="s">
        <v>18</v>
      </c>
      <c r="E1603" s="15"/>
      <c r="F1603" s="15" t="s">
        <v>382</v>
      </c>
      <c r="G1603" s="13">
        <f>IFERROR(__xludf.DUMMYFUNCTION("if(counta(filter('Previous Rank'!$A$2:$A2766,'Previous Rank'!$B$2:$B2766=B1603,'Previous Rank'!$C$2:$C2766=C1603))=1,filter('Previous Rank'!$A$2:$A2766,'Previous Rank'!$B$2:$B2766=B1603,'Previous Rank'!$C$2:$C2766=C1603),"""")"),1593.0)</f>
        <v>1593</v>
      </c>
      <c r="H1603" s="8">
        <f t="shared" si="1"/>
        <v>-9</v>
      </c>
    </row>
    <row r="1604">
      <c r="A1604" s="10">
        <v>1603.0</v>
      </c>
      <c r="B1604" s="11" t="s">
        <v>1692</v>
      </c>
      <c r="C1604" s="10" t="s">
        <v>79</v>
      </c>
      <c r="D1604" s="10" t="s">
        <v>12</v>
      </c>
      <c r="E1604" s="16"/>
      <c r="F1604" s="16" t="s">
        <v>382</v>
      </c>
      <c r="G1604" s="13">
        <f>IFERROR(__xludf.DUMMYFUNCTION("if(counta(filter('Previous Rank'!$A$2:$A2766,'Previous Rank'!$B$2:$B2766=B1604,'Previous Rank'!$C$2:$C2766=C1604))=1,filter('Previous Rank'!$A$2:$A2766,'Previous Rank'!$B$2:$B2766=B1604,'Previous Rank'!$C$2:$C2766=C1604),"""")"),1594.0)</f>
        <v>1594</v>
      </c>
      <c r="H1604" s="8">
        <f t="shared" si="1"/>
        <v>-9</v>
      </c>
    </row>
    <row r="1605">
      <c r="A1605" s="10">
        <v>1604.0</v>
      </c>
      <c r="B1605" s="11" t="s">
        <v>1693</v>
      </c>
      <c r="C1605" s="10" t="s">
        <v>79</v>
      </c>
      <c r="D1605" s="10" t="s">
        <v>49</v>
      </c>
      <c r="E1605" s="15"/>
      <c r="F1605" s="15" t="s">
        <v>382</v>
      </c>
      <c r="G1605" s="13">
        <f>IFERROR(__xludf.DUMMYFUNCTION("if(counta(filter('Previous Rank'!$A$2:$A2766,'Previous Rank'!$B$2:$B2766=B1605,'Previous Rank'!$C$2:$C2766=C1605))=1,filter('Previous Rank'!$A$2:$A2766,'Previous Rank'!$B$2:$B2766=B1605,'Previous Rank'!$C$2:$C2766=C1605),"""")"),1596.0)</f>
        <v>1596</v>
      </c>
      <c r="H1605" s="8">
        <f t="shared" si="1"/>
        <v>-8</v>
      </c>
    </row>
    <row r="1606">
      <c r="A1606" s="10">
        <v>1605.0</v>
      </c>
      <c r="B1606" s="11" t="s">
        <v>1694</v>
      </c>
      <c r="C1606" s="10" t="s">
        <v>79</v>
      </c>
      <c r="D1606" s="10" t="s">
        <v>206</v>
      </c>
      <c r="E1606" s="16"/>
      <c r="F1606" s="16" t="s">
        <v>382</v>
      </c>
      <c r="G1606" s="13">
        <f>IFERROR(__xludf.DUMMYFUNCTION("if(counta(filter('Previous Rank'!$A$2:$A2766,'Previous Rank'!$B$2:$B2766=B1606,'Previous Rank'!$C$2:$C2766=C1606))=1,filter('Previous Rank'!$A$2:$A2766,'Previous Rank'!$B$2:$B2766=B1606,'Previous Rank'!$C$2:$C2766=C1606),"""")"),1597.0)</f>
        <v>1597</v>
      </c>
      <c r="H1606" s="8">
        <f t="shared" si="1"/>
        <v>-8</v>
      </c>
    </row>
    <row r="1607">
      <c r="A1607" s="10">
        <v>1606.0</v>
      </c>
      <c r="B1607" s="11" t="s">
        <v>1695</v>
      </c>
      <c r="C1607" s="10" t="s">
        <v>79</v>
      </c>
      <c r="D1607" s="10" t="s">
        <v>129</v>
      </c>
      <c r="E1607" s="15"/>
      <c r="F1607" s="15" t="s">
        <v>382</v>
      </c>
      <c r="G1607" s="13">
        <f>IFERROR(__xludf.DUMMYFUNCTION("if(counta(filter('Previous Rank'!$A$2:$A2766,'Previous Rank'!$B$2:$B2766=B1607,'Previous Rank'!$C$2:$C2766=C1607))=1,filter('Previous Rank'!$A$2:$A2766,'Previous Rank'!$B$2:$B2766=B1607,'Previous Rank'!$C$2:$C2766=C1607),"""")"),1598.0)</f>
        <v>1598</v>
      </c>
      <c r="H1607" s="8">
        <f t="shared" si="1"/>
        <v>-8</v>
      </c>
    </row>
    <row r="1608">
      <c r="A1608" s="10">
        <v>1607.0</v>
      </c>
      <c r="B1608" s="11" t="s">
        <v>1696</v>
      </c>
      <c r="C1608" s="10" t="s">
        <v>79</v>
      </c>
      <c r="D1608" s="10" t="s">
        <v>18</v>
      </c>
      <c r="E1608" s="16"/>
      <c r="F1608" s="16" t="s">
        <v>382</v>
      </c>
      <c r="G1608" s="13">
        <f>IFERROR(__xludf.DUMMYFUNCTION("if(counta(filter('Previous Rank'!$A$2:$A2766,'Previous Rank'!$B$2:$B2766=B1608,'Previous Rank'!$C$2:$C2766=C1608))=1,filter('Previous Rank'!$A$2:$A2766,'Previous Rank'!$B$2:$B2766=B1608,'Previous Rank'!$C$2:$C2766=C1608),"""")"),1599.0)</f>
        <v>1599</v>
      </c>
      <c r="H1608" s="8">
        <f t="shared" si="1"/>
        <v>-8</v>
      </c>
    </row>
    <row r="1609">
      <c r="A1609" s="10">
        <v>1608.0</v>
      </c>
      <c r="B1609" s="11" t="s">
        <v>1697</v>
      </c>
      <c r="C1609" s="10" t="s">
        <v>79</v>
      </c>
      <c r="D1609" s="10" t="s">
        <v>25</v>
      </c>
      <c r="E1609" s="15"/>
      <c r="F1609" s="15" t="s">
        <v>382</v>
      </c>
      <c r="G1609" s="13">
        <f>IFERROR(__xludf.DUMMYFUNCTION("if(counta(filter('Previous Rank'!$A$2:$A2766,'Previous Rank'!$B$2:$B2766=B1609,'Previous Rank'!$C$2:$C2766=C1609))=1,filter('Previous Rank'!$A$2:$A2766,'Previous Rank'!$B$2:$B2766=B1609,'Previous Rank'!$C$2:$C2766=C1609),"""")"),1600.0)</f>
        <v>1600</v>
      </c>
      <c r="H1609" s="8">
        <f t="shared" si="1"/>
        <v>-8</v>
      </c>
    </row>
    <row r="1610">
      <c r="A1610" s="10">
        <v>1609.0</v>
      </c>
      <c r="B1610" s="11" t="s">
        <v>1698</v>
      </c>
      <c r="C1610" s="10" t="s">
        <v>79</v>
      </c>
      <c r="D1610" s="10" t="s">
        <v>12</v>
      </c>
      <c r="E1610" s="16"/>
      <c r="F1610" s="16" t="s">
        <v>382</v>
      </c>
      <c r="G1610" s="13">
        <f>IFERROR(__xludf.DUMMYFUNCTION("if(counta(filter('Previous Rank'!$A$2:$A2766,'Previous Rank'!$B$2:$B2766=B1610,'Previous Rank'!$C$2:$C2766=C1610))=1,filter('Previous Rank'!$A$2:$A2766,'Previous Rank'!$B$2:$B2766=B1610,'Previous Rank'!$C$2:$C2766=C1610),"""")"),1601.0)</f>
        <v>1601</v>
      </c>
      <c r="H1610" s="8">
        <f t="shared" si="1"/>
        <v>-8</v>
      </c>
    </row>
    <row r="1611">
      <c r="A1611" s="10">
        <v>1610.0</v>
      </c>
      <c r="B1611" s="11" t="s">
        <v>1699</v>
      </c>
      <c r="C1611" s="10" t="s">
        <v>20</v>
      </c>
      <c r="D1611" s="10" t="s">
        <v>90</v>
      </c>
      <c r="E1611" s="15"/>
      <c r="F1611" s="15" t="s">
        <v>382</v>
      </c>
      <c r="G1611" s="13">
        <f>IFERROR(__xludf.DUMMYFUNCTION("if(counta(filter('Previous Rank'!$A$2:$A2766,'Previous Rank'!$B$2:$B2766=B1611,'Previous Rank'!$C$2:$C2766=C1611))=1,filter('Previous Rank'!$A$2:$A2766,'Previous Rank'!$B$2:$B2766=B1611,'Previous Rank'!$C$2:$C2766=C1611),"""")"),1602.0)</f>
        <v>1602</v>
      </c>
      <c r="H1611" s="8">
        <f t="shared" si="1"/>
        <v>-8</v>
      </c>
    </row>
    <row r="1612">
      <c r="A1612" s="10">
        <v>1611.0</v>
      </c>
      <c r="B1612" s="11" t="s">
        <v>1700</v>
      </c>
      <c r="C1612" s="10" t="s">
        <v>283</v>
      </c>
      <c r="D1612" s="10" t="s">
        <v>73</v>
      </c>
      <c r="E1612" s="16"/>
      <c r="F1612" s="16" t="s">
        <v>382</v>
      </c>
      <c r="G1612" s="13">
        <f>IFERROR(__xludf.DUMMYFUNCTION("if(counta(filter('Previous Rank'!$A$2:$A2766,'Previous Rank'!$B$2:$B2766=B1612,'Previous Rank'!$C$2:$C2766=C1612))=1,filter('Previous Rank'!$A$2:$A2766,'Previous Rank'!$B$2:$B2766=B1612,'Previous Rank'!$C$2:$C2766=C1612),"""")"),1603.0)</f>
        <v>1603</v>
      </c>
      <c r="H1612" s="8">
        <f t="shared" si="1"/>
        <v>-8</v>
      </c>
    </row>
    <row r="1613">
      <c r="A1613" s="10">
        <v>1612.0</v>
      </c>
      <c r="B1613" s="11" t="s">
        <v>1701</v>
      </c>
      <c r="C1613" s="10" t="s">
        <v>79</v>
      </c>
      <c r="D1613" s="10" t="s">
        <v>31</v>
      </c>
      <c r="E1613" s="15"/>
      <c r="F1613" s="15" t="s">
        <v>382</v>
      </c>
      <c r="G1613" s="13">
        <f>IFERROR(__xludf.DUMMYFUNCTION("if(counta(filter('Previous Rank'!$A$2:$A2766,'Previous Rank'!$B$2:$B2766=B1613,'Previous Rank'!$C$2:$C2766=C1613))=1,filter('Previous Rank'!$A$2:$A2766,'Previous Rank'!$B$2:$B2766=B1613,'Previous Rank'!$C$2:$C2766=C1613),"""")"),1604.0)</f>
        <v>1604</v>
      </c>
      <c r="H1613" s="8">
        <f t="shared" si="1"/>
        <v>-8</v>
      </c>
    </row>
    <row r="1614">
      <c r="A1614" s="10">
        <v>1613.0</v>
      </c>
      <c r="B1614" s="11" t="s">
        <v>1702</v>
      </c>
      <c r="C1614" s="10" t="s">
        <v>220</v>
      </c>
      <c r="D1614" s="10" t="s">
        <v>15</v>
      </c>
      <c r="E1614" s="16"/>
      <c r="F1614" s="16" t="s">
        <v>382</v>
      </c>
      <c r="G1614" s="13">
        <f>IFERROR(__xludf.DUMMYFUNCTION("if(counta(filter('Previous Rank'!$A$2:$A2766,'Previous Rank'!$B$2:$B2766=B1614,'Previous Rank'!$C$2:$C2766=C1614))=1,filter('Previous Rank'!$A$2:$A2766,'Previous Rank'!$B$2:$B2766=B1614,'Previous Rank'!$C$2:$C2766=C1614),"""")"),1605.0)</f>
        <v>1605</v>
      </c>
      <c r="H1614" s="8">
        <f t="shared" si="1"/>
        <v>-8</v>
      </c>
    </row>
    <row r="1615">
      <c r="A1615" s="10">
        <v>1614.0</v>
      </c>
      <c r="B1615" s="11" t="s">
        <v>1703</v>
      </c>
      <c r="C1615" s="10" t="s">
        <v>240</v>
      </c>
      <c r="D1615" s="10" t="s">
        <v>122</v>
      </c>
      <c r="E1615" s="15"/>
      <c r="F1615" s="15" t="s">
        <v>382</v>
      </c>
      <c r="G1615" s="13">
        <f>IFERROR(__xludf.DUMMYFUNCTION("if(counta(filter('Previous Rank'!$A$2:$A2766,'Previous Rank'!$B$2:$B2766=B1615,'Previous Rank'!$C$2:$C2766=C1615))=1,filter('Previous Rank'!$A$2:$A2766,'Previous Rank'!$B$2:$B2766=B1615,'Previous Rank'!$C$2:$C2766=C1615),"""")"),1606.0)</f>
        <v>1606</v>
      </c>
      <c r="H1615" s="8">
        <f t="shared" si="1"/>
        <v>-8</v>
      </c>
    </row>
    <row r="1616">
      <c r="A1616" s="10">
        <v>1615.0</v>
      </c>
      <c r="B1616" s="11" t="s">
        <v>1704</v>
      </c>
      <c r="C1616" s="10" t="s">
        <v>79</v>
      </c>
      <c r="D1616" s="10" t="s">
        <v>85</v>
      </c>
      <c r="E1616" s="16"/>
      <c r="F1616" s="16" t="s">
        <v>382</v>
      </c>
      <c r="G1616" s="13">
        <f>IFERROR(__xludf.DUMMYFUNCTION("if(counta(filter('Previous Rank'!$A$2:$A2766,'Previous Rank'!$B$2:$B2766=B1616,'Previous Rank'!$C$2:$C2766=C1616))=1,filter('Previous Rank'!$A$2:$A2766,'Previous Rank'!$B$2:$B2766=B1616,'Previous Rank'!$C$2:$C2766=C1616),"""")"),1607.0)</f>
        <v>1607</v>
      </c>
      <c r="H1616" s="8">
        <f t="shared" si="1"/>
        <v>-8</v>
      </c>
    </row>
    <row r="1617">
      <c r="A1617" s="10">
        <v>1616.0</v>
      </c>
      <c r="B1617" s="11" t="s">
        <v>1705</v>
      </c>
      <c r="C1617" s="10" t="s">
        <v>20</v>
      </c>
      <c r="D1617" s="10" t="s">
        <v>120</v>
      </c>
      <c r="E1617" s="15"/>
      <c r="F1617" s="15" t="s">
        <v>382</v>
      </c>
      <c r="G1617" s="13">
        <f>IFERROR(__xludf.DUMMYFUNCTION("if(counta(filter('Previous Rank'!$A$2:$A2766,'Previous Rank'!$B$2:$B2766=B1617,'Previous Rank'!$C$2:$C2766=C1617))=1,filter('Previous Rank'!$A$2:$A2766,'Previous Rank'!$B$2:$B2766=B1617,'Previous Rank'!$C$2:$C2766=C1617),"""")"),1608.0)</f>
        <v>1608</v>
      </c>
      <c r="H1617" s="8">
        <f t="shared" si="1"/>
        <v>-8</v>
      </c>
    </row>
    <row r="1618">
      <c r="A1618" s="10">
        <v>1617.0</v>
      </c>
      <c r="B1618" s="11" t="s">
        <v>1706</v>
      </c>
      <c r="C1618" s="10" t="s">
        <v>22</v>
      </c>
      <c r="D1618" s="10" t="s">
        <v>73</v>
      </c>
      <c r="E1618" s="16"/>
      <c r="F1618" s="16" t="s">
        <v>382</v>
      </c>
      <c r="G1618" s="13">
        <f>IFERROR(__xludf.DUMMYFUNCTION("if(counta(filter('Previous Rank'!$A$2:$A2766,'Previous Rank'!$B$2:$B2766=B1618,'Previous Rank'!$C$2:$C2766=C1618))=1,filter('Previous Rank'!$A$2:$A2766,'Previous Rank'!$B$2:$B2766=B1618,'Previous Rank'!$C$2:$C2766=C1618),"""")"),1609.0)</f>
        <v>1609</v>
      </c>
      <c r="H1618" s="8">
        <f t="shared" si="1"/>
        <v>-8</v>
      </c>
    </row>
    <row r="1619">
      <c r="A1619" s="10">
        <v>1618.0</v>
      </c>
      <c r="B1619" s="11" t="s">
        <v>1707</v>
      </c>
      <c r="C1619" s="10" t="s">
        <v>22</v>
      </c>
      <c r="D1619" s="10" t="s">
        <v>42</v>
      </c>
      <c r="E1619" s="15"/>
      <c r="F1619" s="15" t="s">
        <v>382</v>
      </c>
      <c r="G1619" s="13" t="str">
        <f>IFERROR(__xludf.DUMMYFUNCTION("if(counta(filter('Previous Rank'!$A$2:$A2766,'Previous Rank'!$B$2:$B2766=B1619,'Previous Rank'!$C$2:$C2766=C1619))=1,filter('Previous Rank'!$A$2:$A2766,'Previous Rank'!$B$2:$B2766=B1619,'Previous Rank'!$C$2:$C2766=C1619),"""")"),"")</f>
        <v/>
      </c>
      <c r="H1619" s="8" t="str">
        <f t="shared" si="1"/>
        <v/>
      </c>
    </row>
    <row r="1620">
      <c r="A1620" s="10">
        <v>1619.0</v>
      </c>
      <c r="B1620" s="11" t="s">
        <v>1708</v>
      </c>
      <c r="C1620" s="10" t="s">
        <v>79</v>
      </c>
      <c r="D1620" s="10" t="s">
        <v>67</v>
      </c>
      <c r="E1620" s="16"/>
      <c r="F1620" s="16" t="s">
        <v>382</v>
      </c>
      <c r="G1620" s="13">
        <f>IFERROR(__xludf.DUMMYFUNCTION("if(counta(filter('Previous Rank'!$A$2:$A2766,'Previous Rank'!$B$2:$B2766=B1620,'Previous Rank'!$C$2:$C2766=C1620))=1,filter('Previous Rank'!$A$2:$A2766,'Previous Rank'!$B$2:$B2766=B1620,'Previous Rank'!$C$2:$C2766=C1620),"""")"),1611.0)</f>
        <v>1611</v>
      </c>
      <c r="H1620" s="8">
        <f t="shared" si="1"/>
        <v>-8</v>
      </c>
    </row>
    <row r="1621">
      <c r="A1621" s="10">
        <v>1620.0</v>
      </c>
      <c r="B1621" s="11" t="s">
        <v>1709</v>
      </c>
      <c r="C1621" s="10" t="s">
        <v>1710</v>
      </c>
      <c r="D1621" s="10" t="s">
        <v>34</v>
      </c>
      <c r="E1621" s="15"/>
      <c r="F1621" s="15" t="s">
        <v>382</v>
      </c>
      <c r="G1621" s="13">
        <f>IFERROR(__xludf.DUMMYFUNCTION("if(counta(filter('Previous Rank'!$A$2:$A2766,'Previous Rank'!$B$2:$B2766=B1621,'Previous Rank'!$C$2:$C2766=C1621))=1,filter('Previous Rank'!$A$2:$A2766,'Previous Rank'!$B$2:$B2766=B1621,'Previous Rank'!$C$2:$C2766=C1621),"""")"),1612.0)</f>
        <v>1612</v>
      </c>
      <c r="H1621" s="8">
        <f t="shared" si="1"/>
        <v>-8</v>
      </c>
    </row>
    <row r="1622">
      <c r="A1622" s="10">
        <v>1621.0</v>
      </c>
      <c r="B1622" s="11" t="s">
        <v>1711</v>
      </c>
      <c r="C1622" s="10" t="s">
        <v>1712</v>
      </c>
      <c r="D1622" s="10" t="s">
        <v>113</v>
      </c>
      <c r="E1622" s="16"/>
      <c r="F1622" s="16" t="s">
        <v>382</v>
      </c>
      <c r="G1622" s="13">
        <f>IFERROR(__xludf.DUMMYFUNCTION("if(counta(filter('Previous Rank'!$A$2:$A2766,'Previous Rank'!$B$2:$B2766=B1622,'Previous Rank'!$C$2:$C2766=C1622))=1,filter('Previous Rank'!$A$2:$A2766,'Previous Rank'!$B$2:$B2766=B1622,'Previous Rank'!$C$2:$C2766=C1622),"""")"),1613.0)</f>
        <v>1613</v>
      </c>
      <c r="H1622" s="8">
        <f t="shared" si="1"/>
        <v>-8</v>
      </c>
    </row>
    <row r="1623">
      <c r="A1623" s="10">
        <v>1622.0</v>
      </c>
      <c r="B1623" s="11" t="s">
        <v>1713</v>
      </c>
      <c r="C1623" s="10" t="s">
        <v>11</v>
      </c>
      <c r="D1623" s="10" t="s">
        <v>15</v>
      </c>
      <c r="E1623" s="15"/>
      <c r="F1623" s="15" t="s">
        <v>382</v>
      </c>
      <c r="G1623" s="13">
        <f>IFERROR(__xludf.DUMMYFUNCTION("if(counta(filter('Previous Rank'!$A$2:$A2766,'Previous Rank'!$B$2:$B2766=B1623,'Previous Rank'!$C$2:$C2766=C1623))=1,filter('Previous Rank'!$A$2:$A2766,'Previous Rank'!$B$2:$B2766=B1623,'Previous Rank'!$C$2:$C2766=C1623),"""")"),1614.0)</f>
        <v>1614</v>
      </c>
      <c r="H1623" s="8">
        <f t="shared" si="1"/>
        <v>-8</v>
      </c>
    </row>
    <row r="1624">
      <c r="A1624" s="10">
        <v>1623.0</v>
      </c>
      <c r="B1624" s="11" t="s">
        <v>1714</v>
      </c>
      <c r="C1624" s="10" t="s">
        <v>79</v>
      </c>
      <c r="D1624" s="10" t="s">
        <v>49</v>
      </c>
      <c r="E1624" s="16"/>
      <c r="F1624" s="16" t="s">
        <v>382</v>
      </c>
      <c r="G1624" s="13">
        <f>IFERROR(__xludf.DUMMYFUNCTION("if(counta(filter('Previous Rank'!$A$2:$A2766,'Previous Rank'!$B$2:$B2766=B1624,'Previous Rank'!$C$2:$C2766=C1624))=1,filter('Previous Rank'!$A$2:$A2766,'Previous Rank'!$B$2:$B2766=B1624,'Previous Rank'!$C$2:$C2766=C1624),"""")"),1615.0)</f>
        <v>1615</v>
      </c>
      <c r="H1624" s="8">
        <f t="shared" si="1"/>
        <v>-8</v>
      </c>
    </row>
    <row r="1625">
      <c r="A1625" s="10">
        <v>1624.0</v>
      </c>
      <c r="B1625" s="11" t="s">
        <v>1715</v>
      </c>
      <c r="C1625" s="10" t="s">
        <v>79</v>
      </c>
      <c r="D1625" s="10" t="s">
        <v>73</v>
      </c>
      <c r="E1625" s="15"/>
      <c r="F1625" s="15" t="s">
        <v>382</v>
      </c>
      <c r="G1625" s="13">
        <f>IFERROR(__xludf.DUMMYFUNCTION("if(counta(filter('Previous Rank'!$A$2:$A2766,'Previous Rank'!$B$2:$B2766=B1625,'Previous Rank'!$C$2:$C2766=C1625))=1,filter('Previous Rank'!$A$2:$A2766,'Previous Rank'!$B$2:$B2766=B1625,'Previous Rank'!$C$2:$C2766=C1625),"""")"),1616.0)</f>
        <v>1616</v>
      </c>
      <c r="H1625" s="8">
        <f t="shared" si="1"/>
        <v>-8</v>
      </c>
    </row>
    <row r="1626">
      <c r="A1626" s="10">
        <v>1625.0</v>
      </c>
      <c r="B1626" s="11" t="s">
        <v>1716</v>
      </c>
      <c r="C1626" s="10" t="s">
        <v>220</v>
      </c>
      <c r="D1626" s="10" t="s">
        <v>15</v>
      </c>
      <c r="E1626" s="16"/>
      <c r="F1626" s="16" t="s">
        <v>382</v>
      </c>
      <c r="G1626" s="13">
        <f>IFERROR(__xludf.DUMMYFUNCTION("if(counta(filter('Previous Rank'!$A$2:$A2766,'Previous Rank'!$B$2:$B2766=B1626,'Previous Rank'!$C$2:$C2766=C1626))=1,filter('Previous Rank'!$A$2:$A2766,'Previous Rank'!$B$2:$B2766=B1626,'Previous Rank'!$C$2:$C2766=C1626),"""")"),1617.0)</f>
        <v>1617</v>
      </c>
      <c r="H1626" s="8">
        <f t="shared" si="1"/>
        <v>-8</v>
      </c>
    </row>
    <row r="1627">
      <c r="A1627" s="10">
        <v>1626.0</v>
      </c>
      <c r="B1627" s="11" t="s">
        <v>1717</v>
      </c>
      <c r="C1627" s="10" t="s">
        <v>69</v>
      </c>
      <c r="D1627" s="10" t="s">
        <v>18</v>
      </c>
      <c r="E1627" s="15"/>
      <c r="F1627" s="15" t="s">
        <v>382</v>
      </c>
      <c r="G1627" s="13">
        <f>IFERROR(__xludf.DUMMYFUNCTION("if(counta(filter('Previous Rank'!$A$2:$A2766,'Previous Rank'!$B$2:$B2766=B1627,'Previous Rank'!$C$2:$C2766=C1627))=1,filter('Previous Rank'!$A$2:$A2766,'Previous Rank'!$B$2:$B2766=B1627,'Previous Rank'!$C$2:$C2766=C1627),"""")"),1618.0)</f>
        <v>1618</v>
      </c>
      <c r="H1627" s="8">
        <f t="shared" si="1"/>
        <v>-8</v>
      </c>
    </row>
    <row r="1628">
      <c r="A1628" s="10">
        <v>1627.0</v>
      </c>
      <c r="B1628" s="11" t="s">
        <v>1718</v>
      </c>
      <c r="C1628" s="10" t="s">
        <v>79</v>
      </c>
      <c r="D1628" s="10" t="s">
        <v>67</v>
      </c>
      <c r="E1628" s="16"/>
      <c r="F1628" s="16" t="s">
        <v>382</v>
      </c>
      <c r="G1628" s="13">
        <f>IFERROR(__xludf.DUMMYFUNCTION("if(counta(filter('Previous Rank'!$A$2:$A2766,'Previous Rank'!$B$2:$B2766=B1628,'Previous Rank'!$C$2:$C2766=C1628))=1,filter('Previous Rank'!$A$2:$A2766,'Previous Rank'!$B$2:$B2766=B1628,'Previous Rank'!$C$2:$C2766=C1628),"""")"),1619.0)</f>
        <v>1619</v>
      </c>
      <c r="H1628" s="8">
        <f t="shared" si="1"/>
        <v>-8</v>
      </c>
    </row>
    <row r="1629">
      <c r="A1629" s="10">
        <v>1628.0</v>
      </c>
      <c r="B1629" s="11" t="s">
        <v>1719</v>
      </c>
      <c r="C1629" s="10" t="s">
        <v>79</v>
      </c>
      <c r="D1629" s="10" t="s">
        <v>42</v>
      </c>
      <c r="E1629" s="15"/>
      <c r="F1629" s="15" t="s">
        <v>382</v>
      </c>
      <c r="G1629" s="13">
        <f>IFERROR(__xludf.DUMMYFUNCTION("if(counta(filter('Previous Rank'!$A$2:$A2766,'Previous Rank'!$B$2:$B2766=B1629,'Previous Rank'!$C$2:$C2766=C1629))=1,filter('Previous Rank'!$A$2:$A2766,'Previous Rank'!$B$2:$B2766=B1629,'Previous Rank'!$C$2:$C2766=C1629),"""")"),1620.0)</f>
        <v>1620</v>
      </c>
      <c r="H1629" s="8">
        <f t="shared" si="1"/>
        <v>-8</v>
      </c>
    </row>
    <row r="1630">
      <c r="A1630" s="10">
        <v>1629.0</v>
      </c>
      <c r="B1630" s="11" t="s">
        <v>1720</v>
      </c>
      <c r="C1630" s="10" t="s">
        <v>79</v>
      </c>
      <c r="D1630" s="10" t="s">
        <v>34</v>
      </c>
      <c r="E1630" s="16"/>
      <c r="F1630" s="16" t="s">
        <v>382</v>
      </c>
      <c r="G1630" s="13">
        <f>IFERROR(__xludf.DUMMYFUNCTION("if(counta(filter('Previous Rank'!$A$2:$A2766,'Previous Rank'!$B$2:$B2766=B1630,'Previous Rank'!$C$2:$C2766=C1630))=1,filter('Previous Rank'!$A$2:$A2766,'Previous Rank'!$B$2:$B2766=B1630,'Previous Rank'!$C$2:$C2766=C1630),"""")"),1621.0)</f>
        <v>1621</v>
      </c>
      <c r="H1630" s="8">
        <f t="shared" si="1"/>
        <v>-8</v>
      </c>
    </row>
    <row r="1631">
      <c r="A1631" s="10">
        <v>1630.0</v>
      </c>
      <c r="B1631" s="11" t="s">
        <v>1721</v>
      </c>
      <c r="C1631" s="10" t="s">
        <v>22</v>
      </c>
      <c r="D1631" s="10" t="s">
        <v>71</v>
      </c>
      <c r="E1631" s="15"/>
      <c r="F1631" s="15" t="s">
        <v>382</v>
      </c>
      <c r="G1631" s="13">
        <f>IFERROR(__xludf.DUMMYFUNCTION("if(counta(filter('Previous Rank'!$A$2:$A2766,'Previous Rank'!$B$2:$B2766=B1631,'Previous Rank'!$C$2:$C2766=C1631))=1,filter('Previous Rank'!$A$2:$A2766,'Previous Rank'!$B$2:$B2766=B1631,'Previous Rank'!$C$2:$C2766=C1631),"""")"),1622.0)</f>
        <v>1622</v>
      </c>
      <c r="H1631" s="8">
        <f t="shared" si="1"/>
        <v>-8</v>
      </c>
    </row>
    <row r="1632">
      <c r="A1632" s="10">
        <v>1631.0</v>
      </c>
      <c r="B1632" s="11" t="s">
        <v>1722</v>
      </c>
      <c r="C1632" s="10" t="s">
        <v>79</v>
      </c>
      <c r="D1632" s="10" t="s">
        <v>49</v>
      </c>
      <c r="E1632" s="14"/>
      <c r="F1632" s="14" t="s">
        <v>382</v>
      </c>
      <c r="G1632" s="13">
        <f>IFERROR(__xludf.DUMMYFUNCTION("if(counta(filter('Previous Rank'!$A$2:$A2766,'Previous Rank'!$B$2:$B2766=B1632,'Previous Rank'!$C$2:$C2766=C1632))=1,filter('Previous Rank'!$A$2:$A2766,'Previous Rank'!$B$2:$B2766=B1632,'Previous Rank'!$C$2:$C2766=C1632),"""")"),1623.0)</f>
        <v>1623</v>
      </c>
      <c r="H1632" s="8">
        <f t="shared" si="1"/>
        <v>-8</v>
      </c>
    </row>
    <row r="1633">
      <c r="A1633" s="10">
        <v>1632.0</v>
      </c>
      <c r="B1633" s="11" t="s">
        <v>1723</v>
      </c>
      <c r="C1633" s="10" t="s">
        <v>79</v>
      </c>
      <c r="D1633" s="10" t="s">
        <v>90</v>
      </c>
      <c r="E1633" s="15"/>
      <c r="F1633" s="15" t="s">
        <v>382</v>
      </c>
      <c r="G1633" s="13">
        <f>IFERROR(__xludf.DUMMYFUNCTION("if(counta(filter('Previous Rank'!$A$2:$A2766,'Previous Rank'!$B$2:$B2766=B1633,'Previous Rank'!$C$2:$C2766=C1633))=1,filter('Previous Rank'!$A$2:$A2766,'Previous Rank'!$B$2:$B2766=B1633,'Previous Rank'!$C$2:$C2766=C1633),"""")"),1624.0)</f>
        <v>1624</v>
      </c>
      <c r="H1633" s="8">
        <f t="shared" si="1"/>
        <v>-8</v>
      </c>
    </row>
    <row r="1634">
      <c r="A1634" s="10">
        <v>1633.0</v>
      </c>
      <c r="B1634" s="11" t="s">
        <v>1724</v>
      </c>
      <c r="C1634" s="10" t="s">
        <v>79</v>
      </c>
      <c r="D1634" s="10" t="s">
        <v>95</v>
      </c>
      <c r="E1634" s="16"/>
      <c r="F1634" s="16" t="s">
        <v>382</v>
      </c>
      <c r="G1634" s="13">
        <f>IFERROR(__xludf.DUMMYFUNCTION("if(counta(filter('Previous Rank'!$A$2:$A2766,'Previous Rank'!$B$2:$B2766=B1634,'Previous Rank'!$C$2:$C2766=C1634))=1,filter('Previous Rank'!$A$2:$A2766,'Previous Rank'!$B$2:$B2766=B1634,'Previous Rank'!$C$2:$C2766=C1634),"""")"),1625.0)</f>
        <v>1625</v>
      </c>
      <c r="H1634" s="8">
        <f t="shared" si="1"/>
        <v>-8</v>
      </c>
    </row>
    <row r="1635">
      <c r="A1635" s="10">
        <v>1634.0</v>
      </c>
      <c r="B1635" s="11" t="s">
        <v>1725</v>
      </c>
      <c r="C1635" s="10" t="s">
        <v>79</v>
      </c>
      <c r="D1635" s="10" t="s">
        <v>105</v>
      </c>
      <c r="E1635" s="15"/>
      <c r="F1635" s="15" t="s">
        <v>382</v>
      </c>
      <c r="G1635" s="13">
        <f>IFERROR(__xludf.DUMMYFUNCTION("if(counta(filter('Previous Rank'!$A$2:$A2766,'Previous Rank'!$B$2:$B2766=B1635,'Previous Rank'!$C$2:$C2766=C1635))=1,filter('Previous Rank'!$A$2:$A2766,'Previous Rank'!$B$2:$B2766=B1635,'Previous Rank'!$C$2:$C2766=C1635),"""")"),1626.0)</f>
        <v>1626</v>
      </c>
      <c r="H1635" s="8">
        <f t="shared" si="1"/>
        <v>-8</v>
      </c>
    </row>
    <row r="1636">
      <c r="A1636" s="10">
        <v>1635.0</v>
      </c>
      <c r="B1636" s="11" t="s">
        <v>1726</v>
      </c>
      <c r="C1636" s="10" t="s">
        <v>79</v>
      </c>
      <c r="D1636" s="10" t="s">
        <v>137</v>
      </c>
      <c r="E1636" s="16"/>
      <c r="F1636" s="16" t="s">
        <v>382</v>
      </c>
      <c r="G1636" s="13">
        <f>IFERROR(__xludf.DUMMYFUNCTION("if(counta(filter('Previous Rank'!$A$2:$A2766,'Previous Rank'!$B$2:$B2766=B1636,'Previous Rank'!$C$2:$C2766=C1636))=1,filter('Previous Rank'!$A$2:$A2766,'Previous Rank'!$B$2:$B2766=B1636,'Previous Rank'!$C$2:$C2766=C1636),"""")"),1627.0)</f>
        <v>1627</v>
      </c>
      <c r="H1636" s="8">
        <f t="shared" si="1"/>
        <v>-8</v>
      </c>
    </row>
    <row r="1637">
      <c r="A1637" s="10">
        <v>1636.0</v>
      </c>
      <c r="B1637" s="11" t="s">
        <v>1727</v>
      </c>
      <c r="C1637" s="10" t="s">
        <v>79</v>
      </c>
      <c r="D1637" s="10" t="s">
        <v>42</v>
      </c>
      <c r="E1637" s="15"/>
      <c r="F1637" s="15" t="s">
        <v>382</v>
      </c>
      <c r="G1637" s="13">
        <f>IFERROR(__xludf.DUMMYFUNCTION("if(counta(filter('Previous Rank'!$A$2:$A2766,'Previous Rank'!$B$2:$B2766=B1637,'Previous Rank'!$C$2:$C2766=C1637))=1,filter('Previous Rank'!$A$2:$A2766,'Previous Rank'!$B$2:$B2766=B1637,'Previous Rank'!$C$2:$C2766=C1637),"""")"),1628.0)</f>
        <v>1628</v>
      </c>
      <c r="H1637" s="8">
        <f t="shared" si="1"/>
        <v>-8</v>
      </c>
    </row>
    <row r="1638">
      <c r="A1638" s="10">
        <v>1637.0</v>
      </c>
      <c r="B1638" s="11" t="s">
        <v>1728</v>
      </c>
      <c r="C1638" s="10" t="s">
        <v>22</v>
      </c>
      <c r="D1638" s="10" t="s">
        <v>85</v>
      </c>
      <c r="E1638" s="16"/>
      <c r="F1638" s="16" t="s">
        <v>382</v>
      </c>
      <c r="G1638" s="13">
        <f>IFERROR(__xludf.DUMMYFUNCTION("if(counta(filter('Previous Rank'!$A$2:$A2766,'Previous Rank'!$B$2:$B2766=B1638,'Previous Rank'!$C$2:$C2766=C1638))=1,filter('Previous Rank'!$A$2:$A2766,'Previous Rank'!$B$2:$B2766=B1638,'Previous Rank'!$C$2:$C2766=C1638),"""")"),1629.0)</f>
        <v>1629</v>
      </c>
      <c r="H1638" s="8">
        <f t="shared" si="1"/>
        <v>-8</v>
      </c>
    </row>
    <row r="1639">
      <c r="A1639" s="10">
        <v>1638.0</v>
      </c>
      <c r="B1639" s="11" t="s">
        <v>1729</v>
      </c>
      <c r="C1639" s="10" t="s">
        <v>79</v>
      </c>
      <c r="D1639" s="10" t="s">
        <v>113</v>
      </c>
      <c r="E1639" s="15"/>
      <c r="F1639" s="15" t="s">
        <v>382</v>
      </c>
      <c r="G1639" s="13">
        <f>IFERROR(__xludf.DUMMYFUNCTION("if(counta(filter('Previous Rank'!$A$2:$A2766,'Previous Rank'!$B$2:$B2766=B1639,'Previous Rank'!$C$2:$C2766=C1639))=1,filter('Previous Rank'!$A$2:$A2766,'Previous Rank'!$B$2:$B2766=B1639,'Previous Rank'!$C$2:$C2766=C1639),"""")"),1630.0)</f>
        <v>1630</v>
      </c>
      <c r="H1639" s="8">
        <f t="shared" si="1"/>
        <v>-8</v>
      </c>
    </row>
    <row r="1640">
      <c r="A1640" s="10">
        <v>1639.0</v>
      </c>
      <c r="B1640" s="11" t="s">
        <v>1730</v>
      </c>
      <c r="C1640" s="10" t="s">
        <v>22</v>
      </c>
      <c r="D1640" s="10" t="s">
        <v>113</v>
      </c>
      <c r="E1640" s="16"/>
      <c r="F1640" s="16" t="s">
        <v>382</v>
      </c>
      <c r="G1640" s="13" t="str">
        <f>IFERROR(__xludf.DUMMYFUNCTION("if(counta(filter('Previous Rank'!$A$2:$A2766,'Previous Rank'!$B$2:$B2766=B1640,'Previous Rank'!$C$2:$C2766=C1640))=1,filter('Previous Rank'!$A$2:$A2766,'Previous Rank'!$B$2:$B2766=B1640,'Previous Rank'!$C$2:$C2766=C1640),"""")"),"")</f>
        <v/>
      </c>
      <c r="H1640" s="8" t="str">
        <f t="shared" si="1"/>
        <v/>
      </c>
    </row>
    <row r="1641">
      <c r="A1641" s="10">
        <v>1640.0</v>
      </c>
      <c r="B1641" s="11" t="s">
        <v>1731</v>
      </c>
      <c r="C1641" s="10" t="s">
        <v>79</v>
      </c>
      <c r="D1641" s="10" t="s">
        <v>82</v>
      </c>
      <c r="E1641" s="15"/>
      <c r="F1641" s="15" t="s">
        <v>382</v>
      </c>
      <c r="G1641" s="13">
        <f>IFERROR(__xludf.DUMMYFUNCTION("if(counta(filter('Previous Rank'!$A$2:$A2766,'Previous Rank'!$B$2:$B2766=B1641,'Previous Rank'!$C$2:$C2766=C1641))=1,filter('Previous Rank'!$A$2:$A2766,'Previous Rank'!$B$2:$B2766=B1641,'Previous Rank'!$C$2:$C2766=C1641),"""")"),1632.0)</f>
        <v>1632</v>
      </c>
      <c r="H1641" s="8">
        <f t="shared" si="1"/>
        <v>-8</v>
      </c>
    </row>
    <row r="1642">
      <c r="A1642" s="10">
        <v>1641.0</v>
      </c>
      <c r="B1642" s="11" t="s">
        <v>1732</v>
      </c>
      <c r="C1642" s="10" t="s">
        <v>79</v>
      </c>
      <c r="D1642" s="10" t="s">
        <v>129</v>
      </c>
      <c r="E1642" s="16"/>
      <c r="F1642" s="16" t="s">
        <v>382</v>
      </c>
      <c r="G1642" s="13">
        <f>IFERROR(__xludf.DUMMYFUNCTION("if(counta(filter('Previous Rank'!$A$2:$A2766,'Previous Rank'!$B$2:$B2766=B1642,'Previous Rank'!$C$2:$C2766=C1642))=1,filter('Previous Rank'!$A$2:$A2766,'Previous Rank'!$B$2:$B2766=B1642,'Previous Rank'!$C$2:$C2766=C1642),"""")"),1634.0)</f>
        <v>1634</v>
      </c>
      <c r="H1642" s="8">
        <f t="shared" si="1"/>
        <v>-7</v>
      </c>
    </row>
    <row r="1643">
      <c r="A1643" s="10">
        <v>1642.0</v>
      </c>
      <c r="B1643" s="11" t="s">
        <v>1733</v>
      </c>
      <c r="C1643" s="10" t="s">
        <v>22</v>
      </c>
      <c r="D1643" s="10" t="s">
        <v>82</v>
      </c>
      <c r="E1643" s="15"/>
      <c r="F1643" s="15" t="s">
        <v>382</v>
      </c>
      <c r="G1643" s="13">
        <f>IFERROR(__xludf.DUMMYFUNCTION("if(counta(filter('Previous Rank'!$A$2:$A2766,'Previous Rank'!$B$2:$B2766=B1643,'Previous Rank'!$C$2:$C2766=C1643))=1,filter('Previous Rank'!$A$2:$A2766,'Previous Rank'!$B$2:$B2766=B1643,'Previous Rank'!$C$2:$C2766=C1643),"""")"),1635.0)</f>
        <v>1635</v>
      </c>
      <c r="H1643" s="8">
        <f t="shared" si="1"/>
        <v>-7</v>
      </c>
    </row>
    <row r="1644">
      <c r="A1644" s="10">
        <v>1643.0</v>
      </c>
      <c r="B1644" s="11" t="s">
        <v>1627</v>
      </c>
      <c r="C1644" s="10" t="s">
        <v>79</v>
      </c>
      <c r="D1644" s="10" t="s">
        <v>18</v>
      </c>
      <c r="E1644" s="16"/>
      <c r="F1644" s="16" t="s">
        <v>382</v>
      </c>
      <c r="G1644" s="13" t="str">
        <f>IFERROR(__xludf.DUMMYFUNCTION("if(counta(filter('Previous Rank'!$A$2:$A2766,'Previous Rank'!$B$2:$B2766=B1644,'Previous Rank'!$C$2:$C2766=C1644))=1,filter('Previous Rank'!$A$2:$A2766,'Previous Rank'!$B$2:$B2766=B1644,'Previous Rank'!$C$2:$C2766=C1644),"""")"),"")</f>
        <v/>
      </c>
      <c r="H1644" s="8" t="str">
        <f t="shared" si="1"/>
        <v/>
      </c>
    </row>
    <row r="1645">
      <c r="A1645" s="10">
        <v>1644.0</v>
      </c>
      <c r="B1645" s="11" t="s">
        <v>1734</v>
      </c>
      <c r="C1645" s="10" t="s">
        <v>220</v>
      </c>
      <c r="D1645" s="10" t="s">
        <v>52</v>
      </c>
      <c r="E1645" s="15"/>
      <c r="F1645" s="15" t="s">
        <v>382</v>
      </c>
      <c r="G1645" s="13">
        <f>IFERROR(__xludf.DUMMYFUNCTION("if(counta(filter('Previous Rank'!$A$2:$A2766,'Previous Rank'!$B$2:$B2766=B1645,'Previous Rank'!$C$2:$C2766=C1645))=1,filter('Previous Rank'!$A$2:$A2766,'Previous Rank'!$B$2:$B2766=B1645,'Previous Rank'!$C$2:$C2766=C1645),"""")"),1637.0)</f>
        <v>1637</v>
      </c>
      <c r="H1645" s="8">
        <f t="shared" si="1"/>
        <v>-7</v>
      </c>
    </row>
    <row r="1646">
      <c r="A1646" s="10">
        <v>1645.0</v>
      </c>
      <c r="B1646" s="11" t="s">
        <v>1735</v>
      </c>
      <c r="C1646" s="10" t="s">
        <v>240</v>
      </c>
      <c r="D1646" s="10" t="s">
        <v>73</v>
      </c>
      <c r="E1646" s="16"/>
      <c r="F1646" s="16" t="s">
        <v>382</v>
      </c>
      <c r="G1646" s="13">
        <f>IFERROR(__xludf.DUMMYFUNCTION("if(counta(filter('Previous Rank'!$A$2:$A2766,'Previous Rank'!$B$2:$B2766=B1646,'Previous Rank'!$C$2:$C2766=C1646))=1,filter('Previous Rank'!$A$2:$A2766,'Previous Rank'!$B$2:$B2766=B1646,'Previous Rank'!$C$2:$C2766=C1646),"""")"),1638.0)</f>
        <v>1638</v>
      </c>
      <c r="H1646" s="8">
        <f t="shared" si="1"/>
        <v>-7</v>
      </c>
    </row>
    <row r="1647">
      <c r="A1647" s="10">
        <v>1646.0</v>
      </c>
      <c r="B1647" s="11" t="s">
        <v>1736</v>
      </c>
      <c r="C1647" s="10" t="s">
        <v>218</v>
      </c>
      <c r="D1647" s="10" t="s">
        <v>34</v>
      </c>
      <c r="E1647" s="15"/>
      <c r="F1647" s="15" t="s">
        <v>382</v>
      </c>
      <c r="G1647" s="13">
        <f>IFERROR(__xludf.DUMMYFUNCTION("if(counta(filter('Previous Rank'!$A$2:$A2766,'Previous Rank'!$B$2:$B2766=B1647,'Previous Rank'!$C$2:$C2766=C1647))=1,filter('Previous Rank'!$A$2:$A2766,'Previous Rank'!$B$2:$B2766=B1647,'Previous Rank'!$C$2:$C2766=C1647),"""")"),1639.0)</f>
        <v>1639</v>
      </c>
      <c r="H1647" s="8">
        <f t="shared" si="1"/>
        <v>-7</v>
      </c>
    </row>
    <row r="1648">
      <c r="A1648" s="10">
        <v>1647.0</v>
      </c>
      <c r="B1648" s="11" t="s">
        <v>1737</v>
      </c>
      <c r="C1648" s="10" t="s">
        <v>1738</v>
      </c>
      <c r="D1648" s="10" t="s">
        <v>27</v>
      </c>
      <c r="E1648" s="16">
        <v>244.9</v>
      </c>
      <c r="F1648" s="16">
        <v>1.6</v>
      </c>
      <c r="G1648" s="13">
        <f>IFERROR(__xludf.DUMMYFUNCTION("if(counta(filter('Previous Rank'!$A$2:$A2766,'Previous Rank'!$B$2:$B2766=B1648,'Previous Rank'!$C$2:$C2766=C1648))=1,filter('Previous Rank'!$A$2:$A2766,'Previous Rank'!$B$2:$B2766=B1648,'Previous Rank'!$C$2:$C2766=C1648),"""")"),1640.0)</f>
        <v>1640</v>
      </c>
      <c r="H1648" s="8">
        <f t="shared" si="1"/>
        <v>-7</v>
      </c>
    </row>
    <row r="1649">
      <c r="A1649" s="10">
        <v>1648.0</v>
      </c>
      <c r="B1649" s="11" t="s">
        <v>1739</v>
      </c>
      <c r="C1649" s="10" t="s">
        <v>218</v>
      </c>
      <c r="D1649" s="10" t="s">
        <v>137</v>
      </c>
      <c r="E1649" s="15"/>
      <c r="F1649" s="15" t="s">
        <v>382</v>
      </c>
      <c r="G1649" s="13">
        <f>IFERROR(__xludf.DUMMYFUNCTION("if(counta(filter('Previous Rank'!$A$2:$A2766,'Previous Rank'!$B$2:$B2766=B1649,'Previous Rank'!$C$2:$C2766=C1649))=1,filter('Previous Rank'!$A$2:$A2766,'Previous Rank'!$B$2:$B2766=B1649,'Previous Rank'!$C$2:$C2766=C1649),"""")"),1641.0)</f>
        <v>1641</v>
      </c>
      <c r="H1649" s="8">
        <f t="shared" si="1"/>
        <v>-7</v>
      </c>
    </row>
    <row r="1650">
      <c r="A1650" s="10">
        <v>1649.0</v>
      </c>
      <c r="B1650" s="11" t="s">
        <v>1740</v>
      </c>
      <c r="C1650" s="10" t="s">
        <v>585</v>
      </c>
      <c r="D1650" s="10" t="s">
        <v>25</v>
      </c>
      <c r="E1650" s="16"/>
      <c r="F1650" s="16" t="s">
        <v>382</v>
      </c>
      <c r="G1650" s="13">
        <f>IFERROR(__xludf.DUMMYFUNCTION("if(counta(filter('Previous Rank'!$A$2:$A2766,'Previous Rank'!$B$2:$B2766=B1650,'Previous Rank'!$C$2:$C2766=C1650))=1,filter('Previous Rank'!$A$2:$A2766,'Previous Rank'!$B$2:$B2766=B1650,'Previous Rank'!$C$2:$C2766=C1650),"""")"),1642.0)</f>
        <v>1642</v>
      </c>
      <c r="H1650" s="8">
        <f t="shared" si="1"/>
        <v>-7</v>
      </c>
    </row>
    <row r="1651">
      <c r="A1651" s="10">
        <v>1650.0</v>
      </c>
      <c r="B1651" s="11" t="s">
        <v>1741</v>
      </c>
      <c r="C1651" s="10" t="s">
        <v>585</v>
      </c>
      <c r="D1651" s="10" t="s">
        <v>36</v>
      </c>
      <c r="E1651" s="15"/>
      <c r="F1651" s="15" t="s">
        <v>382</v>
      </c>
      <c r="G1651" s="13">
        <f>IFERROR(__xludf.DUMMYFUNCTION("if(counta(filter('Previous Rank'!$A$2:$A2766,'Previous Rank'!$B$2:$B2766=B1651,'Previous Rank'!$C$2:$C2766=C1651))=1,filter('Previous Rank'!$A$2:$A2766,'Previous Rank'!$B$2:$B2766=B1651,'Previous Rank'!$C$2:$C2766=C1651),"""")"),1643.0)</f>
        <v>1643</v>
      </c>
      <c r="H1651" s="8">
        <f t="shared" si="1"/>
        <v>-7</v>
      </c>
    </row>
    <row r="1652">
      <c r="A1652" s="10">
        <v>1651.0</v>
      </c>
      <c r="B1652" s="11" t="s">
        <v>1742</v>
      </c>
      <c r="C1652" s="10" t="s">
        <v>79</v>
      </c>
      <c r="D1652" s="10" t="s">
        <v>31</v>
      </c>
      <c r="E1652" s="16"/>
      <c r="F1652" s="16" t="s">
        <v>382</v>
      </c>
      <c r="G1652" s="13">
        <f>IFERROR(__xludf.DUMMYFUNCTION("if(counta(filter('Previous Rank'!$A$2:$A2766,'Previous Rank'!$B$2:$B2766=B1652,'Previous Rank'!$C$2:$C2766=C1652))=1,filter('Previous Rank'!$A$2:$A2766,'Previous Rank'!$B$2:$B2766=B1652,'Previous Rank'!$C$2:$C2766=C1652),"""")"),1644.0)</f>
        <v>1644</v>
      </c>
      <c r="H1652" s="8">
        <f t="shared" si="1"/>
        <v>-7</v>
      </c>
    </row>
    <row r="1653">
      <c r="A1653" s="10">
        <v>1652.0</v>
      </c>
      <c r="B1653" s="11" t="s">
        <v>1743</v>
      </c>
      <c r="C1653" s="10" t="s">
        <v>220</v>
      </c>
      <c r="D1653" s="10" t="s">
        <v>206</v>
      </c>
      <c r="E1653" s="15"/>
      <c r="F1653" s="15" t="s">
        <v>382</v>
      </c>
      <c r="G1653" s="13">
        <f>IFERROR(__xludf.DUMMYFUNCTION("if(counta(filter('Previous Rank'!$A$2:$A2766,'Previous Rank'!$B$2:$B2766=B1653,'Previous Rank'!$C$2:$C2766=C1653))=1,filter('Previous Rank'!$A$2:$A2766,'Previous Rank'!$B$2:$B2766=B1653,'Previous Rank'!$C$2:$C2766=C1653),"""")"),1645.0)</f>
        <v>1645</v>
      </c>
      <c r="H1653" s="8">
        <f t="shared" si="1"/>
        <v>-7</v>
      </c>
    </row>
    <row r="1654">
      <c r="A1654" s="10">
        <v>1653.0</v>
      </c>
      <c r="B1654" s="11" t="s">
        <v>1744</v>
      </c>
      <c r="C1654" s="10" t="s">
        <v>17</v>
      </c>
      <c r="D1654" s="10" t="s">
        <v>206</v>
      </c>
      <c r="E1654" s="16"/>
      <c r="F1654" s="16" t="s">
        <v>382</v>
      </c>
      <c r="G1654" s="13">
        <f>IFERROR(__xludf.DUMMYFUNCTION("if(counta(filter('Previous Rank'!$A$2:$A2766,'Previous Rank'!$B$2:$B2766=B1654,'Previous Rank'!$C$2:$C2766=C1654))=1,filter('Previous Rank'!$A$2:$A2766,'Previous Rank'!$B$2:$B2766=B1654,'Previous Rank'!$C$2:$C2766=C1654),"""")"),1646.0)</f>
        <v>1646</v>
      </c>
      <c r="H1654" s="8">
        <f t="shared" si="1"/>
        <v>-7</v>
      </c>
    </row>
    <row r="1655">
      <c r="A1655" s="10">
        <v>1654.0</v>
      </c>
      <c r="B1655" s="11" t="s">
        <v>1745</v>
      </c>
      <c r="C1655" s="10" t="s">
        <v>22</v>
      </c>
      <c r="D1655" s="10" t="s">
        <v>52</v>
      </c>
      <c r="E1655" s="15"/>
      <c r="F1655" s="15" t="s">
        <v>382</v>
      </c>
      <c r="G1655" s="13">
        <f>IFERROR(__xludf.DUMMYFUNCTION("if(counta(filter('Previous Rank'!$A$2:$A2766,'Previous Rank'!$B$2:$B2766=B1655,'Previous Rank'!$C$2:$C2766=C1655))=1,filter('Previous Rank'!$A$2:$A2766,'Previous Rank'!$B$2:$B2766=B1655,'Previous Rank'!$C$2:$C2766=C1655),"""")"),1647.0)</f>
        <v>1647</v>
      </c>
      <c r="H1655" s="8">
        <f t="shared" si="1"/>
        <v>-7</v>
      </c>
    </row>
    <row r="1656">
      <c r="A1656" s="10">
        <v>1655.0</v>
      </c>
      <c r="B1656" s="11" t="s">
        <v>1746</v>
      </c>
      <c r="C1656" s="10" t="s">
        <v>79</v>
      </c>
      <c r="D1656" s="10" t="s">
        <v>113</v>
      </c>
      <c r="E1656" s="16"/>
      <c r="F1656" s="16" t="s">
        <v>382</v>
      </c>
      <c r="G1656" s="13">
        <f>IFERROR(__xludf.DUMMYFUNCTION("if(counta(filter('Previous Rank'!$A$2:$A2766,'Previous Rank'!$B$2:$B2766=B1656,'Previous Rank'!$C$2:$C2766=C1656))=1,filter('Previous Rank'!$A$2:$A2766,'Previous Rank'!$B$2:$B2766=B1656,'Previous Rank'!$C$2:$C2766=C1656),"""")"),1648.0)</f>
        <v>1648</v>
      </c>
      <c r="H1656" s="8">
        <f t="shared" si="1"/>
        <v>-7</v>
      </c>
    </row>
    <row r="1657">
      <c r="A1657" s="10">
        <v>1656.0</v>
      </c>
      <c r="B1657" s="11" t="s">
        <v>1747</v>
      </c>
      <c r="C1657" s="10" t="s">
        <v>79</v>
      </c>
      <c r="D1657" s="10" t="s">
        <v>23</v>
      </c>
      <c r="E1657" s="15"/>
      <c r="F1657" s="15" t="s">
        <v>382</v>
      </c>
      <c r="G1657" s="13">
        <f>IFERROR(__xludf.DUMMYFUNCTION("if(counta(filter('Previous Rank'!$A$2:$A2766,'Previous Rank'!$B$2:$B2766=B1657,'Previous Rank'!$C$2:$C2766=C1657))=1,filter('Previous Rank'!$A$2:$A2766,'Previous Rank'!$B$2:$B2766=B1657,'Previous Rank'!$C$2:$C2766=C1657),"""")"),1649.0)</f>
        <v>1649</v>
      </c>
      <c r="H1657" s="8">
        <f t="shared" si="1"/>
        <v>-7</v>
      </c>
    </row>
    <row r="1658">
      <c r="A1658" s="10">
        <v>1657.0</v>
      </c>
      <c r="B1658" s="11" t="s">
        <v>1748</v>
      </c>
      <c r="C1658" s="10" t="s">
        <v>585</v>
      </c>
      <c r="D1658" s="10" t="s">
        <v>49</v>
      </c>
      <c r="E1658" s="16"/>
      <c r="F1658" s="16" t="s">
        <v>382</v>
      </c>
      <c r="G1658" s="13">
        <f>IFERROR(__xludf.DUMMYFUNCTION("if(counta(filter('Previous Rank'!$A$2:$A2766,'Previous Rank'!$B$2:$B2766=B1658,'Previous Rank'!$C$2:$C2766=C1658))=1,filter('Previous Rank'!$A$2:$A2766,'Previous Rank'!$B$2:$B2766=B1658,'Previous Rank'!$C$2:$C2766=C1658),"""")"),1651.0)</f>
        <v>1651</v>
      </c>
      <c r="H1658" s="8">
        <f t="shared" si="1"/>
        <v>-6</v>
      </c>
    </row>
    <row r="1659">
      <c r="A1659" s="10">
        <v>1658.0</v>
      </c>
      <c r="B1659" s="11" t="s">
        <v>1749</v>
      </c>
      <c r="C1659" s="10" t="s">
        <v>79</v>
      </c>
      <c r="D1659" s="10" t="s">
        <v>99</v>
      </c>
      <c r="E1659" s="15"/>
      <c r="F1659" s="15" t="s">
        <v>382</v>
      </c>
      <c r="G1659" s="13">
        <f>IFERROR(__xludf.DUMMYFUNCTION("if(counta(filter('Previous Rank'!$A$2:$A2766,'Previous Rank'!$B$2:$B2766=B1659,'Previous Rank'!$C$2:$C2766=C1659))=1,filter('Previous Rank'!$A$2:$A2766,'Previous Rank'!$B$2:$B2766=B1659,'Previous Rank'!$C$2:$C2766=C1659),"""")"),1652.0)</f>
        <v>1652</v>
      </c>
      <c r="H1659" s="8">
        <f t="shared" si="1"/>
        <v>-6</v>
      </c>
    </row>
    <row r="1660">
      <c r="A1660" s="10">
        <v>1659.0</v>
      </c>
      <c r="B1660" s="11" t="s">
        <v>1750</v>
      </c>
      <c r="C1660" s="10" t="s">
        <v>8</v>
      </c>
      <c r="D1660" s="10" t="s">
        <v>82</v>
      </c>
      <c r="E1660" s="16"/>
      <c r="F1660" s="16" t="s">
        <v>382</v>
      </c>
      <c r="G1660" s="13">
        <f>IFERROR(__xludf.DUMMYFUNCTION("if(counta(filter('Previous Rank'!$A$2:$A2766,'Previous Rank'!$B$2:$B2766=B1660,'Previous Rank'!$C$2:$C2766=C1660))=1,filter('Previous Rank'!$A$2:$A2766,'Previous Rank'!$B$2:$B2766=B1660,'Previous Rank'!$C$2:$C2766=C1660),"""")"),1653.0)</f>
        <v>1653</v>
      </c>
      <c r="H1660" s="8">
        <f t="shared" si="1"/>
        <v>-6</v>
      </c>
    </row>
    <row r="1661">
      <c r="A1661" s="10">
        <v>1660.0</v>
      </c>
      <c r="B1661" s="11" t="s">
        <v>1751</v>
      </c>
      <c r="C1661" s="10" t="s">
        <v>79</v>
      </c>
      <c r="D1661" s="10" t="s">
        <v>42</v>
      </c>
      <c r="E1661" s="15"/>
      <c r="F1661" s="15" t="s">
        <v>382</v>
      </c>
      <c r="G1661" s="13">
        <f>IFERROR(__xludf.DUMMYFUNCTION("if(counta(filter('Previous Rank'!$A$2:$A2766,'Previous Rank'!$B$2:$B2766=B1661,'Previous Rank'!$C$2:$C2766=C1661))=1,filter('Previous Rank'!$A$2:$A2766,'Previous Rank'!$B$2:$B2766=B1661,'Previous Rank'!$C$2:$C2766=C1661),"""")"),1654.0)</f>
        <v>1654</v>
      </c>
      <c r="H1661" s="8">
        <f t="shared" si="1"/>
        <v>-6</v>
      </c>
    </row>
    <row r="1662">
      <c r="A1662" s="10">
        <v>1661.0</v>
      </c>
      <c r="B1662" s="11" t="s">
        <v>1752</v>
      </c>
      <c r="C1662" s="10" t="s">
        <v>79</v>
      </c>
      <c r="D1662" s="10" t="s">
        <v>73</v>
      </c>
      <c r="E1662" s="16"/>
      <c r="F1662" s="16" t="s">
        <v>382</v>
      </c>
      <c r="G1662" s="13">
        <f>IFERROR(__xludf.DUMMYFUNCTION("if(counta(filter('Previous Rank'!$A$2:$A2766,'Previous Rank'!$B$2:$B2766=B1662,'Previous Rank'!$C$2:$C2766=C1662))=1,filter('Previous Rank'!$A$2:$A2766,'Previous Rank'!$B$2:$B2766=B1662,'Previous Rank'!$C$2:$C2766=C1662),"""")"),1655.0)</f>
        <v>1655</v>
      </c>
      <c r="H1662" s="8">
        <f t="shared" si="1"/>
        <v>-6</v>
      </c>
    </row>
    <row r="1663">
      <c r="A1663" s="10">
        <v>1662.0</v>
      </c>
      <c r="B1663" s="11" t="s">
        <v>1753</v>
      </c>
      <c r="C1663" s="10" t="s">
        <v>22</v>
      </c>
      <c r="D1663" s="10" t="s">
        <v>137</v>
      </c>
      <c r="E1663" s="15"/>
      <c r="F1663" s="15" t="s">
        <v>382</v>
      </c>
      <c r="G1663" s="13">
        <f>IFERROR(__xludf.DUMMYFUNCTION("if(counta(filter('Previous Rank'!$A$2:$A2766,'Previous Rank'!$B$2:$B2766=B1663,'Previous Rank'!$C$2:$C2766=C1663))=1,filter('Previous Rank'!$A$2:$A2766,'Previous Rank'!$B$2:$B2766=B1663,'Previous Rank'!$C$2:$C2766=C1663),"""")"),1656.0)</f>
        <v>1656</v>
      </c>
      <c r="H1663" s="8">
        <f t="shared" si="1"/>
        <v>-6</v>
      </c>
    </row>
    <row r="1664">
      <c r="A1664" s="10">
        <v>1663.0</v>
      </c>
      <c r="B1664" s="11" t="s">
        <v>1754</v>
      </c>
      <c r="C1664" s="10" t="s">
        <v>17</v>
      </c>
      <c r="D1664" s="10" t="s">
        <v>71</v>
      </c>
      <c r="E1664" s="16"/>
      <c r="F1664" s="16" t="s">
        <v>382</v>
      </c>
      <c r="G1664" s="13">
        <f>IFERROR(__xludf.DUMMYFUNCTION("if(counta(filter('Previous Rank'!$A$2:$A2766,'Previous Rank'!$B$2:$B2766=B1664,'Previous Rank'!$C$2:$C2766=C1664))=1,filter('Previous Rank'!$A$2:$A2766,'Previous Rank'!$B$2:$B2766=B1664,'Previous Rank'!$C$2:$C2766=C1664),"""")"),359.0)</f>
        <v>359</v>
      </c>
      <c r="H1664" s="8">
        <f t="shared" si="1"/>
        <v>-1304</v>
      </c>
    </row>
    <row r="1665">
      <c r="A1665" s="10">
        <v>1664.0</v>
      </c>
      <c r="B1665" s="11" t="s">
        <v>1755</v>
      </c>
      <c r="C1665" s="10" t="s">
        <v>240</v>
      </c>
      <c r="D1665" s="10" t="s">
        <v>85</v>
      </c>
      <c r="E1665" s="15"/>
      <c r="F1665" s="15" t="s">
        <v>382</v>
      </c>
      <c r="G1665" s="13">
        <f>IFERROR(__xludf.DUMMYFUNCTION("if(counta(filter('Previous Rank'!$A$2:$A2766,'Previous Rank'!$B$2:$B2766=B1665,'Previous Rank'!$C$2:$C2766=C1665))=1,filter('Previous Rank'!$A$2:$A2766,'Previous Rank'!$B$2:$B2766=B1665,'Previous Rank'!$C$2:$C2766=C1665),"""")"),1657.0)</f>
        <v>1657</v>
      </c>
      <c r="H1665" s="8">
        <f t="shared" si="1"/>
        <v>-7</v>
      </c>
    </row>
    <row r="1666">
      <c r="A1666" s="10">
        <v>1665.0</v>
      </c>
      <c r="B1666" s="11" t="s">
        <v>1756</v>
      </c>
      <c r="C1666" s="10" t="s">
        <v>79</v>
      </c>
      <c r="D1666" s="10" t="s">
        <v>18</v>
      </c>
      <c r="E1666" s="16"/>
      <c r="F1666" s="16" t="s">
        <v>382</v>
      </c>
      <c r="G1666" s="13">
        <f>IFERROR(__xludf.DUMMYFUNCTION("if(counta(filter('Previous Rank'!$A$2:$A2766,'Previous Rank'!$B$2:$B2766=B1666,'Previous Rank'!$C$2:$C2766=C1666))=1,filter('Previous Rank'!$A$2:$A2766,'Previous Rank'!$B$2:$B2766=B1666,'Previous Rank'!$C$2:$C2766=C1666),"""")"),1658.0)</f>
        <v>1658</v>
      </c>
      <c r="H1666" s="8">
        <f t="shared" si="1"/>
        <v>-7</v>
      </c>
    </row>
    <row r="1667">
      <c r="A1667" s="10">
        <v>1666.0</v>
      </c>
      <c r="B1667" s="11" t="s">
        <v>1757</v>
      </c>
      <c r="C1667" s="10" t="s">
        <v>79</v>
      </c>
      <c r="D1667" s="10" t="s">
        <v>105</v>
      </c>
      <c r="E1667" s="15"/>
      <c r="F1667" s="15" t="s">
        <v>382</v>
      </c>
      <c r="G1667" s="13">
        <f>IFERROR(__xludf.DUMMYFUNCTION("if(counta(filter('Previous Rank'!$A$2:$A2766,'Previous Rank'!$B$2:$B2766=B1667,'Previous Rank'!$C$2:$C2766=C1667))=1,filter('Previous Rank'!$A$2:$A2766,'Previous Rank'!$B$2:$B2766=B1667,'Previous Rank'!$C$2:$C2766=C1667),"""")"),1659.0)</f>
        <v>1659</v>
      </c>
      <c r="H1667" s="8">
        <f t="shared" si="1"/>
        <v>-7</v>
      </c>
    </row>
    <row r="1668">
      <c r="A1668" s="10">
        <v>1667.0</v>
      </c>
      <c r="B1668" s="11" t="s">
        <v>1758</v>
      </c>
      <c r="C1668" s="10" t="s">
        <v>79</v>
      </c>
      <c r="D1668" s="10" t="s">
        <v>73</v>
      </c>
      <c r="E1668" s="16"/>
      <c r="F1668" s="16" t="s">
        <v>382</v>
      </c>
      <c r="G1668" s="13">
        <f>IFERROR(__xludf.DUMMYFUNCTION("if(counta(filter('Previous Rank'!$A$2:$A2766,'Previous Rank'!$B$2:$B2766=B1668,'Previous Rank'!$C$2:$C2766=C1668))=1,filter('Previous Rank'!$A$2:$A2766,'Previous Rank'!$B$2:$B2766=B1668,'Previous Rank'!$C$2:$C2766=C1668),"""")"),1660.0)</f>
        <v>1660</v>
      </c>
      <c r="H1668" s="8">
        <f t="shared" si="1"/>
        <v>-7</v>
      </c>
    </row>
    <row r="1669">
      <c r="A1669" s="10">
        <v>1668.0</v>
      </c>
      <c r="B1669" s="11" t="s">
        <v>1759</v>
      </c>
      <c r="C1669" s="10" t="s">
        <v>20</v>
      </c>
      <c r="D1669" s="10" t="s">
        <v>18</v>
      </c>
      <c r="E1669" s="15"/>
      <c r="F1669" s="15" t="s">
        <v>382</v>
      </c>
      <c r="G1669" s="13">
        <f>IFERROR(__xludf.DUMMYFUNCTION("if(counta(filter('Previous Rank'!$A$2:$A2766,'Previous Rank'!$B$2:$B2766=B1669,'Previous Rank'!$C$2:$C2766=C1669))=1,filter('Previous Rank'!$A$2:$A2766,'Previous Rank'!$B$2:$B2766=B1669,'Previous Rank'!$C$2:$C2766=C1669),"""")"),1661.0)</f>
        <v>1661</v>
      </c>
      <c r="H1669" s="8">
        <f t="shared" si="1"/>
        <v>-7</v>
      </c>
    </row>
    <row r="1670">
      <c r="A1670" s="10">
        <v>1669.0</v>
      </c>
      <c r="B1670" s="11" t="s">
        <v>1760</v>
      </c>
      <c r="C1670" s="10" t="s">
        <v>220</v>
      </c>
      <c r="D1670" s="10" t="s">
        <v>71</v>
      </c>
      <c r="E1670" s="16"/>
      <c r="F1670" s="16" t="s">
        <v>382</v>
      </c>
      <c r="G1670" s="13">
        <f>IFERROR(__xludf.DUMMYFUNCTION("if(counta(filter('Previous Rank'!$A$2:$A2766,'Previous Rank'!$B$2:$B2766=B1670,'Previous Rank'!$C$2:$C2766=C1670))=1,filter('Previous Rank'!$A$2:$A2766,'Previous Rank'!$B$2:$B2766=B1670,'Previous Rank'!$C$2:$C2766=C1670),"""")"),1662.0)</f>
        <v>1662</v>
      </c>
      <c r="H1670" s="8">
        <f t="shared" si="1"/>
        <v>-7</v>
      </c>
    </row>
    <row r="1671">
      <c r="A1671" s="10">
        <v>1670.0</v>
      </c>
      <c r="B1671" s="11" t="s">
        <v>1761</v>
      </c>
      <c r="C1671" s="10" t="s">
        <v>63</v>
      </c>
      <c r="D1671" s="10" t="s">
        <v>46</v>
      </c>
      <c r="E1671" s="15"/>
      <c r="F1671" s="15" t="s">
        <v>382</v>
      </c>
      <c r="G1671" s="13">
        <f>IFERROR(__xludf.DUMMYFUNCTION("if(counta(filter('Previous Rank'!$A$2:$A2766,'Previous Rank'!$B$2:$B2766=B1671,'Previous Rank'!$C$2:$C2766=C1671))=1,filter('Previous Rank'!$A$2:$A2766,'Previous Rank'!$B$2:$B2766=B1671,'Previous Rank'!$C$2:$C2766=C1671),"""")"),1663.0)</f>
        <v>1663</v>
      </c>
      <c r="H1671" s="8">
        <f t="shared" si="1"/>
        <v>-7</v>
      </c>
    </row>
    <row r="1672">
      <c r="A1672" s="10">
        <v>1671.0</v>
      </c>
      <c r="B1672" s="11" t="s">
        <v>1762</v>
      </c>
      <c r="C1672" s="10" t="s">
        <v>11</v>
      </c>
      <c r="D1672" s="10" t="s">
        <v>36</v>
      </c>
      <c r="E1672" s="16"/>
      <c r="F1672" s="16" t="s">
        <v>382</v>
      </c>
      <c r="G1672" s="13">
        <f>IFERROR(__xludf.DUMMYFUNCTION("if(counta(filter('Previous Rank'!$A$2:$A2766,'Previous Rank'!$B$2:$B2766=B1672,'Previous Rank'!$C$2:$C2766=C1672))=1,filter('Previous Rank'!$A$2:$A2766,'Previous Rank'!$B$2:$B2766=B1672,'Previous Rank'!$C$2:$C2766=C1672),"""")"),1664.0)</f>
        <v>1664</v>
      </c>
      <c r="H1672" s="8">
        <f t="shared" si="1"/>
        <v>-7</v>
      </c>
    </row>
    <row r="1673">
      <c r="A1673" s="10">
        <v>1672.0</v>
      </c>
      <c r="B1673" s="11" t="s">
        <v>1763</v>
      </c>
      <c r="C1673" s="10" t="s">
        <v>79</v>
      </c>
      <c r="D1673" s="10" t="s">
        <v>71</v>
      </c>
      <c r="E1673" s="15"/>
      <c r="F1673" s="15" t="s">
        <v>382</v>
      </c>
      <c r="G1673" s="13">
        <f>IFERROR(__xludf.DUMMYFUNCTION("if(counta(filter('Previous Rank'!$A$2:$A2766,'Previous Rank'!$B$2:$B2766=B1673,'Previous Rank'!$C$2:$C2766=C1673))=1,filter('Previous Rank'!$A$2:$A2766,'Previous Rank'!$B$2:$B2766=B1673,'Previous Rank'!$C$2:$C2766=C1673),"""")"),1665.0)</f>
        <v>1665</v>
      </c>
      <c r="H1673" s="8">
        <f t="shared" si="1"/>
        <v>-7</v>
      </c>
    </row>
    <row r="1674">
      <c r="A1674" s="10">
        <v>1673.0</v>
      </c>
      <c r="B1674" s="11" t="s">
        <v>1764</v>
      </c>
      <c r="C1674" s="10" t="s">
        <v>11</v>
      </c>
      <c r="D1674" s="10" t="s">
        <v>18</v>
      </c>
      <c r="E1674" s="16"/>
      <c r="F1674" s="16" t="s">
        <v>382</v>
      </c>
      <c r="G1674" s="13">
        <f>IFERROR(__xludf.DUMMYFUNCTION("if(counta(filter('Previous Rank'!$A$2:$A2766,'Previous Rank'!$B$2:$B2766=B1674,'Previous Rank'!$C$2:$C2766=C1674))=1,filter('Previous Rank'!$A$2:$A2766,'Previous Rank'!$B$2:$B2766=B1674,'Previous Rank'!$C$2:$C2766=C1674),"""")"),1666.0)</f>
        <v>1666</v>
      </c>
      <c r="H1674" s="8">
        <f t="shared" si="1"/>
        <v>-7</v>
      </c>
    </row>
    <row r="1675">
      <c r="A1675" s="10">
        <v>1674.0</v>
      </c>
      <c r="B1675" s="11" t="s">
        <v>1765</v>
      </c>
      <c r="C1675" s="10" t="s">
        <v>63</v>
      </c>
      <c r="D1675" s="10" t="s">
        <v>46</v>
      </c>
      <c r="E1675" s="15"/>
      <c r="F1675" s="15" t="s">
        <v>382</v>
      </c>
      <c r="G1675" s="13">
        <f>IFERROR(__xludf.DUMMYFUNCTION("if(counta(filter('Previous Rank'!$A$2:$A2766,'Previous Rank'!$B$2:$B2766=B1675,'Previous Rank'!$C$2:$C2766=C1675))=1,filter('Previous Rank'!$A$2:$A2766,'Previous Rank'!$B$2:$B2766=B1675,'Previous Rank'!$C$2:$C2766=C1675),"""")"),1667.0)</f>
        <v>1667</v>
      </c>
      <c r="H1675" s="8">
        <f t="shared" si="1"/>
        <v>-7</v>
      </c>
    </row>
    <row r="1676">
      <c r="A1676" s="10">
        <v>1675.0</v>
      </c>
      <c r="B1676" s="11" t="s">
        <v>1766</v>
      </c>
      <c r="C1676" s="10" t="s">
        <v>79</v>
      </c>
      <c r="D1676" s="10" t="s">
        <v>129</v>
      </c>
      <c r="E1676" s="16"/>
      <c r="F1676" s="16" t="s">
        <v>382</v>
      </c>
      <c r="G1676" s="13">
        <f>IFERROR(__xludf.DUMMYFUNCTION("if(counta(filter('Previous Rank'!$A$2:$A2766,'Previous Rank'!$B$2:$B2766=B1676,'Previous Rank'!$C$2:$C2766=C1676))=1,filter('Previous Rank'!$A$2:$A2766,'Previous Rank'!$B$2:$B2766=B1676,'Previous Rank'!$C$2:$C2766=C1676),"""")"),1668.0)</f>
        <v>1668</v>
      </c>
      <c r="H1676" s="8">
        <f t="shared" si="1"/>
        <v>-7</v>
      </c>
    </row>
    <row r="1677">
      <c r="A1677" s="10">
        <v>1676.0</v>
      </c>
      <c r="B1677" s="11" t="s">
        <v>1767</v>
      </c>
      <c r="C1677" s="10" t="s">
        <v>79</v>
      </c>
      <c r="D1677" s="10" t="s">
        <v>140</v>
      </c>
      <c r="E1677" s="15"/>
      <c r="F1677" s="15" t="s">
        <v>382</v>
      </c>
      <c r="G1677" s="13">
        <f>IFERROR(__xludf.DUMMYFUNCTION("if(counta(filter('Previous Rank'!$A$2:$A2766,'Previous Rank'!$B$2:$B2766=B1677,'Previous Rank'!$C$2:$C2766=C1677))=1,filter('Previous Rank'!$A$2:$A2766,'Previous Rank'!$B$2:$B2766=B1677,'Previous Rank'!$C$2:$C2766=C1677),"""")"),1669.0)</f>
        <v>1669</v>
      </c>
      <c r="H1677" s="8">
        <f t="shared" si="1"/>
        <v>-7</v>
      </c>
    </row>
    <row r="1678">
      <c r="A1678" s="10">
        <v>1677.0</v>
      </c>
      <c r="B1678" s="11" t="s">
        <v>1768</v>
      </c>
      <c r="C1678" s="10" t="s">
        <v>22</v>
      </c>
      <c r="D1678" s="10" t="s">
        <v>140</v>
      </c>
      <c r="E1678" s="16"/>
      <c r="F1678" s="16" t="s">
        <v>382</v>
      </c>
      <c r="G1678" s="13">
        <f>IFERROR(__xludf.DUMMYFUNCTION("if(counta(filter('Previous Rank'!$A$2:$A2766,'Previous Rank'!$B$2:$B2766=B1678,'Previous Rank'!$C$2:$C2766=C1678))=1,filter('Previous Rank'!$A$2:$A2766,'Previous Rank'!$B$2:$B2766=B1678,'Previous Rank'!$C$2:$C2766=C1678),"""")"),1671.0)</f>
        <v>1671</v>
      </c>
      <c r="H1678" s="8">
        <f t="shared" si="1"/>
        <v>-6</v>
      </c>
    </row>
    <row r="1679">
      <c r="A1679" s="10">
        <v>1678.0</v>
      </c>
      <c r="B1679" s="11" t="s">
        <v>1769</v>
      </c>
      <c r="C1679" s="10" t="s">
        <v>22</v>
      </c>
      <c r="D1679" s="10" t="s">
        <v>71</v>
      </c>
      <c r="E1679" s="12"/>
      <c r="F1679" s="12" t="s">
        <v>382</v>
      </c>
      <c r="G1679" s="13">
        <f>IFERROR(__xludf.DUMMYFUNCTION("if(counta(filter('Previous Rank'!$A$2:$A2766,'Previous Rank'!$B$2:$B2766=B1679,'Previous Rank'!$C$2:$C2766=C1679))=1,filter('Previous Rank'!$A$2:$A2766,'Previous Rank'!$B$2:$B2766=B1679,'Previous Rank'!$C$2:$C2766=C1679),"""")"),1672.0)</f>
        <v>1672</v>
      </c>
      <c r="H1679" s="8">
        <f t="shared" si="1"/>
        <v>-6</v>
      </c>
    </row>
    <row r="1680">
      <c r="A1680" s="10">
        <v>1679.0</v>
      </c>
      <c r="B1680" s="11" t="s">
        <v>1770</v>
      </c>
      <c r="C1680" s="10" t="s">
        <v>79</v>
      </c>
      <c r="D1680" s="10" t="s">
        <v>25</v>
      </c>
      <c r="E1680" s="16"/>
      <c r="F1680" s="16" t="s">
        <v>382</v>
      </c>
      <c r="G1680" s="13">
        <f>IFERROR(__xludf.DUMMYFUNCTION("if(counta(filter('Previous Rank'!$A$2:$A2766,'Previous Rank'!$B$2:$B2766=B1680,'Previous Rank'!$C$2:$C2766=C1680))=1,filter('Previous Rank'!$A$2:$A2766,'Previous Rank'!$B$2:$B2766=B1680,'Previous Rank'!$C$2:$C2766=C1680),"""")"),1673.0)</f>
        <v>1673</v>
      </c>
      <c r="H1680" s="8">
        <f t="shared" si="1"/>
        <v>-6</v>
      </c>
    </row>
    <row r="1681">
      <c r="A1681" s="10">
        <v>1680.0</v>
      </c>
      <c r="B1681" s="11" t="s">
        <v>1771</v>
      </c>
      <c r="C1681" s="10" t="s">
        <v>22</v>
      </c>
      <c r="D1681" s="10" t="s">
        <v>137</v>
      </c>
      <c r="E1681" s="15"/>
      <c r="F1681" s="15" t="s">
        <v>382</v>
      </c>
      <c r="G1681" s="13">
        <f>IFERROR(__xludf.DUMMYFUNCTION("if(counta(filter('Previous Rank'!$A$2:$A2766,'Previous Rank'!$B$2:$B2766=B1681,'Previous Rank'!$C$2:$C2766=C1681))=1,filter('Previous Rank'!$A$2:$A2766,'Previous Rank'!$B$2:$B2766=B1681,'Previous Rank'!$C$2:$C2766=C1681),"""")"),1674.0)</f>
        <v>1674</v>
      </c>
      <c r="H1681" s="8">
        <f t="shared" si="1"/>
        <v>-6</v>
      </c>
    </row>
    <row r="1682">
      <c r="A1682" s="10">
        <v>1681.0</v>
      </c>
      <c r="B1682" s="11" t="s">
        <v>1772</v>
      </c>
      <c r="C1682" s="10" t="s">
        <v>77</v>
      </c>
      <c r="D1682" s="10" t="s">
        <v>15</v>
      </c>
      <c r="E1682" s="16"/>
      <c r="F1682" s="16" t="s">
        <v>382</v>
      </c>
      <c r="G1682" s="13">
        <f>IFERROR(__xludf.DUMMYFUNCTION("if(counta(filter('Previous Rank'!$A$2:$A2766,'Previous Rank'!$B$2:$B2766=B1682,'Previous Rank'!$C$2:$C2766=C1682))=1,filter('Previous Rank'!$A$2:$A2766,'Previous Rank'!$B$2:$B2766=B1682,'Previous Rank'!$C$2:$C2766=C1682),"""")"),1675.0)</f>
        <v>1675</v>
      </c>
      <c r="H1682" s="8">
        <f t="shared" si="1"/>
        <v>-6</v>
      </c>
    </row>
    <row r="1683">
      <c r="A1683" s="10">
        <v>1682.0</v>
      </c>
      <c r="B1683" s="11" t="s">
        <v>1773</v>
      </c>
      <c r="C1683" s="10" t="s">
        <v>22</v>
      </c>
      <c r="D1683" s="10" t="s">
        <v>140</v>
      </c>
      <c r="E1683" s="15"/>
      <c r="F1683" s="15" t="s">
        <v>382</v>
      </c>
      <c r="G1683" s="13">
        <f>IFERROR(__xludf.DUMMYFUNCTION("if(counta(filter('Previous Rank'!$A$2:$A2766,'Previous Rank'!$B$2:$B2766=B1683,'Previous Rank'!$C$2:$C2766=C1683))=1,filter('Previous Rank'!$A$2:$A2766,'Previous Rank'!$B$2:$B2766=B1683,'Previous Rank'!$C$2:$C2766=C1683),"""")"),1676.0)</f>
        <v>1676</v>
      </c>
      <c r="H1683" s="8">
        <f t="shared" si="1"/>
        <v>-6</v>
      </c>
    </row>
    <row r="1684">
      <c r="A1684" s="10">
        <v>1683.0</v>
      </c>
      <c r="B1684" s="11" t="s">
        <v>1774</v>
      </c>
      <c r="C1684" s="10" t="s">
        <v>22</v>
      </c>
      <c r="D1684" s="10" t="s">
        <v>9</v>
      </c>
      <c r="E1684" s="16"/>
      <c r="F1684" s="16" t="s">
        <v>382</v>
      </c>
      <c r="G1684" s="13">
        <f>IFERROR(__xludf.DUMMYFUNCTION("if(counta(filter('Previous Rank'!$A$2:$A2766,'Previous Rank'!$B$2:$B2766=B1684,'Previous Rank'!$C$2:$C2766=C1684))=1,filter('Previous Rank'!$A$2:$A2766,'Previous Rank'!$B$2:$B2766=B1684,'Previous Rank'!$C$2:$C2766=C1684),"""")"),1677.0)</f>
        <v>1677</v>
      </c>
      <c r="H1684" s="8">
        <f t="shared" si="1"/>
        <v>-6</v>
      </c>
    </row>
    <row r="1685">
      <c r="A1685" s="10">
        <v>1684.0</v>
      </c>
      <c r="B1685" s="11" t="s">
        <v>1775</v>
      </c>
      <c r="C1685" s="10" t="s">
        <v>22</v>
      </c>
      <c r="D1685" s="10" t="s">
        <v>12</v>
      </c>
      <c r="E1685" s="15"/>
      <c r="F1685" s="15" t="s">
        <v>382</v>
      </c>
      <c r="G1685" s="13">
        <f>IFERROR(__xludf.DUMMYFUNCTION("if(counta(filter('Previous Rank'!$A$2:$A2766,'Previous Rank'!$B$2:$B2766=B1685,'Previous Rank'!$C$2:$C2766=C1685))=1,filter('Previous Rank'!$A$2:$A2766,'Previous Rank'!$B$2:$B2766=B1685,'Previous Rank'!$C$2:$C2766=C1685),"""")"),1678.0)</f>
        <v>1678</v>
      </c>
      <c r="H1685" s="8">
        <f t="shared" si="1"/>
        <v>-6</v>
      </c>
    </row>
    <row r="1686">
      <c r="A1686" s="10">
        <v>1685.0</v>
      </c>
      <c r="B1686" s="11" t="s">
        <v>1776</v>
      </c>
      <c r="C1686" s="10" t="s">
        <v>22</v>
      </c>
      <c r="D1686" s="10" t="s">
        <v>99</v>
      </c>
      <c r="E1686" s="16"/>
      <c r="F1686" s="16" t="s">
        <v>382</v>
      </c>
      <c r="G1686" s="13">
        <f>IFERROR(__xludf.DUMMYFUNCTION("if(counta(filter('Previous Rank'!$A$2:$A2766,'Previous Rank'!$B$2:$B2766=B1686,'Previous Rank'!$C$2:$C2766=C1686))=1,filter('Previous Rank'!$A$2:$A2766,'Previous Rank'!$B$2:$B2766=B1686,'Previous Rank'!$C$2:$C2766=C1686),"""")"),1679.0)</f>
        <v>1679</v>
      </c>
      <c r="H1686" s="8">
        <f t="shared" si="1"/>
        <v>-6</v>
      </c>
    </row>
    <row r="1687">
      <c r="A1687" s="10">
        <v>1686.0</v>
      </c>
      <c r="B1687" s="11" t="s">
        <v>1777</v>
      </c>
      <c r="C1687" s="10" t="s">
        <v>218</v>
      </c>
      <c r="D1687" s="10" t="s">
        <v>129</v>
      </c>
      <c r="E1687" s="15"/>
      <c r="F1687" s="15" t="s">
        <v>382</v>
      </c>
      <c r="G1687" s="13">
        <f>IFERROR(__xludf.DUMMYFUNCTION("if(counta(filter('Previous Rank'!$A$2:$A2766,'Previous Rank'!$B$2:$B2766=B1687,'Previous Rank'!$C$2:$C2766=C1687))=1,filter('Previous Rank'!$A$2:$A2766,'Previous Rank'!$B$2:$B2766=B1687,'Previous Rank'!$C$2:$C2766=C1687),"""")"),1680.0)</f>
        <v>1680</v>
      </c>
      <c r="H1687" s="8">
        <f t="shared" si="1"/>
        <v>-6</v>
      </c>
    </row>
    <row r="1688">
      <c r="A1688" s="10">
        <v>1687.0</v>
      </c>
      <c r="B1688" s="11" t="s">
        <v>1778</v>
      </c>
      <c r="C1688" s="10" t="s">
        <v>470</v>
      </c>
      <c r="D1688" s="10" t="s">
        <v>52</v>
      </c>
      <c r="E1688" s="16"/>
      <c r="F1688" s="16" t="s">
        <v>382</v>
      </c>
      <c r="G1688" s="13">
        <f>IFERROR(__xludf.DUMMYFUNCTION("if(counta(filter('Previous Rank'!$A$2:$A2766,'Previous Rank'!$B$2:$B2766=B1688,'Previous Rank'!$C$2:$C2766=C1688))=1,filter('Previous Rank'!$A$2:$A2766,'Previous Rank'!$B$2:$B2766=B1688,'Previous Rank'!$C$2:$C2766=C1688),"""")"),1681.0)</f>
        <v>1681</v>
      </c>
      <c r="H1688" s="8">
        <f t="shared" si="1"/>
        <v>-6</v>
      </c>
    </row>
    <row r="1689">
      <c r="A1689" s="10">
        <v>1688.0</v>
      </c>
      <c r="B1689" s="11" t="s">
        <v>1779</v>
      </c>
      <c r="C1689" s="10" t="s">
        <v>220</v>
      </c>
      <c r="D1689" s="10" t="s">
        <v>140</v>
      </c>
      <c r="E1689" s="15"/>
      <c r="F1689" s="15" t="s">
        <v>382</v>
      </c>
      <c r="G1689" s="13">
        <f>IFERROR(__xludf.DUMMYFUNCTION("if(counta(filter('Previous Rank'!$A$2:$A2766,'Previous Rank'!$B$2:$B2766=B1689,'Previous Rank'!$C$2:$C2766=C1689))=1,filter('Previous Rank'!$A$2:$A2766,'Previous Rank'!$B$2:$B2766=B1689,'Previous Rank'!$C$2:$C2766=C1689),"""")"),1682.0)</f>
        <v>1682</v>
      </c>
      <c r="H1689" s="8">
        <f t="shared" si="1"/>
        <v>-6</v>
      </c>
    </row>
    <row r="1690">
      <c r="A1690" s="10">
        <v>1689.0</v>
      </c>
      <c r="B1690" s="11" t="s">
        <v>1780</v>
      </c>
      <c r="C1690" s="10" t="s">
        <v>79</v>
      </c>
      <c r="D1690" s="10" t="s">
        <v>9</v>
      </c>
      <c r="E1690" s="16"/>
      <c r="F1690" s="16" t="s">
        <v>382</v>
      </c>
      <c r="G1690" s="13">
        <f>IFERROR(__xludf.DUMMYFUNCTION("if(counta(filter('Previous Rank'!$A$2:$A2766,'Previous Rank'!$B$2:$B2766=B1690,'Previous Rank'!$C$2:$C2766=C1690))=1,filter('Previous Rank'!$A$2:$A2766,'Previous Rank'!$B$2:$B2766=B1690,'Previous Rank'!$C$2:$C2766=C1690),"""")"),1683.0)</f>
        <v>1683</v>
      </c>
      <c r="H1690" s="8">
        <f t="shared" si="1"/>
        <v>-6</v>
      </c>
    </row>
    <row r="1691">
      <c r="A1691" s="10">
        <v>1690.0</v>
      </c>
      <c r="B1691" s="11" t="s">
        <v>1781</v>
      </c>
      <c r="C1691" s="10" t="s">
        <v>79</v>
      </c>
      <c r="D1691" s="10" t="s">
        <v>15</v>
      </c>
      <c r="E1691" s="15"/>
      <c r="F1691" s="15" t="s">
        <v>382</v>
      </c>
      <c r="G1691" s="13">
        <f>IFERROR(__xludf.DUMMYFUNCTION("if(counta(filter('Previous Rank'!$A$2:$A2766,'Previous Rank'!$B$2:$B2766=B1691,'Previous Rank'!$C$2:$C2766=C1691))=1,filter('Previous Rank'!$A$2:$A2766,'Previous Rank'!$B$2:$B2766=B1691,'Previous Rank'!$C$2:$C2766=C1691),"""")"),1684.0)</f>
        <v>1684</v>
      </c>
      <c r="H1691" s="8">
        <f t="shared" si="1"/>
        <v>-6</v>
      </c>
    </row>
    <row r="1692">
      <c r="A1692" s="10">
        <v>1691.0</v>
      </c>
      <c r="B1692" s="11" t="s">
        <v>1782</v>
      </c>
      <c r="C1692" s="10" t="s">
        <v>22</v>
      </c>
      <c r="D1692" s="10" t="s">
        <v>99</v>
      </c>
      <c r="E1692" s="16"/>
      <c r="F1692" s="16" t="s">
        <v>382</v>
      </c>
      <c r="G1692" s="13">
        <f>IFERROR(__xludf.DUMMYFUNCTION("if(counta(filter('Previous Rank'!$A$2:$A2766,'Previous Rank'!$B$2:$B2766=B1692,'Previous Rank'!$C$2:$C2766=C1692))=1,filter('Previous Rank'!$A$2:$A2766,'Previous Rank'!$B$2:$B2766=B1692,'Previous Rank'!$C$2:$C2766=C1692),"""")"),1685.0)</f>
        <v>1685</v>
      </c>
      <c r="H1692" s="8">
        <f t="shared" si="1"/>
        <v>-6</v>
      </c>
    </row>
    <row r="1693">
      <c r="A1693" s="10">
        <v>1692.0</v>
      </c>
      <c r="B1693" s="11" t="s">
        <v>1783</v>
      </c>
      <c r="C1693" s="10" t="s">
        <v>22</v>
      </c>
      <c r="D1693" s="10" t="s">
        <v>137</v>
      </c>
      <c r="E1693" s="15"/>
      <c r="F1693" s="15" t="s">
        <v>382</v>
      </c>
      <c r="G1693" s="13">
        <f>IFERROR(__xludf.DUMMYFUNCTION("if(counta(filter('Previous Rank'!$A$2:$A2766,'Previous Rank'!$B$2:$B2766=B1693,'Previous Rank'!$C$2:$C2766=C1693))=1,filter('Previous Rank'!$A$2:$A2766,'Previous Rank'!$B$2:$B2766=B1693,'Previous Rank'!$C$2:$C2766=C1693),"""")"),1686.0)</f>
        <v>1686</v>
      </c>
      <c r="H1693" s="8">
        <f t="shared" si="1"/>
        <v>-6</v>
      </c>
    </row>
    <row r="1694">
      <c r="A1694" s="10">
        <v>1693.0</v>
      </c>
      <c r="B1694" s="11" t="s">
        <v>1784</v>
      </c>
      <c r="C1694" s="10" t="s">
        <v>79</v>
      </c>
      <c r="D1694" s="10" t="s">
        <v>99</v>
      </c>
      <c r="E1694" s="16"/>
      <c r="F1694" s="16" t="s">
        <v>382</v>
      </c>
      <c r="G1694" s="13">
        <f>IFERROR(__xludf.DUMMYFUNCTION("if(counta(filter('Previous Rank'!$A$2:$A2766,'Previous Rank'!$B$2:$B2766=B1694,'Previous Rank'!$C$2:$C2766=C1694))=1,filter('Previous Rank'!$A$2:$A2766,'Previous Rank'!$B$2:$B2766=B1694,'Previous Rank'!$C$2:$C2766=C1694),"""")"),1687.0)</f>
        <v>1687</v>
      </c>
      <c r="H1694" s="8">
        <f t="shared" si="1"/>
        <v>-6</v>
      </c>
    </row>
    <row r="1695">
      <c r="A1695" s="10">
        <v>1694.0</v>
      </c>
      <c r="B1695" s="11" t="s">
        <v>1785</v>
      </c>
      <c r="C1695" s="10" t="s">
        <v>22</v>
      </c>
      <c r="D1695" s="10" t="s">
        <v>73</v>
      </c>
      <c r="E1695" s="15"/>
      <c r="F1695" s="15" t="s">
        <v>382</v>
      </c>
      <c r="G1695" s="13">
        <f>IFERROR(__xludf.DUMMYFUNCTION("if(counta(filter('Previous Rank'!$A$2:$A2766,'Previous Rank'!$B$2:$B2766=B1695,'Previous Rank'!$C$2:$C2766=C1695))=1,filter('Previous Rank'!$A$2:$A2766,'Previous Rank'!$B$2:$B2766=B1695,'Previous Rank'!$C$2:$C2766=C1695),"""")"),1688.0)</f>
        <v>1688</v>
      </c>
      <c r="H1695" s="8">
        <f t="shared" si="1"/>
        <v>-6</v>
      </c>
    </row>
    <row r="1696">
      <c r="A1696" s="10">
        <v>1695.0</v>
      </c>
      <c r="B1696" s="11" t="s">
        <v>1786</v>
      </c>
      <c r="C1696" s="10" t="s">
        <v>220</v>
      </c>
      <c r="D1696" s="10" t="s">
        <v>82</v>
      </c>
      <c r="E1696" s="16"/>
      <c r="F1696" s="16" t="s">
        <v>382</v>
      </c>
      <c r="G1696" s="13">
        <f>IFERROR(__xludf.DUMMYFUNCTION("if(counta(filter('Previous Rank'!$A$2:$A2766,'Previous Rank'!$B$2:$B2766=B1696,'Previous Rank'!$C$2:$C2766=C1696))=1,filter('Previous Rank'!$A$2:$A2766,'Previous Rank'!$B$2:$B2766=B1696,'Previous Rank'!$C$2:$C2766=C1696),"""")"),1689.0)</f>
        <v>1689</v>
      </c>
      <c r="H1696" s="8">
        <f t="shared" si="1"/>
        <v>-6</v>
      </c>
    </row>
    <row r="1697">
      <c r="A1697" s="10">
        <v>1696.0</v>
      </c>
      <c r="B1697" s="11" t="s">
        <v>1787</v>
      </c>
      <c r="C1697" s="10" t="s">
        <v>220</v>
      </c>
      <c r="D1697" s="10" t="s">
        <v>129</v>
      </c>
      <c r="E1697" s="15"/>
      <c r="F1697" s="15" t="s">
        <v>382</v>
      </c>
      <c r="G1697" s="13">
        <f>IFERROR(__xludf.DUMMYFUNCTION("if(counta(filter('Previous Rank'!$A$2:$A2766,'Previous Rank'!$B$2:$B2766=B1697,'Previous Rank'!$C$2:$C2766=C1697))=1,filter('Previous Rank'!$A$2:$A2766,'Previous Rank'!$B$2:$B2766=B1697,'Previous Rank'!$C$2:$C2766=C1697),"""")"),1690.0)</f>
        <v>1690</v>
      </c>
      <c r="H1697" s="8">
        <f t="shared" si="1"/>
        <v>-6</v>
      </c>
    </row>
    <row r="1698">
      <c r="A1698" s="10">
        <v>1697.0</v>
      </c>
      <c r="B1698" s="11" t="s">
        <v>1788</v>
      </c>
      <c r="C1698" s="10" t="s">
        <v>79</v>
      </c>
      <c r="D1698" s="10" t="s">
        <v>9</v>
      </c>
      <c r="E1698" s="16"/>
      <c r="F1698" s="16" t="s">
        <v>382</v>
      </c>
      <c r="G1698" s="13">
        <f>IFERROR(__xludf.DUMMYFUNCTION("if(counta(filter('Previous Rank'!$A$2:$A2766,'Previous Rank'!$B$2:$B2766=B1698,'Previous Rank'!$C$2:$C2766=C1698))=1,filter('Previous Rank'!$A$2:$A2766,'Previous Rank'!$B$2:$B2766=B1698,'Previous Rank'!$C$2:$C2766=C1698),"""")"),1691.0)</f>
        <v>1691</v>
      </c>
      <c r="H1698" s="8">
        <f t="shared" si="1"/>
        <v>-6</v>
      </c>
    </row>
    <row r="1699">
      <c r="A1699" s="10">
        <v>1698.0</v>
      </c>
      <c r="B1699" s="11" t="s">
        <v>1789</v>
      </c>
      <c r="C1699" s="10" t="s">
        <v>22</v>
      </c>
      <c r="D1699" s="10" t="s">
        <v>120</v>
      </c>
      <c r="E1699" s="15"/>
      <c r="F1699" s="15" t="s">
        <v>382</v>
      </c>
      <c r="G1699" s="13">
        <f>IFERROR(__xludf.DUMMYFUNCTION("if(counta(filter('Previous Rank'!$A$2:$A2766,'Previous Rank'!$B$2:$B2766=B1699,'Previous Rank'!$C$2:$C2766=C1699))=1,filter('Previous Rank'!$A$2:$A2766,'Previous Rank'!$B$2:$B2766=B1699,'Previous Rank'!$C$2:$C2766=C1699),"""")"),1692.0)</f>
        <v>1692</v>
      </c>
      <c r="H1699" s="8">
        <f t="shared" si="1"/>
        <v>-6</v>
      </c>
    </row>
    <row r="1700">
      <c r="A1700" s="10">
        <v>1699.0</v>
      </c>
      <c r="B1700" s="11" t="s">
        <v>1790</v>
      </c>
      <c r="C1700" s="10" t="s">
        <v>585</v>
      </c>
      <c r="D1700" s="10" t="s">
        <v>129</v>
      </c>
      <c r="E1700" s="16"/>
      <c r="F1700" s="16" t="s">
        <v>382</v>
      </c>
      <c r="G1700" s="13">
        <f>IFERROR(__xludf.DUMMYFUNCTION("if(counta(filter('Previous Rank'!$A$2:$A2766,'Previous Rank'!$B$2:$B2766=B1700,'Previous Rank'!$C$2:$C2766=C1700))=1,filter('Previous Rank'!$A$2:$A2766,'Previous Rank'!$B$2:$B2766=B1700,'Previous Rank'!$C$2:$C2766=C1700),"""")"),1693.0)</f>
        <v>1693</v>
      </c>
      <c r="H1700" s="8">
        <f t="shared" si="1"/>
        <v>-6</v>
      </c>
    </row>
    <row r="1701">
      <c r="A1701" s="10">
        <v>1700.0</v>
      </c>
      <c r="B1701" s="11" t="s">
        <v>1791</v>
      </c>
      <c r="C1701" s="10" t="s">
        <v>220</v>
      </c>
      <c r="D1701" s="10" t="s">
        <v>36</v>
      </c>
      <c r="E1701" s="15"/>
      <c r="F1701" s="15" t="s">
        <v>382</v>
      </c>
      <c r="G1701" s="13">
        <f>IFERROR(__xludf.DUMMYFUNCTION("if(counta(filter('Previous Rank'!$A$2:$A2766,'Previous Rank'!$B$2:$B2766=B1701,'Previous Rank'!$C$2:$C2766=C1701))=1,filter('Previous Rank'!$A$2:$A2766,'Previous Rank'!$B$2:$B2766=B1701,'Previous Rank'!$C$2:$C2766=C1701),"""")"),1694.0)</f>
        <v>1694</v>
      </c>
      <c r="H1701" s="8">
        <f t="shared" si="1"/>
        <v>-6</v>
      </c>
    </row>
    <row r="1702">
      <c r="A1702" s="10">
        <v>1701.0</v>
      </c>
      <c r="B1702" s="11" t="s">
        <v>1792</v>
      </c>
      <c r="C1702" s="10" t="s">
        <v>69</v>
      </c>
      <c r="D1702" s="10" t="s">
        <v>73</v>
      </c>
      <c r="E1702" s="16"/>
      <c r="F1702" s="16" t="s">
        <v>382</v>
      </c>
      <c r="G1702" s="13">
        <f>IFERROR(__xludf.DUMMYFUNCTION("if(counta(filter('Previous Rank'!$A$2:$A2766,'Previous Rank'!$B$2:$B2766=B1702,'Previous Rank'!$C$2:$C2766=C1702))=1,filter('Previous Rank'!$A$2:$A2766,'Previous Rank'!$B$2:$B2766=B1702,'Previous Rank'!$C$2:$C2766=C1702),"""")"),1695.0)</f>
        <v>1695</v>
      </c>
      <c r="H1702" s="8">
        <f t="shared" si="1"/>
        <v>-6</v>
      </c>
    </row>
    <row r="1703">
      <c r="A1703" s="10">
        <v>1702.0</v>
      </c>
      <c r="B1703" s="11" t="s">
        <v>1793</v>
      </c>
      <c r="C1703" s="10" t="s">
        <v>22</v>
      </c>
      <c r="D1703" s="10" t="s">
        <v>67</v>
      </c>
      <c r="E1703" s="15"/>
      <c r="F1703" s="15" t="s">
        <v>382</v>
      </c>
      <c r="G1703" s="13">
        <f>IFERROR(__xludf.DUMMYFUNCTION("if(counta(filter('Previous Rank'!$A$2:$A2766,'Previous Rank'!$B$2:$B2766=B1703,'Previous Rank'!$C$2:$C2766=C1703))=1,filter('Previous Rank'!$A$2:$A2766,'Previous Rank'!$B$2:$B2766=B1703,'Previous Rank'!$C$2:$C2766=C1703),"""")"),1698.0)</f>
        <v>1698</v>
      </c>
      <c r="H1703" s="8">
        <f t="shared" si="1"/>
        <v>-4</v>
      </c>
    </row>
    <row r="1704">
      <c r="A1704" s="10">
        <v>1703.0</v>
      </c>
      <c r="B1704" s="11" t="s">
        <v>1794</v>
      </c>
      <c r="C1704" s="10" t="s">
        <v>17</v>
      </c>
      <c r="D1704" s="10" t="s">
        <v>34</v>
      </c>
      <c r="E1704" s="16"/>
      <c r="F1704" s="16" t="s">
        <v>382</v>
      </c>
      <c r="G1704" s="13">
        <f>IFERROR(__xludf.DUMMYFUNCTION("if(counta(filter('Previous Rank'!$A$2:$A2766,'Previous Rank'!$B$2:$B2766=B1704,'Previous Rank'!$C$2:$C2766=C1704))=1,filter('Previous Rank'!$A$2:$A2766,'Previous Rank'!$B$2:$B2766=B1704,'Previous Rank'!$C$2:$C2766=C1704),"""")"),1699.0)</f>
        <v>1699</v>
      </c>
      <c r="H1704" s="8">
        <f t="shared" si="1"/>
        <v>-4</v>
      </c>
    </row>
    <row r="1705">
      <c r="A1705" s="10">
        <v>1704.0</v>
      </c>
      <c r="B1705" s="11" t="s">
        <v>1795</v>
      </c>
      <c r="C1705" s="10" t="s">
        <v>220</v>
      </c>
      <c r="D1705" s="10" t="s">
        <v>140</v>
      </c>
      <c r="E1705" s="15"/>
      <c r="F1705" s="15" t="s">
        <v>382</v>
      </c>
      <c r="G1705" s="13">
        <f>IFERROR(__xludf.DUMMYFUNCTION("if(counta(filter('Previous Rank'!$A$2:$A2766,'Previous Rank'!$B$2:$B2766=B1705,'Previous Rank'!$C$2:$C2766=C1705))=1,filter('Previous Rank'!$A$2:$A2766,'Previous Rank'!$B$2:$B2766=B1705,'Previous Rank'!$C$2:$C2766=C1705),"""")"),1700.0)</f>
        <v>1700</v>
      </c>
      <c r="H1705" s="8">
        <f t="shared" si="1"/>
        <v>-4</v>
      </c>
    </row>
    <row r="1706">
      <c r="A1706" s="10">
        <v>1705.0</v>
      </c>
      <c r="B1706" s="11" t="s">
        <v>1796</v>
      </c>
      <c r="C1706" s="10" t="s">
        <v>220</v>
      </c>
      <c r="D1706" s="10" t="s">
        <v>42</v>
      </c>
      <c r="E1706" s="16"/>
      <c r="F1706" s="16" t="s">
        <v>382</v>
      </c>
      <c r="G1706" s="13">
        <f>IFERROR(__xludf.DUMMYFUNCTION("if(counta(filter('Previous Rank'!$A$2:$A2766,'Previous Rank'!$B$2:$B2766=B1706,'Previous Rank'!$C$2:$C2766=C1706))=1,filter('Previous Rank'!$A$2:$A2766,'Previous Rank'!$B$2:$B2766=B1706,'Previous Rank'!$C$2:$C2766=C1706),"""")"),1701.0)</f>
        <v>1701</v>
      </c>
      <c r="H1706" s="8">
        <f t="shared" si="1"/>
        <v>-4</v>
      </c>
    </row>
    <row r="1707">
      <c r="A1707" s="10">
        <v>1706.0</v>
      </c>
      <c r="B1707" s="11" t="s">
        <v>1797</v>
      </c>
      <c r="C1707" s="10" t="s">
        <v>8</v>
      </c>
      <c r="D1707" s="10" t="s">
        <v>137</v>
      </c>
      <c r="E1707" s="15"/>
      <c r="F1707" s="15" t="s">
        <v>382</v>
      </c>
      <c r="G1707" s="13">
        <f>IFERROR(__xludf.DUMMYFUNCTION("if(counta(filter('Previous Rank'!$A$2:$A2766,'Previous Rank'!$B$2:$B2766=B1707,'Previous Rank'!$C$2:$C2766=C1707))=1,filter('Previous Rank'!$A$2:$A2766,'Previous Rank'!$B$2:$B2766=B1707,'Previous Rank'!$C$2:$C2766=C1707),"""")"),1702.0)</f>
        <v>1702</v>
      </c>
      <c r="H1707" s="8">
        <f t="shared" si="1"/>
        <v>-4</v>
      </c>
    </row>
    <row r="1708">
      <c r="A1708" s="10">
        <v>1707.0</v>
      </c>
      <c r="B1708" s="11" t="s">
        <v>1798</v>
      </c>
      <c r="C1708" s="10" t="s">
        <v>79</v>
      </c>
      <c r="D1708" s="10" t="s">
        <v>85</v>
      </c>
      <c r="E1708" s="16"/>
      <c r="F1708" s="16" t="s">
        <v>382</v>
      </c>
      <c r="G1708" s="13">
        <f>IFERROR(__xludf.DUMMYFUNCTION("if(counta(filter('Previous Rank'!$A$2:$A2766,'Previous Rank'!$B$2:$B2766=B1708,'Previous Rank'!$C$2:$C2766=C1708))=1,filter('Previous Rank'!$A$2:$A2766,'Previous Rank'!$B$2:$B2766=B1708,'Previous Rank'!$C$2:$C2766=C1708),"""")"),1704.0)</f>
        <v>1704</v>
      </c>
      <c r="H1708" s="8">
        <f t="shared" si="1"/>
        <v>-3</v>
      </c>
    </row>
    <row r="1709">
      <c r="A1709" s="10">
        <v>1708.0</v>
      </c>
      <c r="B1709" s="11" t="s">
        <v>1799</v>
      </c>
      <c r="C1709" s="10" t="s">
        <v>79</v>
      </c>
      <c r="D1709" s="10" t="s">
        <v>90</v>
      </c>
      <c r="E1709" s="15"/>
      <c r="F1709" s="15" t="s">
        <v>382</v>
      </c>
      <c r="G1709" s="13">
        <f>IFERROR(__xludf.DUMMYFUNCTION("if(counta(filter('Previous Rank'!$A$2:$A2766,'Previous Rank'!$B$2:$B2766=B1709,'Previous Rank'!$C$2:$C2766=C1709))=1,filter('Previous Rank'!$A$2:$A2766,'Previous Rank'!$B$2:$B2766=B1709,'Previous Rank'!$C$2:$C2766=C1709),"""")"),1705.0)</f>
        <v>1705</v>
      </c>
      <c r="H1709" s="8">
        <f t="shared" si="1"/>
        <v>-3</v>
      </c>
    </row>
    <row r="1710">
      <c r="A1710" s="10">
        <v>1709.0</v>
      </c>
      <c r="B1710" s="11" t="s">
        <v>1800</v>
      </c>
      <c r="C1710" s="10" t="s">
        <v>22</v>
      </c>
      <c r="D1710" s="10" t="s">
        <v>137</v>
      </c>
      <c r="E1710" s="16"/>
      <c r="F1710" s="16" t="s">
        <v>382</v>
      </c>
      <c r="G1710" s="13">
        <f>IFERROR(__xludf.DUMMYFUNCTION("if(counta(filter('Previous Rank'!$A$2:$A2766,'Previous Rank'!$B$2:$B2766=B1710,'Previous Rank'!$C$2:$C2766=C1710))=1,filter('Previous Rank'!$A$2:$A2766,'Previous Rank'!$B$2:$B2766=B1710,'Previous Rank'!$C$2:$C2766=C1710),"""")"),1706.0)</f>
        <v>1706</v>
      </c>
      <c r="H1710" s="8">
        <f t="shared" si="1"/>
        <v>-3</v>
      </c>
    </row>
    <row r="1711">
      <c r="A1711" s="10">
        <v>1710.0</v>
      </c>
      <c r="B1711" s="11" t="s">
        <v>1801</v>
      </c>
      <c r="C1711" s="10" t="s">
        <v>87</v>
      </c>
      <c r="D1711" s="10" t="s">
        <v>105</v>
      </c>
      <c r="E1711" s="15"/>
      <c r="F1711" s="15" t="s">
        <v>382</v>
      </c>
      <c r="G1711" s="13">
        <f>IFERROR(__xludf.DUMMYFUNCTION("if(counta(filter('Previous Rank'!$A$2:$A2766,'Previous Rank'!$B$2:$B2766=B1711,'Previous Rank'!$C$2:$C2766=C1711))=1,filter('Previous Rank'!$A$2:$A2766,'Previous Rank'!$B$2:$B2766=B1711,'Previous Rank'!$C$2:$C2766=C1711),"""")"),1707.0)</f>
        <v>1707</v>
      </c>
      <c r="H1711" s="8">
        <f t="shared" si="1"/>
        <v>-3</v>
      </c>
    </row>
    <row r="1712">
      <c r="A1712" s="10">
        <v>1711.0</v>
      </c>
      <c r="B1712" s="11" t="s">
        <v>1802</v>
      </c>
      <c r="C1712" s="10" t="s">
        <v>33</v>
      </c>
      <c r="D1712" s="10" t="s">
        <v>46</v>
      </c>
      <c r="E1712" s="16"/>
      <c r="F1712" s="16" t="s">
        <v>382</v>
      </c>
      <c r="G1712" s="13">
        <f>IFERROR(__xludf.DUMMYFUNCTION("if(counta(filter('Previous Rank'!$A$2:$A2766,'Previous Rank'!$B$2:$B2766=B1712,'Previous Rank'!$C$2:$C2766=C1712))=1,filter('Previous Rank'!$A$2:$A2766,'Previous Rank'!$B$2:$B2766=B1712,'Previous Rank'!$C$2:$C2766=C1712),"""")"),1708.0)</f>
        <v>1708</v>
      </c>
      <c r="H1712" s="8">
        <f t="shared" si="1"/>
        <v>-3</v>
      </c>
    </row>
    <row r="1713">
      <c r="A1713" s="10">
        <v>1712.0</v>
      </c>
      <c r="B1713" s="11" t="s">
        <v>1803</v>
      </c>
      <c r="C1713" s="10" t="s">
        <v>22</v>
      </c>
      <c r="D1713" s="10" t="s">
        <v>140</v>
      </c>
      <c r="E1713" s="15"/>
      <c r="F1713" s="15" t="s">
        <v>382</v>
      </c>
      <c r="G1713" s="13">
        <f>IFERROR(__xludf.DUMMYFUNCTION("if(counta(filter('Previous Rank'!$A$2:$A2766,'Previous Rank'!$B$2:$B2766=B1713,'Previous Rank'!$C$2:$C2766=C1713))=1,filter('Previous Rank'!$A$2:$A2766,'Previous Rank'!$B$2:$B2766=B1713,'Previous Rank'!$C$2:$C2766=C1713),"""")"),1709.0)</f>
        <v>1709</v>
      </c>
      <c r="H1713" s="8">
        <f t="shared" si="1"/>
        <v>-3</v>
      </c>
    </row>
    <row r="1714">
      <c r="A1714" s="10">
        <v>1713.0</v>
      </c>
      <c r="B1714" s="11" t="s">
        <v>1804</v>
      </c>
      <c r="C1714" s="10" t="s">
        <v>77</v>
      </c>
      <c r="D1714" s="10" t="s">
        <v>52</v>
      </c>
      <c r="E1714" s="16"/>
      <c r="F1714" s="16" t="s">
        <v>382</v>
      </c>
      <c r="G1714" s="13">
        <f>IFERROR(__xludf.DUMMYFUNCTION("if(counta(filter('Previous Rank'!$A$2:$A2766,'Previous Rank'!$B$2:$B2766=B1714,'Previous Rank'!$C$2:$C2766=C1714))=1,filter('Previous Rank'!$A$2:$A2766,'Previous Rank'!$B$2:$B2766=B1714,'Previous Rank'!$C$2:$C2766=C1714),"""")"),1710.0)</f>
        <v>1710</v>
      </c>
      <c r="H1714" s="8">
        <f t="shared" si="1"/>
        <v>-3</v>
      </c>
    </row>
    <row r="1715">
      <c r="A1715" s="10">
        <v>1714.0</v>
      </c>
      <c r="B1715" s="11" t="s">
        <v>1805</v>
      </c>
      <c r="C1715" s="10" t="s">
        <v>1710</v>
      </c>
      <c r="D1715" s="10" t="s">
        <v>122</v>
      </c>
      <c r="E1715" s="15"/>
      <c r="F1715" s="15" t="s">
        <v>382</v>
      </c>
      <c r="G1715" s="13">
        <f>IFERROR(__xludf.DUMMYFUNCTION("if(counta(filter('Previous Rank'!$A$2:$A2766,'Previous Rank'!$B$2:$B2766=B1715,'Previous Rank'!$C$2:$C2766=C1715))=1,filter('Previous Rank'!$A$2:$A2766,'Previous Rank'!$B$2:$B2766=B1715,'Previous Rank'!$C$2:$C2766=C1715),"""")"),1711.0)</f>
        <v>1711</v>
      </c>
      <c r="H1715" s="8">
        <f t="shared" si="1"/>
        <v>-3</v>
      </c>
    </row>
    <row r="1716">
      <c r="A1716" s="10">
        <v>1715.0</v>
      </c>
      <c r="B1716" s="11" t="s">
        <v>1806</v>
      </c>
      <c r="C1716" s="10" t="s">
        <v>79</v>
      </c>
      <c r="D1716" s="10" t="s">
        <v>18</v>
      </c>
      <c r="E1716" s="16"/>
      <c r="F1716" s="16" t="s">
        <v>382</v>
      </c>
      <c r="G1716" s="13">
        <f>IFERROR(__xludf.DUMMYFUNCTION("if(counta(filter('Previous Rank'!$A$2:$A2766,'Previous Rank'!$B$2:$B2766=B1716,'Previous Rank'!$C$2:$C2766=C1716))=1,filter('Previous Rank'!$A$2:$A2766,'Previous Rank'!$B$2:$B2766=B1716,'Previous Rank'!$C$2:$C2766=C1716),"""")"),1712.0)</f>
        <v>1712</v>
      </c>
      <c r="H1716" s="8">
        <f t="shared" si="1"/>
        <v>-3</v>
      </c>
    </row>
    <row r="1717">
      <c r="A1717" s="10">
        <v>1716.0</v>
      </c>
      <c r="B1717" s="11" t="s">
        <v>1807</v>
      </c>
      <c r="C1717" s="10" t="s">
        <v>79</v>
      </c>
      <c r="D1717" s="10" t="s">
        <v>34</v>
      </c>
      <c r="E1717" s="15"/>
      <c r="F1717" s="15" t="s">
        <v>382</v>
      </c>
      <c r="G1717" s="13">
        <f>IFERROR(__xludf.DUMMYFUNCTION("if(counta(filter('Previous Rank'!$A$2:$A2766,'Previous Rank'!$B$2:$B2766=B1717,'Previous Rank'!$C$2:$C2766=C1717))=1,filter('Previous Rank'!$A$2:$A2766,'Previous Rank'!$B$2:$B2766=B1717,'Previous Rank'!$C$2:$C2766=C1717),"""")"),1713.0)</f>
        <v>1713</v>
      </c>
      <c r="H1717" s="8">
        <f t="shared" si="1"/>
        <v>-3</v>
      </c>
    </row>
    <row r="1718">
      <c r="A1718" s="10">
        <v>1717.0</v>
      </c>
      <c r="B1718" s="11" t="s">
        <v>1808</v>
      </c>
      <c r="C1718" s="10" t="s">
        <v>283</v>
      </c>
      <c r="D1718" s="10" t="s">
        <v>34</v>
      </c>
      <c r="E1718" s="16"/>
      <c r="F1718" s="16" t="s">
        <v>382</v>
      </c>
      <c r="G1718" s="13">
        <f>IFERROR(__xludf.DUMMYFUNCTION("if(counta(filter('Previous Rank'!$A$2:$A2766,'Previous Rank'!$B$2:$B2766=B1718,'Previous Rank'!$C$2:$C2766=C1718))=1,filter('Previous Rank'!$A$2:$A2766,'Previous Rank'!$B$2:$B2766=B1718,'Previous Rank'!$C$2:$C2766=C1718),"""")"),1714.0)</f>
        <v>1714</v>
      </c>
      <c r="H1718" s="8">
        <f t="shared" si="1"/>
        <v>-3</v>
      </c>
    </row>
    <row r="1719">
      <c r="A1719" s="10">
        <v>1718.0</v>
      </c>
      <c r="B1719" s="11" t="s">
        <v>1809</v>
      </c>
      <c r="C1719" s="10" t="s">
        <v>79</v>
      </c>
      <c r="D1719" s="10" t="s">
        <v>137</v>
      </c>
      <c r="E1719" s="15"/>
      <c r="F1719" s="15" t="s">
        <v>382</v>
      </c>
      <c r="G1719" s="13">
        <f>IFERROR(__xludf.DUMMYFUNCTION("if(counta(filter('Previous Rank'!$A$2:$A2766,'Previous Rank'!$B$2:$B2766=B1719,'Previous Rank'!$C$2:$C2766=C1719))=1,filter('Previous Rank'!$A$2:$A2766,'Previous Rank'!$B$2:$B2766=B1719,'Previous Rank'!$C$2:$C2766=C1719),"""")"),1715.0)</f>
        <v>1715</v>
      </c>
      <c r="H1719" s="8">
        <f t="shared" si="1"/>
        <v>-3</v>
      </c>
    </row>
    <row r="1720">
      <c r="A1720" s="10">
        <v>1719.0</v>
      </c>
      <c r="B1720" s="11" t="s">
        <v>1810</v>
      </c>
      <c r="C1720" s="10" t="s">
        <v>189</v>
      </c>
      <c r="D1720" s="10" t="s">
        <v>71</v>
      </c>
      <c r="E1720" s="16"/>
      <c r="F1720" s="16" t="s">
        <v>382</v>
      </c>
      <c r="G1720" s="13">
        <f>IFERROR(__xludf.DUMMYFUNCTION("if(counta(filter('Previous Rank'!$A$2:$A2766,'Previous Rank'!$B$2:$B2766=B1720,'Previous Rank'!$C$2:$C2766=C1720))=1,filter('Previous Rank'!$A$2:$A2766,'Previous Rank'!$B$2:$B2766=B1720,'Previous Rank'!$C$2:$C2766=C1720),"""")"),1716.0)</f>
        <v>1716</v>
      </c>
      <c r="H1720" s="8">
        <f t="shared" si="1"/>
        <v>-3</v>
      </c>
    </row>
    <row r="1721">
      <c r="A1721" s="10">
        <v>1720.0</v>
      </c>
      <c r="B1721" s="11" t="s">
        <v>1811</v>
      </c>
      <c r="C1721" s="10" t="s">
        <v>8</v>
      </c>
      <c r="D1721" s="10" t="s">
        <v>18</v>
      </c>
      <c r="E1721" s="15"/>
      <c r="F1721" s="15" t="s">
        <v>382</v>
      </c>
      <c r="G1721" s="13">
        <f>IFERROR(__xludf.DUMMYFUNCTION("if(counta(filter('Previous Rank'!$A$2:$A2766,'Previous Rank'!$B$2:$B2766=B1721,'Previous Rank'!$C$2:$C2766=C1721))=1,filter('Previous Rank'!$A$2:$A2766,'Previous Rank'!$B$2:$B2766=B1721,'Previous Rank'!$C$2:$C2766=C1721),"""")"),1717.0)</f>
        <v>1717</v>
      </c>
      <c r="H1721" s="8">
        <f t="shared" si="1"/>
        <v>-3</v>
      </c>
    </row>
    <row r="1722">
      <c r="A1722" s="10">
        <v>1721.0</v>
      </c>
      <c r="B1722" s="11" t="s">
        <v>1812</v>
      </c>
      <c r="C1722" s="10" t="s">
        <v>136</v>
      </c>
      <c r="D1722" s="10" t="s">
        <v>27</v>
      </c>
      <c r="E1722" s="16"/>
      <c r="F1722" s="16" t="s">
        <v>382</v>
      </c>
      <c r="G1722" s="13">
        <f>IFERROR(__xludf.DUMMYFUNCTION("if(counta(filter('Previous Rank'!$A$2:$A2766,'Previous Rank'!$B$2:$B2766=B1722,'Previous Rank'!$C$2:$C2766=C1722))=1,filter('Previous Rank'!$A$2:$A2766,'Previous Rank'!$B$2:$B2766=B1722,'Previous Rank'!$C$2:$C2766=C1722),"""")"),1718.0)</f>
        <v>1718</v>
      </c>
      <c r="H1722" s="8">
        <f t="shared" si="1"/>
        <v>-3</v>
      </c>
    </row>
    <row r="1723">
      <c r="A1723" s="10">
        <v>1722.0</v>
      </c>
      <c r="B1723" s="11" t="s">
        <v>1813</v>
      </c>
      <c r="C1723" s="10" t="s">
        <v>1814</v>
      </c>
      <c r="D1723" s="10" t="s">
        <v>12</v>
      </c>
      <c r="E1723" s="15"/>
      <c r="F1723" s="15" t="s">
        <v>382</v>
      </c>
      <c r="G1723" s="13">
        <f>IFERROR(__xludf.DUMMYFUNCTION("if(counta(filter('Previous Rank'!$A$2:$A2766,'Previous Rank'!$B$2:$B2766=B1723,'Previous Rank'!$C$2:$C2766=C1723))=1,filter('Previous Rank'!$A$2:$A2766,'Previous Rank'!$B$2:$B2766=B1723,'Previous Rank'!$C$2:$C2766=C1723),"""")"),1719.0)</f>
        <v>1719</v>
      </c>
      <c r="H1723" s="8">
        <f t="shared" si="1"/>
        <v>-3</v>
      </c>
    </row>
    <row r="1724">
      <c r="A1724" s="10">
        <v>1723.0</v>
      </c>
      <c r="B1724" s="11" t="s">
        <v>1815</v>
      </c>
      <c r="C1724" s="10" t="s">
        <v>158</v>
      </c>
      <c r="D1724" s="10" t="s">
        <v>46</v>
      </c>
      <c r="E1724" s="16"/>
      <c r="F1724" s="16" t="s">
        <v>382</v>
      </c>
      <c r="G1724" s="13">
        <f>IFERROR(__xludf.DUMMYFUNCTION("if(counta(filter('Previous Rank'!$A$2:$A2766,'Previous Rank'!$B$2:$B2766=B1724,'Previous Rank'!$C$2:$C2766=C1724))=1,filter('Previous Rank'!$A$2:$A2766,'Previous Rank'!$B$2:$B2766=B1724,'Previous Rank'!$C$2:$C2766=C1724),"""")"),1720.0)</f>
        <v>1720</v>
      </c>
      <c r="H1724" s="8">
        <f t="shared" si="1"/>
        <v>-3</v>
      </c>
    </row>
    <row r="1725">
      <c r="A1725" s="10">
        <v>1724.0</v>
      </c>
      <c r="B1725" s="11" t="s">
        <v>1816</v>
      </c>
      <c r="C1725" s="10" t="s">
        <v>79</v>
      </c>
      <c r="D1725" s="10" t="s">
        <v>15</v>
      </c>
      <c r="E1725" s="15"/>
      <c r="F1725" s="15" t="s">
        <v>382</v>
      </c>
      <c r="G1725" s="13">
        <f>IFERROR(__xludf.DUMMYFUNCTION("if(counta(filter('Previous Rank'!$A$2:$A2766,'Previous Rank'!$B$2:$B2766=B1725,'Previous Rank'!$C$2:$C2766=C1725))=1,filter('Previous Rank'!$A$2:$A2766,'Previous Rank'!$B$2:$B2766=B1725,'Previous Rank'!$C$2:$C2766=C1725),"""")"),1721.0)</f>
        <v>1721</v>
      </c>
      <c r="H1725" s="8">
        <f t="shared" si="1"/>
        <v>-3</v>
      </c>
    </row>
    <row r="1726">
      <c r="A1726" s="10">
        <v>1725.0</v>
      </c>
      <c r="B1726" s="11" t="s">
        <v>1817</v>
      </c>
      <c r="C1726" s="10" t="s">
        <v>218</v>
      </c>
      <c r="D1726" s="10" t="s">
        <v>105</v>
      </c>
      <c r="E1726" s="16"/>
      <c r="F1726" s="16" t="s">
        <v>382</v>
      </c>
      <c r="G1726" s="13">
        <f>IFERROR(__xludf.DUMMYFUNCTION("if(counta(filter('Previous Rank'!$A$2:$A2766,'Previous Rank'!$B$2:$B2766=B1726,'Previous Rank'!$C$2:$C2766=C1726))=1,filter('Previous Rank'!$A$2:$A2766,'Previous Rank'!$B$2:$B2766=B1726,'Previous Rank'!$C$2:$C2766=C1726),"""")"),1722.0)</f>
        <v>1722</v>
      </c>
      <c r="H1726" s="8">
        <f t="shared" si="1"/>
        <v>-3</v>
      </c>
    </row>
    <row r="1727">
      <c r="A1727" s="10">
        <v>1726.0</v>
      </c>
      <c r="B1727" s="11" t="s">
        <v>1818</v>
      </c>
      <c r="C1727" s="10" t="s">
        <v>283</v>
      </c>
      <c r="D1727" s="10" t="s">
        <v>31</v>
      </c>
      <c r="E1727" s="15"/>
      <c r="F1727" s="15" t="s">
        <v>382</v>
      </c>
      <c r="G1727" s="13">
        <f>IFERROR(__xludf.DUMMYFUNCTION("if(counta(filter('Previous Rank'!$A$2:$A2766,'Previous Rank'!$B$2:$B2766=B1727,'Previous Rank'!$C$2:$C2766=C1727))=1,filter('Previous Rank'!$A$2:$A2766,'Previous Rank'!$B$2:$B2766=B1727,'Previous Rank'!$C$2:$C2766=C1727),"""")"),1723.0)</f>
        <v>1723</v>
      </c>
      <c r="H1727" s="8">
        <f t="shared" si="1"/>
        <v>-3</v>
      </c>
    </row>
    <row r="1728">
      <c r="A1728" s="10">
        <v>1727.0</v>
      </c>
      <c r="B1728" s="11" t="s">
        <v>1819</v>
      </c>
      <c r="C1728" s="10" t="s">
        <v>218</v>
      </c>
      <c r="D1728" s="10" t="s">
        <v>34</v>
      </c>
      <c r="E1728" s="16"/>
      <c r="F1728" s="16" t="s">
        <v>382</v>
      </c>
      <c r="G1728" s="13">
        <f>IFERROR(__xludf.DUMMYFUNCTION("if(counta(filter('Previous Rank'!$A$2:$A2766,'Previous Rank'!$B$2:$B2766=B1728,'Previous Rank'!$C$2:$C2766=C1728))=1,filter('Previous Rank'!$A$2:$A2766,'Previous Rank'!$B$2:$B2766=B1728,'Previous Rank'!$C$2:$C2766=C1728),"""")"),1724.0)</f>
        <v>1724</v>
      </c>
      <c r="H1728" s="8">
        <f t="shared" si="1"/>
        <v>-3</v>
      </c>
    </row>
    <row r="1729">
      <c r="A1729" s="10">
        <v>1728.0</v>
      </c>
      <c r="B1729" s="11" t="s">
        <v>1820</v>
      </c>
      <c r="C1729" s="10" t="s">
        <v>77</v>
      </c>
      <c r="D1729" s="10" t="s">
        <v>90</v>
      </c>
      <c r="E1729" s="15"/>
      <c r="F1729" s="15" t="s">
        <v>382</v>
      </c>
      <c r="G1729" s="13">
        <f>IFERROR(__xludf.DUMMYFUNCTION("if(counta(filter('Previous Rank'!$A$2:$A2766,'Previous Rank'!$B$2:$B2766=B1729,'Previous Rank'!$C$2:$C2766=C1729))=1,filter('Previous Rank'!$A$2:$A2766,'Previous Rank'!$B$2:$B2766=B1729,'Previous Rank'!$C$2:$C2766=C1729),"""")"),1725.0)</f>
        <v>1725</v>
      </c>
      <c r="H1729" s="8">
        <f t="shared" si="1"/>
        <v>-3</v>
      </c>
    </row>
    <row r="1730">
      <c r="A1730" s="10">
        <v>1729.0</v>
      </c>
      <c r="B1730" s="11" t="s">
        <v>1821</v>
      </c>
      <c r="C1730" s="10" t="s">
        <v>79</v>
      </c>
      <c r="D1730" s="10" t="s">
        <v>46</v>
      </c>
      <c r="E1730" s="16"/>
      <c r="F1730" s="16" t="s">
        <v>382</v>
      </c>
      <c r="G1730" s="13">
        <f>IFERROR(__xludf.DUMMYFUNCTION("if(counta(filter('Previous Rank'!$A$2:$A2766,'Previous Rank'!$B$2:$B2766=B1730,'Previous Rank'!$C$2:$C2766=C1730))=1,filter('Previous Rank'!$A$2:$A2766,'Previous Rank'!$B$2:$B2766=B1730,'Previous Rank'!$C$2:$C2766=C1730),"""")"),1726.0)</f>
        <v>1726</v>
      </c>
      <c r="H1730" s="8">
        <f t="shared" si="1"/>
        <v>-3</v>
      </c>
    </row>
    <row r="1731">
      <c r="A1731" s="10">
        <v>1730.0</v>
      </c>
      <c r="B1731" s="11" t="s">
        <v>1822</v>
      </c>
      <c r="C1731" s="10" t="s">
        <v>79</v>
      </c>
      <c r="D1731" s="10" t="s">
        <v>82</v>
      </c>
      <c r="E1731" s="15"/>
      <c r="F1731" s="15" t="s">
        <v>382</v>
      </c>
      <c r="G1731" s="13">
        <f>IFERROR(__xludf.DUMMYFUNCTION("if(counta(filter('Previous Rank'!$A$2:$A2766,'Previous Rank'!$B$2:$B2766=B1731,'Previous Rank'!$C$2:$C2766=C1731))=1,filter('Previous Rank'!$A$2:$A2766,'Previous Rank'!$B$2:$B2766=B1731,'Previous Rank'!$C$2:$C2766=C1731),"""")"),1727.0)</f>
        <v>1727</v>
      </c>
      <c r="H1731" s="8">
        <f t="shared" si="1"/>
        <v>-3</v>
      </c>
    </row>
    <row r="1732">
      <c r="A1732" s="10">
        <v>1731.0</v>
      </c>
      <c r="B1732" s="11" t="s">
        <v>1823</v>
      </c>
      <c r="C1732" s="10" t="s">
        <v>126</v>
      </c>
      <c r="D1732" s="10" t="s">
        <v>120</v>
      </c>
      <c r="E1732" s="16"/>
      <c r="F1732" s="16" t="s">
        <v>382</v>
      </c>
      <c r="G1732" s="13">
        <f>IFERROR(__xludf.DUMMYFUNCTION("if(counta(filter('Previous Rank'!$A$2:$A2766,'Previous Rank'!$B$2:$B2766=B1732,'Previous Rank'!$C$2:$C2766=C1732))=1,filter('Previous Rank'!$A$2:$A2766,'Previous Rank'!$B$2:$B2766=B1732,'Previous Rank'!$C$2:$C2766=C1732),"""")"),1728.0)</f>
        <v>1728</v>
      </c>
      <c r="H1732" s="8">
        <f t="shared" si="1"/>
        <v>-3</v>
      </c>
    </row>
    <row r="1733">
      <c r="A1733" s="10">
        <v>1732.0</v>
      </c>
      <c r="B1733" s="11" t="s">
        <v>1824</v>
      </c>
      <c r="C1733" s="10" t="s">
        <v>240</v>
      </c>
      <c r="D1733" s="10" t="s">
        <v>206</v>
      </c>
      <c r="E1733" s="15"/>
      <c r="F1733" s="15" t="s">
        <v>382</v>
      </c>
      <c r="G1733" s="13">
        <f>IFERROR(__xludf.DUMMYFUNCTION("if(counta(filter('Previous Rank'!$A$2:$A2766,'Previous Rank'!$B$2:$B2766=B1733,'Previous Rank'!$C$2:$C2766=C1733))=1,filter('Previous Rank'!$A$2:$A2766,'Previous Rank'!$B$2:$B2766=B1733,'Previous Rank'!$C$2:$C2766=C1733),"""")"),1729.0)</f>
        <v>1729</v>
      </c>
      <c r="H1733" s="8">
        <f t="shared" si="1"/>
        <v>-3</v>
      </c>
    </row>
    <row r="1734">
      <c r="A1734" s="10">
        <v>1733.0</v>
      </c>
      <c r="B1734" s="11" t="s">
        <v>1825</v>
      </c>
      <c r="C1734" s="10" t="s">
        <v>20</v>
      </c>
      <c r="D1734" s="10" t="s">
        <v>137</v>
      </c>
      <c r="E1734" s="16"/>
      <c r="F1734" s="16" t="s">
        <v>382</v>
      </c>
      <c r="G1734" s="13">
        <f>IFERROR(__xludf.DUMMYFUNCTION("if(counta(filter('Previous Rank'!$A$2:$A2766,'Previous Rank'!$B$2:$B2766=B1734,'Previous Rank'!$C$2:$C2766=C1734))=1,filter('Previous Rank'!$A$2:$A2766,'Previous Rank'!$B$2:$B2766=B1734,'Previous Rank'!$C$2:$C2766=C1734),"""")"),1730.0)</f>
        <v>1730</v>
      </c>
      <c r="H1734" s="8">
        <f t="shared" si="1"/>
        <v>-3</v>
      </c>
    </row>
    <row r="1735">
      <c r="A1735" s="10">
        <v>1734.0</v>
      </c>
      <c r="B1735" s="11" t="s">
        <v>1826</v>
      </c>
      <c r="C1735" s="10" t="s">
        <v>158</v>
      </c>
      <c r="D1735" s="10" t="s">
        <v>12</v>
      </c>
      <c r="E1735" s="15"/>
      <c r="F1735" s="15" t="s">
        <v>382</v>
      </c>
      <c r="G1735" s="13">
        <f>IFERROR(__xludf.DUMMYFUNCTION("if(counta(filter('Previous Rank'!$A$2:$A2766,'Previous Rank'!$B$2:$B2766=B1735,'Previous Rank'!$C$2:$C2766=C1735))=1,filter('Previous Rank'!$A$2:$A2766,'Previous Rank'!$B$2:$B2766=B1735,'Previous Rank'!$C$2:$C2766=C1735),"""")"),1731.0)</f>
        <v>1731</v>
      </c>
      <c r="H1735" s="8">
        <f t="shared" si="1"/>
        <v>-3</v>
      </c>
    </row>
    <row r="1736">
      <c r="A1736" s="10">
        <v>1735.0</v>
      </c>
      <c r="B1736" s="11" t="s">
        <v>1827</v>
      </c>
      <c r="C1736" s="10" t="s">
        <v>22</v>
      </c>
      <c r="D1736" s="10" t="s">
        <v>82</v>
      </c>
      <c r="E1736" s="16"/>
      <c r="F1736" s="16" t="s">
        <v>382</v>
      </c>
      <c r="G1736" s="13">
        <f>IFERROR(__xludf.DUMMYFUNCTION("if(counta(filter('Previous Rank'!$A$2:$A2766,'Previous Rank'!$B$2:$B2766=B1736,'Previous Rank'!$C$2:$C2766=C1736))=1,filter('Previous Rank'!$A$2:$A2766,'Previous Rank'!$B$2:$B2766=B1736,'Previous Rank'!$C$2:$C2766=C1736),"""")"),1732.0)</f>
        <v>1732</v>
      </c>
      <c r="H1736" s="8">
        <f t="shared" si="1"/>
        <v>-3</v>
      </c>
    </row>
    <row r="1737">
      <c r="A1737" s="10">
        <v>1736.0</v>
      </c>
      <c r="B1737" s="11" t="s">
        <v>1828</v>
      </c>
      <c r="C1737" s="10" t="s">
        <v>48</v>
      </c>
      <c r="D1737" s="10" t="s">
        <v>42</v>
      </c>
      <c r="E1737" s="15"/>
      <c r="F1737" s="15" t="s">
        <v>382</v>
      </c>
      <c r="G1737" s="13">
        <f>IFERROR(__xludf.DUMMYFUNCTION("if(counta(filter('Previous Rank'!$A$2:$A2766,'Previous Rank'!$B$2:$B2766=B1737,'Previous Rank'!$C$2:$C2766=C1737))=1,filter('Previous Rank'!$A$2:$A2766,'Previous Rank'!$B$2:$B2766=B1737,'Previous Rank'!$C$2:$C2766=C1737),"""")"),1733.0)</f>
        <v>1733</v>
      </c>
      <c r="H1737" s="8">
        <f t="shared" si="1"/>
        <v>-3</v>
      </c>
    </row>
    <row r="1738">
      <c r="A1738" s="10">
        <v>1737.0</v>
      </c>
      <c r="B1738" s="11" t="s">
        <v>1829</v>
      </c>
      <c r="C1738" s="10" t="s">
        <v>22</v>
      </c>
      <c r="D1738" s="10" t="s">
        <v>113</v>
      </c>
      <c r="E1738" s="16"/>
      <c r="F1738" s="16" t="s">
        <v>382</v>
      </c>
      <c r="G1738" s="13">
        <f>IFERROR(__xludf.DUMMYFUNCTION("if(counta(filter('Previous Rank'!$A$2:$A2766,'Previous Rank'!$B$2:$B2766=B1738,'Previous Rank'!$C$2:$C2766=C1738))=1,filter('Previous Rank'!$A$2:$A2766,'Previous Rank'!$B$2:$B2766=B1738,'Previous Rank'!$C$2:$C2766=C1738),"""")"),1734.0)</f>
        <v>1734</v>
      </c>
      <c r="H1738" s="8">
        <f t="shared" si="1"/>
        <v>-3</v>
      </c>
    </row>
    <row r="1739">
      <c r="A1739" s="10">
        <v>1738.0</v>
      </c>
      <c r="B1739" s="11" t="s">
        <v>1830</v>
      </c>
      <c r="C1739" s="10" t="s">
        <v>79</v>
      </c>
      <c r="D1739" s="10" t="s">
        <v>137</v>
      </c>
      <c r="E1739" s="15"/>
      <c r="F1739" s="15" t="s">
        <v>382</v>
      </c>
      <c r="G1739" s="13">
        <f>IFERROR(__xludf.DUMMYFUNCTION("if(counta(filter('Previous Rank'!$A$2:$A2766,'Previous Rank'!$B$2:$B2766=B1739,'Previous Rank'!$C$2:$C2766=C1739))=1,filter('Previous Rank'!$A$2:$A2766,'Previous Rank'!$B$2:$B2766=B1739,'Previous Rank'!$C$2:$C2766=C1739),"""")"),1735.0)</f>
        <v>1735</v>
      </c>
      <c r="H1739" s="8">
        <f t="shared" si="1"/>
        <v>-3</v>
      </c>
    </row>
    <row r="1740">
      <c r="A1740" s="10">
        <v>1739.0</v>
      </c>
      <c r="B1740" s="11" t="s">
        <v>1831</v>
      </c>
      <c r="C1740" s="10" t="s">
        <v>87</v>
      </c>
      <c r="D1740" s="10" t="s">
        <v>42</v>
      </c>
      <c r="E1740" s="16"/>
      <c r="F1740" s="16" t="s">
        <v>382</v>
      </c>
      <c r="G1740" s="13">
        <f>IFERROR(__xludf.DUMMYFUNCTION("if(counta(filter('Previous Rank'!$A$2:$A2766,'Previous Rank'!$B$2:$B2766=B1740,'Previous Rank'!$C$2:$C2766=C1740))=1,filter('Previous Rank'!$A$2:$A2766,'Previous Rank'!$B$2:$B2766=B1740,'Previous Rank'!$C$2:$C2766=C1740),"""")"),1736.0)</f>
        <v>1736</v>
      </c>
      <c r="H1740" s="8">
        <f t="shared" si="1"/>
        <v>-3</v>
      </c>
    </row>
    <row r="1741">
      <c r="A1741" s="10">
        <v>1740.0</v>
      </c>
      <c r="B1741" s="11" t="s">
        <v>1832</v>
      </c>
      <c r="C1741" s="10" t="s">
        <v>39</v>
      </c>
      <c r="D1741" s="10" t="s">
        <v>27</v>
      </c>
      <c r="E1741" s="15"/>
      <c r="F1741" s="15" t="s">
        <v>382</v>
      </c>
      <c r="G1741" s="13">
        <f>IFERROR(__xludf.DUMMYFUNCTION("if(counta(filter('Previous Rank'!$A$2:$A2766,'Previous Rank'!$B$2:$B2766=B1741,'Previous Rank'!$C$2:$C2766=C1741))=1,filter('Previous Rank'!$A$2:$A2766,'Previous Rank'!$B$2:$B2766=B1741,'Previous Rank'!$C$2:$C2766=C1741),"""")"),1737.0)</f>
        <v>1737</v>
      </c>
      <c r="H1741" s="8">
        <f t="shared" si="1"/>
        <v>-3</v>
      </c>
    </row>
    <row r="1742">
      <c r="A1742" s="10">
        <v>1741.0</v>
      </c>
      <c r="B1742" s="11" t="s">
        <v>1833</v>
      </c>
      <c r="C1742" s="10" t="s">
        <v>22</v>
      </c>
      <c r="D1742" s="10" t="s">
        <v>18</v>
      </c>
      <c r="E1742" s="16"/>
      <c r="F1742" s="16" t="s">
        <v>382</v>
      </c>
      <c r="G1742" s="13">
        <f>IFERROR(__xludf.DUMMYFUNCTION("if(counta(filter('Previous Rank'!$A$2:$A2766,'Previous Rank'!$B$2:$B2766=B1742,'Previous Rank'!$C$2:$C2766=C1742))=1,filter('Previous Rank'!$A$2:$A2766,'Previous Rank'!$B$2:$B2766=B1742,'Previous Rank'!$C$2:$C2766=C1742),"""")"),1738.0)</f>
        <v>1738</v>
      </c>
      <c r="H1742" s="8">
        <f t="shared" si="1"/>
        <v>-3</v>
      </c>
    </row>
    <row r="1743">
      <c r="A1743" s="10">
        <v>1742.0</v>
      </c>
      <c r="B1743" s="11" t="s">
        <v>1834</v>
      </c>
      <c r="C1743" s="10" t="s">
        <v>218</v>
      </c>
      <c r="D1743" s="10" t="s">
        <v>71</v>
      </c>
      <c r="E1743" s="15"/>
      <c r="F1743" s="15" t="s">
        <v>382</v>
      </c>
      <c r="G1743" s="13">
        <f>IFERROR(__xludf.DUMMYFUNCTION("if(counta(filter('Previous Rank'!$A$2:$A2766,'Previous Rank'!$B$2:$B2766=B1743,'Previous Rank'!$C$2:$C2766=C1743))=1,filter('Previous Rank'!$A$2:$A2766,'Previous Rank'!$B$2:$B2766=B1743,'Previous Rank'!$C$2:$C2766=C1743),"""")"),1739.0)</f>
        <v>1739</v>
      </c>
      <c r="H1743" s="8">
        <f t="shared" si="1"/>
        <v>-3</v>
      </c>
    </row>
    <row r="1744">
      <c r="A1744" s="10">
        <v>1743.0</v>
      </c>
      <c r="B1744" s="11" t="s">
        <v>1835</v>
      </c>
      <c r="C1744" s="10" t="s">
        <v>220</v>
      </c>
      <c r="D1744" s="10" t="s">
        <v>99</v>
      </c>
      <c r="E1744" s="16"/>
      <c r="F1744" s="16" t="s">
        <v>382</v>
      </c>
      <c r="G1744" s="13">
        <f>IFERROR(__xludf.DUMMYFUNCTION("if(counta(filter('Previous Rank'!$A$2:$A2766,'Previous Rank'!$B$2:$B2766=B1744,'Previous Rank'!$C$2:$C2766=C1744))=1,filter('Previous Rank'!$A$2:$A2766,'Previous Rank'!$B$2:$B2766=B1744,'Previous Rank'!$C$2:$C2766=C1744),"""")"),1740.0)</f>
        <v>1740</v>
      </c>
      <c r="H1744" s="8">
        <f t="shared" si="1"/>
        <v>-3</v>
      </c>
    </row>
    <row r="1745">
      <c r="A1745" s="10">
        <v>1744.0</v>
      </c>
      <c r="B1745" s="11" t="s">
        <v>1836</v>
      </c>
      <c r="C1745" s="10" t="s">
        <v>22</v>
      </c>
      <c r="D1745" s="10" t="s">
        <v>67</v>
      </c>
      <c r="E1745" s="15"/>
      <c r="F1745" s="15" t="s">
        <v>382</v>
      </c>
      <c r="G1745" s="13">
        <f>IFERROR(__xludf.DUMMYFUNCTION("if(counta(filter('Previous Rank'!$A$2:$A2766,'Previous Rank'!$B$2:$B2766=B1745,'Previous Rank'!$C$2:$C2766=C1745))=1,filter('Previous Rank'!$A$2:$A2766,'Previous Rank'!$B$2:$B2766=B1745,'Previous Rank'!$C$2:$C2766=C1745),"""")"),1741.0)</f>
        <v>1741</v>
      </c>
      <c r="H1745" s="8">
        <f t="shared" si="1"/>
        <v>-3</v>
      </c>
    </row>
    <row r="1746">
      <c r="A1746" s="10">
        <v>1745.0</v>
      </c>
      <c r="B1746" s="11" t="s">
        <v>1837</v>
      </c>
      <c r="C1746" s="10" t="s">
        <v>218</v>
      </c>
      <c r="D1746" s="10" t="s">
        <v>42</v>
      </c>
      <c r="E1746" s="16"/>
      <c r="F1746" s="16" t="s">
        <v>382</v>
      </c>
      <c r="G1746" s="13">
        <f>IFERROR(__xludf.DUMMYFUNCTION("if(counta(filter('Previous Rank'!$A$2:$A2766,'Previous Rank'!$B$2:$B2766=B1746,'Previous Rank'!$C$2:$C2766=C1746))=1,filter('Previous Rank'!$A$2:$A2766,'Previous Rank'!$B$2:$B2766=B1746,'Previous Rank'!$C$2:$C2766=C1746),"""")"),1742.0)</f>
        <v>1742</v>
      </c>
      <c r="H1746" s="8">
        <f t="shared" si="1"/>
        <v>-3</v>
      </c>
    </row>
    <row r="1747">
      <c r="A1747" s="10">
        <v>1746.0</v>
      </c>
      <c r="B1747" s="11" t="s">
        <v>1838</v>
      </c>
      <c r="C1747" s="10" t="s">
        <v>1839</v>
      </c>
      <c r="D1747" s="10" t="s">
        <v>18</v>
      </c>
      <c r="E1747" s="15"/>
      <c r="F1747" s="15" t="s">
        <v>382</v>
      </c>
      <c r="G1747" s="13">
        <f>IFERROR(__xludf.DUMMYFUNCTION("if(counta(filter('Previous Rank'!$A$2:$A2766,'Previous Rank'!$B$2:$B2766=B1747,'Previous Rank'!$C$2:$C2766=C1747))=1,filter('Previous Rank'!$A$2:$A2766,'Previous Rank'!$B$2:$B2766=B1747,'Previous Rank'!$C$2:$C2766=C1747),"""")"),1743.0)</f>
        <v>1743</v>
      </c>
      <c r="H1747" s="8">
        <f t="shared" si="1"/>
        <v>-3</v>
      </c>
    </row>
    <row r="1748">
      <c r="A1748" s="10">
        <v>1747.0</v>
      </c>
      <c r="B1748" s="11" t="s">
        <v>1840</v>
      </c>
      <c r="C1748" s="10" t="s">
        <v>22</v>
      </c>
      <c r="D1748" s="10" t="s">
        <v>46</v>
      </c>
      <c r="E1748" s="14"/>
      <c r="F1748" s="14" t="s">
        <v>382</v>
      </c>
      <c r="G1748" s="13">
        <f>IFERROR(__xludf.DUMMYFUNCTION("if(counta(filter('Previous Rank'!$A$2:$A2766,'Previous Rank'!$B$2:$B2766=B1748,'Previous Rank'!$C$2:$C2766=C1748))=1,filter('Previous Rank'!$A$2:$A2766,'Previous Rank'!$B$2:$B2766=B1748,'Previous Rank'!$C$2:$C2766=C1748),"""")"),1744.0)</f>
        <v>1744</v>
      </c>
      <c r="H1748" s="8">
        <f t="shared" si="1"/>
        <v>-3</v>
      </c>
    </row>
    <row r="1749">
      <c r="A1749" s="10">
        <v>1748.0</v>
      </c>
      <c r="B1749" s="11" t="s">
        <v>1841</v>
      </c>
      <c r="C1749" s="10" t="s">
        <v>77</v>
      </c>
      <c r="D1749" s="10" t="s">
        <v>99</v>
      </c>
      <c r="E1749" s="15"/>
      <c r="F1749" s="15" t="s">
        <v>382</v>
      </c>
      <c r="G1749" s="13">
        <f>IFERROR(__xludf.DUMMYFUNCTION("if(counta(filter('Previous Rank'!$A$2:$A2766,'Previous Rank'!$B$2:$B2766=B1749,'Previous Rank'!$C$2:$C2766=C1749))=1,filter('Previous Rank'!$A$2:$A2766,'Previous Rank'!$B$2:$B2766=B1749,'Previous Rank'!$C$2:$C2766=C1749),"""")"),1745.0)</f>
        <v>1745</v>
      </c>
      <c r="H1749" s="8">
        <f t="shared" si="1"/>
        <v>-3</v>
      </c>
    </row>
    <row r="1750">
      <c r="A1750" s="10">
        <v>1749.0</v>
      </c>
      <c r="B1750" s="11" t="s">
        <v>1842</v>
      </c>
      <c r="C1750" s="10" t="s">
        <v>218</v>
      </c>
      <c r="D1750" s="10" t="s">
        <v>18</v>
      </c>
      <c r="E1750" s="16"/>
      <c r="F1750" s="16" t="s">
        <v>382</v>
      </c>
      <c r="G1750" s="13">
        <f>IFERROR(__xludf.DUMMYFUNCTION("if(counta(filter('Previous Rank'!$A$2:$A2766,'Previous Rank'!$B$2:$B2766=B1750,'Previous Rank'!$C$2:$C2766=C1750))=1,filter('Previous Rank'!$A$2:$A2766,'Previous Rank'!$B$2:$B2766=B1750,'Previous Rank'!$C$2:$C2766=C1750),"""")"),1746.0)</f>
        <v>1746</v>
      </c>
      <c r="H1750" s="8">
        <f t="shared" si="1"/>
        <v>-3</v>
      </c>
    </row>
    <row r="1751">
      <c r="A1751" s="10">
        <v>1750.0</v>
      </c>
      <c r="B1751" s="11" t="s">
        <v>1843</v>
      </c>
      <c r="C1751" s="10" t="s">
        <v>77</v>
      </c>
      <c r="D1751" s="10" t="s">
        <v>49</v>
      </c>
      <c r="E1751" s="15"/>
      <c r="F1751" s="15" t="s">
        <v>382</v>
      </c>
      <c r="G1751" s="13">
        <f>IFERROR(__xludf.DUMMYFUNCTION("if(counta(filter('Previous Rank'!$A$2:$A2766,'Previous Rank'!$B$2:$B2766=B1751,'Previous Rank'!$C$2:$C2766=C1751))=1,filter('Previous Rank'!$A$2:$A2766,'Previous Rank'!$B$2:$B2766=B1751,'Previous Rank'!$C$2:$C2766=C1751),"""")"),1747.0)</f>
        <v>1747</v>
      </c>
      <c r="H1751" s="8">
        <f t="shared" si="1"/>
        <v>-3</v>
      </c>
    </row>
    <row r="1752">
      <c r="A1752" s="10">
        <v>1751.0</v>
      </c>
      <c r="B1752" s="11" t="s">
        <v>1844</v>
      </c>
      <c r="C1752" s="10" t="s">
        <v>327</v>
      </c>
      <c r="D1752" s="10" t="s">
        <v>99</v>
      </c>
      <c r="E1752" s="16"/>
      <c r="F1752" s="16" t="s">
        <v>382</v>
      </c>
      <c r="G1752" s="13">
        <f>IFERROR(__xludf.DUMMYFUNCTION("if(counta(filter('Previous Rank'!$A$2:$A2766,'Previous Rank'!$B$2:$B2766=B1752,'Previous Rank'!$C$2:$C2766=C1752))=1,filter('Previous Rank'!$A$2:$A2766,'Previous Rank'!$B$2:$B2766=B1752,'Previous Rank'!$C$2:$C2766=C1752),"""")"),1748.0)</f>
        <v>1748</v>
      </c>
      <c r="H1752" s="8">
        <f t="shared" si="1"/>
        <v>-3</v>
      </c>
    </row>
    <row r="1753">
      <c r="A1753" s="10">
        <v>1752.0</v>
      </c>
      <c r="B1753" s="11" t="s">
        <v>1845</v>
      </c>
      <c r="C1753" s="10" t="s">
        <v>220</v>
      </c>
      <c r="D1753" s="10" t="s">
        <v>71</v>
      </c>
      <c r="E1753" s="15"/>
      <c r="F1753" s="15" t="s">
        <v>382</v>
      </c>
      <c r="G1753" s="13">
        <f>IFERROR(__xludf.DUMMYFUNCTION("if(counta(filter('Previous Rank'!$A$2:$A2766,'Previous Rank'!$B$2:$B2766=B1753,'Previous Rank'!$C$2:$C2766=C1753))=1,filter('Previous Rank'!$A$2:$A2766,'Previous Rank'!$B$2:$B2766=B1753,'Previous Rank'!$C$2:$C2766=C1753),"""")"),1749.0)</f>
        <v>1749</v>
      </c>
      <c r="H1753" s="8">
        <f t="shared" si="1"/>
        <v>-3</v>
      </c>
    </row>
    <row r="1754">
      <c r="A1754" s="10">
        <v>1753.0</v>
      </c>
      <c r="B1754" s="11" t="s">
        <v>1846</v>
      </c>
      <c r="C1754" s="10" t="s">
        <v>136</v>
      </c>
      <c r="D1754" s="10" t="s">
        <v>49</v>
      </c>
      <c r="E1754" s="16"/>
      <c r="F1754" s="16" t="s">
        <v>382</v>
      </c>
      <c r="G1754" s="13">
        <f>IFERROR(__xludf.DUMMYFUNCTION("if(counta(filter('Previous Rank'!$A$2:$A2766,'Previous Rank'!$B$2:$B2766=B1754,'Previous Rank'!$C$2:$C2766=C1754))=1,filter('Previous Rank'!$A$2:$A2766,'Previous Rank'!$B$2:$B2766=B1754,'Previous Rank'!$C$2:$C2766=C1754),"""")"),1750.0)</f>
        <v>1750</v>
      </c>
      <c r="H1754" s="8">
        <f t="shared" si="1"/>
        <v>-3</v>
      </c>
    </row>
    <row r="1755">
      <c r="A1755" s="10">
        <v>1754.0</v>
      </c>
      <c r="B1755" s="11" t="s">
        <v>1847</v>
      </c>
      <c r="C1755" s="10" t="s">
        <v>8</v>
      </c>
      <c r="D1755" s="10" t="s">
        <v>122</v>
      </c>
      <c r="E1755" s="15"/>
      <c r="F1755" s="15" t="s">
        <v>382</v>
      </c>
      <c r="G1755" s="13">
        <f>IFERROR(__xludf.DUMMYFUNCTION("if(counta(filter('Previous Rank'!$A$2:$A2766,'Previous Rank'!$B$2:$B2766=B1755,'Previous Rank'!$C$2:$C2766=C1755))=1,filter('Previous Rank'!$A$2:$A2766,'Previous Rank'!$B$2:$B2766=B1755,'Previous Rank'!$C$2:$C2766=C1755),"""")"),1751.0)</f>
        <v>1751</v>
      </c>
      <c r="H1755" s="8">
        <f t="shared" si="1"/>
        <v>-3</v>
      </c>
    </row>
    <row r="1756">
      <c r="A1756" s="10">
        <v>1755.0</v>
      </c>
      <c r="B1756" s="11" t="s">
        <v>1848</v>
      </c>
      <c r="C1756" s="10" t="s">
        <v>220</v>
      </c>
      <c r="D1756" s="10" t="s">
        <v>113</v>
      </c>
      <c r="E1756" s="16"/>
      <c r="F1756" s="16" t="s">
        <v>382</v>
      </c>
      <c r="G1756" s="13">
        <f>IFERROR(__xludf.DUMMYFUNCTION("if(counta(filter('Previous Rank'!$A$2:$A2766,'Previous Rank'!$B$2:$B2766=B1756,'Previous Rank'!$C$2:$C2766=C1756))=1,filter('Previous Rank'!$A$2:$A2766,'Previous Rank'!$B$2:$B2766=B1756,'Previous Rank'!$C$2:$C2766=C1756),"""")"),1752.0)</f>
        <v>1752</v>
      </c>
      <c r="H1756" s="8">
        <f t="shared" si="1"/>
        <v>-3</v>
      </c>
    </row>
    <row r="1757">
      <c r="A1757" s="10">
        <v>1756.0</v>
      </c>
      <c r="B1757" s="11" t="s">
        <v>1849</v>
      </c>
      <c r="C1757" s="10" t="s">
        <v>77</v>
      </c>
      <c r="D1757" s="10" t="s">
        <v>42</v>
      </c>
      <c r="E1757" s="15"/>
      <c r="F1757" s="15" t="s">
        <v>382</v>
      </c>
      <c r="G1757" s="13">
        <f>IFERROR(__xludf.DUMMYFUNCTION("if(counta(filter('Previous Rank'!$A$2:$A2766,'Previous Rank'!$B$2:$B2766=B1757,'Previous Rank'!$C$2:$C2766=C1757))=1,filter('Previous Rank'!$A$2:$A2766,'Previous Rank'!$B$2:$B2766=B1757,'Previous Rank'!$C$2:$C2766=C1757),"""")"),1753.0)</f>
        <v>1753</v>
      </c>
      <c r="H1757" s="8">
        <f t="shared" si="1"/>
        <v>-3</v>
      </c>
    </row>
    <row r="1758">
      <c r="A1758" s="10">
        <v>1757.0</v>
      </c>
      <c r="B1758" s="11" t="s">
        <v>1850</v>
      </c>
      <c r="C1758" s="10" t="s">
        <v>17</v>
      </c>
      <c r="D1758" s="10" t="s">
        <v>36</v>
      </c>
      <c r="E1758" s="16"/>
      <c r="F1758" s="16" t="s">
        <v>382</v>
      </c>
      <c r="G1758" s="13">
        <f>IFERROR(__xludf.DUMMYFUNCTION("if(counta(filter('Previous Rank'!$A$2:$A2766,'Previous Rank'!$B$2:$B2766=B1758,'Previous Rank'!$C$2:$C2766=C1758))=1,filter('Previous Rank'!$A$2:$A2766,'Previous Rank'!$B$2:$B2766=B1758,'Previous Rank'!$C$2:$C2766=C1758),"""")"),1754.0)</f>
        <v>1754</v>
      </c>
      <c r="H1758" s="8">
        <f t="shared" si="1"/>
        <v>-3</v>
      </c>
    </row>
    <row r="1759">
      <c r="A1759" s="10">
        <v>1758.0</v>
      </c>
      <c r="B1759" s="11" t="s">
        <v>1851</v>
      </c>
      <c r="C1759" s="10" t="s">
        <v>220</v>
      </c>
      <c r="D1759" s="10" t="s">
        <v>90</v>
      </c>
      <c r="E1759" s="15"/>
      <c r="F1759" s="15" t="s">
        <v>382</v>
      </c>
      <c r="G1759" s="13">
        <f>IFERROR(__xludf.DUMMYFUNCTION("if(counta(filter('Previous Rank'!$A$2:$A2766,'Previous Rank'!$B$2:$B2766=B1759,'Previous Rank'!$C$2:$C2766=C1759))=1,filter('Previous Rank'!$A$2:$A2766,'Previous Rank'!$B$2:$B2766=B1759,'Previous Rank'!$C$2:$C2766=C1759),"""")"),1755.0)</f>
        <v>1755</v>
      </c>
      <c r="H1759" s="8">
        <f t="shared" si="1"/>
        <v>-3</v>
      </c>
    </row>
    <row r="1760">
      <c r="A1760" s="10">
        <v>1759.0</v>
      </c>
      <c r="B1760" s="11" t="s">
        <v>1852</v>
      </c>
      <c r="C1760" s="10" t="s">
        <v>14</v>
      </c>
      <c r="D1760" s="10" t="s">
        <v>206</v>
      </c>
      <c r="E1760" s="14"/>
      <c r="F1760" s="14" t="s">
        <v>382</v>
      </c>
      <c r="G1760" s="13">
        <f>IFERROR(__xludf.DUMMYFUNCTION("if(counta(filter('Previous Rank'!$A$2:$A2766,'Previous Rank'!$B$2:$B2766=B1760,'Previous Rank'!$C$2:$C2766=C1760))=1,filter('Previous Rank'!$A$2:$A2766,'Previous Rank'!$B$2:$B2766=B1760,'Previous Rank'!$C$2:$C2766=C1760),"""")"),1756.0)</f>
        <v>1756</v>
      </c>
      <c r="H1760" s="8">
        <f t="shared" si="1"/>
        <v>-3</v>
      </c>
    </row>
    <row r="1761">
      <c r="A1761" s="10">
        <v>1760.0</v>
      </c>
      <c r="B1761" s="11" t="s">
        <v>1853</v>
      </c>
      <c r="C1761" s="10" t="s">
        <v>136</v>
      </c>
      <c r="D1761" s="10" t="s">
        <v>95</v>
      </c>
      <c r="E1761" s="15"/>
      <c r="F1761" s="15" t="s">
        <v>382</v>
      </c>
      <c r="G1761" s="13">
        <f>IFERROR(__xludf.DUMMYFUNCTION("if(counta(filter('Previous Rank'!$A$2:$A2766,'Previous Rank'!$B$2:$B2766=B1761,'Previous Rank'!$C$2:$C2766=C1761))=1,filter('Previous Rank'!$A$2:$A2766,'Previous Rank'!$B$2:$B2766=B1761,'Previous Rank'!$C$2:$C2766=C1761),"""")"),1757.0)</f>
        <v>1757</v>
      </c>
      <c r="H1761" s="8">
        <f t="shared" si="1"/>
        <v>-3</v>
      </c>
    </row>
    <row r="1762">
      <c r="A1762" s="10">
        <v>1761.0</v>
      </c>
      <c r="B1762" s="11" t="s">
        <v>1854</v>
      </c>
      <c r="C1762" s="10" t="s">
        <v>69</v>
      </c>
      <c r="D1762" s="10" t="s">
        <v>206</v>
      </c>
      <c r="E1762" s="16"/>
      <c r="F1762" s="16" t="s">
        <v>382</v>
      </c>
      <c r="G1762" s="13">
        <f>IFERROR(__xludf.DUMMYFUNCTION("if(counta(filter('Previous Rank'!$A$2:$A2766,'Previous Rank'!$B$2:$B2766=B1762,'Previous Rank'!$C$2:$C2766=C1762))=1,filter('Previous Rank'!$A$2:$A2766,'Previous Rank'!$B$2:$B2766=B1762,'Previous Rank'!$C$2:$C2766=C1762),"""")"),1758.0)</f>
        <v>1758</v>
      </c>
      <c r="H1762" s="8">
        <f t="shared" si="1"/>
        <v>-3</v>
      </c>
    </row>
    <row r="1763">
      <c r="A1763" s="10">
        <v>1762.0</v>
      </c>
      <c r="B1763" s="11" t="s">
        <v>1855</v>
      </c>
      <c r="C1763" s="10" t="s">
        <v>79</v>
      </c>
      <c r="D1763" s="10" t="s">
        <v>140</v>
      </c>
      <c r="E1763" s="15"/>
      <c r="F1763" s="15" t="s">
        <v>382</v>
      </c>
      <c r="G1763" s="13">
        <f>IFERROR(__xludf.DUMMYFUNCTION("if(counta(filter('Previous Rank'!$A$2:$A2766,'Previous Rank'!$B$2:$B2766=B1763,'Previous Rank'!$C$2:$C2766=C1763))=1,filter('Previous Rank'!$A$2:$A2766,'Previous Rank'!$B$2:$B2766=B1763,'Previous Rank'!$C$2:$C2766=C1763),"""")"),1759.0)</f>
        <v>1759</v>
      </c>
      <c r="H1763" s="8">
        <f t="shared" si="1"/>
        <v>-3</v>
      </c>
    </row>
    <row r="1764">
      <c r="A1764" s="10">
        <v>1763.0</v>
      </c>
      <c r="B1764" s="11" t="s">
        <v>1856</v>
      </c>
      <c r="C1764" s="10" t="s">
        <v>1857</v>
      </c>
      <c r="D1764" s="10" t="s">
        <v>71</v>
      </c>
      <c r="E1764" s="16"/>
      <c r="F1764" s="16" t="s">
        <v>382</v>
      </c>
      <c r="G1764" s="13">
        <f>IFERROR(__xludf.DUMMYFUNCTION("if(counta(filter('Previous Rank'!$A$2:$A2766,'Previous Rank'!$B$2:$B2766=B1764,'Previous Rank'!$C$2:$C2766=C1764))=1,filter('Previous Rank'!$A$2:$A2766,'Previous Rank'!$B$2:$B2766=B1764,'Previous Rank'!$C$2:$C2766=C1764),"""")"),1760.0)</f>
        <v>1760</v>
      </c>
      <c r="H1764" s="8">
        <f t="shared" si="1"/>
        <v>-3</v>
      </c>
    </row>
    <row r="1765">
      <c r="A1765" s="10">
        <v>1764.0</v>
      </c>
      <c r="B1765" s="11" t="s">
        <v>1858</v>
      </c>
      <c r="C1765" s="10" t="s">
        <v>77</v>
      </c>
      <c r="D1765" s="10" t="s">
        <v>9</v>
      </c>
      <c r="E1765" s="15"/>
      <c r="F1765" s="15" t="s">
        <v>382</v>
      </c>
      <c r="G1765" s="13">
        <f>IFERROR(__xludf.DUMMYFUNCTION("if(counta(filter('Previous Rank'!$A$2:$A2766,'Previous Rank'!$B$2:$B2766=B1765,'Previous Rank'!$C$2:$C2766=C1765))=1,filter('Previous Rank'!$A$2:$A2766,'Previous Rank'!$B$2:$B2766=B1765,'Previous Rank'!$C$2:$C2766=C1765),"""")"),1761.0)</f>
        <v>1761</v>
      </c>
      <c r="H1765" s="8">
        <f t="shared" si="1"/>
        <v>-3</v>
      </c>
    </row>
    <row r="1766">
      <c r="A1766" s="10">
        <v>1765.0</v>
      </c>
      <c r="B1766" s="11" t="s">
        <v>1859</v>
      </c>
      <c r="C1766" s="10" t="s">
        <v>22</v>
      </c>
      <c r="D1766" s="10" t="s">
        <v>82</v>
      </c>
      <c r="E1766" s="16"/>
      <c r="F1766" s="16" t="s">
        <v>382</v>
      </c>
      <c r="G1766" s="13">
        <f>IFERROR(__xludf.DUMMYFUNCTION("if(counta(filter('Previous Rank'!$A$2:$A2766,'Previous Rank'!$B$2:$B2766=B1766,'Previous Rank'!$C$2:$C2766=C1766))=1,filter('Previous Rank'!$A$2:$A2766,'Previous Rank'!$B$2:$B2766=B1766,'Previous Rank'!$C$2:$C2766=C1766),"""")"),1762.0)</f>
        <v>1762</v>
      </c>
      <c r="H1766" s="8">
        <f t="shared" si="1"/>
        <v>-3</v>
      </c>
    </row>
    <row r="1767">
      <c r="A1767" s="10">
        <v>1766.0</v>
      </c>
      <c r="B1767" s="11" t="s">
        <v>1860</v>
      </c>
      <c r="C1767" s="10" t="s">
        <v>1861</v>
      </c>
      <c r="D1767" s="10" t="s">
        <v>73</v>
      </c>
      <c r="E1767" s="15"/>
      <c r="F1767" s="15" t="s">
        <v>382</v>
      </c>
      <c r="G1767" s="13">
        <f>IFERROR(__xludf.DUMMYFUNCTION("if(counta(filter('Previous Rank'!$A$2:$A2766,'Previous Rank'!$B$2:$B2766=B1767,'Previous Rank'!$C$2:$C2766=C1767))=1,filter('Previous Rank'!$A$2:$A2766,'Previous Rank'!$B$2:$B2766=B1767,'Previous Rank'!$C$2:$C2766=C1767),"""")"),1764.0)</f>
        <v>1764</v>
      </c>
      <c r="H1767" s="8">
        <f t="shared" si="1"/>
        <v>-2</v>
      </c>
    </row>
    <row r="1768">
      <c r="A1768" s="10">
        <v>1767.0</v>
      </c>
      <c r="B1768" s="11" t="s">
        <v>1862</v>
      </c>
      <c r="C1768" s="10" t="s">
        <v>77</v>
      </c>
      <c r="D1768" s="10" t="s">
        <v>71</v>
      </c>
      <c r="E1768" s="14"/>
      <c r="F1768" s="14" t="s">
        <v>382</v>
      </c>
      <c r="G1768" s="13">
        <f>IFERROR(__xludf.DUMMYFUNCTION("if(counta(filter('Previous Rank'!$A$2:$A2766,'Previous Rank'!$B$2:$B2766=B1768,'Previous Rank'!$C$2:$C2766=C1768))=1,filter('Previous Rank'!$A$2:$A2766,'Previous Rank'!$B$2:$B2766=B1768,'Previous Rank'!$C$2:$C2766=C1768),"""")"),1765.0)</f>
        <v>1765</v>
      </c>
      <c r="H1768" s="8">
        <f t="shared" si="1"/>
        <v>-2</v>
      </c>
    </row>
    <row r="1769">
      <c r="A1769" s="10">
        <v>1768.0</v>
      </c>
      <c r="B1769" s="11" t="s">
        <v>1863</v>
      </c>
      <c r="C1769" s="10" t="s">
        <v>439</v>
      </c>
      <c r="D1769" s="10" t="s">
        <v>140</v>
      </c>
      <c r="E1769" s="15"/>
      <c r="F1769" s="15" t="s">
        <v>382</v>
      </c>
      <c r="G1769" s="13">
        <f>IFERROR(__xludf.DUMMYFUNCTION("if(counta(filter('Previous Rank'!$A$2:$A2766,'Previous Rank'!$B$2:$B2766=B1769,'Previous Rank'!$C$2:$C2766=C1769))=1,filter('Previous Rank'!$A$2:$A2766,'Previous Rank'!$B$2:$B2766=B1769,'Previous Rank'!$C$2:$C2766=C1769),"""")"),1766.0)</f>
        <v>1766</v>
      </c>
      <c r="H1769" s="8">
        <f t="shared" si="1"/>
        <v>-2</v>
      </c>
    </row>
    <row r="1770">
      <c r="A1770" s="10">
        <v>1769.0</v>
      </c>
      <c r="B1770" s="11" t="s">
        <v>1864</v>
      </c>
      <c r="C1770" s="10" t="s">
        <v>218</v>
      </c>
      <c r="D1770" s="10" t="s">
        <v>85</v>
      </c>
      <c r="E1770" s="16"/>
      <c r="F1770" s="16" t="s">
        <v>382</v>
      </c>
      <c r="G1770" s="13">
        <f>IFERROR(__xludf.DUMMYFUNCTION("if(counta(filter('Previous Rank'!$A$2:$A2766,'Previous Rank'!$B$2:$B2766=B1770,'Previous Rank'!$C$2:$C2766=C1770))=1,filter('Previous Rank'!$A$2:$A2766,'Previous Rank'!$B$2:$B2766=B1770,'Previous Rank'!$C$2:$C2766=C1770),"""")"),1767.0)</f>
        <v>1767</v>
      </c>
      <c r="H1770" s="8">
        <f t="shared" si="1"/>
        <v>-2</v>
      </c>
    </row>
    <row r="1771">
      <c r="A1771" s="10">
        <v>1770.0</v>
      </c>
      <c r="B1771" s="11" t="s">
        <v>1865</v>
      </c>
      <c r="C1771" s="10" t="s">
        <v>39</v>
      </c>
      <c r="D1771" s="10" t="s">
        <v>34</v>
      </c>
      <c r="E1771" s="15"/>
      <c r="F1771" s="15" t="s">
        <v>382</v>
      </c>
      <c r="G1771" s="13">
        <f>IFERROR(__xludf.DUMMYFUNCTION("if(counta(filter('Previous Rank'!$A$2:$A2766,'Previous Rank'!$B$2:$B2766=B1771,'Previous Rank'!$C$2:$C2766=C1771))=1,filter('Previous Rank'!$A$2:$A2766,'Previous Rank'!$B$2:$B2766=B1771,'Previous Rank'!$C$2:$C2766=C1771),"""")"),1768.0)</f>
        <v>1768</v>
      </c>
      <c r="H1771" s="8">
        <f t="shared" si="1"/>
        <v>-2</v>
      </c>
    </row>
    <row r="1772">
      <c r="A1772" s="10">
        <v>1771.0</v>
      </c>
      <c r="B1772" s="11" t="s">
        <v>1866</v>
      </c>
      <c r="C1772" s="10" t="s">
        <v>22</v>
      </c>
      <c r="D1772" s="10" t="s">
        <v>71</v>
      </c>
      <c r="E1772" s="16"/>
      <c r="F1772" s="16" t="s">
        <v>382</v>
      </c>
      <c r="G1772" s="13">
        <f>IFERROR(__xludf.DUMMYFUNCTION("if(counta(filter('Previous Rank'!$A$2:$A2766,'Previous Rank'!$B$2:$B2766=B1772,'Previous Rank'!$C$2:$C2766=C1772))=1,filter('Previous Rank'!$A$2:$A2766,'Previous Rank'!$B$2:$B2766=B1772,'Previous Rank'!$C$2:$C2766=C1772),"""")"),1769.0)</f>
        <v>1769</v>
      </c>
      <c r="H1772" s="8">
        <f t="shared" si="1"/>
        <v>-2</v>
      </c>
    </row>
    <row r="1773">
      <c r="A1773" s="10">
        <v>1772.0</v>
      </c>
      <c r="B1773" s="11" t="s">
        <v>1867</v>
      </c>
      <c r="C1773" s="10" t="s">
        <v>1868</v>
      </c>
      <c r="D1773" s="10" t="s">
        <v>140</v>
      </c>
      <c r="E1773" s="15"/>
      <c r="F1773" s="15" t="s">
        <v>382</v>
      </c>
      <c r="G1773" s="13">
        <f>IFERROR(__xludf.DUMMYFUNCTION("if(counta(filter('Previous Rank'!$A$2:$A2766,'Previous Rank'!$B$2:$B2766=B1773,'Previous Rank'!$C$2:$C2766=C1773))=1,filter('Previous Rank'!$A$2:$A2766,'Previous Rank'!$B$2:$B2766=B1773,'Previous Rank'!$C$2:$C2766=C1773),"""")"),1770.0)</f>
        <v>1770</v>
      </c>
      <c r="H1773" s="8">
        <f t="shared" si="1"/>
        <v>-2</v>
      </c>
    </row>
    <row r="1774">
      <c r="A1774" s="10">
        <v>1773.0</v>
      </c>
      <c r="B1774" s="11" t="s">
        <v>1869</v>
      </c>
      <c r="C1774" s="10" t="s">
        <v>220</v>
      </c>
      <c r="D1774" s="10" t="s">
        <v>71</v>
      </c>
      <c r="E1774" s="16"/>
      <c r="F1774" s="16" t="s">
        <v>382</v>
      </c>
      <c r="G1774" s="13">
        <f>IFERROR(__xludf.DUMMYFUNCTION("if(counta(filter('Previous Rank'!$A$2:$A2766,'Previous Rank'!$B$2:$B2766=B1774,'Previous Rank'!$C$2:$C2766=C1774))=1,filter('Previous Rank'!$A$2:$A2766,'Previous Rank'!$B$2:$B2766=B1774,'Previous Rank'!$C$2:$C2766=C1774),"""")"),1771.0)</f>
        <v>1771</v>
      </c>
      <c r="H1774" s="8">
        <f t="shared" si="1"/>
        <v>-2</v>
      </c>
    </row>
    <row r="1775">
      <c r="A1775" s="10">
        <v>1774.0</v>
      </c>
      <c r="B1775" s="11" t="s">
        <v>1870</v>
      </c>
      <c r="C1775" s="10" t="s">
        <v>136</v>
      </c>
      <c r="D1775" s="10" t="s">
        <v>34</v>
      </c>
      <c r="E1775" s="15"/>
      <c r="F1775" s="15" t="s">
        <v>382</v>
      </c>
      <c r="G1775" s="13">
        <f>IFERROR(__xludf.DUMMYFUNCTION("if(counta(filter('Previous Rank'!$A$2:$A2766,'Previous Rank'!$B$2:$B2766=B1775,'Previous Rank'!$C$2:$C2766=C1775))=1,filter('Previous Rank'!$A$2:$A2766,'Previous Rank'!$B$2:$B2766=B1775,'Previous Rank'!$C$2:$C2766=C1775),"""")"),1772.0)</f>
        <v>1772</v>
      </c>
      <c r="H1775" s="8">
        <f t="shared" si="1"/>
        <v>-2</v>
      </c>
    </row>
    <row r="1776">
      <c r="A1776" s="10">
        <v>1775.0</v>
      </c>
      <c r="B1776" s="11" t="s">
        <v>1871</v>
      </c>
      <c r="C1776" s="10" t="s">
        <v>218</v>
      </c>
      <c r="D1776" s="10" t="s">
        <v>12</v>
      </c>
      <c r="E1776" s="16"/>
      <c r="F1776" s="16" t="s">
        <v>382</v>
      </c>
      <c r="G1776" s="13">
        <f>IFERROR(__xludf.DUMMYFUNCTION("if(counta(filter('Previous Rank'!$A$2:$A2766,'Previous Rank'!$B$2:$B2766=B1776,'Previous Rank'!$C$2:$C2766=C1776))=1,filter('Previous Rank'!$A$2:$A2766,'Previous Rank'!$B$2:$B2766=B1776,'Previous Rank'!$C$2:$C2766=C1776),"""")"),1773.0)</f>
        <v>1773</v>
      </c>
      <c r="H1776" s="8">
        <f t="shared" si="1"/>
        <v>-2</v>
      </c>
    </row>
    <row r="1777">
      <c r="A1777" s="10">
        <v>1776.0</v>
      </c>
      <c r="B1777" s="11" t="s">
        <v>1872</v>
      </c>
      <c r="C1777" s="10" t="s">
        <v>20</v>
      </c>
      <c r="D1777" s="10" t="s">
        <v>25</v>
      </c>
      <c r="E1777" s="15"/>
      <c r="F1777" s="15" t="s">
        <v>382</v>
      </c>
      <c r="G1777" s="13">
        <f>IFERROR(__xludf.DUMMYFUNCTION("if(counta(filter('Previous Rank'!$A$2:$A2766,'Previous Rank'!$B$2:$B2766=B1777,'Previous Rank'!$C$2:$C2766=C1777))=1,filter('Previous Rank'!$A$2:$A2766,'Previous Rank'!$B$2:$B2766=B1777,'Previous Rank'!$C$2:$C2766=C1777),"""")"),1774.0)</f>
        <v>1774</v>
      </c>
      <c r="H1777" s="8">
        <f t="shared" si="1"/>
        <v>-2</v>
      </c>
    </row>
    <row r="1778">
      <c r="A1778" s="10">
        <v>1777.0</v>
      </c>
      <c r="B1778" s="11" t="s">
        <v>1873</v>
      </c>
      <c r="C1778" s="10" t="s">
        <v>158</v>
      </c>
      <c r="D1778" s="10" t="s">
        <v>67</v>
      </c>
      <c r="E1778" s="16"/>
      <c r="F1778" s="16" t="s">
        <v>382</v>
      </c>
      <c r="G1778" s="13">
        <f>IFERROR(__xludf.DUMMYFUNCTION("if(counta(filter('Previous Rank'!$A$2:$A2766,'Previous Rank'!$B$2:$B2766=B1778,'Previous Rank'!$C$2:$C2766=C1778))=1,filter('Previous Rank'!$A$2:$A2766,'Previous Rank'!$B$2:$B2766=B1778,'Previous Rank'!$C$2:$C2766=C1778),"""")"),1775.0)</f>
        <v>1775</v>
      </c>
      <c r="H1778" s="8">
        <f t="shared" si="1"/>
        <v>-2</v>
      </c>
    </row>
    <row r="1779">
      <c r="A1779" s="10">
        <v>1778.0</v>
      </c>
      <c r="B1779" s="11" t="s">
        <v>1874</v>
      </c>
      <c r="C1779" s="10" t="s">
        <v>283</v>
      </c>
      <c r="D1779" s="10" t="s">
        <v>52</v>
      </c>
      <c r="E1779" s="15"/>
      <c r="F1779" s="15" t="s">
        <v>382</v>
      </c>
      <c r="G1779" s="13">
        <f>IFERROR(__xludf.DUMMYFUNCTION("if(counta(filter('Previous Rank'!$A$2:$A2766,'Previous Rank'!$B$2:$B2766=B1779,'Previous Rank'!$C$2:$C2766=C1779))=1,filter('Previous Rank'!$A$2:$A2766,'Previous Rank'!$B$2:$B2766=B1779,'Previous Rank'!$C$2:$C2766=C1779),"""")"),1776.0)</f>
        <v>1776</v>
      </c>
      <c r="H1779" s="8">
        <f t="shared" si="1"/>
        <v>-2</v>
      </c>
    </row>
    <row r="1780">
      <c r="A1780" s="10">
        <v>1779.0</v>
      </c>
      <c r="B1780" s="11" t="s">
        <v>1875</v>
      </c>
      <c r="C1780" s="10" t="s">
        <v>220</v>
      </c>
      <c r="D1780" s="10" t="s">
        <v>71</v>
      </c>
      <c r="E1780" s="16"/>
      <c r="F1780" s="16" t="s">
        <v>382</v>
      </c>
      <c r="G1780" s="13">
        <f>IFERROR(__xludf.DUMMYFUNCTION("if(counta(filter('Previous Rank'!$A$2:$A2766,'Previous Rank'!$B$2:$B2766=B1780,'Previous Rank'!$C$2:$C2766=C1780))=1,filter('Previous Rank'!$A$2:$A2766,'Previous Rank'!$B$2:$B2766=B1780,'Previous Rank'!$C$2:$C2766=C1780),"""")"),1777.0)</f>
        <v>1777</v>
      </c>
      <c r="H1780" s="8">
        <f t="shared" si="1"/>
        <v>-2</v>
      </c>
    </row>
    <row r="1781">
      <c r="A1781" s="10">
        <v>1780.0</v>
      </c>
      <c r="B1781" s="11" t="s">
        <v>1876</v>
      </c>
      <c r="C1781" s="10" t="s">
        <v>136</v>
      </c>
      <c r="D1781" s="10" t="s">
        <v>71</v>
      </c>
      <c r="E1781" s="15"/>
      <c r="F1781" s="15" t="s">
        <v>382</v>
      </c>
      <c r="G1781" s="13">
        <f>IFERROR(__xludf.DUMMYFUNCTION("if(counta(filter('Previous Rank'!$A$2:$A2766,'Previous Rank'!$B$2:$B2766=B1781,'Previous Rank'!$C$2:$C2766=C1781))=1,filter('Previous Rank'!$A$2:$A2766,'Previous Rank'!$B$2:$B2766=B1781,'Previous Rank'!$C$2:$C2766=C1781),"""")"),1778.0)</f>
        <v>1778</v>
      </c>
      <c r="H1781" s="8">
        <f t="shared" si="1"/>
        <v>-2</v>
      </c>
    </row>
    <row r="1782">
      <c r="A1782" s="10">
        <v>1781.0</v>
      </c>
      <c r="B1782" s="11" t="s">
        <v>1877</v>
      </c>
      <c r="C1782" s="10" t="s">
        <v>17</v>
      </c>
      <c r="D1782" s="10" t="s">
        <v>120</v>
      </c>
      <c r="E1782" s="16"/>
      <c r="F1782" s="16" t="s">
        <v>382</v>
      </c>
      <c r="G1782" s="13">
        <f>IFERROR(__xludf.DUMMYFUNCTION("if(counta(filter('Previous Rank'!$A$2:$A2766,'Previous Rank'!$B$2:$B2766=B1782,'Previous Rank'!$C$2:$C2766=C1782))=1,filter('Previous Rank'!$A$2:$A2766,'Previous Rank'!$B$2:$B2766=B1782,'Previous Rank'!$C$2:$C2766=C1782),"""")"),1779.0)</f>
        <v>1779</v>
      </c>
      <c r="H1782" s="8">
        <f t="shared" si="1"/>
        <v>-2</v>
      </c>
    </row>
    <row r="1783">
      <c r="A1783" s="10">
        <v>1782.0</v>
      </c>
      <c r="B1783" s="11" t="s">
        <v>1878</v>
      </c>
      <c r="C1783" s="10" t="s">
        <v>77</v>
      </c>
      <c r="D1783" s="10" t="s">
        <v>95</v>
      </c>
      <c r="E1783" s="15"/>
      <c r="F1783" s="15" t="s">
        <v>382</v>
      </c>
      <c r="G1783" s="13">
        <f>IFERROR(__xludf.DUMMYFUNCTION("if(counta(filter('Previous Rank'!$A$2:$A2766,'Previous Rank'!$B$2:$B2766=B1783,'Previous Rank'!$C$2:$C2766=C1783))=1,filter('Previous Rank'!$A$2:$A2766,'Previous Rank'!$B$2:$B2766=B1783,'Previous Rank'!$C$2:$C2766=C1783),"""")"),1780.0)</f>
        <v>1780</v>
      </c>
      <c r="H1783" s="8">
        <f t="shared" si="1"/>
        <v>-2</v>
      </c>
    </row>
    <row r="1784">
      <c r="A1784" s="10">
        <v>1783.0</v>
      </c>
      <c r="B1784" s="11" t="s">
        <v>1879</v>
      </c>
      <c r="C1784" s="10" t="s">
        <v>77</v>
      </c>
      <c r="D1784" s="10" t="s">
        <v>27</v>
      </c>
      <c r="E1784" s="14"/>
      <c r="F1784" s="14" t="s">
        <v>382</v>
      </c>
      <c r="G1784" s="13">
        <f>IFERROR(__xludf.DUMMYFUNCTION("if(counta(filter('Previous Rank'!$A$2:$A2766,'Previous Rank'!$B$2:$B2766=B1784,'Previous Rank'!$C$2:$C2766=C1784))=1,filter('Previous Rank'!$A$2:$A2766,'Previous Rank'!$B$2:$B2766=B1784,'Previous Rank'!$C$2:$C2766=C1784),"""")"),1781.0)</f>
        <v>1781</v>
      </c>
      <c r="H1784" s="8">
        <f t="shared" si="1"/>
        <v>-2</v>
      </c>
    </row>
    <row r="1785">
      <c r="A1785" s="10">
        <v>1784.0</v>
      </c>
      <c r="B1785" s="11" t="s">
        <v>1880</v>
      </c>
      <c r="C1785" s="10" t="s">
        <v>77</v>
      </c>
      <c r="D1785" s="10" t="s">
        <v>27</v>
      </c>
      <c r="E1785" s="15"/>
      <c r="F1785" s="15" t="s">
        <v>382</v>
      </c>
      <c r="G1785" s="13">
        <f>IFERROR(__xludf.DUMMYFUNCTION("if(counta(filter('Previous Rank'!$A$2:$A2766,'Previous Rank'!$B$2:$B2766=B1785,'Previous Rank'!$C$2:$C2766=C1785))=1,filter('Previous Rank'!$A$2:$A2766,'Previous Rank'!$B$2:$B2766=B1785,'Previous Rank'!$C$2:$C2766=C1785),"""")"),1782.0)</f>
        <v>1782</v>
      </c>
      <c r="H1785" s="8">
        <f t="shared" si="1"/>
        <v>-2</v>
      </c>
    </row>
    <row r="1786">
      <c r="A1786" s="10">
        <v>1785.0</v>
      </c>
      <c r="B1786" s="11" t="s">
        <v>1881</v>
      </c>
      <c r="C1786" s="10" t="s">
        <v>189</v>
      </c>
      <c r="D1786" s="10" t="s">
        <v>25</v>
      </c>
      <c r="E1786" s="16"/>
      <c r="F1786" s="16" t="s">
        <v>382</v>
      </c>
      <c r="G1786" s="13">
        <f>IFERROR(__xludf.DUMMYFUNCTION("if(counta(filter('Previous Rank'!$A$2:$A2766,'Previous Rank'!$B$2:$B2766=B1786,'Previous Rank'!$C$2:$C2766=C1786))=1,filter('Previous Rank'!$A$2:$A2766,'Previous Rank'!$B$2:$B2766=B1786,'Previous Rank'!$C$2:$C2766=C1786),"""")"),1783.0)</f>
        <v>1783</v>
      </c>
      <c r="H1786" s="8">
        <f t="shared" si="1"/>
        <v>-2</v>
      </c>
    </row>
    <row r="1787">
      <c r="A1787" s="10">
        <v>1786.0</v>
      </c>
      <c r="B1787" s="11" t="s">
        <v>1882</v>
      </c>
      <c r="C1787" s="10" t="s">
        <v>1738</v>
      </c>
      <c r="D1787" s="10" t="s">
        <v>27</v>
      </c>
      <c r="E1787" s="15"/>
      <c r="F1787" s="15" t="s">
        <v>382</v>
      </c>
      <c r="G1787" s="13">
        <f>IFERROR(__xludf.DUMMYFUNCTION("if(counta(filter('Previous Rank'!$A$2:$A2766,'Previous Rank'!$B$2:$B2766=B1787,'Previous Rank'!$C$2:$C2766=C1787))=1,filter('Previous Rank'!$A$2:$A2766,'Previous Rank'!$B$2:$B2766=B1787,'Previous Rank'!$C$2:$C2766=C1787),"""")"),1784.0)</f>
        <v>1784</v>
      </c>
      <c r="H1787" s="8">
        <f t="shared" si="1"/>
        <v>-2</v>
      </c>
    </row>
    <row r="1788">
      <c r="A1788" s="10">
        <v>1787.0</v>
      </c>
      <c r="B1788" s="11" t="s">
        <v>1883</v>
      </c>
      <c r="C1788" s="10" t="s">
        <v>218</v>
      </c>
      <c r="D1788" s="10" t="s">
        <v>129</v>
      </c>
      <c r="E1788" s="16"/>
      <c r="F1788" s="16" t="s">
        <v>382</v>
      </c>
      <c r="G1788" s="13">
        <f>IFERROR(__xludf.DUMMYFUNCTION("if(counta(filter('Previous Rank'!$A$2:$A2766,'Previous Rank'!$B$2:$B2766=B1788,'Previous Rank'!$C$2:$C2766=C1788))=1,filter('Previous Rank'!$A$2:$A2766,'Previous Rank'!$B$2:$B2766=B1788,'Previous Rank'!$C$2:$C2766=C1788),"""")"),1785.0)</f>
        <v>1785</v>
      </c>
      <c r="H1788" s="8">
        <f t="shared" si="1"/>
        <v>-2</v>
      </c>
    </row>
    <row r="1789">
      <c r="A1789" s="10">
        <v>1788.0</v>
      </c>
      <c r="B1789" s="11" t="s">
        <v>1884</v>
      </c>
      <c r="C1789" s="10" t="s">
        <v>22</v>
      </c>
      <c r="D1789" s="10" t="s">
        <v>82</v>
      </c>
      <c r="E1789" s="15"/>
      <c r="F1789" s="15" t="s">
        <v>382</v>
      </c>
      <c r="G1789" s="13">
        <f>IFERROR(__xludf.DUMMYFUNCTION("if(counta(filter('Previous Rank'!$A$2:$A2766,'Previous Rank'!$B$2:$B2766=B1789,'Previous Rank'!$C$2:$C2766=C1789))=1,filter('Previous Rank'!$A$2:$A2766,'Previous Rank'!$B$2:$B2766=B1789,'Previous Rank'!$C$2:$C2766=C1789),"""")"),1786.0)</f>
        <v>1786</v>
      </c>
      <c r="H1789" s="8">
        <f t="shared" si="1"/>
        <v>-2</v>
      </c>
    </row>
    <row r="1790">
      <c r="A1790" s="10">
        <v>1789.0</v>
      </c>
      <c r="B1790" s="11" t="s">
        <v>1885</v>
      </c>
      <c r="C1790" s="10" t="s">
        <v>240</v>
      </c>
      <c r="D1790" s="10" t="s">
        <v>140</v>
      </c>
      <c r="E1790" s="16"/>
      <c r="F1790" s="16" t="s">
        <v>382</v>
      </c>
      <c r="G1790" s="13">
        <f>IFERROR(__xludf.DUMMYFUNCTION("if(counta(filter('Previous Rank'!$A$2:$A2766,'Previous Rank'!$B$2:$B2766=B1790,'Previous Rank'!$C$2:$C2766=C1790))=1,filter('Previous Rank'!$A$2:$A2766,'Previous Rank'!$B$2:$B2766=B1790,'Previous Rank'!$C$2:$C2766=C1790),"""")"),1787.0)</f>
        <v>1787</v>
      </c>
      <c r="H1790" s="8">
        <f t="shared" si="1"/>
        <v>-2</v>
      </c>
    </row>
    <row r="1791">
      <c r="A1791" s="10">
        <v>1790.0</v>
      </c>
      <c r="B1791" s="11" t="s">
        <v>1886</v>
      </c>
      <c r="C1791" s="10" t="s">
        <v>220</v>
      </c>
      <c r="D1791" s="10" t="s">
        <v>137</v>
      </c>
      <c r="E1791" s="15"/>
      <c r="F1791" s="15" t="s">
        <v>382</v>
      </c>
      <c r="G1791" s="13">
        <f>IFERROR(__xludf.DUMMYFUNCTION("if(counta(filter('Previous Rank'!$A$2:$A2766,'Previous Rank'!$B$2:$B2766=B1791,'Previous Rank'!$C$2:$C2766=C1791))=1,filter('Previous Rank'!$A$2:$A2766,'Previous Rank'!$B$2:$B2766=B1791,'Previous Rank'!$C$2:$C2766=C1791),"""")"),1788.0)</f>
        <v>1788</v>
      </c>
      <c r="H1791" s="8">
        <f t="shared" si="1"/>
        <v>-2</v>
      </c>
    </row>
    <row r="1792">
      <c r="A1792" s="10">
        <v>1791.0</v>
      </c>
      <c r="B1792" s="11" t="s">
        <v>1887</v>
      </c>
      <c r="C1792" s="10" t="s">
        <v>176</v>
      </c>
      <c r="D1792" s="10" t="s">
        <v>137</v>
      </c>
      <c r="E1792" s="16"/>
      <c r="F1792" s="16" t="s">
        <v>382</v>
      </c>
      <c r="G1792" s="13">
        <f>IFERROR(__xludf.DUMMYFUNCTION("if(counta(filter('Previous Rank'!$A$2:$A2766,'Previous Rank'!$B$2:$B2766=B1792,'Previous Rank'!$C$2:$C2766=C1792))=1,filter('Previous Rank'!$A$2:$A2766,'Previous Rank'!$B$2:$B2766=B1792,'Previous Rank'!$C$2:$C2766=C1792),"""")"),1789.0)</f>
        <v>1789</v>
      </c>
      <c r="H1792" s="8">
        <f t="shared" si="1"/>
        <v>-2</v>
      </c>
    </row>
    <row r="1793">
      <c r="A1793" s="10">
        <v>1792.0</v>
      </c>
      <c r="B1793" s="11" t="s">
        <v>1888</v>
      </c>
      <c r="C1793" s="10" t="s">
        <v>8</v>
      </c>
      <c r="D1793" s="10" t="s">
        <v>49</v>
      </c>
      <c r="E1793" s="15"/>
      <c r="F1793" s="15" t="s">
        <v>382</v>
      </c>
      <c r="G1793" s="13">
        <f>IFERROR(__xludf.DUMMYFUNCTION("if(counta(filter('Previous Rank'!$A$2:$A2766,'Previous Rank'!$B$2:$B2766=B1793,'Previous Rank'!$C$2:$C2766=C1793))=1,filter('Previous Rank'!$A$2:$A2766,'Previous Rank'!$B$2:$B2766=B1793,'Previous Rank'!$C$2:$C2766=C1793),"""")"),1790.0)</f>
        <v>1790</v>
      </c>
      <c r="H1793" s="8">
        <f t="shared" si="1"/>
        <v>-2</v>
      </c>
    </row>
    <row r="1794">
      <c r="A1794" s="10">
        <v>1793.0</v>
      </c>
      <c r="B1794" s="11" t="s">
        <v>1889</v>
      </c>
      <c r="C1794" s="10" t="s">
        <v>39</v>
      </c>
      <c r="D1794" s="10" t="s">
        <v>113</v>
      </c>
      <c r="E1794" s="16"/>
      <c r="F1794" s="16" t="s">
        <v>382</v>
      </c>
      <c r="G1794" s="13">
        <f>IFERROR(__xludf.DUMMYFUNCTION("if(counta(filter('Previous Rank'!$A$2:$A2766,'Previous Rank'!$B$2:$B2766=B1794,'Previous Rank'!$C$2:$C2766=C1794))=1,filter('Previous Rank'!$A$2:$A2766,'Previous Rank'!$B$2:$B2766=B1794,'Previous Rank'!$C$2:$C2766=C1794),"""")"),1791.0)</f>
        <v>1791</v>
      </c>
      <c r="H1794" s="8">
        <f t="shared" si="1"/>
        <v>-2</v>
      </c>
    </row>
    <row r="1795">
      <c r="A1795" s="10">
        <v>1794.0</v>
      </c>
      <c r="B1795" s="11" t="s">
        <v>1890</v>
      </c>
      <c r="C1795" s="10" t="s">
        <v>39</v>
      </c>
      <c r="D1795" s="10" t="s">
        <v>23</v>
      </c>
      <c r="E1795" s="15"/>
      <c r="F1795" s="15" t="s">
        <v>382</v>
      </c>
      <c r="G1795" s="13">
        <f>IFERROR(__xludf.DUMMYFUNCTION("if(counta(filter('Previous Rank'!$A$2:$A2766,'Previous Rank'!$B$2:$B2766=B1795,'Previous Rank'!$C$2:$C2766=C1795))=1,filter('Previous Rank'!$A$2:$A2766,'Previous Rank'!$B$2:$B2766=B1795,'Previous Rank'!$C$2:$C2766=C1795),"""")"),1792.0)</f>
        <v>1792</v>
      </c>
      <c r="H1795" s="8">
        <f t="shared" si="1"/>
        <v>-2</v>
      </c>
    </row>
    <row r="1796">
      <c r="A1796" s="10">
        <v>1795.0</v>
      </c>
      <c r="B1796" s="11" t="s">
        <v>1891</v>
      </c>
      <c r="C1796" s="10" t="s">
        <v>69</v>
      </c>
      <c r="D1796" s="10" t="s">
        <v>99</v>
      </c>
      <c r="E1796" s="16"/>
      <c r="F1796" s="16" t="s">
        <v>382</v>
      </c>
      <c r="G1796" s="13">
        <f>IFERROR(__xludf.DUMMYFUNCTION("if(counta(filter('Previous Rank'!$A$2:$A2766,'Previous Rank'!$B$2:$B2766=B1796,'Previous Rank'!$C$2:$C2766=C1796))=1,filter('Previous Rank'!$A$2:$A2766,'Previous Rank'!$B$2:$B2766=B1796,'Previous Rank'!$C$2:$C2766=C1796),"""")"),1793.0)</f>
        <v>1793</v>
      </c>
      <c r="H1796" s="8">
        <f t="shared" si="1"/>
        <v>-2</v>
      </c>
    </row>
    <row r="1797">
      <c r="A1797" s="10">
        <v>1796.0</v>
      </c>
      <c r="B1797" s="11" t="s">
        <v>1892</v>
      </c>
      <c r="C1797" s="10" t="s">
        <v>79</v>
      </c>
      <c r="D1797" s="10" t="s">
        <v>12</v>
      </c>
      <c r="E1797" s="15"/>
      <c r="F1797" s="15" t="s">
        <v>382</v>
      </c>
      <c r="G1797" s="13">
        <f>IFERROR(__xludf.DUMMYFUNCTION("if(counta(filter('Previous Rank'!$A$2:$A2766,'Previous Rank'!$B$2:$B2766=B1797,'Previous Rank'!$C$2:$C2766=C1797))=1,filter('Previous Rank'!$A$2:$A2766,'Previous Rank'!$B$2:$B2766=B1797,'Previous Rank'!$C$2:$C2766=C1797),"""")"),1794.0)</f>
        <v>1794</v>
      </c>
      <c r="H1797" s="8">
        <f t="shared" si="1"/>
        <v>-2</v>
      </c>
    </row>
    <row r="1798">
      <c r="A1798" s="10">
        <v>1797.0</v>
      </c>
      <c r="B1798" s="11" t="s">
        <v>1893</v>
      </c>
      <c r="C1798" s="10" t="s">
        <v>136</v>
      </c>
      <c r="D1798" s="10" t="s">
        <v>137</v>
      </c>
      <c r="E1798" s="16"/>
      <c r="F1798" s="16" t="s">
        <v>382</v>
      </c>
      <c r="G1798" s="13">
        <f>IFERROR(__xludf.DUMMYFUNCTION("if(counta(filter('Previous Rank'!$A$2:$A2766,'Previous Rank'!$B$2:$B2766=B1798,'Previous Rank'!$C$2:$C2766=C1798))=1,filter('Previous Rank'!$A$2:$A2766,'Previous Rank'!$B$2:$B2766=B1798,'Previous Rank'!$C$2:$C2766=C1798),"""")"),1795.0)</f>
        <v>1795</v>
      </c>
      <c r="H1798" s="8">
        <f t="shared" si="1"/>
        <v>-2</v>
      </c>
    </row>
    <row r="1799">
      <c r="A1799" s="10">
        <v>1798.0</v>
      </c>
      <c r="B1799" s="11" t="s">
        <v>1894</v>
      </c>
      <c r="C1799" s="10" t="s">
        <v>77</v>
      </c>
      <c r="D1799" s="10" t="s">
        <v>12</v>
      </c>
      <c r="E1799" s="15"/>
      <c r="F1799" s="15" t="s">
        <v>382</v>
      </c>
      <c r="G1799" s="13">
        <f>IFERROR(__xludf.DUMMYFUNCTION("if(counta(filter('Previous Rank'!$A$2:$A2766,'Previous Rank'!$B$2:$B2766=B1799,'Previous Rank'!$C$2:$C2766=C1799))=1,filter('Previous Rank'!$A$2:$A2766,'Previous Rank'!$B$2:$B2766=B1799,'Previous Rank'!$C$2:$C2766=C1799),"""")"),1796.0)</f>
        <v>1796</v>
      </c>
      <c r="H1799" s="8">
        <f t="shared" si="1"/>
        <v>-2</v>
      </c>
    </row>
    <row r="1800">
      <c r="A1800" s="10">
        <v>1799.0</v>
      </c>
      <c r="B1800" s="11" t="s">
        <v>1895</v>
      </c>
      <c r="C1800" s="10" t="s">
        <v>77</v>
      </c>
      <c r="D1800" s="10" t="s">
        <v>105</v>
      </c>
      <c r="E1800" s="16"/>
      <c r="F1800" s="16" t="s">
        <v>382</v>
      </c>
      <c r="G1800" s="13">
        <f>IFERROR(__xludf.DUMMYFUNCTION("if(counta(filter('Previous Rank'!$A$2:$A2766,'Previous Rank'!$B$2:$B2766=B1800,'Previous Rank'!$C$2:$C2766=C1800))=1,filter('Previous Rank'!$A$2:$A2766,'Previous Rank'!$B$2:$B2766=B1800,'Previous Rank'!$C$2:$C2766=C1800),"""")"),1797.0)</f>
        <v>1797</v>
      </c>
      <c r="H1800" s="8">
        <f t="shared" si="1"/>
        <v>-2</v>
      </c>
    </row>
    <row r="1801">
      <c r="A1801" s="10">
        <v>1800.0</v>
      </c>
      <c r="B1801" s="11" t="s">
        <v>1896</v>
      </c>
      <c r="C1801" s="10" t="s">
        <v>77</v>
      </c>
      <c r="D1801" s="10" t="s">
        <v>23</v>
      </c>
      <c r="E1801" s="15"/>
      <c r="F1801" s="15" t="s">
        <v>382</v>
      </c>
      <c r="G1801" s="13">
        <f>IFERROR(__xludf.DUMMYFUNCTION("if(counta(filter('Previous Rank'!$A$2:$A2766,'Previous Rank'!$B$2:$B2766=B1801,'Previous Rank'!$C$2:$C2766=C1801))=1,filter('Previous Rank'!$A$2:$A2766,'Previous Rank'!$B$2:$B2766=B1801,'Previous Rank'!$C$2:$C2766=C1801),"""")"),1798.0)</f>
        <v>1798</v>
      </c>
      <c r="H1801" s="8">
        <f t="shared" si="1"/>
        <v>-2</v>
      </c>
    </row>
    <row r="1802">
      <c r="A1802" s="10">
        <v>1801.0</v>
      </c>
      <c r="B1802" s="11" t="s">
        <v>1897</v>
      </c>
      <c r="C1802" s="10" t="s">
        <v>220</v>
      </c>
      <c r="D1802" s="10" t="s">
        <v>25</v>
      </c>
      <c r="E1802" s="16"/>
      <c r="F1802" s="16" t="s">
        <v>382</v>
      </c>
      <c r="G1802" s="13">
        <f>IFERROR(__xludf.DUMMYFUNCTION("if(counta(filter('Previous Rank'!$A$2:$A2766,'Previous Rank'!$B$2:$B2766=B1802,'Previous Rank'!$C$2:$C2766=C1802))=1,filter('Previous Rank'!$A$2:$A2766,'Previous Rank'!$B$2:$B2766=B1802,'Previous Rank'!$C$2:$C2766=C1802),"""")"),1799.0)</f>
        <v>1799</v>
      </c>
      <c r="H1802" s="8">
        <f t="shared" si="1"/>
        <v>-2</v>
      </c>
    </row>
    <row r="1803">
      <c r="A1803" s="10">
        <v>1802.0</v>
      </c>
      <c r="B1803" s="11" t="s">
        <v>1898</v>
      </c>
      <c r="C1803" s="10" t="s">
        <v>22</v>
      </c>
      <c r="D1803" s="10" t="s">
        <v>122</v>
      </c>
      <c r="E1803" s="15"/>
      <c r="F1803" s="15" t="s">
        <v>382</v>
      </c>
      <c r="G1803" s="13">
        <f>IFERROR(__xludf.DUMMYFUNCTION("if(counta(filter('Previous Rank'!$A$2:$A2766,'Previous Rank'!$B$2:$B2766=B1803,'Previous Rank'!$C$2:$C2766=C1803))=1,filter('Previous Rank'!$A$2:$A2766,'Previous Rank'!$B$2:$B2766=B1803,'Previous Rank'!$C$2:$C2766=C1803),"""")"),1800.0)</f>
        <v>1800</v>
      </c>
      <c r="H1803" s="8">
        <f t="shared" si="1"/>
        <v>-2</v>
      </c>
    </row>
    <row r="1804">
      <c r="A1804" s="10">
        <v>1803.0</v>
      </c>
      <c r="B1804" s="11" t="s">
        <v>1899</v>
      </c>
      <c r="C1804" s="10" t="s">
        <v>619</v>
      </c>
      <c r="D1804" s="10" t="s">
        <v>9</v>
      </c>
      <c r="E1804" s="16"/>
      <c r="F1804" s="16" t="s">
        <v>382</v>
      </c>
      <c r="G1804" s="13">
        <f>IFERROR(__xludf.DUMMYFUNCTION("if(counta(filter('Previous Rank'!$A$2:$A2766,'Previous Rank'!$B$2:$B2766=B1804,'Previous Rank'!$C$2:$C2766=C1804))=1,filter('Previous Rank'!$A$2:$A2766,'Previous Rank'!$B$2:$B2766=B1804,'Previous Rank'!$C$2:$C2766=C1804),"""")"),1801.0)</f>
        <v>1801</v>
      </c>
      <c r="H1804" s="8">
        <f t="shared" si="1"/>
        <v>-2</v>
      </c>
    </row>
    <row r="1805">
      <c r="A1805" s="10">
        <v>1804.0</v>
      </c>
      <c r="B1805" s="11" t="s">
        <v>1900</v>
      </c>
      <c r="C1805" s="10" t="s">
        <v>1814</v>
      </c>
      <c r="D1805" s="10" t="s">
        <v>85</v>
      </c>
      <c r="E1805" s="15"/>
      <c r="F1805" s="15" t="s">
        <v>382</v>
      </c>
      <c r="G1805" s="13">
        <f>IFERROR(__xludf.DUMMYFUNCTION("if(counta(filter('Previous Rank'!$A$2:$A2766,'Previous Rank'!$B$2:$B2766=B1805,'Previous Rank'!$C$2:$C2766=C1805))=1,filter('Previous Rank'!$A$2:$A2766,'Previous Rank'!$B$2:$B2766=B1805,'Previous Rank'!$C$2:$C2766=C1805),"""")"),1802.0)</f>
        <v>1802</v>
      </c>
      <c r="H1805" s="8">
        <f t="shared" si="1"/>
        <v>-2</v>
      </c>
    </row>
    <row r="1806">
      <c r="A1806" s="10">
        <v>1805.0</v>
      </c>
      <c r="B1806" s="11" t="s">
        <v>1901</v>
      </c>
      <c r="C1806" s="10" t="s">
        <v>22</v>
      </c>
      <c r="D1806" s="10" t="s">
        <v>71</v>
      </c>
      <c r="E1806" s="16"/>
      <c r="F1806" s="16" t="s">
        <v>382</v>
      </c>
      <c r="G1806" s="13">
        <f>IFERROR(__xludf.DUMMYFUNCTION("if(counta(filter('Previous Rank'!$A$2:$A2766,'Previous Rank'!$B$2:$B2766=B1806,'Previous Rank'!$C$2:$C2766=C1806))=1,filter('Previous Rank'!$A$2:$A2766,'Previous Rank'!$B$2:$B2766=B1806,'Previous Rank'!$C$2:$C2766=C1806),"""")"),1803.0)</f>
        <v>1803</v>
      </c>
      <c r="H1806" s="8">
        <f t="shared" si="1"/>
        <v>-2</v>
      </c>
    </row>
    <row r="1807">
      <c r="A1807" s="10">
        <v>1806.0</v>
      </c>
      <c r="B1807" s="11" t="s">
        <v>1902</v>
      </c>
      <c r="C1807" s="10" t="s">
        <v>77</v>
      </c>
      <c r="D1807" s="10" t="s">
        <v>122</v>
      </c>
      <c r="E1807" s="15"/>
      <c r="F1807" s="15" t="s">
        <v>382</v>
      </c>
      <c r="G1807" s="13">
        <f>IFERROR(__xludf.DUMMYFUNCTION("if(counta(filter('Previous Rank'!$A$2:$A2766,'Previous Rank'!$B$2:$B2766=B1807,'Previous Rank'!$C$2:$C2766=C1807))=1,filter('Previous Rank'!$A$2:$A2766,'Previous Rank'!$B$2:$B2766=B1807,'Previous Rank'!$C$2:$C2766=C1807),"""")"),1804.0)</f>
        <v>1804</v>
      </c>
      <c r="H1807" s="8">
        <f t="shared" si="1"/>
        <v>-2</v>
      </c>
    </row>
    <row r="1808">
      <c r="A1808" s="10">
        <v>1807.0</v>
      </c>
      <c r="B1808" s="11" t="s">
        <v>1903</v>
      </c>
      <c r="C1808" s="10" t="s">
        <v>55</v>
      </c>
      <c r="D1808" s="10" t="s">
        <v>49</v>
      </c>
      <c r="E1808" s="16"/>
      <c r="F1808" s="16" t="s">
        <v>382</v>
      </c>
      <c r="G1808" s="13">
        <f>IFERROR(__xludf.DUMMYFUNCTION("if(counta(filter('Previous Rank'!$A$2:$A2766,'Previous Rank'!$B$2:$B2766=B1808,'Previous Rank'!$C$2:$C2766=C1808))=1,filter('Previous Rank'!$A$2:$A2766,'Previous Rank'!$B$2:$B2766=B1808,'Previous Rank'!$C$2:$C2766=C1808),"""")"),1805.0)</f>
        <v>1805</v>
      </c>
      <c r="H1808" s="8">
        <f t="shared" si="1"/>
        <v>-2</v>
      </c>
    </row>
    <row r="1809">
      <c r="A1809" s="10">
        <v>1808.0</v>
      </c>
      <c r="B1809" s="11" t="s">
        <v>1904</v>
      </c>
      <c r="C1809" s="10" t="s">
        <v>346</v>
      </c>
      <c r="D1809" s="10" t="s">
        <v>129</v>
      </c>
      <c r="E1809" s="15"/>
      <c r="F1809" s="15" t="s">
        <v>382</v>
      </c>
      <c r="G1809" s="13">
        <f>IFERROR(__xludf.DUMMYFUNCTION("if(counta(filter('Previous Rank'!$A$2:$A2766,'Previous Rank'!$B$2:$B2766=B1809,'Previous Rank'!$C$2:$C2766=C1809))=1,filter('Previous Rank'!$A$2:$A2766,'Previous Rank'!$B$2:$B2766=B1809,'Previous Rank'!$C$2:$C2766=C1809),"""")"),1806.0)</f>
        <v>1806</v>
      </c>
      <c r="H1809" s="8">
        <f t="shared" si="1"/>
        <v>-2</v>
      </c>
    </row>
    <row r="1810">
      <c r="A1810" s="10">
        <v>1809.0</v>
      </c>
      <c r="B1810" s="11" t="s">
        <v>1905</v>
      </c>
      <c r="C1810" s="10" t="s">
        <v>22</v>
      </c>
      <c r="D1810" s="10" t="s">
        <v>46</v>
      </c>
      <c r="E1810" s="16"/>
      <c r="F1810" s="16" t="s">
        <v>382</v>
      </c>
      <c r="G1810" s="13">
        <f>IFERROR(__xludf.DUMMYFUNCTION("if(counta(filter('Previous Rank'!$A$2:$A2766,'Previous Rank'!$B$2:$B2766=B1810,'Previous Rank'!$C$2:$C2766=C1810))=1,filter('Previous Rank'!$A$2:$A2766,'Previous Rank'!$B$2:$B2766=B1810,'Previous Rank'!$C$2:$C2766=C1810),"""")"),1807.0)</f>
        <v>1807</v>
      </c>
      <c r="H1810" s="8">
        <f t="shared" si="1"/>
        <v>-2</v>
      </c>
    </row>
    <row r="1811">
      <c r="A1811" s="10">
        <v>1810.0</v>
      </c>
      <c r="B1811" s="11" t="s">
        <v>1906</v>
      </c>
      <c r="C1811" s="10" t="s">
        <v>48</v>
      </c>
      <c r="D1811" s="10" t="s">
        <v>36</v>
      </c>
      <c r="E1811" s="15"/>
      <c r="F1811" s="15" t="s">
        <v>382</v>
      </c>
      <c r="G1811" s="13">
        <f>IFERROR(__xludf.DUMMYFUNCTION("if(counta(filter('Previous Rank'!$A$2:$A2766,'Previous Rank'!$B$2:$B2766=B1811,'Previous Rank'!$C$2:$C2766=C1811))=1,filter('Previous Rank'!$A$2:$A2766,'Previous Rank'!$B$2:$B2766=B1811,'Previous Rank'!$C$2:$C2766=C1811),"""")"),1808.0)</f>
        <v>1808</v>
      </c>
      <c r="H1811" s="8">
        <f t="shared" si="1"/>
        <v>-2</v>
      </c>
    </row>
    <row r="1812">
      <c r="A1812" s="10">
        <v>1811.0</v>
      </c>
      <c r="B1812" s="11" t="s">
        <v>1907</v>
      </c>
      <c r="C1812" s="10" t="s">
        <v>240</v>
      </c>
      <c r="D1812" s="10" t="s">
        <v>23</v>
      </c>
      <c r="E1812" s="16"/>
      <c r="F1812" s="16" t="s">
        <v>382</v>
      </c>
      <c r="G1812" s="13">
        <f>IFERROR(__xludf.DUMMYFUNCTION("if(counta(filter('Previous Rank'!$A$2:$A2766,'Previous Rank'!$B$2:$B2766=B1812,'Previous Rank'!$C$2:$C2766=C1812))=1,filter('Previous Rank'!$A$2:$A2766,'Previous Rank'!$B$2:$B2766=B1812,'Previous Rank'!$C$2:$C2766=C1812),"""")"),1809.0)</f>
        <v>1809</v>
      </c>
      <c r="H1812" s="8">
        <f t="shared" si="1"/>
        <v>-2</v>
      </c>
    </row>
    <row r="1813">
      <c r="A1813" s="10">
        <v>1812.0</v>
      </c>
      <c r="B1813" s="11" t="s">
        <v>1908</v>
      </c>
      <c r="C1813" s="10" t="s">
        <v>39</v>
      </c>
      <c r="D1813" s="10" t="s">
        <v>36</v>
      </c>
      <c r="E1813" s="15"/>
      <c r="F1813" s="15" t="s">
        <v>382</v>
      </c>
      <c r="G1813" s="13">
        <f>IFERROR(__xludf.DUMMYFUNCTION("if(counta(filter('Previous Rank'!$A$2:$A2766,'Previous Rank'!$B$2:$B2766=B1813,'Previous Rank'!$C$2:$C2766=C1813))=1,filter('Previous Rank'!$A$2:$A2766,'Previous Rank'!$B$2:$B2766=B1813,'Previous Rank'!$C$2:$C2766=C1813),"""")"),1810.0)</f>
        <v>1810</v>
      </c>
      <c r="H1813" s="8">
        <f t="shared" si="1"/>
        <v>-2</v>
      </c>
    </row>
    <row r="1814">
      <c r="A1814" s="10">
        <v>1813.0</v>
      </c>
      <c r="B1814" s="11" t="s">
        <v>1909</v>
      </c>
      <c r="C1814" s="10" t="s">
        <v>218</v>
      </c>
      <c r="D1814" s="10" t="s">
        <v>15</v>
      </c>
      <c r="E1814" s="16"/>
      <c r="F1814" s="16" t="s">
        <v>382</v>
      </c>
      <c r="G1814" s="13">
        <f>IFERROR(__xludf.DUMMYFUNCTION("if(counta(filter('Previous Rank'!$A$2:$A2766,'Previous Rank'!$B$2:$B2766=B1814,'Previous Rank'!$C$2:$C2766=C1814))=1,filter('Previous Rank'!$A$2:$A2766,'Previous Rank'!$B$2:$B2766=B1814,'Previous Rank'!$C$2:$C2766=C1814),"""")"),1811.0)</f>
        <v>1811</v>
      </c>
      <c r="H1814" s="8">
        <f t="shared" si="1"/>
        <v>-2</v>
      </c>
    </row>
    <row r="1815">
      <c r="A1815" s="10">
        <v>1814.0</v>
      </c>
      <c r="B1815" s="11" t="s">
        <v>1910</v>
      </c>
      <c r="C1815" s="10" t="s">
        <v>77</v>
      </c>
      <c r="D1815" s="10" t="s">
        <v>34</v>
      </c>
      <c r="E1815" s="15"/>
      <c r="F1815" s="15" t="s">
        <v>382</v>
      </c>
      <c r="G1815" s="13">
        <f>IFERROR(__xludf.DUMMYFUNCTION("if(counta(filter('Previous Rank'!$A$2:$A2766,'Previous Rank'!$B$2:$B2766=B1815,'Previous Rank'!$C$2:$C2766=C1815))=1,filter('Previous Rank'!$A$2:$A2766,'Previous Rank'!$B$2:$B2766=B1815,'Previous Rank'!$C$2:$C2766=C1815),"""")"),1812.0)</f>
        <v>1812</v>
      </c>
      <c r="H1815" s="8">
        <f t="shared" si="1"/>
        <v>-2</v>
      </c>
    </row>
    <row r="1816">
      <c r="A1816" s="10">
        <v>1815.0</v>
      </c>
      <c r="B1816" s="11" t="s">
        <v>1911</v>
      </c>
      <c r="C1816" s="10" t="s">
        <v>77</v>
      </c>
      <c r="D1816" s="10" t="s">
        <v>71</v>
      </c>
      <c r="E1816" s="16"/>
      <c r="F1816" s="16" t="s">
        <v>382</v>
      </c>
      <c r="G1816" s="13">
        <f>IFERROR(__xludf.DUMMYFUNCTION("if(counta(filter('Previous Rank'!$A$2:$A2766,'Previous Rank'!$B$2:$B2766=B1816,'Previous Rank'!$C$2:$C2766=C1816))=1,filter('Previous Rank'!$A$2:$A2766,'Previous Rank'!$B$2:$B2766=B1816,'Previous Rank'!$C$2:$C2766=C1816),"""")"),1813.0)</f>
        <v>1813</v>
      </c>
      <c r="H1816" s="8">
        <f t="shared" si="1"/>
        <v>-2</v>
      </c>
    </row>
    <row r="1817">
      <c r="A1817" s="10">
        <v>1816.0</v>
      </c>
      <c r="B1817" s="11" t="s">
        <v>1912</v>
      </c>
      <c r="C1817" s="10" t="s">
        <v>69</v>
      </c>
      <c r="D1817" s="10" t="s">
        <v>67</v>
      </c>
      <c r="E1817" s="15"/>
      <c r="F1817" s="15" t="s">
        <v>382</v>
      </c>
      <c r="G1817" s="13">
        <f>IFERROR(__xludf.DUMMYFUNCTION("if(counta(filter('Previous Rank'!$A$2:$A2766,'Previous Rank'!$B$2:$B2766=B1817,'Previous Rank'!$C$2:$C2766=C1817))=1,filter('Previous Rank'!$A$2:$A2766,'Previous Rank'!$B$2:$B2766=B1817,'Previous Rank'!$C$2:$C2766=C1817),"""")"),1814.0)</f>
        <v>1814</v>
      </c>
      <c r="H1817" s="8">
        <f t="shared" si="1"/>
        <v>-2</v>
      </c>
    </row>
    <row r="1818">
      <c r="A1818" s="10">
        <v>1817.0</v>
      </c>
      <c r="B1818" s="11" t="s">
        <v>1913</v>
      </c>
      <c r="C1818" s="10" t="s">
        <v>22</v>
      </c>
      <c r="D1818" s="10" t="s">
        <v>73</v>
      </c>
      <c r="E1818" s="16"/>
      <c r="F1818" s="16" t="s">
        <v>382</v>
      </c>
      <c r="G1818" s="13">
        <f>IFERROR(__xludf.DUMMYFUNCTION("if(counta(filter('Previous Rank'!$A$2:$A2766,'Previous Rank'!$B$2:$B2766=B1818,'Previous Rank'!$C$2:$C2766=C1818))=1,filter('Previous Rank'!$A$2:$A2766,'Previous Rank'!$B$2:$B2766=B1818,'Previous Rank'!$C$2:$C2766=C1818),"""")"),1815.0)</f>
        <v>1815</v>
      </c>
      <c r="H1818" s="8">
        <f t="shared" si="1"/>
        <v>-2</v>
      </c>
    </row>
    <row r="1819">
      <c r="A1819" s="10">
        <v>1818.0</v>
      </c>
      <c r="B1819" s="11" t="s">
        <v>1914</v>
      </c>
      <c r="C1819" s="10" t="s">
        <v>262</v>
      </c>
      <c r="D1819" s="10" t="s">
        <v>120</v>
      </c>
      <c r="E1819" s="15"/>
      <c r="F1819" s="15" t="s">
        <v>382</v>
      </c>
      <c r="G1819" s="13">
        <f>IFERROR(__xludf.DUMMYFUNCTION("if(counta(filter('Previous Rank'!$A$2:$A2766,'Previous Rank'!$B$2:$B2766=B1819,'Previous Rank'!$C$2:$C2766=C1819))=1,filter('Previous Rank'!$A$2:$A2766,'Previous Rank'!$B$2:$B2766=B1819,'Previous Rank'!$C$2:$C2766=C1819),"""")"),1816.0)</f>
        <v>1816</v>
      </c>
      <c r="H1819" s="8">
        <f t="shared" si="1"/>
        <v>-2</v>
      </c>
    </row>
    <row r="1820">
      <c r="A1820" s="10">
        <v>1819.0</v>
      </c>
      <c r="B1820" s="11" t="s">
        <v>1915</v>
      </c>
      <c r="C1820" s="10" t="s">
        <v>1839</v>
      </c>
      <c r="D1820" s="10" t="s">
        <v>9</v>
      </c>
      <c r="E1820" s="16"/>
      <c r="F1820" s="16" t="s">
        <v>382</v>
      </c>
      <c r="G1820" s="13">
        <f>IFERROR(__xludf.DUMMYFUNCTION("if(counta(filter('Previous Rank'!$A$2:$A2766,'Previous Rank'!$B$2:$B2766=B1820,'Previous Rank'!$C$2:$C2766=C1820))=1,filter('Previous Rank'!$A$2:$A2766,'Previous Rank'!$B$2:$B2766=B1820,'Previous Rank'!$C$2:$C2766=C1820),"""")"),1817.0)</f>
        <v>1817</v>
      </c>
      <c r="H1820" s="8">
        <f t="shared" si="1"/>
        <v>-2</v>
      </c>
    </row>
    <row r="1821">
      <c r="A1821" s="10">
        <v>1820.0</v>
      </c>
      <c r="B1821" s="11" t="s">
        <v>1916</v>
      </c>
      <c r="C1821" s="10" t="s">
        <v>55</v>
      </c>
      <c r="D1821" s="10" t="s">
        <v>23</v>
      </c>
      <c r="E1821" s="15"/>
      <c r="F1821" s="15" t="s">
        <v>382</v>
      </c>
      <c r="G1821" s="13">
        <f>IFERROR(__xludf.DUMMYFUNCTION("if(counta(filter('Previous Rank'!$A$2:$A2766,'Previous Rank'!$B$2:$B2766=B1821,'Previous Rank'!$C$2:$C2766=C1821))=1,filter('Previous Rank'!$A$2:$A2766,'Previous Rank'!$B$2:$B2766=B1821,'Previous Rank'!$C$2:$C2766=C1821),"""")"),1818.0)</f>
        <v>1818</v>
      </c>
      <c r="H1821" s="8">
        <f t="shared" si="1"/>
        <v>-2</v>
      </c>
    </row>
    <row r="1822">
      <c r="A1822" s="10">
        <v>1821.0</v>
      </c>
      <c r="B1822" s="11" t="s">
        <v>1917</v>
      </c>
      <c r="C1822" s="10" t="s">
        <v>1918</v>
      </c>
      <c r="D1822" s="10" t="s">
        <v>85</v>
      </c>
      <c r="E1822" s="16"/>
      <c r="F1822" s="16" t="s">
        <v>382</v>
      </c>
      <c r="G1822" s="13">
        <f>IFERROR(__xludf.DUMMYFUNCTION("if(counta(filter('Previous Rank'!$A$2:$A2766,'Previous Rank'!$B$2:$B2766=B1822,'Previous Rank'!$C$2:$C2766=C1822))=1,filter('Previous Rank'!$A$2:$A2766,'Previous Rank'!$B$2:$B2766=B1822,'Previous Rank'!$C$2:$C2766=C1822),"""")"),1819.0)</f>
        <v>1819</v>
      </c>
      <c r="H1822" s="8">
        <f t="shared" si="1"/>
        <v>-2</v>
      </c>
    </row>
    <row r="1823">
      <c r="A1823" s="10">
        <v>1822.0</v>
      </c>
      <c r="B1823" s="11" t="s">
        <v>1919</v>
      </c>
      <c r="C1823" s="10" t="s">
        <v>39</v>
      </c>
      <c r="D1823" s="10" t="s">
        <v>71</v>
      </c>
      <c r="E1823" s="15"/>
      <c r="F1823" s="15" t="s">
        <v>382</v>
      </c>
      <c r="G1823" s="13">
        <f>IFERROR(__xludf.DUMMYFUNCTION("if(counta(filter('Previous Rank'!$A$2:$A2766,'Previous Rank'!$B$2:$B2766=B1823,'Previous Rank'!$C$2:$C2766=C1823))=1,filter('Previous Rank'!$A$2:$A2766,'Previous Rank'!$B$2:$B2766=B1823,'Previous Rank'!$C$2:$C2766=C1823),"""")"),1820.0)</f>
        <v>1820</v>
      </c>
      <c r="H1823" s="8">
        <f t="shared" si="1"/>
        <v>-2</v>
      </c>
    </row>
    <row r="1824">
      <c r="A1824" s="10">
        <v>1823.0</v>
      </c>
      <c r="B1824" s="11" t="s">
        <v>1920</v>
      </c>
      <c r="C1824" s="10" t="s">
        <v>77</v>
      </c>
      <c r="D1824" s="10" t="s">
        <v>49</v>
      </c>
      <c r="E1824" s="16"/>
      <c r="F1824" s="16" t="s">
        <v>382</v>
      </c>
      <c r="G1824" s="13">
        <f>IFERROR(__xludf.DUMMYFUNCTION("if(counta(filter('Previous Rank'!$A$2:$A2766,'Previous Rank'!$B$2:$B2766=B1824,'Previous Rank'!$C$2:$C2766=C1824))=1,filter('Previous Rank'!$A$2:$A2766,'Previous Rank'!$B$2:$B2766=B1824,'Previous Rank'!$C$2:$C2766=C1824),"""")"),1821.0)</f>
        <v>1821</v>
      </c>
      <c r="H1824" s="8">
        <f t="shared" si="1"/>
        <v>-2</v>
      </c>
    </row>
    <row r="1825">
      <c r="A1825" s="10">
        <v>1824.0</v>
      </c>
      <c r="B1825" s="11" t="s">
        <v>1921</v>
      </c>
      <c r="C1825" s="10" t="s">
        <v>77</v>
      </c>
      <c r="D1825" s="10" t="s">
        <v>113</v>
      </c>
      <c r="E1825" s="15"/>
      <c r="F1825" s="15" t="s">
        <v>382</v>
      </c>
      <c r="G1825" s="13">
        <f>IFERROR(__xludf.DUMMYFUNCTION("if(counta(filter('Previous Rank'!$A$2:$A2766,'Previous Rank'!$B$2:$B2766=B1825,'Previous Rank'!$C$2:$C2766=C1825))=1,filter('Previous Rank'!$A$2:$A2766,'Previous Rank'!$B$2:$B2766=B1825,'Previous Rank'!$C$2:$C2766=C1825),"""")"),1822.0)</f>
        <v>1822</v>
      </c>
      <c r="H1825" s="8">
        <f t="shared" si="1"/>
        <v>-2</v>
      </c>
    </row>
    <row r="1826">
      <c r="A1826" s="10">
        <v>1825.0</v>
      </c>
      <c r="B1826" s="11" t="s">
        <v>1922</v>
      </c>
      <c r="C1826" s="10" t="s">
        <v>69</v>
      </c>
      <c r="D1826" s="10" t="s">
        <v>99</v>
      </c>
      <c r="E1826" s="16"/>
      <c r="F1826" s="16" t="s">
        <v>382</v>
      </c>
      <c r="G1826" s="13">
        <f>IFERROR(__xludf.DUMMYFUNCTION("if(counta(filter('Previous Rank'!$A$2:$A2766,'Previous Rank'!$B$2:$B2766=B1826,'Previous Rank'!$C$2:$C2766=C1826))=1,filter('Previous Rank'!$A$2:$A2766,'Previous Rank'!$B$2:$B2766=B1826,'Previous Rank'!$C$2:$C2766=C1826),"""")"),1823.0)</f>
        <v>1823</v>
      </c>
      <c r="H1826" s="8">
        <f t="shared" si="1"/>
        <v>-2</v>
      </c>
    </row>
    <row r="1827">
      <c r="A1827" s="10">
        <v>1826.0</v>
      </c>
      <c r="B1827" s="11" t="s">
        <v>1923</v>
      </c>
      <c r="C1827" s="10" t="s">
        <v>220</v>
      </c>
      <c r="D1827" s="10" t="s">
        <v>95</v>
      </c>
      <c r="E1827" s="15"/>
      <c r="F1827" s="15" t="s">
        <v>382</v>
      </c>
      <c r="G1827" s="13">
        <f>IFERROR(__xludf.DUMMYFUNCTION("if(counta(filter('Previous Rank'!$A$2:$A2766,'Previous Rank'!$B$2:$B2766=B1827,'Previous Rank'!$C$2:$C2766=C1827))=1,filter('Previous Rank'!$A$2:$A2766,'Previous Rank'!$B$2:$B2766=B1827,'Previous Rank'!$C$2:$C2766=C1827),"""")"),1824.0)</f>
        <v>1824</v>
      </c>
      <c r="H1827" s="8">
        <f t="shared" si="1"/>
        <v>-2</v>
      </c>
    </row>
    <row r="1828">
      <c r="A1828" s="10">
        <v>1827.0</v>
      </c>
      <c r="B1828" s="11" t="s">
        <v>1924</v>
      </c>
      <c r="C1828" s="10" t="s">
        <v>220</v>
      </c>
      <c r="D1828" s="10" t="s">
        <v>73</v>
      </c>
      <c r="E1828" s="16"/>
      <c r="F1828" s="16" t="s">
        <v>382</v>
      </c>
      <c r="G1828" s="13">
        <f>IFERROR(__xludf.DUMMYFUNCTION("if(counta(filter('Previous Rank'!$A$2:$A2766,'Previous Rank'!$B$2:$B2766=B1828,'Previous Rank'!$C$2:$C2766=C1828))=1,filter('Previous Rank'!$A$2:$A2766,'Previous Rank'!$B$2:$B2766=B1828,'Previous Rank'!$C$2:$C2766=C1828),"""")"),1825.0)</f>
        <v>1825</v>
      </c>
      <c r="H1828" s="8">
        <f t="shared" si="1"/>
        <v>-2</v>
      </c>
    </row>
    <row r="1829">
      <c r="A1829" s="10">
        <v>1828.0</v>
      </c>
      <c r="B1829" s="11" t="s">
        <v>1925</v>
      </c>
      <c r="C1829" s="10" t="s">
        <v>22</v>
      </c>
      <c r="D1829" s="10" t="s">
        <v>140</v>
      </c>
      <c r="E1829" s="15"/>
      <c r="F1829" s="15" t="s">
        <v>382</v>
      </c>
      <c r="G1829" s="13">
        <f>IFERROR(__xludf.DUMMYFUNCTION("if(counta(filter('Previous Rank'!$A$2:$A2766,'Previous Rank'!$B$2:$B2766=B1829,'Previous Rank'!$C$2:$C2766=C1829))=1,filter('Previous Rank'!$A$2:$A2766,'Previous Rank'!$B$2:$B2766=B1829,'Previous Rank'!$C$2:$C2766=C1829),"""")"),1826.0)</f>
        <v>1826</v>
      </c>
      <c r="H1829" s="8">
        <f t="shared" si="1"/>
        <v>-2</v>
      </c>
    </row>
    <row r="1830">
      <c r="A1830" s="10">
        <v>1829.0</v>
      </c>
      <c r="B1830" s="11" t="s">
        <v>1926</v>
      </c>
      <c r="C1830" s="10" t="s">
        <v>11</v>
      </c>
      <c r="D1830" s="10" t="s">
        <v>18</v>
      </c>
      <c r="E1830" s="16"/>
      <c r="F1830" s="16" t="s">
        <v>382</v>
      </c>
      <c r="G1830" s="13">
        <f>IFERROR(__xludf.DUMMYFUNCTION("if(counta(filter('Previous Rank'!$A$2:$A2766,'Previous Rank'!$B$2:$B2766=B1830,'Previous Rank'!$C$2:$C2766=C1830))=1,filter('Previous Rank'!$A$2:$A2766,'Previous Rank'!$B$2:$B2766=B1830,'Previous Rank'!$C$2:$C2766=C1830),"""")"),1827.0)</f>
        <v>1827</v>
      </c>
      <c r="H1830" s="8">
        <f t="shared" si="1"/>
        <v>-2</v>
      </c>
    </row>
    <row r="1831">
      <c r="A1831" s="10">
        <v>1830.0</v>
      </c>
      <c r="B1831" s="11" t="s">
        <v>1927</v>
      </c>
      <c r="C1831" s="10" t="s">
        <v>77</v>
      </c>
      <c r="D1831" s="10" t="s">
        <v>12</v>
      </c>
      <c r="E1831" s="15"/>
      <c r="F1831" s="15" t="s">
        <v>382</v>
      </c>
      <c r="G1831" s="13">
        <f>IFERROR(__xludf.DUMMYFUNCTION("if(counta(filter('Previous Rank'!$A$2:$A2766,'Previous Rank'!$B$2:$B2766=B1831,'Previous Rank'!$C$2:$C2766=C1831))=1,filter('Previous Rank'!$A$2:$A2766,'Previous Rank'!$B$2:$B2766=B1831,'Previous Rank'!$C$2:$C2766=C1831),"""")"),1828.0)</f>
        <v>1828</v>
      </c>
      <c r="H1831" s="8">
        <f t="shared" si="1"/>
        <v>-2</v>
      </c>
    </row>
    <row r="1832">
      <c r="A1832" s="10">
        <v>1831.0</v>
      </c>
      <c r="B1832" s="11" t="s">
        <v>1928</v>
      </c>
      <c r="C1832" s="10" t="s">
        <v>1868</v>
      </c>
      <c r="D1832" s="10" t="s">
        <v>34</v>
      </c>
      <c r="E1832" s="16"/>
      <c r="F1832" s="16" t="s">
        <v>382</v>
      </c>
      <c r="G1832" s="13">
        <f>IFERROR(__xludf.DUMMYFUNCTION("if(counta(filter('Previous Rank'!$A$2:$A2766,'Previous Rank'!$B$2:$B2766=B1832,'Previous Rank'!$C$2:$C2766=C1832))=1,filter('Previous Rank'!$A$2:$A2766,'Previous Rank'!$B$2:$B2766=B1832,'Previous Rank'!$C$2:$C2766=C1832),"""")"),1829.0)</f>
        <v>1829</v>
      </c>
      <c r="H1832" s="8">
        <f t="shared" si="1"/>
        <v>-2</v>
      </c>
    </row>
    <row r="1833">
      <c r="A1833" s="10">
        <v>1832.0</v>
      </c>
      <c r="B1833" s="11" t="s">
        <v>1929</v>
      </c>
      <c r="C1833" s="10" t="s">
        <v>17</v>
      </c>
      <c r="D1833" s="10" t="s">
        <v>82</v>
      </c>
      <c r="E1833" s="15"/>
      <c r="F1833" s="15" t="s">
        <v>382</v>
      </c>
      <c r="G1833" s="13">
        <f>IFERROR(__xludf.DUMMYFUNCTION("if(counta(filter('Previous Rank'!$A$2:$A2766,'Previous Rank'!$B$2:$B2766=B1833,'Previous Rank'!$C$2:$C2766=C1833))=1,filter('Previous Rank'!$A$2:$A2766,'Previous Rank'!$B$2:$B2766=B1833,'Previous Rank'!$C$2:$C2766=C1833),"""")"),1830.0)</f>
        <v>1830</v>
      </c>
      <c r="H1833" s="8">
        <f t="shared" si="1"/>
        <v>-2</v>
      </c>
    </row>
    <row r="1834">
      <c r="A1834" s="10">
        <v>1833.0</v>
      </c>
      <c r="B1834" s="11" t="s">
        <v>1930</v>
      </c>
      <c r="C1834" s="10" t="s">
        <v>8</v>
      </c>
      <c r="D1834" s="10" t="s">
        <v>206</v>
      </c>
      <c r="E1834" s="16"/>
      <c r="F1834" s="16" t="s">
        <v>382</v>
      </c>
      <c r="G1834" s="13">
        <f>IFERROR(__xludf.DUMMYFUNCTION("if(counta(filter('Previous Rank'!$A$2:$A2766,'Previous Rank'!$B$2:$B2766=B1834,'Previous Rank'!$C$2:$C2766=C1834))=1,filter('Previous Rank'!$A$2:$A2766,'Previous Rank'!$B$2:$B2766=B1834,'Previous Rank'!$C$2:$C2766=C1834),"""")"),1831.0)</f>
        <v>1831</v>
      </c>
      <c r="H1834" s="8">
        <f t="shared" si="1"/>
        <v>-2</v>
      </c>
    </row>
    <row r="1835">
      <c r="A1835" s="10">
        <v>1834.0</v>
      </c>
      <c r="B1835" s="11" t="s">
        <v>1931</v>
      </c>
      <c r="C1835" s="10" t="s">
        <v>11</v>
      </c>
      <c r="D1835" s="10" t="s">
        <v>49</v>
      </c>
      <c r="E1835" s="15"/>
      <c r="F1835" s="15" t="s">
        <v>382</v>
      </c>
      <c r="G1835" s="13">
        <f>IFERROR(__xludf.DUMMYFUNCTION("if(counta(filter('Previous Rank'!$A$2:$A2766,'Previous Rank'!$B$2:$B2766=B1835,'Previous Rank'!$C$2:$C2766=C1835))=1,filter('Previous Rank'!$A$2:$A2766,'Previous Rank'!$B$2:$B2766=B1835,'Previous Rank'!$C$2:$C2766=C1835),"""")"),1832.0)</f>
        <v>1832</v>
      </c>
      <c r="H1835" s="8">
        <f t="shared" si="1"/>
        <v>-2</v>
      </c>
    </row>
    <row r="1836">
      <c r="A1836" s="10">
        <v>1835.0</v>
      </c>
      <c r="B1836" s="11" t="s">
        <v>1932</v>
      </c>
      <c r="C1836" s="10" t="s">
        <v>63</v>
      </c>
      <c r="D1836" s="10" t="s">
        <v>113</v>
      </c>
      <c r="E1836" s="16"/>
      <c r="F1836" s="16" t="s">
        <v>382</v>
      </c>
      <c r="G1836" s="13">
        <f>IFERROR(__xludf.DUMMYFUNCTION("if(counta(filter('Previous Rank'!$A$2:$A2766,'Previous Rank'!$B$2:$B2766=B1836,'Previous Rank'!$C$2:$C2766=C1836))=1,filter('Previous Rank'!$A$2:$A2766,'Previous Rank'!$B$2:$B2766=B1836,'Previous Rank'!$C$2:$C2766=C1836),"""")"),1833.0)</f>
        <v>1833</v>
      </c>
      <c r="H1836" s="8">
        <f t="shared" si="1"/>
        <v>-2</v>
      </c>
    </row>
    <row r="1837">
      <c r="A1837" s="10">
        <v>1836.0</v>
      </c>
      <c r="B1837" s="11" t="s">
        <v>1933</v>
      </c>
      <c r="C1837" s="10" t="s">
        <v>753</v>
      </c>
      <c r="D1837" s="10" t="s">
        <v>23</v>
      </c>
      <c r="E1837" s="15"/>
      <c r="F1837" s="15" t="s">
        <v>382</v>
      </c>
      <c r="G1837" s="13">
        <f>IFERROR(__xludf.DUMMYFUNCTION("if(counta(filter('Previous Rank'!$A$2:$A2766,'Previous Rank'!$B$2:$B2766=B1837,'Previous Rank'!$C$2:$C2766=C1837))=1,filter('Previous Rank'!$A$2:$A2766,'Previous Rank'!$B$2:$B2766=B1837,'Previous Rank'!$C$2:$C2766=C1837),"""")"),1834.0)</f>
        <v>1834</v>
      </c>
      <c r="H1837" s="8">
        <f t="shared" si="1"/>
        <v>-2</v>
      </c>
    </row>
    <row r="1838">
      <c r="A1838" s="10">
        <v>1837.0</v>
      </c>
      <c r="B1838" s="11" t="s">
        <v>1934</v>
      </c>
      <c r="C1838" s="10" t="s">
        <v>39</v>
      </c>
      <c r="D1838" s="10" t="s">
        <v>27</v>
      </c>
      <c r="E1838" s="16"/>
      <c r="F1838" s="16" t="s">
        <v>382</v>
      </c>
      <c r="G1838" s="13">
        <f>IFERROR(__xludf.DUMMYFUNCTION("if(counta(filter('Previous Rank'!$A$2:$A2766,'Previous Rank'!$B$2:$B2766=B1838,'Previous Rank'!$C$2:$C2766=C1838))=1,filter('Previous Rank'!$A$2:$A2766,'Previous Rank'!$B$2:$B2766=B1838,'Previous Rank'!$C$2:$C2766=C1838),"""")"),1835.0)</f>
        <v>1835</v>
      </c>
      <c r="H1838" s="8">
        <f t="shared" si="1"/>
        <v>-2</v>
      </c>
    </row>
    <row r="1839">
      <c r="A1839" s="10">
        <v>1838.0</v>
      </c>
      <c r="B1839" s="11" t="s">
        <v>1935</v>
      </c>
      <c r="C1839" s="10" t="s">
        <v>33</v>
      </c>
      <c r="D1839" s="10" t="s">
        <v>73</v>
      </c>
      <c r="E1839" s="15"/>
      <c r="F1839" s="15" t="s">
        <v>382</v>
      </c>
      <c r="G1839" s="13">
        <f>IFERROR(__xludf.DUMMYFUNCTION("if(counta(filter('Previous Rank'!$A$2:$A2766,'Previous Rank'!$B$2:$B2766=B1839,'Previous Rank'!$C$2:$C2766=C1839))=1,filter('Previous Rank'!$A$2:$A2766,'Previous Rank'!$B$2:$B2766=B1839,'Previous Rank'!$C$2:$C2766=C1839),"""")"),1836.0)</f>
        <v>1836</v>
      </c>
      <c r="H1839" s="8">
        <f t="shared" si="1"/>
        <v>-2</v>
      </c>
    </row>
    <row r="1840">
      <c r="A1840" s="10">
        <v>1839.0</v>
      </c>
      <c r="B1840" s="11" t="s">
        <v>1936</v>
      </c>
      <c r="C1840" s="10" t="s">
        <v>220</v>
      </c>
      <c r="D1840" s="10" t="s">
        <v>122</v>
      </c>
      <c r="E1840" s="16"/>
      <c r="F1840" s="16" t="s">
        <v>382</v>
      </c>
      <c r="G1840" s="13">
        <f>IFERROR(__xludf.DUMMYFUNCTION("if(counta(filter('Previous Rank'!$A$2:$A2766,'Previous Rank'!$B$2:$B2766=B1840,'Previous Rank'!$C$2:$C2766=C1840))=1,filter('Previous Rank'!$A$2:$A2766,'Previous Rank'!$B$2:$B2766=B1840,'Previous Rank'!$C$2:$C2766=C1840),"""")"),1837.0)</f>
        <v>1837</v>
      </c>
      <c r="H1840" s="8">
        <f t="shared" si="1"/>
        <v>-2</v>
      </c>
    </row>
    <row r="1841">
      <c r="A1841" s="10">
        <v>1840.0</v>
      </c>
      <c r="B1841" s="11" t="s">
        <v>1937</v>
      </c>
      <c r="C1841" s="10" t="s">
        <v>1938</v>
      </c>
      <c r="D1841" s="10" t="s">
        <v>137</v>
      </c>
      <c r="E1841" s="15"/>
      <c r="F1841" s="15" t="s">
        <v>382</v>
      </c>
      <c r="G1841" s="13">
        <f>IFERROR(__xludf.DUMMYFUNCTION("if(counta(filter('Previous Rank'!$A$2:$A2766,'Previous Rank'!$B$2:$B2766=B1841,'Previous Rank'!$C$2:$C2766=C1841))=1,filter('Previous Rank'!$A$2:$A2766,'Previous Rank'!$B$2:$B2766=B1841,'Previous Rank'!$C$2:$C2766=C1841),"""")"),1838.0)</f>
        <v>1838</v>
      </c>
      <c r="H1841" s="8">
        <f t="shared" si="1"/>
        <v>-2</v>
      </c>
    </row>
    <row r="1842">
      <c r="A1842" s="10">
        <v>1841.0</v>
      </c>
      <c r="B1842" s="11" t="s">
        <v>1939</v>
      </c>
      <c r="C1842" s="10" t="s">
        <v>77</v>
      </c>
      <c r="D1842" s="10" t="s">
        <v>46</v>
      </c>
      <c r="E1842" s="16"/>
      <c r="F1842" s="16" t="s">
        <v>382</v>
      </c>
      <c r="G1842" s="13">
        <f>IFERROR(__xludf.DUMMYFUNCTION("if(counta(filter('Previous Rank'!$A$2:$A2766,'Previous Rank'!$B$2:$B2766=B1842,'Previous Rank'!$C$2:$C2766=C1842))=1,filter('Previous Rank'!$A$2:$A2766,'Previous Rank'!$B$2:$B2766=B1842,'Previous Rank'!$C$2:$C2766=C1842),"""")"),1839.0)</f>
        <v>1839</v>
      </c>
      <c r="H1842" s="8">
        <f t="shared" si="1"/>
        <v>-2</v>
      </c>
    </row>
    <row r="1843">
      <c r="A1843" s="10">
        <v>1842.0</v>
      </c>
      <c r="B1843" s="11" t="s">
        <v>1940</v>
      </c>
      <c r="C1843" s="10" t="s">
        <v>240</v>
      </c>
      <c r="D1843" s="10" t="s">
        <v>206</v>
      </c>
      <c r="E1843" s="15"/>
      <c r="F1843" s="15" t="s">
        <v>382</v>
      </c>
      <c r="G1843" s="13">
        <f>IFERROR(__xludf.DUMMYFUNCTION("if(counta(filter('Previous Rank'!$A$2:$A2766,'Previous Rank'!$B$2:$B2766=B1843,'Previous Rank'!$C$2:$C2766=C1843))=1,filter('Previous Rank'!$A$2:$A2766,'Previous Rank'!$B$2:$B2766=B1843,'Previous Rank'!$C$2:$C2766=C1843),"""")"),1840.0)</f>
        <v>1840</v>
      </c>
      <c r="H1843" s="8">
        <f t="shared" si="1"/>
        <v>-2</v>
      </c>
    </row>
    <row r="1844">
      <c r="A1844" s="10">
        <v>1843.0</v>
      </c>
      <c r="B1844" s="11" t="s">
        <v>1941</v>
      </c>
      <c r="C1844" s="10" t="s">
        <v>262</v>
      </c>
      <c r="D1844" s="10" t="s">
        <v>129</v>
      </c>
      <c r="E1844" s="16"/>
      <c r="F1844" s="16" t="s">
        <v>382</v>
      </c>
      <c r="G1844" s="13">
        <f>IFERROR(__xludf.DUMMYFUNCTION("if(counta(filter('Previous Rank'!$A$2:$A2766,'Previous Rank'!$B$2:$B2766=B1844,'Previous Rank'!$C$2:$C2766=C1844))=1,filter('Previous Rank'!$A$2:$A2766,'Previous Rank'!$B$2:$B2766=B1844,'Previous Rank'!$C$2:$C2766=C1844),"""")"),1841.0)</f>
        <v>1841</v>
      </c>
      <c r="H1844" s="8">
        <f t="shared" si="1"/>
        <v>-2</v>
      </c>
    </row>
    <row r="1845">
      <c r="A1845" s="10">
        <v>1844.0</v>
      </c>
      <c r="B1845" s="11" t="s">
        <v>1942</v>
      </c>
      <c r="C1845" s="10" t="s">
        <v>55</v>
      </c>
      <c r="D1845" s="10" t="s">
        <v>95</v>
      </c>
      <c r="E1845" s="15"/>
      <c r="F1845" s="15" t="s">
        <v>382</v>
      </c>
      <c r="G1845" s="13">
        <f>IFERROR(__xludf.DUMMYFUNCTION("if(counta(filter('Previous Rank'!$A$2:$A2766,'Previous Rank'!$B$2:$B2766=B1845,'Previous Rank'!$C$2:$C2766=C1845))=1,filter('Previous Rank'!$A$2:$A2766,'Previous Rank'!$B$2:$B2766=B1845,'Previous Rank'!$C$2:$C2766=C1845),"""")"),1842.0)</f>
        <v>1842</v>
      </c>
      <c r="H1845" s="8">
        <f t="shared" si="1"/>
        <v>-2</v>
      </c>
    </row>
    <row r="1846">
      <c r="A1846" s="10">
        <v>1845.0</v>
      </c>
      <c r="B1846" s="11" t="s">
        <v>1943</v>
      </c>
      <c r="C1846" s="10" t="s">
        <v>22</v>
      </c>
      <c r="D1846" s="10" t="s">
        <v>67</v>
      </c>
      <c r="E1846" s="16"/>
      <c r="F1846" s="16" t="s">
        <v>382</v>
      </c>
      <c r="G1846" s="13">
        <f>IFERROR(__xludf.DUMMYFUNCTION("if(counta(filter('Previous Rank'!$A$2:$A2766,'Previous Rank'!$B$2:$B2766=B1846,'Previous Rank'!$C$2:$C2766=C1846))=1,filter('Previous Rank'!$A$2:$A2766,'Previous Rank'!$B$2:$B2766=B1846,'Previous Rank'!$C$2:$C2766=C1846),"""")"),1843.0)</f>
        <v>1843</v>
      </c>
      <c r="H1846" s="8">
        <f t="shared" si="1"/>
        <v>-2</v>
      </c>
    </row>
    <row r="1847">
      <c r="A1847" s="10">
        <v>1846.0</v>
      </c>
      <c r="B1847" s="11" t="s">
        <v>1944</v>
      </c>
      <c r="C1847" s="10" t="s">
        <v>8</v>
      </c>
      <c r="D1847" s="10" t="s">
        <v>31</v>
      </c>
      <c r="E1847" s="15"/>
      <c r="F1847" s="15" t="s">
        <v>382</v>
      </c>
      <c r="G1847" s="13">
        <f>IFERROR(__xludf.DUMMYFUNCTION("if(counta(filter('Previous Rank'!$A$2:$A2766,'Previous Rank'!$B$2:$B2766=B1847,'Previous Rank'!$C$2:$C2766=C1847))=1,filter('Previous Rank'!$A$2:$A2766,'Previous Rank'!$B$2:$B2766=B1847,'Previous Rank'!$C$2:$C2766=C1847),"""")"),1844.0)</f>
        <v>1844</v>
      </c>
      <c r="H1847" s="8">
        <f t="shared" si="1"/>
        <v>-2</v>
      </c>
    </row>
    <row r="1848">
      <c r="A1848" s="10">
        <v>1847.0</v>
      </c>
      <c r="B1848" s="11" t="s">
        <v>1945</v>
      </c>
      <c r="C1848" s="10" t="s">
        <v>136</v>
      </c>
      <c r="D1848" s="10" t="s">
        <v>23</v>
      </c>
      <c r="E1848" s="16"/>
      <c r="F1848" s="16" t="s">
        <v>382</v>
      </c>
      <c r="G1848" s="13">
        <f>IFERROR(__xludf.DUMMYFUNCTION("if(counta(filter('Previous Rank'!$A$2:$A2766,'Previous Rank'!$B$2:$B2766=B1848,'Previous Rank'!$C$2:$C2766=C1848))=1,filter('Previous Rank'!$A$2:$A2766,'Previous Rank'!$B$2:$B2766=B1848,'Previous Rank'!$C$2:$C2766=C1848),"""")"),1845.0)</f>
        <v>1845</v>
      </c>
      <c r="H1848" s="8">
        <f t="shared" si="1"/>
        <v>-2</v>
      </c>
    </row>
    <row r="1849">
      <c r="A1849" s="10">
        <v>1848.0</v>
      </c>
      <c r="B1849" s="11" t="s">
        <v>1946</v>
      </c>
      <c r="C1849" s="10" t="s">
        <v>1947</v>
      </c>
      <c r="D1849" s="10" t="s">
        <v>34</v>
      </c>
      <c r="E1849" s="15"/>
      <c r="F1849" s="15" t="s">
        <v>382</v>
      </c>
      <c r="G1849" s="13">
        <f>IFERROR(__xludf.DUMMYFUNCTION("if(counta(filter('Previous Rank'!$A$2:$A2766,'Previous Rank'!$B$2:$B2766=B1849,'Previous Rank'!$C$2:$C2766=C1849))=1,filter('Previous Rank'!$A$2:$A2766,'Previous Rank'!$B$2:$B2766=B1849,'Previous Rank'!$C$2:$C2766=C1849),"""")"),1846.0)</f>
        <v>1846</v>
      </c>
      <c r="H1849" s="8">
        <f t="shared" si="1"/>
        <v>-2</v>
      </c>
    </row>
    <row r="1850">
      <c r="A1850" s="10">
        <v>1849.0</v>
      </c>
      <c r="B1850" s="11" t="s">
        <v>1948</v>
      </c>
      <c r="C1850" s="10" t="s">
        <v>55</v>
      </c>
      <c r="D1850" s="10" t="s">
        <v>25</v>
      </c>
      <c r="E1850" s="16"/>
      <c r="F1850" s="16" t="s">
        <v>382</v>
      </c>
      <c r="G1850" s="13">
        <f>IFERROR(__xludf.DUMMYFUNCTION("if(counta(filter('Previous Rank'!$A$2:$A2766,'Previous Rank'!$B$2:$B2766=B1850,'Previous Rank'!$C$2:$C2766=C1850))=1,filter('Previous Rank'!$A$2:$A2766,'Previous Rank'!$B$2:$B2766=B1850,'Previous Rank'!$C$2:$C2766=C1850),"""")"),1847.0)</f>
        <v>1847</v>
      </c>
      <c r="H1850" s="8">
        <f t="shared" si="1"/>
        <v>-2</v>
      </c>
    </row>
    <row r="1851">
      <c r="A1851" s="10">
        <v>1850.0</v>
      </c>
      <c r="B1851" s="11" t="s">
        <v>1949</v>
      </c>
      <c r="C1851" s="10" t="s">
        <v>39</v>
      </c>
      <c r="D1851" s="10" t="s">
        <v>85</v>
      </c>
      <c r="E1851" s="15"/>
      <c r="F1851" s="15" t="s">
        <v>382</v>
      </c>
      <c r="G1851" s="13">
        <f>IFERROR(__xludf.DUMMYFUNCTION("if(counta(filter('Previous Rank'!$A$2:$A2766,'Previous Rank'!$B$2:$B2766=B1851,'Previous Rank'!$C$2:$C2766=C1851))=1,filter('Previous Rank'!$A$2:$A2766,'Previous Rank'!$B$2:$B2766=B1851,'Previous Rank'!$C$2:$C2766=C1851),"""")"),1848.0)</f>
        <v>1848</v>
      </c>
      <c r="H1851" s="8">
        <f t="shared" si="1"/>
        <v>-2</v>
      </c>
    </row>
    <row r="1852">
      <c r="A1852" s="10">
        <v>1851.0</v>
      </c>
      <c r="B1852" s="11" t="s">
        <v>1950</v>
      </c>
      <c r="C1852" s="10" t="s">
        <v>218</v>
      </c>
      <c r="D1852" s="10" t="s">
        <v>42</v>
      </c>
      <c r="E1852" s="16"/>
      <c r="F1852" s="16" t="s">
        <v>382</v>
      </c>
      <c r="G1852" s="13">
        <f>IFERROR(__xludf.DUMMYFUNCTION("if(counta(filter('Previous Rank'!$A$2:$A2766,'Previous Rank'!$B$2:$B2766=B1852,'Previous Rank'!$C$2:$C2766=C1852))=1,filter('Previous Rank'!$A$2:$A2766,'Previous Rank'!$B$2:$B2766=B1852,'Previous Rank'!$C$2:$C2766=C1852),"""")"),1849.0)</f>
        <v>1849</v>
      </c>
      <c r="H1852" s="8">
        <f t="shared" si="1"/>
        <v>-2</v>
      </c>
    </row>
    <row r="1853">
      <c r="A1853" s="10">
        <v>1852.0</v>
      </c>
      <c r="B1853" s="11" t="s">
        <v>1951</v>
      </c>
      <c r="C1853" s="10" t="s">
        <v>240</v>
      </c>
      <c r="D1853" s="10" t="s">
        <v>71</v>
      </c>
      <c r="E1853" s="15"/>
      <c r="F1853" s="15" t="s">
        <v>382</v>
      </c>
      <c r="G1853" s="13">
        <f>IFERROR(__xludf.DUMMYFUNCTION("if(counta(filter('Previous Rank'!$A$2:$A2766,'Previous Rank'!$B$2:$B2766=B1853,'Previous Rank'!$C$2:$C2766=C1853))=1,filter('Previous Rank'!$A$2:$A2766,'Previous Rank'!$B$2:$B2766=B1853,'Previous Rank'!$C$2:$C2766=C1853),"""")"),1850.0)</f>
        <v>1850</v>
      </c>
      <c r="H1853" s="8">
        <f t="shared" si="1"/>
        <v>-2</v>
      </c>
    </row>
    <row r="1854">
      <c r="A1854" s="10">
        <v>1853.0</v>
      </c>
      <c r="B1854" s="11" t="s">
        <v>1952</v>
      </c>
      <c r="C1854" s="10" t="s">
        <v>77</v>
      </c>
      <c r="D1854" s="10" t="s">
        <v>120</v>
      </c>
      <c r="E1854" s="16"/>
      <c r="F1854" s="16" t="s">
        <v>382</v>
      </c>
      <c r="G1854" s="13">
        <f>IFERROR(__xludf.DUMMYFUNCTION("if(counta(filter('Previous Rank'!$A$2:$A2766,'Previous Rank'!$B$2:$B2766=B1854,'Previous Rank'!$C$2:$C2766=C1854))=1,filter('Previous Rank'!$A$2:$A2766,'Previous Rank'!$B$2:$B2766=B1854,'Previous Rank'!$C$2:$C2766=C1854),"""")"),1851.0)</f>
        <v>1851</v>
      </c>
      <c r="H1854" s="8">
        <f t="shared" si="1"/>
        <v>-2</v>
      </c>
    </row>
    <row r="1855">
      <c r="A1855" s="10">
        <v>1854.0</v>
      </c>
      <c r="B1855" s="11" t="s">
        <v>1953</v>
      </c>
      <c r="C1855" s="10" t="s">
        <v>1954</v>
      </c>
      <c r="D1855" s="10" t="s">
        <v>31</v>
      </c>
      <c r="E1855" s="15"/>
      <c r="F1855" s="15" t="s">
        <v>382</v>
      </c>
      <c r="G1855" s="13">
        <f>IFERROR(__xludf.DUMMYFUNCTION("if(counta(filter('Previous Rank'!$A$2:$A2766,'Previous Rank'!$B$2:$B2766=B1855,'Previous Rank'!$C$2:$C2766=C1855))=1,filter('Previous Rank'!$A$2:$A2766,'Previous Rank'!$B$2:$B2766=B1855,'Previous Rank'!$C$2:$C2766=C1855),"""")"),1852.0)</f>
        <v>1852</v>
      </c>
      <c r="H1855" s="8">
        <f t="shared" si="1"/>
        <v>-2</v>
      </c>
    </row>
    <row r="1856">
      <c r="A1856" s="10">
        <v>1855.0</v>
      </c>
      <c r="B1856" s="11" t="s">
        <v>1955</v>
      </c>
      <c r="C1856" s="10" t="s">
        <v>22</v>
      </c>
      <c r="D1856" s="10" t="s">
        <v>73</v>
      </c>
      <c r="E1856" s="16"/>
      <c r="F1856" s="16" t="s">
        <v>382</v>
      </c>
      <c r="G1856" s="13" t="str">
        <f>IFERROR(__xludf.DUMMYFUNCTION("if(counta(filter('Previous Rank'!$A$2:$A2766,'Previous Rank'!$B$2:$B2766=B1856,'Previous Rank'!$C$2:$C2766=C1856))=1,filter('Previous Rank'!$A$2:$A2766,'Previous Rank'!$B$2:$B2766=B1856,'Previous Rank'!$C$2:$C2766=C1856),"""")"),"")</f>
        <v/>
      </c>
      <c r="H1856" s="8" t="str">
        <f t="shared" si="1"/>
        <v/>
      </c>
    </row>
    <row r="1857">
      <c r="A1857" s="10">
        <v>1856.0</v>
      </c>
      <c r="B1857" s="11" t="s">
        <v>1956</v>
      </c>
      <c r="C1857" s="10" t="s">
        <v>1954</v>
      </c>
      <c r="D1857" s="10" t="s">
        <v>42</v>
      </c>
      <c r="E1857" s="15"/>
      <c r="F1857" s="15" t="s">
        <v>382</v>
      </c>
      <c r="G1857" s="13">
        <f>IFERROR(__xludf.DUMMYFUNCTION("if(counta(filter('Previous Rank'!$A$2:$A2766,'Previous Rank'!$B$2:$B2766=B1857,'Previous Rank'!$C$2:$C2766=C1857))=1,filter('Previous Rank'!$A$2:$A2766,'Previous Rank'!$B$2:$B2766=B1857,'Previous Rank'!$C$2:$C2766=C1857),"""")"),1854.0)</f>
        <v>1854</v>
      </c>
      <c r="H1857" s="8">
        <f t="shared" si="1"/>
        <v>-2</v>
      </c>
    </row>
    <row r="1858">
      <c r="A1858" s="10">
        <v>1857.0</v>
      </c>
      <c r="B1858" s="11" t="s">
        <v>1957</v>
      </c>
      <c r="C1858" s="10" t="s">
        <v>220</v>
      </c>
      <c r="D1858" s="10" t="s">
        <v>12</v>
      </c>
      <c r="E1858" s="16"/>
      <c r="F1858" s="16" t="s">
        <v>382</v>
      </c>
      <c r="G1858" s="13">
        <f>IFERROR(__xludf.DUMMYFUNCTION("if(counta(filter('Previous Rank'!$A$2:$A2766,'Previous Rank'!$B$2:$B2766=B1858,'Previous Rank'!$C$2:$C2766=C1858))=1,filter('Previous Rank'!$A$2:$A2766,'Previous Rank'!$B$2:$B2766=B1858,'Previous Rank'!$C$2:$C2766=C1858),"""")"),1855.0)</f>
        <v>1855</v>
      </c>
      <c r="H1858" s="8">
        <f t="shared" si="1"/>
        <v>-2</v>
      </c>
    </row>
    <row r="1859">
      <c r="A1859" s="10">
        <v>1858.0</v>
      </c>
      <c r="B1859" s="11" t="s">
        <v>1958</v>
      </c>
      <c r="C1859" s="10" t="s">
        <v>346</v>
      </c>
      <c r="D1859" s="10" t="s">
        <v>73</v>
      </c>
      <c r="E1859" s="12"/>
      <c r="F1859" s="12" t="s">
        <v>382</v>
      </c>
      <c r="G1859" s="13">
        <f>IFERROR(__xludf.DUMMYFUNCTION("if(counta(filter('Previous Rank'!$A$2:$A2766,'Previous Rank'!$B$2:$B2766=B1859,'Previous Rank'!$C$2:$C2766=C1859))=1,filter('Previous Rank'!$A$2:$A2766,'Previous Rank'!$B$2:$B2766=B1859,'Previous Rank'!$C$2:$C2766=C1859),"""")"),1856.0)</f>
        <v>1856</v>
      </c>
      <c r="H1859" s="8">
        <f t="shared" si="1"/>
        <v>-2</v>
      </c>
    </row>
    <row r="1860">
      <c r="A1860" s="10">
        <v>1859.0</v>
      </c>
      <c r="B1860" s="11" t="s">
        <v>1959</v>
      </c>
      <c r="C1860" s="10" t="s">
        <v>283</v>
      </c>
      <c r="D1860" s="10" t="s">
        <v>36</v>
      </c>
      <c r="E1860" s="14"/>
      <c r="F1860" s="14" t="s">
        <v>382</v>
      </c>
      <c r="G1860" s="13">
        <f>IFERROR(__xludf.DUMMYFUNCTION("if(counta(filter('Previous Rank'!$A$2:$A2766,'Previous Rank'!$B$2:$B2766=B1860,'Previous Rank'!$C$2:$C2766=C1860))=1,filter('Previous Rank'!$A$2:$A2766,'Previous Rank'!$B$2:$B2766=B1860,'Previous Rank'!$C$2:$C2766=C1860),"""")"),1857.0)</f>
        <v>1857</v>
      </c>
      <c r="H1860" s="8">
        <f t="shared" si="1"/>
        <v>-2</v>
      </c>
    </row>
    <row r="1861">
      <c r="A1861" s="10">
        <v>1860.0</v>
      </c>
      <c r="B1861" s="11" t="s">
        <v>1960</v>
      </c>
      <c r="C1861" s="10" t="s">
        <v>39</v>
      </c>
      <c r="D1861" s="10" t="s">
        <v>67</v>
      </c>
      <c r="E1861" s="15"/>
      <c r="F1861" s="15" t="s">
        <v>382</v>
      </c>
      <c r="G1861" s="13">
        <f>IFERROR(__xludf.DUMMYFUNCTION("if(counta(filter('Previous Rank'!$A$2:$A2766,'Previous Rank'!$B$2:$B2766=B1861,'Previous Rank'!$C$2:$C2766=C1861))=1,filter('Previous Rank'!$A$2:$A2766,'Previous Rank'!$B$2:$B2766=B1861,'Previous Rank'!$C$2:$C2766=C1861),"""")"),1858.0)</f>
        <v>1858</v>
      </c>
      <c r="H1861" s="8">
        <f t="shared" si="1"/>
        <v>-2</v>
      </c>
    </row>
    <row r="1862">
      <c r="A1862" s="10">
        <v>1861.0</v>
      </c>
      <c r="B1862" s="11" t="s">
        <v>1961</v>
      </c>
      <c r="C1862" s="10" t="s">
        <v>17</v>
      </c>
      <c r="D1862" s="10" t="s">
        <v>82</v>
      </c>
      <c r="E1862" s="16"/>
      <c r="F1862" s="16" t="s">
        <v>382</v>
      </c>
      <c r="G1862" s="13">
        <f>IFERROR(__xludf.DUMMYFUNCTION("if(counta(filter('Previous Rank'!$A$2:$A2766,'Previous Rank'!$B$2:$B2766=B1862,'Previous Rank'!$C$2:$C2766=C1862))=1,filter('Previous Rank'!$A$2:$A2766,'Previous Rank'!$B$2:$B2766=B1862,'Previous Rank'!$C$2:$C2766=C1862),"""")"),1859.0)</f>
        <v>1859</v>
      </c>
      <c r="H1862" s="8">
        <f t="shared" si="1"/>
        <v>-2</v>
      </c>
    </row>
    <row r="1863">
      <c r="A1863" s="10">
        <v>1862.0</v>
      </c>
      <c r="B1863" s="11" t="s">
        <v>1962</v>
      </c>
      <c r="C1863" s="10" t="s">
        <v>48</v>
      </c>
      <c r="D1863" s="10" t="s">
        <v>18</v>
      </c>
      <c r="E1863" s="15"/>
      <c r="F1863" s="15" t="s">
        <v>382</v>
      </c>
      <c r="G1863" s="13">
        <f>IFERROR(__xludf.DUMMYFUNCTION("if(counta(filter('Previous Rank'!$A$2:$A2766,'Previous Rank'!$B$2:$B2766=B1863,'Previous Rank'!$C$2:$C2766=C1863))=1,filter('Previous Rank'!$A$2:$A2766,'Previous Rank'!$B$2:$B2766=B1863,'Previous Rank'!$C$2:$C2766=C1863),"""")"),1860.0)</f>
        <v>1860</v>
      </c>
      <c r="H1863" s="8">
        <f t="shared" si="1"/>
        <v>-2</v>
      </c>
    </row>
    <row r="1864">
      <c r="A1864" s="10">
        <v>1863.0</v>
      </c>
      <c r="B1864" s="11" t="s">
        <v>1963</v>
      </c>
      <c r="C1864" s="10" t="s">
        <v>39</v>
      </c>
      <c r="D1864" s="10" t="s">
        <v>23</v>
      </c>
      <c r="E1864" s="16"/>
      <c r="F1864" s="16" t="s">
        <v>382</v>
      </c>
      <c r="G1864" s="13">
        <f>IFERROR(__xludf.DUMMYFUNCTION("if(counta(filter('Previous Rank'!$A$2:$A2766,'Previous Rank'!$B$2:$B2766=B1864,'Previous Rank'!$C$2:$C2766=C1864))=1,filter('Previous Rank'!$A$2:$A2766,'Previous Rank'!$B$2:$B2766=B1864,'Previous Rank'!$C$2:$C2766=C1864),"""")"),1861.0)</f>
        <v>1861</v>
      </c>
      <c r="H1864" s="8">
        <f t="shared" si="1"/>
        <v>-2</v>
      </c>
    </row>
    <row r="1865">
      <c r="A1865" s="10">
        <v>1864.0</v>
      </c>
      <c r="B1865" s="11" t="s">
        <v>1964</v>
      </c>
      <c r="C1865" s="10" t="s">
        <v>55</v>
      </c>
      <c r="D1865" s="10" t="s">
        <v>9</v>
      </c>
      <c r="E1865" s="15"/>
      <c r="F1865" s="15" t="s">
        <v>382</v>
      </c>
      <c r="G1865" s="13">
        <f>IFERROR(__xludf.DUMMYFUNCTION("if(counta(filter('Previous Rank'!$A$2:$A2766,'Previous Rank'!$B$2:$B2766=B1865,'Previous Rank'!$C$2:$C2766=C1865))=1,filter('Previous Rank'!$A$2:$A2766,'Previous Rank'!$B$2:$B2766=B1865,'Previous Rank'!$C$2:$C2766=C1865),"""")"),1862.0)</f>
        <v>1862</v>
      </c>
      <c r="H1865" s="8">
        <f t="shared" si="1"/>
        <v>-2</v>
      </c>
    </row>
    <row r="1866">
      <c r="A1866" s="10">
        <v>1865.0</v>
      </c>
      <c r="B1866" s="11" t="s">
        <v>1965</v>
      </c>
      <c r="C1866" s="10" t="s">
        <v>39</v>
      </c>
      <c r="D1866" s="10" t="s">
        <v>129</v>
      </c>
      <c r="E1866" s="16"/>
      <c r="F1866" s="16" t="s">
        <v>382</v>
      </c>
      <c r="G1866" s="13">
        <f>IFERROR(__xludf.DUMMYFUNCTION("if(counta(filter('Previous Rank'!$A$2:$A2766,'Previous Rank'!$B$2:$B2766=B1866,'Previous Rank'!$C$2:$C2766=C1866))=1,filter('Previous Rank'!$A$2:$A2766,'Previous Rank'!$B$2:$B2766=B1866,'Previous Rank'!$C$2:$C2766=C1866),"""")"),1863.0)</f>
        <v>1863</v>
      </c>
      <c r="H1866" s="8">
        <f t="shared" si="1"/>
        <v>-2</v>
      </c>
    </row>
    <row r="1867">
      <c r="A1867" s="10">
        <v>1866.0</v>
      </c>
      <c r="B1867" s="11" t="s">
        <v>1966</v>
      </c>
      <c r="C1867" s="10" t="s">
        <v>1938</v>
      </c>
      <c r="D1867" s="10" t="s">
        <v>46</v>
      </c>
      <c r="E1867" s="15"/>
      <c r="F1867" s="15" t="s">
        <v>382</v>
      </c>
      <c r="G1867" s="13">
        <f>IFERROR(__xludf.DUMMYFUNCTION("if(counta(filter('Previous Rank'!$A$2:$A2766,'Previous Rank'!$B$2:$B2766=B1867,'Previous Rank'!$C$2:$C2766=C1867))=1,filter('Previous Rank'!$A$2:$A2766,'Previous Rank'!$B$2:$B2766=B1867,'Previous Rank'!$C$2:$C2766=C1867),"""")"),1864.0)</f>
        <v>1864</v>
      </c>
      <c r="H1867" s="8">
        <f t="shared" si="1"/>
        <v>-2</v>
      </c>
    </row>
    <row r="1868">
      <c r="A1868" s="10">
        <v>1867.0</v>
      </c>
      <c r="B1868" s="11" t="s">
        <v>1967</v>
      </c>
      <c r="C1868" s="10" t="s">
        <v>77</v>
      </c>
      <c r="D1868" s="10" t="s">
        <v>36</v>
      </c>
      <c r="E1868" s="16"/>
      <c r="F1868" s="16" t="s">
        <v>382</v>
      </c>
      <c r="G1868" s="13">
        <f>IFERROR(__xludf.DUMMYFUNCTION("if(counta(filter('Previous Rank'!$A$2:$A2766,'Previous Rank'!$B$2:$B2766=B1868,'Previous Rank'!$C$2:$C2766=C1868))=1,filter('Previous Rank'!$A$2:$A2766,'Previous Rank'!$B$2:$B2766=B1868,'Previous Rank'!$C$2:$C2766=C1868),"""")"),1865.0)</f>
        <v>1865</v>
      </c>
      <c r="H1868" s="8">
        <f t="shared" si="1"/>
        <v>-2</v>
      </c>
    </row>
    <row r="1869">
      <c r="A1869" s="10">
        <v>1868.0</v>
      </c>
      <c r="B1869" s="11" t="s">
        <v>1968</v>
      </c>
      <c r="C1869" s="10" t="s">
        <v>63</v>
      </c>
      <c r="D1869" s="10" t="s">
        <v>67</v>
      </c>
      <c r="E1869" s="15"/>
      <c r="F1869" s="15" t="s">
        <v>382</v>
      </c>
      <c r="G1869" s="13">
        <f>IFERROR(__xludf.DUMMYFUNCTION("if(counta(filter('Previous Rank'!$A$2:$A2766,'Previous Rank'!$B$2:$B2766=B1869,'Previous Rank'!$C$2:$C2766=C1869))=1,filter('Previous Rank'!$A$2:$A2766,'Previous Rank'!$B$2:$B2766=B1869,'Previous Rank'!$C$2:$C2766=C1869),"""")"),1866.0)</f>
        <v>1866</v>
      </c>
      <c r="H1869" s="8">
        <f t="shared" si="1"/>
        <v>-2</v>
      </c>
    </row>
    <row r="1870">
      <c r="A1870" s="10">
        <v>1869.0</v>
      </c>
      <c r="B1870" s="11" t="s">
        <v>1969</v>
      </c>
      <c r="C1870" s="10" t="s">
        <v>69</v>
      </c>
      <c r="D1870" s="10" t="s">
        <v>99</v>
      </c>
      <c r="E1870" s="16"/>
      <c r="F1870" s="16" t="s">
        <v>382</v>
      </c>
      <c r="G1870" s="13">
        <f>IFERROR(__xludf.DUMMYFUNCTION("if(counta(filter('Previous Rank'!$A$2:$A2766,'Previous Rank'!$B$2:$B2766=B1870,'Previous Rank'!$C$2:$C2766=C1870))=1,filter('Previous Rank'!$A$2:$A2766,'Previous Rank'!$B$2:$B2766=B1870,'Previous Rank'!$C$2:$C2766=C1870),"""")"),1867.0)</f>
        <v>1867</v>
      </c>
      <c r="H1870" s="8">
        <f t="shared" si="1"/>
        <v>-2</v>
      </c>
    </row>
    <row r="1871">
      <c r="A1871" s="10">
        <v>1870.0</v>
      </c>
      <c r="B1871" s="11" t="s">
        <v>1970</v>
      </c>
      <c r="C1871" s="10" t="s">
        <v>218</v>
      </c>
      <c r="D1871" s="10" t="s">
        <v>71</v>
      </c>
      <c r="E1871" s="15"/>
      <c r="F1871" s="15" t="s">
        <v>382</v>
      </c>
      <c r="G1871" s="13">
        <f>IFERROR(__xludf.DUMMYFUNCTION("if(counta(filter('Previous Rank'!$A$2:$A2766,'Previous Rank'!$B$2:$B2766=B1871,'Previous Rank'!$C$2:$C2766=C1871))=1,filter('Previous Rank'!$A$2:$A2766,'Previous Rank'!$B$2:$B2766=B1871,'Previous Rank'!$C$2:$C2766=C1871),"""")"),1868.0)</f>
        <v>1868</v>
      </c>
      <c r="H1871" s="8">
        <f t="shared" si="1"/>
        <v>-2</v>
      </c>
    </row>
    <row r="1872">
      <c r="A1872" s="10">
        <v>1871.0</v>
      </c>
      <c r="B1872" s="11" t="s">
        <v>1971</v>
      </c>
      <c r="C1872" s="10" t="s">
        <v>14</v>
      </c>
      <c r="D1872" s="10" t="s">
        <v>34</v>
      </c>
      <c r="E1872" s="16"/>
      <c r="F1872" s="16" t="s">
        <v>382</v>
      </c>
      <c r="G1872" s="13">
        <f>IFERROR(__xludf.DUMMYFUNCTION("if(counta(filter('Previous Rank'!$A$2:$A2766,'Previous Rank'!$B$2:$B2766=B1872,'Previous Rank'!$C$2:$C2766=C1872))=1,filter('Previous Rank'!$A$2:$A2766,'Previous Rank'!$B$2:$B2766=B1872,'Previous Rank'!$C$2:$C2766=C1872),"""")"),1869.0)</f>
        <v>1869</v>
      </c>
      <c r="H1872" s="8">
        <f t="shared" si="1"/>
        <v>-2</v>
      </c>
    </row>
    <row r="1873">
      <c r="A1873" s="10">
        <v>1872.0</v>
      </c>
      <c r="B1873" s="11" t="s">
        <v>1972</v>
      </c>
      <c r="C1873" s="10" t="s">
        <v>69</v>
      </c>
      <c r="D1873" s="10" t="s">
        <v>25</v>
      </c>
      <c r="E1873" s="15"/>
      <c r="F1873" s="15" t="s">
        <v>382</v>
      </c>
      <c r="G1873" s="13">
        <f>IFERROR(__xludf.DUMMYFUNCTION("if(counta(filter('Previous Rank'!$A$2:$A2766,'Previous Rank'!$B$2:$B2766=B1873,'Previous Rank'!$C$2:$C2766=C1873))=1,filter('Previous Rank'!$A$2:$A2766,'Previous Rank'!$B$2:$B2766=B1873,'Previous Rank'!$C$2:$C2766=C1873),"""")"),1870.0)</f>
        <v>1870</v>
      </c>
      <c r="H1873" s="8">
        <f t="shared" si="1"/>
        <v>-2</v>
      </c>
    </row>
    <row r="1874">
      <c r="A1874" s="10">
        <v>1873.0</v>
      </c>
      <c r="B1874" s="11" t="s">
        <v>1973</v>
      </c>
      <c r="C1874" s="10" t="s">
        <v>77</v>
      </c>
      <c r="D1874" s="10" t="s">
        <v>73</v>
      </c>
      <c r="E1874" s="14"/>
      <c r="F1874" s="14" t="s">
        <v>382</v>
      </c>
      <c r="G1874" s="13">
        <f>IFERROR(__xludf.DUMMYFUNCTION("if(counta(filter('Previous Rank'!$A$2:$A2766,'Previous Rank'!$B$2:$B2766=B1874,'Previous Rank'!$C$2:$C2766=C1874))=1,filter('Previous Rank'!$A$2:$A2766,'Previous Rank'!$B$2:$B2766=B1874,'Previous Rank'!$C$2:$C2766=C1874),"""")"),1871.0)</f>
        <v>1871</v>
      </c>
      <c r="H1874" s="8">
        <f t="shared" si="1"/>
        <v>-2</v>
      </c>
    </row>
    <row r="1875">
      <c r="A1875" s="10">
        <v>1874.0</v>
      </c>
      <c r="B1875" s="11" t="s">
        <v>1974</v>
      </c>
      <c r="C1875" s="10" t="s">
        <v>17</v>
      </c>
      <c r="D1875" s="10" t="s">
        <v>137</v>
      </c>
      <c r="E1875" s="15"/>
      <c r="F1875" s="15" t="s">
        <v>382</v>
      </c>
      <c r="G1875" s="13">
        <f>IFERROR(__xludf.DUMMYFUNCTION("if(counta(filter('Previous Rank'!$A$2:$A2766,'Previous Rank'!$B$2:$B2766=B1875,'Previous Rank'!$C$2:$C2766=C1875))=1,filter('Previous Rank'!$A$2:$A2766,'Previous Rank'!$B$2:$B2766=B1875,'Previous Rank'!$C$2:$C2766=C1875),"""")"),1872.0)</f>
        <v>1872</v>
      </c>
      <c r="H1875" s="8">
        <f t="shared" si="1"/>
        <v>-2</v>
      </c>
    </row>
    <row r="1876">
      <c r="A1876" s="10">
        <v>1875.0</v>
      </c>
      <c r="B1876" s="11" t="s">
        <v>1975</v>
      </c>
      <c r="C1876" s="10" t="s">
        <v>22</v>
      </c>
      <c r="D1876" s="10" t="s">
        <v>137</v>
      </c>
      <c r="E1876" s="16"/>
      <c r="F1876" s="16" t="s">
        <v>382</v>
      </c>
      <c r="G1876" s="13">
        <f>IFERROR(__xludf.DUMMYFUNCTION("if(counta(filter('Previous Rank'!$A$2:$A2766,'Previous Rank'!$B$2:$B2766=B1876,'Previous Rank'!$C$2:$C2766=C1876))=1,filter('Previous Rank'!$A$2:$A2766,'Previous Rank'!$B$2:$B2766=B1876,'Previous Rank'!$C$2:$C2766=C1876),"""")"),1873.0)</f>
        <v>1873</v>
      </c>
      <c r="H1876" s="8">
        <f t="shared" si="1"/>
        <v>-2</v>
      </c>
    </row>
    <row r="1877">
      <c r="A1877" s="10">
        <v>1876.0</v>
      </c>
      <c r="B1877" s="11" t="s">
        <v>1976</v>
      </c>
      <c r="C1877" s="10" t="s">
        <v>136</v>
      </c>
      <c r="D1877" s="10" t="s">
        <v>95</v>
      </c>
      <c r="E1877" s="15"/>
      <c r="F1877" s="15" t="s">
        <v>382</v>
      </c>
      <c r="G1877" s="13">
        <f>IFERROR(__xludf.DUMMYFUNCTION("if(counta(filter('Previous Rank'!$A$2:$A2766,'Previous Rank'!$B$2:$B2766=B1877,'Previous Rank'!$C$2:$C2766=C1877))=1,filter('Previous Rank'!$A$2:$A2766,'Previous Rank'!$B$2:$B2766=B1877,'Previous Rank'!$C$2:$C2766=C1877),"""")"),1874.0)</f>
        <v>1874</v>
      </c>
      <c r="H1877" s="8">
        <f t="shared" si="1"/>
        <v>-2</v>
      </c>
    </row>
    <row r="1878">
      <c r="A1878" s="10">
        <v>1877.0</v>
      </c>
      <c r="B1878" s="11" t="s">
        <v>1977</v>
      </c>
      <c r="C1878" s="10" t="s">
        <v>17</v>
      </c>
      <c r="D1878" s="10" t="s">
        <v>52</v>
      </c>
      <c r="E1878" s="16"/>
      <c r="F1878" s="16" t="s">
        <v>382</v>
      </c>
      <c r="G1878" s="13">
        <f>IFERROR(__xludf.DUMMYFUNCTION("if(counta(filter('Previous Rank'!$A$2:$A2766,'Previous Rank'!$B$2:$B2766=B1878,'Previous Rank'!$C$2:$C2766=C1878))=1,filter('Previous Rank'!$A$2:$A2766,'Previous Rank'!$B$2:$B2766=B1878,'Previous Rank'!$C$2:$C2766=C1878),"""")"),1875.0)</f>
        <v>1875</v>
      </c>
      <c r="H1878" s="8">
        <f t="shared" si="1"/>
        <v>-2</v>
      </c>
    </row>
    <row r="1879">
      <c r="A1879" s="10">
        <v>1878.0</v>
      </c>
      <c r="B1879" s="11" t="s">
        <v>1978</v>
      </c>
      <c r="C1879" s="10" t="s">
        <v>150</v>
      </c>
      <c r="D1879" s="10" t="s">
        <v>27</v>
      </c>
      <c r="E1879" s="15"/>
      <c r="F1879" s="15" t="s">
        <v>382</v>
      </c>
      <c r="G1879" s="13">
        <f>IFERROR(__xludf.DUMMYFUNCTION("if(counta(filter('Previous Rank'!$A$2:$A2766,'Previous Rank'!$B$2:$B2766=B1879,'Previous Rank'!$C$2:$C2766=C1879))=1,filter('Previous Rank'!$A$2:$A2766,'Previous Rank'!$B$2:$B2766=B1879,'Previous Rank'!$C$2:$C2766=C1879),"""")"),1876.0)</f>
        <v>1876</v>
      </c>
      <c r="H1879" s="8">
        <f t="shared" si="1"/>
        <v>-2</v>
      </c>
    </row>
    <row r="1880">
      <c r="A1880" s="10">
        <v>1879.0</v>
      </c>
      <c r="B1880" s="11" t="s">
        <v>1979</v>
      </c>
      <c r="C1880" s="10" t="s">
        <v>20</v>
      </c>
      <c r="D1880" s="10" t="s">
        <v>85</v>
      </c>
      <c r="E1880" s="16"/>
      <c r="F1880" s="16" t="s">
        <v>382</v>
      </c>
      <c r="G1880" s="13">
        <f>IFERROR(__xludf.DUMMYFUNCTION("if(counta(filter('Previous Rank'!$A$2:$A2766,'Previous Rank'!$B$2:$B2766=B1880,'Previous Rank'!$C$2:$C2766=C1880))=1,filter('Previous Rank'!$A$2:$A2766,'Previous Rank'!$B$2:$B2766=B1880,'Previous Rank'!$C$2:$C2766=C1880),"""")"),1877.0)</f>
        <v>1877</v>
      </c>
      <c r="H1880" s="8">
        <f t="shared" si="1"/>
        <v>-2</v>
      </c>
    </row>
    <row r="1881">
      <c r="A1881" s="10">
        <v>1880.0</v>
      </c>
      <c r="B1881" s="11" t="s">
        <v>1980</v>
      </c>
      <c r="C1881" s="10" t="s">
        <v>176</v>
      </c>
      <c r="D1881" s="10" t="s">
        <v>71</v>
      </c>
      <c r="E1881" s="15"/>
      <c r="F1881" s="15" t="s">
        <v>382</v>
      </c>
      <c r="G1881" s="13">
        <f>IFERROR(__xludf.DUMMYFUNCTION("if(counta(filter('Previous Rank'!$A$2:$A2766,'Previous Rank'!$B$2:$B2766=B1881,'Previous Rank'!$C$2:$C2766=C1881))=1,filter('Previous Rank'!$A$2:$A2766,'Previous Rank'!$B$2:$B2766=B1881,'Previous Rank'!$C$2:$C2766=C1881),"""")"),1878.0)</f>
        <v>1878</v>
      </c>
      <c r="H1881" s="8">
        <f t="shared" si="1"/>
        <v>-2</v>
      </c>
    </row>
    <row r="1882">
      <c r="A1882" s="10">
        <v>1881.0</v>
      </c>
      <c r="B1882" s="11" t="s">
        <v>1981</v>
      </c>
      <c r="C1882" s="10" t="s">
        <v>11</v>
      </c>
      <c r="D1882" s="10" t="s">
        <v>73</v>
      </c>
      <c r="E1882" s="16"/>
      <c r="F1882" s="16" t="s">
        <v>382</v>
      </c>
      <c r="G1882" s="13">
        <f>IFERROR(__xludf.DUMMYFUNCTION("if(counta(filter('Previous Rank'!$A$2:$A2766,'Previous Rank'!$B$2:$B2766=B1882,'Previous Rank'!$C$2:$C2766=C1882))=1,filter('Previous Rank'!$A$2:$A2766,'Previous Rank'!$B$2:$B2766=B1882,'Previous Rank'!$C$2:$C2766=C1882),"""")"),1879.0)</f>
        <v>1879</v>
      </c>
      <c r="H1882" s="8">
        <f t="shared" si="1"/>
        <v>-2</v>
      </c>
    </row>
    <row r="1883">
      <c r="A1883" s="10">
        <v>1882.0</v>
      </c>
      <c r="B1883" s="11" t="s">
        <v>1982</v>
      </c>
      <c r="C1883" s="10" t="s">
        <v>189</v>
      </c>
      <c r="D1883" s="10" t="s">
        <v>85</v>
      </c>
      <c r="E1883" s="15"/>
      <c r="F1883" s="15" t="s">
        <v>382</v>
      </c>
      <c r="G1883" s="13">
        <f>IFERROR(__xludf.DUMMYFUNCTION("if(counta(filter('Previous Rank'!$A$2:$A2766,'Previous Rank'!$B$2:$B2766=B1883,'Previous Rank'!$C$2:$C2766=C1883))=1,filter('Previous Rank'!$A$2:$A2766,'Previous Rank'!$B$2:$B2766=B1883,'Previous Rank'!$C$2:$C2766=C1883),"""")"),1880.0)</f>
        <v>1880</v>
      </c>
      <c r="H1883" s="8">
        <f t="shared" si="1"/>
        <v>-2</v>
      </c>
    </row>
    <row r="1884">
      <c r="A1884" s="10">
        <v>1883.0</v>
      </c>
      <c r="B1884" s="11" t="s">
        <v>1983</v>
      </c>
      <c r="C1884" s="10" t="s">
        <v>218</v>
      </c>
      <c r="D1884" s="10" t="s">
        <v>99</v>
      </c>
      <c r="E1884" s="16"/>
      <c r="F1884" s="16" t="s">
        <v>382</v>
      </c>
      <c r="G1884" s="13">
        <f>IFERROR(__xludf.DUMMYFUNCTION("if(counta(filter('Previous Rank'!$A$2:$A2766,'Previous Rank'!$B$2:$B2766=B1884,'Previous Rank'!$C$2:$C2766=C1884))=1,filter('Previous Rank'!$A$2:$A2766,'Previous Rank'!$B$2:$B2766=B1884,'Previous Rank'!$C$2:$C2766=C1884),"""")"),1881.0)</f>
        <v>1881</v>
      </c>
      <c r="H1884" s="8">
        <f t="shared" si="1"/>
        <v>-2</v>
      </c>
    </row>
    <row r="1885">
      <c r="A1885" s="10">
        <v>1884.0</v>
      </c>
      <c r="B1885" s="11" t="s">
        <v>1984</v>
      </c>
      <c r="C1885" s="10" t="s">
        <v>39</v>
      </c>
      <c r="D1885" s="10" t="s">
        <v>85</v>
      </c>
      <c r="E1885" s="15"/>
      <c r="F1885" s="15" t="s">
        <v>382</v>
      </c>
      <c r="G1885" s="13">
        <f>IFERROR(__xludf.DUMMYFUNCTION("if(counta(filter('Previous Rank'!$A$2:$A2766,'Previous Rank'!$B$2:$B2766=B1885,'Previous Rank'!$C$2:$C2766=C1885))=1,filter('Previous Rank'!$A$2:$A2766,'Previous Rank'!$B$2:$B2766=B1885,'Previous Rank'!$C$2:$C2766=C1885),"""")"),1882.0)</f>
        <v>1882</v>
      </c>
      <c r="H1885" s="8">
        <f t="shared" si="1"/>
        <v>-2</v>
      </c>
    </row>
    <row r="1886">
      <c r="A1886" s="10">
        <v>1885.0</v>
      </c>
      <c r="B1886" s="11" t="s">
        <v>1985</v>
      </c>
      <c r="C1886" s="10" t="s">
        <v>17</v>
      </c>
      <c r="D1886" s="10" t="s">
        <v>52</v>
      </c>
      <c r="E1886" s="16"/>
      <c r="F1886" s="16" t="s">
        <v>382</v>
      </c>
      <c r="G1886" s="13">
        <f>IFERROR(__xludf.DUMMYFUNCTION("if(counta(filter('Previous Rank'!$A$2:$A2766,'Previous Rank'!$B$2:$B2766=B1886,'Previous Rank'!$C$2:$C2766=C1886))=1,filter('Previous Rank'!$A$2:$A2766,'Previous Rank'!$B$2:$B2766=B1886,'Previous Rank'!$C$2:$C2766=C1886),"""")"),1883.0)</f>
        <v>1883</v>
      </c>
      <c r="H1886" s="8">
        <f t="shared" si="1"/>
        <v>-2</v>
      </c>
    </row>
    <row r="1887">
      <c r="A1887" s="10">
        <v>1886.0</v>
      </c>
      <c r="B1887" s="11" t="s">
        <v>1986</v>
      </c>
      <c r="C1887" s="10" t="s">
        <v>355</v>
      </c>
      <c r="D1887" s="10" t="s">
        <v>129</v>
      </c>
      <c r="E1887" s="15"/>
      <c r="F1887" s="15" t="s">
        <v>382</v>
      </c>
      <c r="G1887" s="13">
        <f>IFERROR(__xludf.DUMMYFUNCTION("if(counta(filter('Previous Rank'!$A$2:$A2766,'Previous Rank'!$B$2:$B2766=B1887,'Previous Rank'!$C$2:$C2766=C1887))=1,filter('Previous Rank'!$A$2:$A2766,'Previous Rank'!$B$2:$B2766=B1887,'Previous Rank'!$C$2:$C2766=C1887),"""")"),1884.0)</f>
        <v>1884</v>
      </c>
      <c r="H1887" s="8">
        <f t="shared" si="1"/>
        <v>-2</v>
      </c>
    </row>
    <row r="1888">
      <c r="A1888" s="10">
        <v>1887.0</v>
      </c>
      <c r="B1888" s="11" t="s">
        <v>1987</v>
      </c>
      <c r="C1888" s="10" t="s">
        <v>240</v>
      </c>
      <c r="D1888" s="10" t="s">
        <v>15</v>
      </c>
      <c r="E1888" s="16"/>
      <c r="F1888" s="16" t="s">
        <v>382</v>
      </c>
      <c r="G1888" s="13">
        <f>IFERROR(__xludf.DUMMYFUNCTION("if(counta(filter('Previous Rank'!$A$2:$A2766,'Previous Rank'!$B$2:$B2766=B1888,'Previous Rank'!$C$2:$C2766=C1888))=1,filter('Previous Rank'!$A$2:$A2766,'Previous Rank'!$B$2:$B2766=B1888,'Previous Rank'!$C$2:$C2766=C1888),"""")"),1885.0)</f>
        <v>1885</v>
      </c>
      <c r="H1888" s="8">
        <f t="shared" si="1"/>
        <v>-2</v>
      </c>
    </row>
    <row r="1889">
      <c r="A1889" s="10">
        <v>1888.0</v>
      </c>
      <c r="B1889" s="11" t="s">
        <v>1988</v>
      </c>
      <c r="C1889" s="10" t="s">
        <v>77</v>
      </c>
      <c r="D1889" s="10" t="s">
        <v>113</v>
      </c>
      <c r="E1889" s="15"/>
      <c r="F1889" s="15" t="s">
        <v>382</v>
      </c>
      <c r="G1889" s="13">
        <f>IFERROR(__xludf.DUMMYFUNCTION("if(counta(filter('Previous Rank'!$A$2:$A2766,'Previous Rank'!$B$2:$B2766=B1889,'Previous Rank'!$C$2:$C2766=C1889))=1,filter('Previous Rank'!$A$2:$A2766,'Previous Rank'!$B$2:$B2766=B1889,'Previous Rank'!$C$2:$C2766=C1889),"""")"),1886.0)</f>
        <v>1886</v>
      </c>
      <c r="H1889" s="8">
        <f t="shared" si="1"/>
        <v>-2</v>
      </c>
    </row>
    <row r="1890">
      <c r="A1890" s="10">
        <v>1889.0</v>
      </c>
      <c r="B1890" s="11" t="s">
        <v>1989</v>
      </c>
      <c r="C1890" s="10" t="s">
        <v>220</v>
      </c>
      <c r="D1890" s="10" t="s">
        <v>113</v>
      </c>
      <c r="E1890" s="16"/>
      <c r="F1890" s="16" t="s">
        <v>382</v>
      </c>
      <c r="G1890" s="13">
        <f>IFERROR(__xludf.DUMMYFUNCTION("if(counta(filter('Previous Rank'!$A$2:$A2766,'Previous Rank'!$B$2:$B2766=B1890,'Previous Rank'!$C$2:$C2766=C1890))=1,filter('Previous Rank'!$A$2:$A2766,'Previous Rank'!$B$2:$B2766=B1890,'Previous Rank'!$C$2:$C2766=C1890),"""")"),1887.0)</f>
        <v>1887</v>
      </c>
      <c r="H1890" s="8">
        <f t="shared" si="1"/>
        <v>-2</v>
      </c>
    </row>
    <row r="1891">
      <c r="A1891" s="10">
        <v>1890.0</v>
      </c>
      <c r="B1891" s="11" t="s">
        <v>1990</v>
      </c>
      <c r="C1891" s="10" t="s">
        <v>63</v>
      </c>
      <c r="D1891" s="10" t="s">
        <v>105</v>
      </c>
      <c r="E1891" s="15"/>
      <c r="F1891" s="15" t="s">
        <v>382</v>
      </c>
      <c r="G1891" s="13">
        <f>IFERROR(__xludf.DUMMYFUNCTION("if(counta(filter('Previous Rank'!$A$2:$A2766,'Previous Rank'!$B$2:$B2766=B1891,'Previous Rank'!$C$2:$C2766=C1891))=1,filter('Previous Rank'!$A$2:$A2766,'Previous Rank'!$B$2:$B2766=B1891,'Previous Rank'!$C$2:$C2766=C1891),"""")"),1888.0)</f>
        <v>1888</v>
      </c>
      <c r="H1891" s="8">
        <f t="shared" si="1"/>
        <v>-2</v>
      </c>
    </row>
    <row r="1892">
      <c r="A1892" s="10">
        <v>1891.0</v>
      </c>
      <c r="B1892" s="11" t="s">
        <v>1991</v>
      </c>
      <c r="C1892" s="10" t="s">
        <v>11</v>
      </c>
      <c r="D1892" s="10" t="s">
        <v>25</v>
      </c>
      <c r="E1892" s="16"/>
      <c r="F1892" s="16" t="s">
        <v>382</v>
      </c>
      <c r="G1892" s="13">
        <f>IFERROR(__xludf.DUMMYFUNCTION("if(counta(filter('Previous Rank'!$A$2:$A2766,'Previous Rank'!$B$2:$B2766=B1892,'Previous Rank'!$C$2:$C2766=C1892))=1,filter('Previous Rank'!$A$2:$A2766,'Previous Rank'!$B$2:$B2766=B1892,'Previous Rank'!$C$2:$C2766=C1892),"""")"),1889.0)</f>
        <v>1889</v>
      </c>
      <c r="H1892" s="8">
        <f t="shared" si="1"/>
        <v>-2</v>
      </c>
    </row>
    <row r="1893">
      <c r="A1893" s="10">
        <v>1892.0</v>
      </c>
      <c r="B1893" s="11" t="s">
        <v>1992</v>
      </c>
      <c r="C1893" s="10" t="s">
        <v>14</v>
      </c>
      <c r="D1893" s="10" t="s">
        <v>90</v>
      </c>
      <c r="E1893" s="15"/>
      <c r="F1893" s="15" t="s">
        <v>382</v>
      </c>
      <c r="G1893" s="13">
        <f>IFERROR(__xludf.DUMMYFUNCTION("if(counta(filter('Previous Rank'!$A$2:$A2766,'Previous Rank'!$B$2:$B2766=B1893,'Previous Rank'!$C$2:$C2766=C1893))=1,filter('Previous Rank'!$A$2:$A2766,'Previous Rank'!$B$2:$B2766=B1893,'Previous Rank'!$C$2:$C2766=C1893),"""")"),1890.0)</f>
        <v>1890</v>
      </c>
      <c r="H1893" s="8">
        <f t="shared" si="1"/>
        <v>-2</v>
      </c>
    </row>
    <row r="1894">
      <c r="A1894" s="10">
        <v>1893.0</v>
      </c>
      <c r="B1894" s="11" t="s">
        <v>1993</v>
      </c>
      <c r="C1894" s="10" t="s">
        <v>77</v>
      </c>
      <c r="D1894" s="10" t="s">
        <v>85</v>
      </c>
      <c r="E1894" s="16"/>
      <c r="F1894" s="16" t="s">
        <v>382</v>
      </c>
      <c r="G1894" s="13">
        <f>IFERROR(__xludf.DUMMYFUNCTION("if(counta(filter('Previous Rank'!$A$2:$A2766,'Previous Rank'!$B$2:$B2766=B1894,'Previous Rank'!$C$2:$C2766=C1894))=1,filter('Previous Rank'!$A$2:$A2766,'Previous Rank'!$B$2:$B2766=B1894,'Previous Rank'!$C$2:$C2766=C1894),"""")"),1891.0)</f>
        <v>1891</v>
      </c>
      <c r="H1894" s="8">
        <f t="shared" si="1"/>
        <v>-2</v>
      </c>
    </row>
    <row r="1895">
      <c r="A1895" s="10">
        <v>1894.0</v>
      </c>
      <c r="B1895" s="11" t="s">
        <v>1994</v>
      </c>
      <c r="C1895" s="10" t="s">
        <v>17</v>
      </c>
      <c r="D1895" s="10" t="s">
        <v>34</v>
      </c>
      <c r="E1895" s="15"/>
      <c r="F1895" s="15" t="s">
        <v>382</v>
      </c>
      <c r="G1895" s="13">
        <f>IFERROR(__xludf.DUMMYFUNCTION("if(counta(filter('Previous Rank'!$A$2:$A2766,'Previous Rank'!$B$2:$B2766=B1895,'Previous Rank'!$C$2:$C2766=C1895))=1,filter('Previous Rank'!$A$2:$A2766,'Previous Rank'!$B$2:$B2766=B1895,'Previous Rank'!$C$2:$C2766=C1895),"""")"),1892.0)</f>
        <v>1892</v>
      </c>
      <c r="H1895" s="8">
        <f t="shared" si="1"/>
        <v>-2</v>
      </c>
    </row>
    <row r="1896">
      <c r="A1896" s="10">
        <v>1895.0</v>
      </c>
      <c r="B1896" s="11" t="s">
        <v>1995</v>
      </c>
      <c r="C1896" s="10" t="s">
        <v>77</v>
      </c>
      <c r="D1896" s="10" t="s">
        <v>46</v>
      </c>
      <c r="E1896" s="16"/>
      <c r="F1896" s="16" t="s">
        <v>382</v>
      </c>
      <c r="G1896" s="13">
        <f>IFERROR(__xludf.DUMMYFUNCTION("if(counta(filter('Previous Rank'!$A$2:$A2766,'Previous Rank'!$B$2:$B2766=B1896,'Previous Rank'!$C$2:$C2766=C1896))=1,filter('Previous Rank'!$A$2:$A2766,'Previous Rank'!$B$2:$B2766=B1896,'Previous Rank'!$C$2:$C2766=C1896),"""")"),1893.0)</f>
        <v>1893</v>
      </c>
      <c r="H1896" s="8">
        <f t="shared" si="1"/>
        <v>-2</v>
      </c>
    </row>
    <row r="1897">
      <c r="A1897" s="10">
        <v>1896.0</v>
      </c>
      <c r="B1897" s="11" t="s">
        <v>1996</v>
      </c>
      <c r="C1897" s="10" t="s">
        <v>77</v>
      </c>
      <c r="D1897" s="10" t="s">
        <v>15</v>
      </c>
      <c r="E1897" s="15"/>
      <c r="F1897" s="15" t="s">
        <v>382</v>
      </c>
      <c r="G1897" s="13">
        <f>IFERROR(__xludf.DUMMYFUNCTION("if(counta(filter('Previous Rank'!$A$2:$A2766,'Previous Rank'!$B$2:$B2766=B1897,'Previous Rank'!$C$2:$C2766=C1897))=1,filter('Previous Rank'!$A$2:$A2766,'Previous Rank'!$B$2:$B2766=B1897,'Previous Rank'!$C$2:$C2766=C1897),"""")"),1894.0)</f>
        <v>1894</v>
      </c>
      <c r="H1897" s="8">
        <f t="shared" si="1"/>
        <v>-2</v>
      </c>
    </row>
    <row r="1898">
      <c r="A1898" s="10">
        <v>1897.0</v>
      </c>
      <c r="B1898" s="11" t="s">
        <v>1997</v>
      </c>
      <c r="C1898" s="10" t="s">
        <v>55</v>
      </c>
      <c r="D1898" s="10" t="s">
        <v>18</v>
      </c>
      <c r="E1898" s="16"/>
      <c r="F1898" s="16" t="s">
        <v>382</v>
      </c>
      <c r="G1898" s="13">
        <f>IFERROR(__xludf.DUMMYFUNCTION("if(counta(filter('Previous Rank'!$A$2:$A2766,'Previous Rank'!$B$2:$B2766=B1898,'Previous Rank'!$C$2:$C2766=C1898))=1,filter('Previous Rank'!$A$2:$A2766,'Previous Rank'!$B$2:$B2766=B1898,'Previous Rank'!$C$2:$C2766=C1898),"""")"),1895.0)</f>
        <v>1895</v>
      </c>
      <c r="H1898" s="8">
        <f t="shared" si="1"/>
        <v>-2</v>
      </c>
    </row>
    <row r="1899">
      <c r="A1899" s="10">
        <v>1898.0</v>
      </c>
      <c r="B1899" s="11" t="s">
        <v>1998</v>
      </c>
      <c r="C1899" s="10" t="s">
        <v>176</v>
      </c>
      <c r="D1899" s="10" t="s">
        <v>12</v>
      </c>
      <c r="E1899" s="15"/>
      <c r="F1899" s="15" t="s">
        <v>382</v>
      </c>
      <c r="G1899" s="13">
        <f>IFERROR(__xludf.DUMMYFUNCTION("if(counta(filter('Previous Rank'!$A$2:$A2766,'Previous Rank'!$B$2:$B2766=B1899,'Previous Rank'!$C$2:$C2766=C1899))=1,filter('Previous Rank'!$A$2:$A2766,'Previous Rank'!$B$2:$B2766=B1899,'Previous Rank'!$C$2:$C2766=C1899),"""")"),1896.0)</f>
        <v>1896</v>
      </c>
      <c r="H1899" s="8">
        <f t="shared" si="1"/>
        <v>-2</v>
      </c>
    </row>
    <row r="1900">
      <c r="A1900" s="10">
        <v>1899.0</v>
      </c>
      <c r="B1900" s="11" t="s">
        <v>1999</v>
      </c>
      <c r="C1900" s="10" t="s">
        <v>11</v>
      </c>
      <c r="D1900" s="10" t="s">
        <v>67</v>
      </c>
      <c r="E1900" s="16"/>
      <c r="F1900" s="16" t="s">
        <v>382</v>
      </c>
      <c r="G1900" s="13">
        <f>IFERROR(__xludf.DUMMYFUNCTION("if(counta(filter('Previous Rank'!$A$2:$A2766,'Previous Rank'!$B$2:$B2766=B1900,'Previous Rank'!$C$2:$C2766=C1900))=1,filter('Previous Rank'!$A$2:$A2766,'Previous Rank'!$B$2:$B2766=B1900,'Previous Rank'!$C$2:$C2766=C1900),"""")"),1897.0)</f>
        <v>1897</v>
      </c>
      <c r="H1900" s="8">
        <f t="shared" si="1"/>
        <v>-2</v>
      </c>
    </row>
    <row r="1901">
      <c r="A1901" s="10">
        <v>1900.0</v>
      </c>
      <c r="B1901" s="11" t="s">
        <v>2000</v>
      </c>
      <c r="C1901" s="10" t="s">
        <v>77</v>
      </c>
      <c r="D1901" s="10" t="s">
        <v>67</v>
      </c>
      <c r="E1901" s="15"/>
      <c r="F1901" s="15" t="s">
        <v>382</v>
      </c>
      <c r="G1901" s="13">
        <f>IFERROR(__xludf.DUMMYFUNCTION("if(counta(filter('Previous Rank'!$A$2:$A2766,'Previous Rank'!$B$2:$B2766=B1901,'Previous Rank'!$C$2:$C2766=C1901))=1,filter('Previous Rank'!$A$2:$A2766,'Previous Rank'!$B$2:$B2766=B1901,'Previous Rank'!$C$2:$C2766=C1901),"""")"),1898.0)</f>
        <v>1898</v>
      </c>
      <c r="H1901" s="8">
        <f t="shared" si="1"/>
        <v>-2</v>
      </c>
    </row>
    <row r="1902">
      <c r="A1902" s="10">
        <v>1901.0</v>
      </c>
      <c r="B1902" s="11" t="s">
        <v>2001</v>
      </c>
      <c r="C1902" s="10" t="s">
        <v>240</v>
      </c>
      <c r="D1902" s="10" t="s">
        <v>18</v>
      </c>
      <c r="E1902" s="16"/>
      <c r="F1902" s="16" t="s">
        <v>382</v>
      </c>
      <c r="G1902" s="13">
        <f>IFERROR(__xludf.DUMMYFUNCTION("if(counta(filter('Previous Rank'!$A$2:$A2766,'Previous Rank'!$B$2:$B2766=B1902,'Previous Rank'!$C$2:$C2766=C1902))=1,filter('Previous Rank'!$A$2:$A2766,'Previous Rank'!$B$2:$B2766=B1902,'Previous Rank'!$C$2:$C2766=C1902),"""")"),1899.0)</f>
        <v>1899</v>
      </c>
      <c r="H1902" s="8">
        <f t="shared" si="1"/>
        <v>-2</v>
      </c>
    </row>
    <row r="1903">
      <c r="A1903" s="10">
        <v>1902.0</v>
      </c>
      <c r="B1903" s="11" t="s">
        <v>2002</v>
      </c>
      <c r="C1903" s="10" t="s">
        <v>240</v>
      </c>
      <c r="D1903" s="10" t="s">
        <v>12</v>
      </c>
      <c r="E1903" s="15"/>
      <c r="F1903" s="15" t="s">
        <v>382</v>
      </c>
      <c r="G1903" s="13">
        <f>IFERROR(__xludf.DUMMYFUNCTION("if(counta(filter('Previous Rank'!$A$2:$A2766,'Previous Rank'!$B$2:$B2766=B1903,'Previous Rank'!$C$2:$C2766=C1903))=1,filter('Previous Rank'!$A$2:$A2766,'Previous Rank'!$B$2:$B2766=B1903,'Previous Rank'!$C$2:$C2766=C1903),"""")"),1900.0)</f>
        <v>1900</v>
      </c>
      <c r="H1903" s="8">
        <f t="shared" si="1"/>
        <v>-2</v>
      </c>
    </row>
    <row r="1904">
      <c r="A1904" s="10">
        <v>1903.0</v>
      </c>
      <c r="B1904" s="11" t="s">
        <v>2003</v>
      </c>
      <c r="C1904" s="10" t="s">
        <v>33</v>
      </c>
      <c r="D1904" s="10" t="s">
        <v>120</v>
      </c>
      <c r="E1904" s="16"/>
      <c r="F1904" s="16" t="s">
        <v>382</v>
      </c>
      <c r="G1904" s="13">
        <f>IFERROR(__xludf.DUMMYFUNCTION("if(counta(filter('Previous Rank'!$A$2:$A2766,'Previous Rank'!$B$2:$B2766=B1904,'Previous Rank'!$C$2:$C2766=C1904))=1,filter('Previous Rank'!$A$2:$A2766,'Previous Rank'!$B$2:$B2766=B1904,'Previous Rank'!$C$2:$C2766=C1904),"""")"),1901.0)</f>
        <v>1901</v>
      </c>
      <c r="H1904" s="8">
        <f t="shared" si="1"/>
        <v>-2</v>
      </c>
    </row>
    <row r="1905">
      <c r="A1905" s="10">
        <v>1904.0</v>
      </c>
      <c r="B1905" s="11" t="s">
        <v>2004</v>
      </c>
      <c r="C1905" s="10" t="s">
        <v>220</v>
      </c>
      <c r="D1905" s="10" t="s">
        <v>73</v>
      </c>
      <c r="E1905" s="15"/>
      <c r="F1905" s="15" t="s">
        <v>382</v>
      </c>
      <c r="G1905" s="13">
        <f>IFERROR(__xludf.DUMMYFUNCTION("if(counta(filter('Previous Rank'!$A$2:$A2766,'Previous Rank'!$B$2:$B2766=B1905,'Previous Rank'!$C$2:$C2766=C1905))=1,filter('Previous Rank'!$A$2:$A2766,'Previous Rank'!$B$2:$B2766=B1905,'Previous Rank'!$C$2:$C2766=C1905),"""")"),1902.0)</f>
        <v>1902</v>
      </c>
      <c r="H1905" s="8">
        <f t="shared" si="1"/>
        <v>-2</v>
      </c>
    </row>
    <row r="1906">
      <c r="A1906" s="10">
        <v>1905.0</v>
      </c>
      <c r="B1906" s="11" t="s">
        <v>2005</v>
      </c>
      <c r="C1906" s="10" t="s">
        <v>8</v>
      </c>
      <c r="D1906" s="10" t="s">
        <v>42</v>
      </c>
      <c r="E1906" s="16"/>
      <c r="F1906" s="16" t="s">
        <v>382</v>
      </c>
      <c r="G1906" s="13">
        <f>IFERROR(__xludf.DUMMYFUNCTION("if(counta(filter('Previous Rank'!$A$2:$A2766,'Previous Rank'!$B$2:$B2766=B1906,'Previous Rank'!$C$2:$C2766=C1906))=1,filter('Previous Rank'!$A$2:$A2766,'Previous Rank'!$B$2:$B2766=B1906,'Previous Rank'!$C$2:$C2766=C1906),"""")"),1903.0)</f>
        <v>1903</v>
      </c>
      <c r="H1906" s="8">
        <f t="shared" si="1"/>
        <v>-2</v>
      </c>
    </row>
    <row r="1907">
      <c r="A1907" s="10">
        <v>1906.0</v>
      </c>
      <c r="B1907" s="11" t="s">
        <v>2006</v>
      </c>
      <c r="C1907" s="10" t="s">
        <v>63</v>
      </c>
      <c r="D1907" s="10" t="s">
        <v>140</v>
      </c>
      <c r="E1907" s="15"/>
      <c r="F1907" s="15" t="s">
        <v>382</v>
      </c>
      <c r="G1907" s="13">
        <f>IFERROR(__xludf.DUMMYFUNCTION("if(counta(filter('Previous Rank'!$A$2:$A2766,'Previous Rank'!$B$2:$B2766=B1907,'Previous Rank'!$C$2:$C2766=C1907))=1,filter('Previous Rank'!$A$2:$A2766,'Previous Rank'!$B$2:$B2766=B1907,'Previous Rank'!$C$2:$C2766=C1907),"""")"),1904.0)</f>
        <v>1904</v>
      </c>
      <c r="H1907" s="8">
        <f t="shared" si="1"/>
        <v>-2</v>
      </c>
    </row>
    <row r="1908">
      <c r="A1908" s="10">
        <v>1907.0</v>
      </c>
      <c r="B1908" s="11" t="s">
        <v>2007</v>
      </c>
      <c r="C1908" s="10" t="s">
        <v>33</v>
      </c>
      <c r="D1908" s="10" t="s">
        <v>71</v>
      </c>
      <c r="E1908" s="16"/>
      <c r="F1908" s="16" t="s">
        <v>382</v>
      </c>
      <c r="G1908" s="13">
        <f>IFERROR(__xludf.DUMMYFUNCTION("if(counta(filter('Previous Rank'!$A$2:$A2766,'Previous Rank'!$B$2:$B2766=B1908,'Previous Rank'!$C$2:$C2766=C1908))=1,filter('Previous Rank'!$A$2:$A2766,'Previous Rank'!$B$2:$B2766=B1908,'Previous Rank'!$C$2:$C2766=C1908),"""")"),1905.0)</f>
        <v>1905</v>
      </c>
      <c r="H1908" s="8">
        <f t="shared" si="1"/>
        <v>-2</v>
      </c>
    </row>
    <row r="1909">
      <c r="A1909" s="10">
        <v>1908.0</v>
      </c>
      <c r="B1909" s="11" t="s">
        <v>2008</v>
      </c>
      <c r="C1909" s="10" t="s">
        <v>77</v>
      </c>
      <c r="D1909" s="10" t="s">
        <v>18</v>
      </c>
      <c r="E1909" s="15"/>
      <c r="F1909" s="15" t="s">
        <v>382</v>
      </c>
      <c r="G1909" s="13">
        <f>IFERROR(__xludf.DUMMYFUNCTION("if(counta(filter('Previous Rank'!$A$2:$A2766,'Previous Rank'!$B$2:$B2766=B1909,'Previous Rank'!$C$2:$C2766=C1909))=1,filter('Previous Rank'!$A$2:$A2766,'Previous Rank'!$B$2:$B2766=B1909,'Previous Rank'!$C$2:$C2766=C1909),"""")"),1906.0)</f>
        <v>1906</v>
      </c>
      <c r="H1909" s="8">
        <f t="shared" si="1"/>
        <v>-2</v>
      </c>
    </row>
    <row r="1910">
      <c r="A1910" s="10">
        <v>1909.0</v>
      </c>
      <c r="B1910" s="11" t="s">
        <v>2009</v>
      </c>
      <c r="C1910" s="10" t="s">
        <v>20</v>
      </c>
      <c r="D1910" s="10" t="s">
        <v>49</v>
      </c>
      <c r="E1910" s="16"/>
      <c r="F1910" s="16" t="s">
        <v>382</v>
      </c>
      <c r="G1910" s="13">
        <f>IFERROR(__xludf.DUMMYFUNCTION("if(counta(filter('Previous Rank'!$A$2:$A2766,'Previous Rank'!$B$2:$B2766=B1910,'Previous Rank'!$C$2:$C2766=C1910))=1,filter('Previous Rank'!$A$2:$A2766,'Previous Rank'!$B$2:$B2766=B1910,'Previous Rank'!$C$2:$C2766=C1910),"""")"),1907.0)</f>
        <v>1907</v>
      </c>
      <c r="H1910" s="8">
        <f t="shared" si="1"/>
        <v>-2</v>
      </c>
    </row>
    <row r="1911">
      <c r="A1911" s="10">
        <v>1910.0</v>
      </c>
      <c r="B1911" s="11" t="s">
        <v>2010</v>
      </c>
      <c r="C1911" s="10" t="s">
        <v>39</v>
      </c>
      <c r="D1911" s="10" t="s">
        <v>25</v>
      </c>
      <c r="E1911" s="15"/>
      <c r="F1911" s="15" t="s">
        <v>382</v>
      </c>
      <c r="G1911" s="13">
        <f>IFERROR(__xludf.DUMMYFUNCTION("if(counta(filter('Previous Rank'!$A$2:$A2766,'Previous Rank'!$B$2:$B2766=B1911,'Previous Rank'!$C$2:$C2766=C1911))=1,filter('Previous Rank'!$A$2:$A2766,'Previous Rank'!$B$2:$B2766=B1911,'Previous Rank'!$C$2:$C2766=C1911),"""")"),1908.0)</f>
        <v>1908</v>
      </c>
      <c r="H1911" s="8">
        <f t="shared" si="1"/>
        <v>-2</v>
      </c>
    </row>
    <row r="1912">
      <c r="A1912" s="10">
        <v>1911.0</v>
      </c>
      <c r="B1912" s="11" t="s">
        <v>2011</v>
      </c>
      <c r="C1912" s="10" t="s">
        <v>77</v>
      </c>
      <c r="D1912" s="10" t="s">
        <v>206</v>
      </c>
      <c r="E1912" s="16"/>
      <c r="F1912" s="16" t="s">
        <v>382</v>
      </c>
      <c r="G1912" s="13">
        <f>IFERROR(__xludf.DUMMYFUNCTION("if(counta(filter('Previous Rank'!$A$2:$A2766,'Previous Rank'!$B$2:$B2766=B1912,'Previous Rank'!$C$2:$C2766=C1912))=1,filter('Previous Rank'!$A$2:$A2766,'Previous Rank'!$B$2:$B2766=B1912,'Previous Rank'!$C$2:$C2766=C1912),"""")"),1909.0)</f>
        <v>1909</v>
      </c>
      <c r="H1912" s="8">
        <f t="shared" si="1"/>
        <v>-2</v>
      </c>
    </row>
    <row r="1913">
      <c r="A1913" s="10">
        <v>1912.0</v>
      </c>
      <c r="B1913" s="11" t="s">
        <v>2012</v>
      </c>
      <c r="C1913" s="10" t="s">
        <v>283</v>
      </c>
      <c r="D1913" s="10" t="s">
        <v>137</v>
      </c>
      <c r="E1913" s="15"/>
      <c r="F1913" s="15" t="s">
        <v>382</v>
      </c>
      <c r="G1913" s="13">
        <f>IFERROR(__xludf.DUMMYFUNCTION("if(counta(filter('Previous Rank'!$A$2:$A2766,'Previous Rank'!$B$2:$B2766=B1913,'Previous Rank'!$C$2:$C2766=C1913))=1,filter('Previous Rank'!$A$2:$A2766,'Previous Rank'!$B$2:$B2766=B1913,'Previous Rank'!$C$2:$C2766=C1913),"""")"),1910.0)</f>
        <v>1910</v>
      </c>
      <c r="H1913" s="8">
        <f t="shared" si="1"/>
        <v>-2</v>
      </c>
    </row>
    <row r="1914">
      <c r="A1914" s="10">
        <v>1913.0</v>
      </c>
      <c r="B1914" s="11" t="s">
        <v>2013</v>
      </c>
      <c r="C1914" s="10" t="s">
        <v>33</v>
      </c>
      <c r="D1914" s="10" t="s">
        <v>73</v>
      </c>
      <c r="E1914" s="16"/>
      <c r="F1914" s="16" t="s">
        <v>382</v>
      </c>
      <c r="G1914" s="13">
        <f>IFERROR(__xludf.DUMMYFUNCTION("if(counta(filter('Previous Rank'!$A$2:$A2766,'Previous Rank'!$B$2:$B2766=B1914,'Previous Rank'!$C$2:$C2766=C1914))=1,filter('Previous Rank'!$A$2:$A2766,'Previous Rank'!$B$2:$B2766=B1914,'Previous Rank'!$C$2:$C2766=C1914),"""")"),1911.0)</f>
        <v>1911</v>
      </c>
      <c r="H1914" s="8">
        <f t="shared" si="1"/>
        <v>-2</v>
      </c>
    </row>
    <row r="1915">
      <c r="A1915" s="10">
        <v>1914.0</v>
      </c>
      <c r="B1915" s="11" t="s">
        <v>2014</v>
      </c>
      <c r="C1915" s="10" t="s">
        <v>22</v>
      </c>
      <c r="D1915" s="10" t="s">
        <v>137</v>
      </c>
      <c r="E1915" s="15"/>
      <c r="F1915" s="15" t="s">
        <v>382</v>
      </c>
      <c r="G1915" s="13">
        <f>IFERROR(__xludf.DUMMYFUNCTION("if(counta(filter('Previous Rank'!$A$2:$A2766,'Previous Rank'!$B$2:$B2766=B1915,'Previous Rank'!$C$2:$C2766=C1915))=1,filter('Previous Rank'!$A$2:$A2766,'Previous Rank'!$B$2:$B2766=B1915,'Previous Rank'!$C$2:$C2766=C1915),"""")"),1912.0)</f>
        <v>1912</v>
      </c>
      <c r="H1915" s="8">
        <f t="shared" si="1"/>
        <v>-2</v>
      </c>
    </row>
    <row r="1916">
      <c r="A1916" s="10">
        <v>1915.0</v>
      </c>
      <c r="B1916" s="11" t="s">
        <v>2015</v>
      </c>
      <c r="C1916" s="10" t="s">
        <v>77</v>
      </c>
      <c r="D1916" s="10" t="s">
        <v>34</v>
      </c>
      <c r="E1916" s="16"/>
      <c r="F1916" s="16" t="s">
        <v>382</v>
      </c>
      <c r="G1916" s="13">
        <f>IFERROR(__xludf.DUMMYFUNCTION("if(counta(filter('Previous Rank'!$A$2:$A2766,'Previous Rank'!$B$2:$B2766=B1916,'Previous Rank'!$C$2:$C2766=C1916))=1,filter('Previous Rank'!$A$2:$A2766,'Previous Rank'!$B$2:$B2766=B1916,'Previous Rank'!$C$2:$C2766=C1916),"""")"),1913.0)</f>
        <v>1913</v>
      </c>
      <c r="H1916" s="8">
        <f t="shared" si="1"/>
        <v>-2</v>
      </c>
    </row>
    <row r="1917">
      <c r="A1917" s="10">
        <v>1916.0</v>
      </c>
      <c r="B1917" s="11" t="s">
        <v>2016</v>
      </c>
      <c r="C1917" s="10" t="s">
        <v>33</v>
      </c>
      <c r="D1917" s="10" t="s">
        <v>12</v>
      </c>
      <c r="E1917" s="12"/>
      <c r="F1917" s="12" t="s">
        <v>382</v>
      </c>
      <c r="G1917" s="13">
        <f>IFERROR(__xludf.DUMMYFUNCTION("if(counta(filter('Previous Rank'!$A$2:$A2766,'Previous Rank'!$B$2:$B2766=B1917,'Previous Rank'!$C$2:$C2766=C1917))=1,filter('Previous Rank'!$A$2:$A2766,'Previous Rank'!$B$2:$B2766=B1917,'Previous Rank'!$C$2:$C2766=C1917),"""")"),1914.0)</f>
        <v>1914</v>
      </c>
      <c r="H1917" s="8">
        <f t="shared" si="1"/>
        <v>-2</v>
      </c>
    </row>
    <row r="1918">
      <c r="A1918" s="10">
        <v>1917.0</v>
      </c>
      <c r="B1918" s="11" t="s">
        <v>2017</v>
      </c>
      <c r="C1918" s="10" t="s">
        <v>11</v>
      </c>
      <c r="D1918" s="10" t="s">
        <v>122</v>
      </c>
      <c r="E1918" s="16"/>
      <c r="F1918" s="16" t="s">
        <v>382</v>
      </c>
      <c r="G1918" s="13">
        <f>IFERROR(__xludf.DUMMYFUNCTION("if(counta(filter('Previous Rank'!$A$2:$A2766,'Previous Rank'!$B$2:$B2766=B1918,'Previous Rank'!$C$2:$C2766=C1918))=1,filter('Previous Rank'!$A$2:$A2766,'Previous Rank'!$B$2:$B2766=B1918,'Previous Rank'!$C$2:$C2766=C1918),"""")"),1915.0)</f>
        <v>1915</v>
      </c>
      <c r="H1918" s="8">
        <f t="shared" si="1"/>
        <v>-2</v>
      </c>
    </row>
    <row r="1919">
      <c r="A1919" s="10">
        <v>1918.0</v>
      </c>
      <c r="B1919" s="11" t="s">
        <v>2018</v>
      </c>
      <c r="C1919" s="10" t="s">
        <v>48</v>
      </c>
      <c r="D1919" s="10" t="s">
        <v>105</v>
      </c>
      <c r="E1919" s="15"/>
      <c r="F1919" s="15" t="s">
        <v>382</v>
      </c>
      <c r="G1919" s="13">
        <f>IFERROR(__xludf.DUMMYFUNCTION("if(counta(filter('Previous Rank'!$A$2:$A2766,'Previous Rank'!$B$2:$B2766=B1919,'Previous Rank'!$C$2:$C2766=C1919))=1,filter('Previous Rank'!$A$2:$A2766,'Previous Rank'!$B$2:$B2766=B1919,'Previous Rank'!$C$2:$C2766=C1919),"""")"),1916.0)</f>
        <v>1916</v>
      </c>
      <c r="H1919" s="8">
        <f t="shared" si="1"/>
        <v>-2</v>
      </c>
    </row>
    <row r="1920">
      <c r="A1920" s="10">
        <v>1919.0</v>
      </c>
      <c r="B1920" s="11" t="s">
        <v>2019</v>
      </c>
      <c r="C1920" s="10" t="s">
        <v>14</v>
      </c>
      <c r="D1920" s="10" t="s">
        <v>113</v>
      </c>
      <c r="E1920" s="16"/>
      <c r="F1920" s="16" t="s">
        <v>382</v>
      </c>
      <c r="G1920" s="13">
        <f>IFERROR(__xludf.DUMMYFUNCTION("if(counta(filter('Previous Rank'!$A$2:$A2766,'Previous Rank'!$B$2:$B2766=B1920,'Previous Rank'!$C$2:$C2766=C1920))=1,filter('Previous Rank'!$A$2:$A2766,'Previous Rank'!$B$2:$B2766=B1920,'Previous Rank'!$C$2:$C2766=C1920),"""")"),1917.0)</f>
        <v>1917</v>
      </c>
      <c r="H1920" s="8">
        <f t="shared" si="1"/>
        <v>-2</v>
      </c>
    </row>
    <row r="1921">
      <c r="A1921" s="10">
        <v>1920.0</v>
      </c>
      <c r="B1921" s="11" t="s">
        <v>2020</v>
      </c>
      <c r="C1921" s="10" t="s">
        <v>240</v>
      </c>
      <c r="D1921" s="10" t="s">
        <v>85</v>
      </c>
      <c r="E1921" s="15"/>
      <c r="F1921" s="15" t="s">
        <v>382</v>
      </c>
      <c r="G1921" s="13">
        <f>IFERROR(__xludf.DUMMYFUNCTION("if(counta(filter('Previous Rank'!$A$2:$A2766,'Previous Rank'!$B$2:$B2766=B1921,'Previous Rank'!$C$2:$C2766=C1921))=1,filter('Previous Rank'!$A$2:$A2766,'Previous Rank'!$B$2:$B2766=B1921,'Previous Rank'!$C$2:$C2766=C1921),"""")"),1918.0)</f>
        <v>1918</v>
      </c>
      <c r="H1921" s="8">
        <f t="shared" si="1"/>
        <v>-2</v>
      </c>
    </row>
    <row r="1922">
      <c r="A1922" s="10">
        <v>1921.0</v>
      </c>
      <c r="B1922" s="11" t="s">
        <v>2021</v>
      </c>
      <c r="C1922" s="10" t="s">
        <v>77</v>
      </c>
      <c r="D1922" s="10" t="s">
        <v>18</v>
      </c>
      <c r="E1922" s="16"/>
      <c r="F1922" s="16" t="s">
        <v>382</v>
      </c>
      <c r="G1922" s="13">
        <f>IFERROR(__xludf.DUMMYFUNCTION("if(counta(filter('Previous Rank'!$A$2:$A2766,'Previous Rank'!$B$2:$B2766=B1922,'Previous Rank'!$C$2:$C2766=C1922))=1,filter('Previous Rank'!$A$2:$A2766,'Previous Rank'!$B$2:$B2766=B1922,'Previous Rank'!$C$2:$C2766=C1922),"""")"),1919.0)</f>
        <v>1919</v>
      </c>
      <c r="H1922" s="8">
        <f t="shared" si="1"/>
        <v>-2</v>
      </c>
    </row>
    <row r="1923">
      <c r="A1923" s="10">
        <v>1922.0</v>
      </c>
      <c r="B1923" s="11" t="s">
        <v>2022</v>
      </c>
      <c r="C1923" s="10" t="s">
        <v>48</v>
      </c>
      <c r="D1923" s="10" t="s">
        <v>49</v>
      </c>
      <c r="E1923" s="15"/>
      <c r="F1923" s="15" t="s">
        <v>382</v>
      </c>
      <c r="G1923" s="13">
        <f>IFERROR(__xludf.DUMMYFUNCTION("if(counta(filter('Previous Rank'!$A$2:$A2766,'Previous Rank'!$B$2:$B2766=B1923,'Previous Rank'!$C$2:$C2766=C1923))=1,filter('Previous Rank'!$A$2:$A2766,'Previous Rank'!$B$2:$B2766=B1923,'Previous Rank'!$C$2:$C2766=C1923),"""")"),1920.0)</f>
        <v>1920</v>
      </c>
      <c r="H1923" s="8">
        <f t="shared" si="1"/>
        <v>-2</v>
      </c>
    </row>
    <row r="1924">
      <c r="A1924" s="10">
        <v>1923.0</v>
      </c>
      <c r="B1924" s="11" t="s">
        <v>2023</v>
      </c>
      <c r="C1924" s="10" t="s">
        <v>20</v>
      </c>
      <c r="D1924" s="10" t="s">
        <v>95</v>
      </c>
      <c r="E1924" s="16"/>
      <c r="F1924" s="16" t="s">
        <v>382</v>
      </c>
      <c r="G1924" s="13">
        <f>IFERROR(__xludf.DUMMYFUNCTION("if(counta(filter('Previous Rank'!$A$2:$A2766,'Previous Rank'!$B$2:$B2766=B1924,'Previous Rank'!$C$2:$C2766=C1924))=1,filter('Previous Rank'!$A$2:$A2766,'Previous Rank'!$B$2:$B2766=B1924,'Previous Rank'!$C$2:$C2766=C1924),"""")"),1921.0)</f>
        <v>1921</v>
      </c>
      <c r="H1924" s="8">
        <f t="shared" si="1"/>
        <v>-2</v>
      </c>
    </row>
    <row r="1925">
      <c r="A1925" s="10">
        <v>1924.0</v>
      </c>
      <c r="B1925" s="11" t="s">
        <v>2024</v>
      </c>
      <c r="C1925" s="10" t="s">
        <v>77</v>
      </c>
      <c r="D1925" s="10" t="s">
        <v>140</v>
      </c>
      <c r="E1925" s="15"/>
      <c r="F1925" s="15" t="s">
        <v>382</v>
      </c>
      <c r="G1925" s="13">
        <f>IFERROR(__xludf.DUMMYFUNCTION("if(counta(filter('Previous Rank'!$A$2:$A2766,'Previous Rank'!$B$2:$B2766=B1925,'Previous Rank'!$C$2:$C2766=C1925))=1,filter('Previous Rank'!$A$2:$A2766,'Previous Rank'!$B$2:$B2766=B1925,'Previous Rank'!$C$2:$C2766=C1925),"""")"),1922.0)</f>
        <v>1922</v>
      </c>
      <c r="H1925" s="8">
        <f t="shared" si="1"/>
        <v>-2</v>
      </c>
    </row>
    <row r="1926">
      <c r="A1926" s="10">
        <v>1925.0</v>
      </c>
      <c r="B1926" s="11" t="s">
        <v>2025</v>
      </c>
      <c r="C1926" s="10" t="s">
        <v>17</v>
      </c>
      <c r="D1926" s="10" t="s">
        <v>206</v>
      </c>
      <c r="E1926" s="16"/>
      <c r="F1926" s="16" t="s">
        <v>382</v>
      </c>
      <c r="G1926" s="13">
        <f>IFERROR(__xludf.DUMMYFUNCTION("if(counta(filter('Previous Rank'!$A$2:$A2766,'Previous Rank'!$B$2:$B2766=B1926,'Previous Rank'!$C$2:$C2766=C1926))=1,filter('Previous Rank'!$A$2:$A2766,'Previous Rank'!$B$2:$B2766=B1926,'Previous Rank'!$C$2:$C2766=C1926),"""")"),1923.0)</f>
        <v>1923</v>
      </c>
      <c r="H1926" s="8">
        <f t="shared" si="1"/>
        <v>-2</v>
      </c>
    </row>
    <row r="1927">
      <c r="A1927" s="10">
        <v>1926.0</v>
      </c>
      <c r="B1927" s="11" t="s">
        <v>2026</v>
      </c>
      <c r="C1927" s="10" t="s">
        <v>139</v>
      </c>
      <c r="D1927" s="10" t="s">
        <v>31</v>
      </c>
      <c r="E1927" s="15"/>
      <c r="F1927" s="15" t="s">
        <v>382</v>
      </c>
      <c r="G1927" s="13">
        <f>IFERROR(__xludf.DUMMYFUNCTION("if(counta(filter('Previous Rank'!$A$2:$A2766,'Previous Rank'!$B$2:$B2766=B1927,'Previous Rank'!$C$2:$C2766=C1927))=1,filter('Previous Rank'!$A$2:$A2766,'Previous Rank'!$B$2:$B2766=B1927,'Previous Rank'!$C$2:$C2766=C1927),"""")"),1924.0)</f>
        <v>1924</v>
      </c>
      <c r="H1927" s="8">
        <f t="shared" si="1"/>
        <v>-2</v>
      </c>
    </row>
    <row r="1928">
      <c r="A1928" s="10">
        <v>1927.0</v>
      </c>
      <c r="B1928" s="11" t="s">
        <v>2027</v>
      </c>
      <c r="C1928" s="10" t="s">
        <v>77</v>
      </c>
      <c r="D1928" s="10" t="s">
        <v>49</v>
      </c>
      <c r="E1928" s="16"/>
      <c r="F1928" s="16" t="s">
        <v>382</v>
      </c>
      <c r="G1928" s="13">
        <f>IFERROR(__xludf.DUMMYFUNCTION("if(counta(filter('Previous Rank'!$A$2:$A2766,'Previous Rank'!$B$2:$B2766=B1928,'Previous Rank'!$C$2:$C2766=C1928))=1,filter('Previous Rank'!$A$2:$A2766,'Previous Rank'!$B$2:$B2766=B1928,'Previous Rank'!$C$2:$C2766=C1928),"""")"),1925.0)</f>
        <v>1925</v>
      </c>
      <c r="H1928" s="8">
        <f t="shared" si="1"/>
        <v>-2</v>
      </c>
    </row>
    <row r="1929">
      <c r="A1929" s="10">
        <v>1928.0</v>
      </c>
      <c r="B1929" s="11" t="s">
        <v>2028</v>
      </c>
      <c r="C1929" s="10" t="s">
        <v>20</v>
      </c>
      <c r="D1929" s="10" t="s">
        <v>46</v>
      </c>
      <c r="E1929" s="15"/>
      <c r="F1929" s="15" t="s">
        <v>382</v>
      </c>
      <c r="G1929" s="13">
        <f>IFERROR(__xludf.DUMMYFUNCTION("if(counta(filter('Previous Rank'!$A$2:$A2766,'Previous Rank'!$B$2:$B2766=B1929,'Previous Rank'!$C$2:$C2766=C1929))=1,filter('Previous Rank'!$A$2:$A2766,'Previous Rank'!$B$2:$B2766=B1929,'Previous Rank'!$C$2:$C2766=C1929),"""")"),1926.0)</f>
        <v>1926</v>
      </c>
      <c r="H1929" s="8">
        <f t="shared" si="1"/>
        <v>-2</v>
      </c>
    </row>
    <row r="1930">
      <c r="A1930" s="10">
        <v>1929.0</v>
      </c>
      <c r="B1930" s="11" t="s">
        <v>2029</v>
      </c>
      <c r="C1930" s="10" t="s">
        <v>77</v>
      </c>
      <c r="D1930" s="10" t="s">
        <v>18</v>
      </c>
      <c r="E1930" s="16"/>
      <c r="F1930" s="16" t="s">
        <v>382</v>
      </c>
      <c r="G1930" s="13">
        <f>IFERROR(__xludf.DUMMYFUNCTION("if(counta(filter('Previous Rank'!$A$2:$A2766,'Previous Rank'!$B$2:$B2766=B1930,'Previous Rank'!$C$2:$C2766=C1930))=1,filter('Previous Rank'!$A$2:$A2766,'Previous Rank'!$B$2:$B2766=B1930,'Previous Rank'!$C$2:$C2766=C1930),"""")"),1927.0)</f>
        <v>1927</v>
      </c>
      <c r="H1930" s="8">
        <f t="shared" si="1"/>
        <v>-2</v>
      </c>
    </row>
    <row r="1931">
      <c r="A1931" s="10">
        <v>1930.0</v>
      </c>
      <c r="B1931" s="11" t="s">
        <v>2030</v>
      </c>
      <c r="C1931" s="10" t="s">
        <v>17</v>
      </c>
      <c r="D1931" s="10" t="s">
        <v>31</v>
      </c>
      <c r="E1931" s="15"/>
      <c r="F1931" s="15" t="s">
        <v>382</v>
      </c>
      <c r="G1931" s="13">
        <f>IFERROR(__xludf.DUMMYFUNCTION("if(counta(filter('Previous Rank'!$A$2:$A2766,'Previous Rank'!$B$2:$B2766=B1931,'Previous Rank'!$C$2:$C2766=C1931))=1,filter('Previous Rank'!$A$2:$A2766,'Previous Rank'!$B$2:$B2766=B1931,'Previous Rank'!$C$2:$C2766=C1931),"""")"),1928.0)</f>
        <v>1928</v>
      </c>
      <c r="H1931" s="8">
        <f t="shared" si="1"/>
        <v>-2</v>
      </c>
    </row>
    <row r="1932">
      <c r="A1932" s="10">
        <v>1931.0</v>
      </c>
      <c r="B1932" s="11" t="s">
        <v>2031</v>
      </c>
      <c r="C1932" s="10" t="s">
        <v>77</v>
      </c>
      <c r="D1932" s="10" t="s">
        <v>31</v>
      </c>
      <c r="E1932" s="16"/>
      <c r="F1932" s="16" t="s">
        <v>382</v>
      </c>
      <c r="G1932" s="13">
        <f>IFERROR(__xludf.DUMMYFUNCTION("if(counta(filter('Previous Rank'!$A$2:$A2766,'Previous Rank'!$B$2:$B2766=B1932,'Previous Rank'!$C$2:$C2766=C1932))=1,filter('Previous Rank'!$A$2:$A2766,'Previous Rank'!$B$2:$B2766=B1932,'Previous Rank'!$C$2:$C2766=C1932),"""")"),1929.0)</f>
        <v>1929</v>
      </c>
      <c r="H1932" s="8">
        <f t="shared" si="1"/>
        <v>-2</v>
      </c>
    </row>
    <row r="1933">
      <c r="A1933" s="10">
        <v>1932.0</v>
      </c>
      <c r="B1933" s="11" t="s">
        <v>2032</v>
      </c>
      <c r="C1933" s="10" t="s">
        <v>69</v>
      </c>
      <c r="D1933" s="10" t="s">
        <v>12</v>
      </c>
      <c r="E1933" s="15"/>
      <c r="F1933" s="15" t="s">
        <v>382</v>
      </c>
      <c r="G1933" s="13">
        <f>IFERROR(__xludf.DUMMYFUNCTION("if(counta(filter('Previous Rank'!$A$2:$A2766,'Previous Rank'!$B$2:$B2766=B1933,'Previous Rank'!$C$2:$C2766=C1933))=1,filter('Previous Rank'!$A$2:$A2766,'Previous Rank'!$B$2:$B2766=B1933,'Previous Rank'!$C$2:$C2766=C1933),"""")"),1930.0)</f>
        <v>1930</v>
      </c>
      <c r="H1933" s="8">
        <f t="shared" si="1"/>
        <v>-2</v>
      </c>
    </row>
    <row r="1934">
      <c r="A1934" s="10">
        <v>1933.0</v>
      </c>
      <c r="B1934" s="11" t="s">
        <v>2033</v>
      </c>
      <c r="C1934" s="10" t="s">
        <v>150</v>
      </c>
      <c r="D1934" s="10" t="s">
        <v>42</v>
      </c>
      <c r="E1934" s="16"/>
      <c r="F1934" s="16" t="s">
        <v>382</v>
      </c>
      <c r="G1934" s="13">
        <f>IFERROR(__xludf.DUMMYFUNCTION("if(counta(filter('Previous Rank'!$A$2:$A2766,'Previous Rank'!$B$2:$B2766=B1934,'Previous Rank'!$C$2:$C2766=C1934))=1,filter('Previous Rank'!$A$2:$A2766,'Previous Rank'!$B$2:$B2766=B1934,'Previous Rank'!$C$2:$C2766=C1934),"""")"),1931.0)</f>
        <v>1931</v>
      </c>
      <c r="H1934" s="8">
        <f t="shared" si="1"/>
        <v>-2</v>
      </c>
    </row>
    <row r="1935">
      <c r="A1935" s="10">
        <v>1934.0</v>
      </c>
      <c r="B1935" s="11" t="s">
        <v>2034</v>
      </c>
      <c r="C1935" s="10" t="s">
        <v>48</v>
      </c>
      <c r="D1935" s="10" t="s">
        <v>137</v>
      </c>
      <c r="E1935" s="15"/>
      <c r="F1935" s="15" t="s">
        <v>382</v>
      </c>
      <c r="G1935" s="13">
        <f>IFERROR(__xludf.DUMMYFUNCTION("if(counta(filter('Previous Rank'!$A$2:$A2766,'Previous Rank'!$B$2:$B2766=B1935,'Previous Rank'!$C$2:$C2766=C1935))=1,filter('Previous Rank'!$A$2:$A2766,'Previous Rank'!$B$2:$B2766=B1935,'Previous Rank'!$C$2:$C2766=C1935),"""")"),1932.0)</f>
        <v>1932</v>
      </c>
      <c r="H1935" s="8">
        <f t="shared" si="1"/>
        <v>-2</v>
      </c>
    </row>
    <row r="1936">
      <c r="A1936" s="10">
        <v>1935.0</v>
      </c>
      <c r="B1936" s="11" t="s">
        <v>2035</v>
      </c>
      <c r="C1936" s="10" t="s">
        <v>39</v>
      </c>
      <c r="D1936" s="10" t="s">
        <v>129</v>
      </c>
      <c r="E1936" s="16"/>
      <c r="F1936" s="16" t="s">
        <v>382</v>
      </c>
      <c r="G1936" s="13">
        <f>IFERROR(__xludf.DUMMYFUNCTION("if(counta(filter('Previous Rank'!$A$2:$A2766,'Previous Rank'!$B$2:$B2766=B1936,'Previous Rank'!$C$2:$C2766=C1936))=1,filter('Previous Rank'!$A$2:$A2766,'Previous Rank'!$B$2:$B2766=B1936,'Previous Rank'!$C$2:$C2766=C1936),"""")"),1933.0)</f>
        <v>1933</v>
      </c>
      <c r="H1936" s="8">
        <f t="shared" si="1"/>
        <v>-2</v>
      </c>
    </row>
    <row r="1937">
      <c r="A1937" s="10">
        <v>1936.0</v>
      </c>
      <c r="B1937" s="11" t="s">
        <v>2036</v>
      </c>
      <c r="C1937" s="10" t="s">
        <v>33</v>
      </c>
      <c r="D1937" s="10" t="s">
        <v>206</v>
      </c>
      <c r="E1937" s="15"/>
      <c r="F1937" s="15" t="s">
        <v>382</v>
      </c>
      <c r="G1937" s="13">
        <f>IFERROR(__xludf.DUMMYFUNCTION("if(counta(filter('Previous Rank'!$A$2:$A2766,'Previous Rank'!$B$2:$B2766=B1937,'Previous Rank'!$C$2:$C2766=C1937))=1,filter('Previous Rank'!$A$2:$A2766,'Previous Rank'!$B$2:$B2766=B1937,'Previous Rank'!$C$2:$C2766=C1937),"""")"),1934.0)</f>
        <v>1934</v>
      </c>
      <c r="H1937" s="8">
        <f t="shared" si="1"/>
        <v>-2</v>
      </c>
    </row>
    <row r="1938">
      <c r="A1938" s="10">
        <v>1937.0</v>
      </c>
      <c r="B1938" s="11" t="s">
        <v>2037</v>
      </c>
      <c r="C1938" s="10" t="s">
        <v>11</v>
      </c>
      <c r="D1938" s="10" t="s">
        <v>9</v>
      </c>
      <c r="E1938" s="16"/>
      <c r="F1938" s="16" t="s">
        <v>382</v>
      </c>
      <c r="G1938" s="13">
        <f>IFERROR(__xludf.DUMMYFUNCTION("if(counta(filter('Previous Rank'!$A$2:$A2766,'Previous Rank'!$B$2:$B2766=B1938,'Previous Rank'!$C$2:$C2766=C1938))=1,filter('Previous Rank'!$A$2:$A2766,'Previous Rank'!$B$2:$B2766=B1938,'Previous Rank'!$C$2:$C2766=C1938),"""")"),1935.0)</f>
        <v>1935</v>
      </c>
      <c r="H1938" s="8">
        <f t="shared" si="1"/>
        <v>-2</v>
      </c>
    </row>
    <row r="1939">
      <c r="A1939" s="10">
        <v>1938.0</v>
      </c>
      <c r="B1939" s="11" t="s">
        <v>2038</v>
      </c>
      <c r="C1939" s="10" t="s">
        <v>11</v>
      </c>
      <c r="D1939" s="10" t="s">
        <v>82</v>
      </c>
      <c r="E1939" s="15"/>
      <c r="F1939" s="15" t="s">
        <v>382</v>
      </c>
      <c r="G1939" s="13">
        <f>IFERROR(__xludf.DUMMYFUNCTION("if(counta(filter('Previous Rank'!$A$2:$A2766,'Previous Rank'!$B$2:$B2766=B1939,'Previous Rank'!$C$2:$C2766=C1939))=1,filter('Previous Rank'!$A$2:$A2766,'Previous Rank'!$B$2:$B2766=B1939,'Previous Rank'!$C$2:$C2766=C1939),"""")"),1936.0)</f>
        <v>1936</v>
      </c>
      <c r="H1939" s="8">
        <f t="shared" si="1"/>
        <v>-2</v>
      </c>
    </row>
    <row r="1940">
      <c r="A1940" s="10">
        <v>1939.0</v>
      </c>
      <c r="B1940" s="11" t="s">
        <v>2039</v>
      </c>
      <c r="C1940" s="10" t="s">
        <v>218</v>
      </c>
      <c r="D1940" s="10" t="s">
        <v>73</v>
      </c>
      <c r="E1940" s="16"/>
      <c r="F1940" s="16" t="s">
        <v>382</v>
      </c>
      <c r="G1940" s="13">
        <f>IFERROR(__xludf.DUMMYFUNCTION("if(counta(filter('Previous Rank'!$A$2:$A2766,'Previous Rank'!$B$2:$B2766=B1940,'Previous Rank'!$C$2:$C2766=C1940))=1,filter('Previous Rank'!$A$2:$A2766,'Previous Rank'!$B$2:$B2766=B1940,'Previous Rank'!$C$2:$C2766=C1940),"""")"),1937.0)</f>
        <v>1937</v>
      </c>
      <c r="H1940" s="8">
        <f t="shared" si="1"/>
        <v>-2</v>
      </c>
    </row>
    <row r="1941">
      <c r="A1941" s="10">
        <v>1940.0</v>
      </c>
      <c r="B1941" s="11" t="s">
        <v>2040</v>
      </c>
      <c r="C1941" s="10" t="s">
        <v>14</v>
      </c>
      <c r="D1941" s="10" t="s">
        <v>73</v>
      </c>
      <c r="E1941" s="15"/>
      <c r="F1941" s="15" t="s">
        <v>382</v>
      </c>
      <c r="G1941" s="13">
        <f>IFERROR(__xludf.DUMMYFUNCTION("if(counta(filter('Previous Rank'!$A$2:$A2766,'Previous Rank'!$B$2:$B2766=B1941,'Previous Rank'!$C$2:$C2766=C1941))=1,filter('Previous Rank'!$A$2:$A2766,'Previous Rank'!$B$2:$B2766=B1941,'Previous Rank'!$C$2:$C2766=C1941),"""")"),1938.0)</f>
        <v>1938</v>
      </c>
      <c r="H1941" s="8">
        <f t="shared" si="1"/>
        <v>-2</v>
      </c>
    </row>
    <row r="1942">
      <c r="A1942" s="10">
        <v>1941.0</v>
      </c>
      <c r="B1942" s="11" t="s">
        <v>2041</v>
      </c>
      <c r="C1942" s="10" t="s">
        <v>87</v>
      </c>
      <c r="D1942" s="10" t="s">
        <v>9</v>
      </c>
      <c r="E1942" s="16"/>
      <c r="F1942" s="16" t="s">
        <v>382</v>
      </c>
      <c r="G1942" s="13">
        <f>IFERROR(__xludf.DUMMYFUNCTION("if(counta(filter('Previous Rank'!$A$2:$A2766,'Previous Rank'!$B$2:$B2766=B1942,'Previous Rank'!$C$2:$C2766=C1942))=1,filter('Previous Rank'!$A$2:$A2766,'Previous Rank'!$B$2:$B2766=B1942,'Previous Rank'!$C$2:$C2766=C1942),"""")"),1939.0)</f>
        <v>1939</v>
      </c>
      <c r="H1942" s="8">
        <f t="shared" si="1"/>
        <v>-2</v>
      </c>
    </row>
    <row r="1943">
      <c r="A1943" s="10">
        <v>1942.0</v>
      </c>
      <c r="B1943" s="11" t="s">
        <v>2042</v>
      </c>
      <c r="C1943" s="10" t="s">
        <v>346</v>
      </c>
      <c r="D1943" s="10" t="s">
        <v>23</v>
      </c>
      <c r="E1943" s="15"/>
      <c r="F1943" s="15" t="s">
        <v>382</v>
      </c>
      <c r="G1943" s="13">
        <f>IFERROR(__xludf.DUMMYFUNCTION("if(counta(filter('Previous Rank'!$A$2:$A2766,'Previous Rank'!$B$2:$B2766=B1943,'Previous Rank'!$C$2:$C2766=C1943))=1,filter('Previous Rank'!$A$2:$A2766,'Previous Rank'!$B$2:$B2766=B1943,'Previous Rank'!$C$2:$C2766=C1943),"""")"),1940.0)</f>
        <v>1940</v>
      </c>
      <c r="H1943" s="8">
        <f t="shared" si="1"/>
        <v>-2</v>
      </c>
    </row>
    <row r="1944">
      <c r="A1944" s="10">
        <v>1943.0</v>
      </c>
      <c r="B1944" s="11" t="s">
        <v>2043</v>
      </c>
      <c r="C1944" s="10" t="s">
        <v>33</v>
      </c>
      <c r="D1944" s="10" t="s">
        <v>122</v>
      </c>
      <c r="E1944" s="16"/>
      <c r="F1944" s="16" t="s">
        <v>382</v>
      </c>
      <c r="G1944" s="13">
        <f>IFERROR(__xludf.DUMMYFUNCTION("if(counta(filter('Previous Rank'!$A$2:$A2766,'Previous Rank'!$B$2:$B2766=B1944,'Previous Rank'!$C$2:$C2766=C1944))=1,filter('Previous Rank'!$A$2:$A2766,'Previous Rank'!$B$2:$B2766=B1944,'Previous Rank'!$C$2:$C2766=C1944),"""")"),1941.0)</f>
        <v>1941</v>
      </c>
      <c r="H1944" s="8">
        <f t="shared" si="1"/>
        <v>-2</v>
      </c>
    </row>
    <row r="1945">
      <c r="A1945" s="10">
        <v>1944.0</v>
      </c>
      <c r="B1945" s="11" t="s">
        <v>2044</v>
      </c>
      <c r="C1945" s="10" t="s">
        <v>20</v>
      </c>
      <c r="D1945" s="10" t="s">
        <v>23</v>
      </c>
      <c r="E1945" s="15"/>
      <c r="F1945" s="15" t="s">
        <v>382</v>
      </c>
      <c r="G1945" s="13">
        <f>IFERROR(__xludf.DUMMYFUNCTION("if(counta(filter('Previous Rank'!$A$2:$A2766,'Previous Rank'!$B$2:$B2766=B1945,'Previous Rank'!$C$2:$C2766=C1945))=1,filter('Previous Rank'!$A$2:$A2766,'Previous Rank'!$B$2:$B2766=B1945,'Previous Rank'!$C$2:$C2766=C1945),"""")"),1942.0)</f>
        <v>1942</v>
      </c>
      <c r="H1945" s="8">
        <f t="shared" si="1"/>
        <v>-2</v>
      </c>
    </row>
    <row r="1946">
      <c r="A1946" s="10">
        <v>1945.0</v>
      </c>
      <c r="B1946" s="11" t="s">
        <v>2045</v>
      </c>
      <c r="C1946" s="10" t="s">
        <v>48</v>
      </c>
      <c r="D1946" s="10" t="s">
        <v>95</v>
      </c>
      <c r="E1946" s="16"/>
      <c r="F1946" s="16" t="s">
        <v>382</v>
      </c>
      <c r="G1946" s="13">
        <f>IFERROR(__xludf.DUMMYFUNCTION("if(counta(filter('Previous Rank'!$A$2:$A2766,'Previous Rank'!$B$2:$B2766=B1946,'Previous Rank'!$C$2:$C2766=C1946))=1,filter('Previous Rank'!$A$2:$A2766,'Previous Rank'!$B$2:$B2766=B1946,'Previous Rank'!$C$2:$C2766=C1946),"""")"),1943.0)</f>
        <v>1943</v>
      </c>
      <c r="H1946" s="8">
        <f t="shared" si="1"/>
        <v>-2</v>
      </c>
    </row>
    <row r="1947">
      <c r="A1947" s="10">
        <v>1946.0</v>
      </c>
      <c r="B1947" s="11" t="s">
        <v>2046</v>
      </c>
      <c r="C1947" s="10" t="s">
        <v>20</v>
      </c>
      <c r="D1947" s="10" t="s">
        <v>122</v>
      </c>
      <c r="E1947" s="15"/>
      <c r="F1947" s="15" t="s">
        <v>382</v>
      </c>
      <c r="G1947" s="13">
        <f>IFERROR(__xludf.DUMMYFUNCTION("if(counta(filter('Previous Rank'!$A$2:$A2766,'Previous Rank'!$B$2:$B2766=B1947,'Previous Rank'!$C$2:$C2766=C1947))=1,filter('Previous Rank'!$A$2:$A2766,'Previous Rank'!$B$2:$B2766=B1947,'Previous Rank'!$C$2:$C2766=C1947),"""")"),1944.0)</f>
        <v>1944</v>
      </c>
      <c r="H1947" s="8">
        <f t="shared" si="1"/>
        <v>-2</v>
      </c>
    </row>
    <row r="1948">
      <c r="A1948" s="10">
        <v>1947.0</v>
      </c>
      <c r="B1948" s="11" t="s">
        <v>2047</v>
      </c>
      <c r="C1948" s="10" t="s">
        <v>77</v>
      </c>
      <c r="D1948" s="10" t="s">
        <v>122</v>
      </c>
      <c r="E1948" s="16">
        <v>235.6</v>
      </c>
      <c r="F1948" s="16">
        <v>1.2</v>
      </c>
      <c r="G1948" s="13">
        <f>IFERROR(__xludf.DUMMYFUNCTION("if(counta(filter('Previous Rank'!$A$2:$A2766,'Previous Rank'!$B$2:$B2766=B1948,'Previous Rank'!$C$2:$C2766=C1948))=1,filter('Previous Rank'!$A$2:$A2766,'Previous Rank'!$B$2:$B2766=B1948,'Previous Rank'!$C$2:$C2766=C1948),"""")"),1945.0)</f>
        <v>1945</v>
      </c>
      <c r="H1948" s="8">
        <f t="shared" si="1"/>
        <v>-2</v>
      </c>
    </row>
    <row r="1949">
      <c r="A1949" s="10">
        <v>1948.0</v>
      </c>
      <c r="B1949" s="11" t="s">
        <v>2048</v>
      </c>
      <c r="C1949" s="10" t="s">
        <v>77</v>
      </c>
      <c r="D1949" s="10" t="s">
        <v>12</v>
      </c>
      <c r="E1949" s="15"/>
      <c r="F1949" s="15" t="s">
        <v>382</v>
      </c>
      <c r="G1949" s="13">
        <f>IFERROR(__xludf.DUMMYFUNCTION("if(counta(filter('Previous Rank'!$A$2:$A2766,'Previous Rank'!$B$2:$B2766=B1949,'Previous Rank'!$C$2:$C2766=C1949))=1,filter('Previous Rank'!$A$2:$A2766,'Previous Rank'!$B$2:$B2766=B1949,'Previous Rank'!$C$2:$C2766=C1949),"""")"),1946.0)</f>
        <v>1946</v>
      </c>
      <c r="H1949" s="8">
        <f t="shared" si="1"/>
        <v>-2</v>
      </c>
    </row>
    <row r="1950">
      <c r="A1950" s="10">
        <v>1949.0</v>
      </c>
      <c r="B1950" s="11" t="s">
        <v>2049</v>
      </c>
      <c r="C1950" s="10" t="s">
        <v>77</v>
      </c>
      <c r="D1950" s="10" t="s">
        <v>137</v>
      </c>
      <c r="E1950" s="16"/>
      <c r="F1950" s="16" t="s">
        <v>382</v>
      </c>
      <c r="G1950" s="13">
        <f>IFERROR(__xludf.DUMMYFUNCTION("if(counta(filter('Previous Rank'!$A$2:$A2766,'Previous Rank'!$B$2:$B2766=B1950,'Previous Rank'!$C$2:$C2766=C1950))=1,filter('Previous Rank'!$A$2:$A2766,'Previous Rank'!$B$2:$B2766=B1950,'Previous Rank'!$C$2:$C2766=C1950),"""")"),1947.0)</f>
        <v>1947</v>
      </c>
      <c r="H1950" s="8">
        <f t="shared" si="1"/>
        <v>-2</v>
      </c>
    </row>
    <row r="1951">
      <c r="A1951" s="10">
        <v>1950.0</v>
      </c>
      <c r="B1951" s="11" t="s">
        <v>2050</v>
      </c>
      <c r="C1951" s="10" t="s">
        <v>39</v>
      </c>
      <c r="D1951" s="10" t="s">
        <v>23</v>
      </c>
      <c r="E1951" s="15"/>
      <c r="F1951" s="15" t="s">
        <v>382</v>
      </c>
      <c r="G1951" s="13">
        <f>IFERROR(__xludf.DUMMYFUNCTION("if(counta(filter('Previous Rank'!$A$2:$A2766,'Previous Rank'!$B$2:$B2766=B1951,'Previous Rank'!$C$2:$C2766=C1951))=1,filter('Previous Rank'!$A$2:$A2766,'Previous Rank'!$B$2:$B2766=B1951,'Previous Rank'!$C$2:$C2766=C1951),"""")"),1948.0)</f>
        <v>1948</v>
      </c>
      <c r="H1951" s="8">
        <f t="shared" si="1"/>
        <v>-2</v>
      </c>
    </row>
    <row r="1952">
      <c r="A1952" s="10">
        <v>1951.0</v>
      </c>
      <c r="B1952" s="11" t="s">
        <v>2051</v>
      </c>
      <c r="C1952" s="10" t="s">
        <v>77</v>
      </c>
      <c r="D1952" s="10" t="s">
        <v>71</v>
      </c>
      <c r="E1952" s="16"/>
      <c r="F1952" s="16" t="s">
        <v>382</v>
      </c>
      <c r="G1952" s="13">
        <f>IFERROR(__xludf.DUMMYFUNCTION("if(counta(filter('Previous Rank'!$A$2:$A2766,'Previous Rank'!$B$2:$B2766=B1952,'Previous Rank'!$C$2:$C2766=C1952))=1,filter('Previous Rank'!$A$2:$A2766,'Previous Rank'!$B$2:$B2766=B1952,'Previous Rank'!$C$2:$C2766=C1952),"""")"),1949.0)</f>
        <v>1949</v>
      </c>
      <c r="H1952" s="8">
        <f t="shared" si="1"/>
        <v>-2</v>
      </c>
    </row>
    <row r="1953">
      <c r="A1953" s="10">
        <v>1952.0</v>
      </c>
      <c r="B1953" s="11" t="s">
        <v>2052</v>
      </c>
      <c r="C1953" s="10" t="s">
        <v>77</v>
      </c>
      <c r="D1953" s="10" t="s">
        <v>129</v>
      </c>
      <c r="E1953" s="15"/>
      <c r="F1953" s="15" t="s">
        <v>382</v>
      </c>
      <c r="G1953" s="13">
        <f>IFERROR(__xludf.DUMMYFUNCTION("if(counta(filter('Previous Rank'!$A$2:$A2766,'Previous Rank'!$B$2:$B2766=B1953,'Previous Rank'!$C$2:$C2766=C1953))=1,filter('Previous Rank'!$A$2:$A2766,'Previous Rank'!$B$2:$B2766=B1953,'Previous Rank'!$C$2:$C2766=C1953),"""")"),1950.0)</f>
        <v>1950</v>
      </c>
      <c r="H1953" s="8">
        <f t="shared" si="1"/>
        <v>-2</v>
      </c>
    </row>
    <row r="1954">
      <c r="A1954" s="10">
        <v>1953.0</v>
      </c>
      <c r="B1954" s="11" t="s">
        <v>2053</v>
      </c>
      <c r="C1954" s="10" t="s">
        <v>48</v>
      </c>
      <c r="D1954" s="10" t="s">
        <v>85</v>
      </c>
      <c r="E1954" s="16"/>
      <c r="F1954" s="16" t="s">
        <v>382</v>
      </c>
      <c r="G1954" s="13">
        <f>IFERROR(__xludf.DUMMYFUNCTION("if(counta(filter('Previous Rank'!$A$2:$A2766,'Previous Rank'!$B$2:$B2766=B1954,'Previous Rank'!$C$2:$C2766=C1954))=1,filter('Previous Rank'!$A$2:$A2766,'Previous Rank'!$B$2:$B2766=B1954,'Previous Rank'!$C$2:$C2766=C1954),"""")"),1951.0)</f>
        <v>1951</v>
      </c>
      <c r="H1954" s="8">
        <f t="shared" si="1"/>
        <v>-2</v>
      </c>
    </row>
    <row r="1955">
      <c r="A1955" s="10">
        <v>1954.0</v>
      </c>
      <c r="B1955" s="11" t="s">
        <v>2054</v>
      </c>
      <c r="C1955" s="10" t="s">
        <v>33</v>
      </c>
      <c r="D1955" s="10" t="s">
        <v>23</v>
      </c>
      <c r="E1955" s="15"/>
      <c r="F1955" s="15" t="s">
        <v>382</v>
      </c>
      <c r="G1955" s="13">
        <f>IFERROR(__xludf.DUMMYFUNCTION("if(counta(filter('Previous Rank'!$A$2:$A2766,'Previous Rank'!$B$2:$B2766=B1955,'Previous Rank'!$C$2:$C2766=C1955))=1,filter('Previous Rank'!$A$2:$A2766,'Previous Rank'!$B$2:$B2766=B1955,'Previous Rank'!$C$2:$C2766=C1955),"""")"),1952.0)</f>
        <v>1952</v>
      </c>
      <c r="H1955" s="8">
        <f t="shared" si="1"/>
        <v>-2</v>
      </c>
    </row>
    <row r="1956">
      <c r="A1956" s="10">
        <v>1955.0</v>
      </c>
      <c r="B1956" s="11" t="s">
        <v>2055</v>
      </c>
      <c r="C1956" s="10" t="s">
        <v>77</v>
      </c>
      <c r="D1956" s="10" t="s">
        <v>73</v>
      </c>
      <c r="E1956" s="16"/>
      <c r="F1956" s="16" t="s">
        <v>382</v>
      </c>
      <c r="G1956" s="13">
        <f>IFERROR(__xludf.DUMMYFUNCTION("if(counta(filter('Previous Rank'!$A$2:$A2766,'Previous Rank'!$B$2:$B2766=B1956,'Previous Rank'!$C$2:$C2766=C1956))=1,filter('Previous Rank'!$A$2:$A2766,'Previous Rank'!$B$2:$B2766=B1956,'Previous Rank'!$C$2:$C2766=C1956),"""")"),1953.0)</f>
        <v>1953</v>
      </c>
      <c r="H1956" s="8">
        <f t="shared" si="1"/>
        <v>-2</v>
      </c>
    </row>
    <row r="1957">
      <c r="A1957" s="10">
        <v>1956.0</v>
      </c>
      <c r="B1957" s="11" t="s">
        <v>2056</v>
      </c>
      <c r="C1957" s="10" t="s">
        <v>77</v>
      </c>
      <c r="D1957" s="10" t="s">
        <v>129</v>
      </c>
      <c r="E1957" s="15"/>
      <c r="F1957" s="15" t="s">
        <v>382</v>
      </c>
      <c r="G1957" s="13">
        <f>IFERROR(__xludf.DUMMYFUNCTION("if(counta(filter('Previous Rank'!$A$2:$A2766,'Previous Rank'!$B$2:$B2766=B1957,'Previous Rank'!$C$2:$C2766=C1957))=1,filter('Previous Rank'!$A$2:$A2766,'Previous Rank'!$B$2:$B2766=B1957,'Previous Rank'!$C$2:$C2766=C1957),"""")"),1954.0)</f>
        <v>1954</v>
      </c>
      <c r="H1957" s="8">
        <f t="shared" si="1"/>
        <v>-2</v>
      </c>
    </row>
    <row r="1958">
      <c r="A1958" s="10">
        <v>1957.0</v>
      </c>
      <c r="B1958" s="11" t="s">
        <v>2057</v>
      </c>
      <c r="C1958" s="10" t="s">
        <v>39</v>
      </c>
      <c r="D1958" s="10" t="s">
        <v>31</v>
      </c>
      <c r="E1958" s="16"/>
      <c r="F1958" s="16" t="s">
        <v>382</v>
      </c>
      <c r="G1958" s="13">
        <f>IFERROR(__xludf.DUMMYFUNCTION("if(counta(filter('Previous Rank'!$A$2:$A2766,'Previous Rank'!$B$2:$B2766=B1958,'Previous Rank'!$C$2:$C2766=C1958))=1,filter('Previous Rank'!$A$2:$A2766,'Previous Rank'!$B$2:$B2766=B1958,'Previous Rank'!$C$2:$C2766=C1958),"""")"),1955.0)</f>
        <v>1955</v>
      </c>
      <c r="H1958" s="8">
        <f t="shared" si="1"/>
        <v>-2</v>
      </c>
    </row>
    <row r="1959">
      <c r="A1959" s="10">
        <v>1958.0</v>
      </c>
      <c r="B1959" s="11" t="s">
        <v>2058</v>
      </c>
      <c r="C1959" s="10" t="s">
        <v>77</v>
      </c>
      <c r="D1959" s="10" t="s">
        <v>52</v>
      </c>
      <c r="E1959" s="15"/>
      <c r="F1959" s="15" t="s">
        <v>382</v>
      </c>
      <c r="G1959" s="13">
        <f>IFERROR(__xludf.DUMMYFUNCTION("if(counta(filter('Previous Rank'!$A$2:$A2766,'Previous Rank'!$B$2:$B2766=B1959,'Previous Rank'!$C$2:$C2766=C1959))=1,filter('Previous Rank'!$A$2:$A2766,'Previous Rank'!$B$2:$B2766=B1959,'Previous Rank'!$C$2:$C2766=C1959),"""")"),1956.0)</f>
        <v>1956</v>
      </c>
      <c r="H1959" s="8">
        <f t="shared" si="1"/>
        <v>-2</v>
      </c>
    </row>
    <row r="1960">
      <c r="A1960" s="10">
        <v>1959.0</v>
      </c>
      <c r="B1960" s="11" t="s">
        <v>2059</v>
      </c>
      <c r="C1960" s="10" t="s">
        <v>33</v>
      </c>
      <c r="D1960" s="10" t="s">
        <v>31</v>
      </c>
      <c r="E1960" s="16"/>
      <c r="F1960" s="16" t="s">
        <v>382</v>
      </c>
      <c r="G1960" s="13">
        <f>IFERROR(__xludf.DUMMYFUNCTION("if(counta(filter('Previous Rank'!$A$2:$A2766,'Previous Rank'!$B$2:$B2766=B1960,'Previous Rank'!$C$2:$C2766=C1960))=1,filter('Previous Rank'!$A$2:$A2766,'Previous Rank'!$B$2:$B2766=B1960,'Previous Rank'!$C$2:$C2766=C1960),"""")"),1957.0)</f>
        <v>1957</v>
      </c>
      <c r="H1960" s="8">
        <f t="shared" si="1"/>
        <v>-2</v>
      </c>
    </row>
    <row r="1961">
      <c r="A1961" s="10">
        <v>1960.0</v>
      </c>
      <c r="B1961" s="11" t="s">
        <v>2060</v>
      </c>
      <c r="C1961" s="10" t="s">
        <v>11</v>
      </c>
      <c r="D1961" s="10" t="s">
        <v>46</v>
      </c>
      <c r="E1961" s="15"/>
      <c r="F1961" s="15" t="s">
        <v>382</v>
      </c>
      <c r="G1961" s="13">
        <f>IFERROR(__xludf.DUMMYFUNCTION("if(counta(filter('Previous Rank'!$A$2:$A2766,'Previous Rank'!$B$2:$B2766=B1961,'Previous Rank'!$C$2:$C2766=C1961))=1,filter('Previous Rank'!$A$2:$A2766,'Previous Rank'!$B$2:$B2766=B1961,'Previous Rank'!$C$2:$C2766=C1961),"""")"),1958.0)</f>
        <v>1958</v>
      </c>
      <c r="H1961" s="8">
        <f t="shared" si="1"/>
        <v>-2</v>
      </c>
    </row>
    <row r="1962">
      <c r="A1962" s="10">
        <v>1961.0</v>
      </c>
      <c r="B1962" s="11" t="s">
        <v>2061</v>
      </c>
      <c r="C1962" s="10" t="s">
        <v>33</v>
      </c>
      <c r="D1962" s="10" t="s">
        <v>85</v>
      </c>
      <c r="E1962" s="16"/>
      <c r="F1962" s="16" t="s">
        <v>382</v>
      </c>
      <c r="G1962" s="13">
        <f>IFERROR(__xludf.DUMMYFUNCTION("if(counta(filter('Previous Rank'!$A$2:$A2766,'Previous Rank'!$B$2:$B2766=B1962,'Previous Rank'!$C$2:$C2766=C1962))=1,filter('Previous Rank'!$A$2:$A2766,'Previous Rank'!$B$2:$B2766=B1962,'Previous Rank'!$C$2:$C2766=C1962),"""")"),1959.0)</f>
        <v>1959</v>
      </c>
      <c r="H1962" s="8">
        <f t="shared" si="1"/>
        <v>-2</v>
      </c>
    </row>
    <row r="1963">
      <c r="A1963" s="10">
        <v>1962.0</v>
      </c>
      <c r="B1963" s="11" t="s">
        <v>2062</v>
      </c>
      <c r="C1963" s="10" t="s">
        <v>39</v>
      </c>
      <c r="D1963" s="10" t="s">
        <v>36</v>
      </c>
      <c r="E1963" s="15"/>
      <c r="F1963" s="15" t="s">
        <v>382</v>
      </c>
      <c r="G1963" s="13">
        <f>IFERROR(__xludf.DUMMYFUNCTION("if(counta(filter('Previous Rank'!$A$2:$A2766,'Previous Rank'!$B$2:$B2766=B1963,'Previous Rank'!$C$2:$C2766=C1963))=1,filter('Previous Rank'!$A$2:$A2766,'Previous Rank'!$B$2:$B2766=B1963,'Previous Rank'!$C$2:$C2766=C1963),"""")"),1960.0)</f>
        <v>1960</v>
      </c>
      <c r="H1963" s="8">
        <f t="shared" si="1"/>
        <v>-2</v>
      </c>
    </row>
    <row r="1964">
      <c r="A1964" s="10">
        <v>1963.0</v>
      </c>
      <c r="B1964" s="11" t="s">
        <v>2063</v>
      </c>
      <c r="C1964" s="10" t="s">
        <v>158</v>
      </c>
      <c r="D1964" s="10" t="s">
        <v>120</v>
      </c>
      <c r="E1964" s="16"/>
      <c r="F1964" s="16" t="s">
        <v>382</v>
      </c>
      <c r="G1964" s="13">
        <f>IFERROR(__xludf.DUMMYFUNCTION("if(counta(filter('Previous Rank'!$A$2:$A2766,'Previous Rank'!$B$2:$B2766=B1964,'Previous Rank'!$C$2:$C2766=C1964))=1,filter('Previous Rank'!$A$2:$A2766,'Previous Rank'!$B$2:$B2766=B1964,'Previous Rank'!$C$2:$C2766=C1964),"""")"),1961.0)</f>
        <v>1961</v>
      </c>
      <c r="H1964" s="8">
        <f t="shared" si="1"/>
        <v>-2</v>
      </c>
    </row>
    <row r="1965">
      <c r="A1965" s="10">
        <v>1964.0</v>
      </c>
      <c r="B1965" s="11" t="s">
        <v>2064</v>
      </c>
      <c r="C1965" s="10" t="s">
        <v>240</v>
      </c>
      <c r="D1965" s="10" t="s">
        <v>113</v>
      </c>
      <c r="E1965" s="15"/>
      <c r="F1965" s="15" t="s">
        <v>382</v>
      </c>
      <c r="G1965" s="13">
        <f>IFERROR(__xludf.DUMMYFUNCTION("if(counta(filter('Previous Rank'!$A$2:$A2766,'Previous Rank'!$B$2:$B2766=B1965,'Previous Rank'!$C$2:$C2766=C1965))=1,filter('Previous Rank'!$A$2:$A2766,'Previous Rank'!$B$2:$B2766=B1965,'Previous Rank'!$C$2:$C2766=C1965),"""")"),1962.0)</f>
        <v>1962</v>
      </c>
      <c r="H1965" s="8">
        <f t="shared" si="1"/>
        <v>-2</v>
      </c>
    </row>
    <row r="1966">
      <c r="A1966" s="10">
        <v>1965.0</v>
      </c>
      <c r="B1966" s="11" t="s">
        <v>2065</v>
      </c>
      <c r="C1966" s="10" t="s">
        <v>55</v>
      </c>
      <c r="D1966" s="10" t="s">
        <v>73</v>
      </c>
      <c r="E1966" s="16"/>
      <c r="F1966" s="16" t="s">
        <v>382</v>
      </c>
      <c r="G1966" s="13">
        <f>IFERROR(__xludf.DUMMYFUNCTION("if(counta(filter('Previous Rank'!$A$2:$A2766,'Previous Rank'!$B$2:$B2766=B1966,'Previous Rank'!$C$2:$C2766=C1966))=1,filter('Previous Rank'!$A$2:$A2766,'Previous Rank'!$B$2:$B2766=B1966,'Previous Rank'!$C$2:$C2766=C1966),"""")"),1963.0)</f>
        <v>1963</v>
      </c>
      <c r="H1966" s="8">
        <f t="shared" si="1"/>
        <v>-2</v>
      </c>
    </row>
    <row r="1967">
      <c r="A1967" s="10">
        <v>1966.0</v>
      </c>
      <c r="B1967" s="11" t="s">
        <v>2066</v>
      </c>
      <c r="C1967" s="10" t="s">
        <v>33</v>
      </c>
      <c r="D1967" s="10" t="s">
        <v>99</v>
      </c>
      <c r="E1967" s="15"/>
      <c r="F1967" s="15" t="s">
        <v>382</v>
      </c>
      <c r="G1967" s="13">
        <f>IFERROR(__xludf.DUMMYFUNCTION("if(counta(filter('Previous Rank'!$A$2:$A2766,'Previous Rank'!$B$2:$B2766=B1967,'Previous Rank'!$C$2:$C2766=C1967))=1,filter('Previous Rank'!$A$2:$A2766,'Previous Rank'!$B$2:$B2766=B1967,'Previous Rank'!$C$2:$C2766=C1967),"""")"),1964.0)</f>
        <v>1964</v>
      </c>
      <c r="H1967" s="8">
        <f t="shared" si="1"/>
        <v>-2</v>
      </c>
    </row>
    <row r="1968">
      <c r="A1968" s="10">
        <v>1967.0</v>
      </c>
      <c r="B1968" s="11" t="s">
        <v>2067</v>
      </c>
      <c r="C1968" s="10" t="s">
        <v>89</v>
      </c>
      <c r="D1968" s="10" t="s">
        <v>99</v>
      </c>
      <c r="E1968" s="16"/>
      <c r="F1968" s="16" t="s">
        <v>382</v>
      </c>
      <c r="G1968" s="13">
        <f>IFERROR(__xludf.DUMMYFUNCTION("if(counta(filter('Previous Rank'!$A$2:$A2766,'Previous Rank'!$B$2:$B2766=B1968,'Previous Rank'!$C$2:$C2766=C1968))=1,filter('Previous Rank'!$A$2:$A2766,'Previous Rank'!$B$2:$B2766=B1968,'Previous Rank'!$C$2:$C2766=C1968),"""")"),1966.0)</f>
        <v>1966</v>
      </c>
      <c r="H1968" s="8">
        <f t="shared" si="1"/>
        <v>-1</v>
      </c>
    </row>
    <row r="1969">
      <c r="A1969" s="10">
        <v>1968.0</v>
      </c>
      <c r="B1969" s="11" t="s">
        <v>2068</v>
      </c>
      <c r="C1969" s="10" t="s">
        <v>48</v>
      </c>
      <c r="D1969" s="10" t="s">
        <v>31</v>
      </c>
      <c r="E1969" s="15"/>
      <c r="F1969" s="15" t="s">
        <v>382</v>
      </c>
      <c r="G1969" s="13">
        <f>IFERROR(__xludf.DUMMYFUNCTION("if(counta(filter('Previous Rank'!$A$2:$A2766,'Previous Rank'!$B$2:$B2766=B1969,'Previous Rank'!$C$2:$C2766=C1969))=1,filter('Previous Rank'!$A$2:$A2766,'Previous Rank'!$B$2:$B2766=B1969,'Previous Rank'!$C$2:$C2766=C1969),"""")"),1967.0)</f>
        <v>1967</v>
      </c>
      <c r="H1969" s="8">
        <f t="shared" si="1"/>
        <v>-1</v>
      </c>
    </row>
    <row r="1970">
      <c r="A1970" s="10">
        <v>1969.0</v>
      </c>
      <c r="B1970" s="11" t="s">
        <v>2069</v>
      </c>
      <c r="C1970" s="10" t="s">
        <v>48</v>
      </c>
      <c r="D1970" s="10" t="s">
        <v>105</v>
      </c>
      <c r="E1970" s="16"/>
      <c r="F1970" s="16" t="s">
        <v>382</v>
      </c>
      <c r="G1970" s="13">
        <f>IFERROR(__xludf.DUMMYFUNCTION("if(counta(filter('Previous Rank'!$A$2:$A2766,'Previous Rank'!$B$2:$B2766=B1970,'Previous Rank'!$C$2:$C2766=C1970))=1,filter('Previous Rank'!$A$2:$A2766,'Previous Rank'!$B$2:$B2766=B1970,'Previous Rank'!$C$2:$C2766=C1970),"""")"),1968.0)</f>
        <v>1968</v>
      </c>
      <c r="H1970" s="8">
        <f t="shared" si="1"/>
        <v>-1</v>
      </c>
    </row>
    <row r="1971">
      <c r="A1971" s="10">
        <v>1970.0</v>
      </c>
      <c r="B1971" s="11" t="s">
        <v>2070</v>
      </c>
      <c r="C1971" s="10" t="s">
        <v>346</v>
      </c>
      <c r="D1971" s="10" t="s">
        <v>18</v>
      </c>
      <c r="E1971" s="15"/>
      <c r="F1971" s="15" t="s">
        <v>382</v>
      </c>
      <c r="G1971" s="13">
        <f>IFERROR(__xludf.DUMMYFUNCTION("if(counta(filter('Previous Rank'!$A$2:$A2766,'Previous Rank'!$B$2:$B2766=B1971,'Previous Rank'!$C$2:$C2766=C1971))=1,filter('Previous Rank'!$A$2:$A2766,'Previous Rank'!$B$2:$B2766=B1971,'Previous Rank'!$C$2:$C2766=C1971),"""")"),1969.0)</f>
        <v>1969</v>
      </c>
      <c r="H1971" s="8">
        <f t="shared" si="1"/>
        <v>-1</v>
      </c>
    </row>
    <row r="1972">
      <c r="A1972" s="10">
        <v>1971.0</v>
      </c>
      <c r="B1972" s="11" t="s">
        <v>2071</v>
      </c>
      <c r="C1972" s="10" t="s">
        <v>20</v>
      </c>
      <c r="D1972" s="10" t="s">
        <v>122</v>
      </c>
      <c r="E1972" s="16"/>
      <c r="F1972" s="16" t="s">
        <v>382</v>
      </c>
      <c r="G1972" s="13">
        <f>IFERROR(__xludf.DUMMYFUNCTION("if(counta(filter('Previous Rank'!$A$2:$A2766,'Previous Rank'!$B$2:$B2766=B1972,'Previous Rank'!$C$2:$C2766=C1972))=1,filter('Previous Rank'!$A$2:$A2766,'Previous Rank'!$B$2:$B2766=B1972,'Previous Rank'!$C$2:$C2766=C1972),"""")"),1970.0)</f>
        <v>1970</v>
      </c>
      <c r="H1972" s="8">
        <f t="shared" si="1"/>
        <v>-1</v>
      </c>
    </row>
    <row r="1973">
      <c r="A1973" s="10">
        <v>1972.0</v>
      </c>
      <c r="B1973" s="11" t="s">
        <v>2072</v>
      </c>
      <c r="C1973" s="10" t="s">
        <v>220</v>
      </c>
      <c r="D1973" s="10" t="s">
        <v>99</v>
      </c>
      <c r="E1973" s="15"/>
      <c r="F1973" s="15" t="s">
        <v>382</v>
      </c>
      <c r="G1973" s="13">
        <f>IFERROR(__xludf.DUMMYFUNCTION("if(counta(filter('Previous Rank'!$A$2:$A2766,'Previous Rank'!$B$2:$B2766=B1973,'Previous Rank'!$C$2:$C2766=C1973))=1,filter('Previous Rank'!$A$2:$A2766,'Previous Rank'!$B$2:$B2766=B1973,'Previous Rank'!$C$2:$C2766=C1973),"""")"),1971.0)</f>
        <v>1971</v>
      </c>
      <c r="H1973" s="8">
        <f t="shared" si="1"/>
        <v>-1</v>
      </c>
    </row>
    <row r="1974">
      <c r="A1974" s="10">
        <v>1973.0</v>
      </c>
      <c r="B1974" s="11" t="s">
        <v>2073</v>
      </c>
      <c r="C1974" s="10" t="s">
        <v>33</v>
      </c>
      <c r="D1974" s="10" t="s">
        <v>85</v>
      </c>
      <c r="E1974" s="16"/>
      <c r="F1974" s="16" t="s">
        <v>382</v>
      </c>
      <c r="G1974" s="13">
        <f>IFERROR(__xludf.DUMMYFUNCTION("if(counta(filter('Previous Rank'!$A$2:$A2766,'Previous Rank'!$B$2:$B2766=B1974,'Previous Rank'!$C$2:$C2766=C1974))=1,filter('Previous Rank'!$A$2:$A2766,'Previous Rank'!$B$2:$B2766=B1974,'Previous Rank'!$C$2:$C2766=C1974),"""")"),1972.0)</f>
        <v>1972</v>
      </c>
      <c r="H1974" s="8">
        <f t="shared" si="1"/>
        <v>-1</v>
      </c>
    </row>
    <row r="1975">
      <c r="A1975" s="10">
        <v>1974.0</v>
      </c>
      <c r="B1975" s="11" t="s">
        <v>2074</v>
      </c>
      <c r="C1975" s="10" t="s">
        <v>22</v>
      </c>
      <c r="D1975" s="10" t="s">
        <v>18</v>
      </c>
      <c r="E1975" s="15">
        <v>244.6</v>
      </c>
      <c r="F1975" s="15">
        <v>1.0</v>
      </c>
      <c r="G1975" s="13">
        <f>IFERROR(__xludf.DUMMYFUNCTION("if(counta(filter('Previous Rank'!$A$2:$A2766,'Previous Rank'!$B$2:$B2766=B1975,'Previous Rank'!$C$2:$C2766=C1975))=1,filter('Previous Rank'!$A$2:$A2766,'Previous Rank'!$B$2:$B2766=B1975,'Previous Rank'!$C$2:$C2766=C1975),"""")"),324.0)</f>
        <v>324</v>
      </c>
      <c r="H1975" s="8">
        <f t="shared" si="1"/>
        <v>-1650</v>
      </c>
    </row>
    <row r="1976">
      <c r="A1976" s="10">
        <v>1975.0</v>
      </c>
      <c r="B1976" s="11" t="s">
        <v>2075</v>
      </c>
      <c r="C1976" s="10" t="s">
        <v>20</v>
      </c>
      <c r="D1976" s="10" t="s">
        <v>122</v>
      </c>
      <c r="E1976" s="16"/>
      <c r="F1976" s="16" t="s">
        <v>382</v>
      </c>
      <c r="G1976" s="13">
        <f>IFERROR(__xludf.DUMMYFUNCTION("if(counta(filter('Previous Rank'!$A$2:$A2766,'Previous Rank'!$B$2:$B2766=B1976,'Previous Rank'!$C$2:$C2766=C1976))=1,filter('Previous Rank'!$A$2:$A2766,'Previous Rank'!$B$2:$B2766=B1976,'Previous Rank'!$C$2:$C2766=C1976),"""")"),1973.0)</f>
        <v>1973</v>
      </c>
      <c r="H1976" s="8">
        <f t="shared" si="1"/>
        <v>-2</v>
      </c>
    </row>
    <row r="1977">
      <c r="A1977" s="10">
        <v>1976.0</v>
      </c>
      <c r="B1977" s="11" t="s">
        <v>2076</v>
      </c>
      <c r="C1977" s="10" t="s">
        <v>87</v>
      </c>
      <c r="D1977" s="10" t="s">
        <v>140</v>
      </c>
      <c r="E1977" s="15"/>
      <c r="F1977" s="15" t="s">
        <v>382</v>
      </c>
      <c r="G1977" s="13">
        <f>IFERROR(__xludf.DUMMYFUNCTION("if(counta(filter('Previous Rank'!$A$2:$A2766,'Previous Rank'!$B$2:$B2766=B1977,'Previous Rank'!$C$2:$C2766=C1977))=1,filter('Previous Rank'!$A$2:$A2766,'Previous Rank'!$B$2:$B2766=B1977,'Previous Rank'!$C$2:$C2766=C1977),"""")"),1974.0)</f>
        <v>1974</v>
      </c>
      <c r="H1977" s="8">
        <f t="shared" si="1"/>
        <v>-2</v>
      </c>
    </row>
    <row r="1978">
      <c r="A1978" s="10">
        <v>1977.0</v>
      </c>
      <c r="B1978" s="11" t="s">
        <v>2077</v>
      </c>
      <c r="C1978" s="10" t="s">
        <v>77</v>
      </c>
      <c r="D1978" s="10" t="s">
        <v>49</v>
      </c>
      <c r="E1978" s="16"/>
      <c r="F1978" s="16" t="s">
        <v>382</v>
      </c>
      <c r="G1978" s="13">
        <f>IFERROR(__xludf.DUMMYFUNCTION("if(counta(filter('Previous Rank'!$A$2:$A2766,'Previous Rank'!$B$2:$B2766=B1978,'Previous Rank'!$C$2:$C2766=C1978))=1,filter('Previous Rank'!$A$2:$A2766,'Previous Rank'!$B$2:$B2766=B1978,'Previous Rank'!$C$2:$C2766=C1978),"""")"),1975.0)</f>
        <v>1975</v>
      </c>
      <c r="H1978" s="8">
        <f t="shared" si="1"/>
        <v>-2</v>
      </c>
    </row>
    <row r="1979">
      <c r="A1979" s="10">
        <v>1978.0</v>
      </c>
      <c r="B1979" s="11" t="s">
        <v>2078</v>
      </c>
      <c r="C1979" s="10" t="s">
        <v>17</v>
      </c>
      <c r="D1979" s="10" t="s">
        <v>15</v>
      </c>
      <c r="E1979" s="15"/>
      <c r="F1979" s="15" t="s">
        <v>382</v>
      </c>
      <c r="G1979" s="13">
        <f>IFERROR(__xludf.DUMMYFUNCTION("if(counta(filter('Previous Rank'!$A$2:$A2766,'Previous Rank'!$B$2:$B2766=B1979,'Previous Rank'!$C$2:$C2766=C1979))=1,filter('Previous Rank'!$A$2:$A2766,'Previous Rank'!$B$2:$B2766=B1979,'Previous Rank'!$C$2:$C2766=C1979),"""")"),1976.0)</f>
        <v>1976</v>
      </c>
      <c r="H1979" s="8">
        <f t="shared" si="1"/>
        <v>-2</v>
      </c>
    </row>
    <row r="1980">
      <c r="A1980" s="10">
        <v>1979.0</v>
      </c>
      <c r="B1980" s="11" t="s">
        <v>2079</v>
      </c>
      <c r="C1980" s="10" t="s">
        <v>8</v>
      </c>
      <c r="D1980" s="10" t="s">
        <v>113</v>
      </c>
      <c r="E1980" s="16"/>
      <c r="F1980" s="16" t="s">
        <v>382</v>
      </c>
      <c r="G1980" s="13">
        <f>IFERROR(__xludf.DUMMYFUNCTION("if(counta(filter('Previous Rank'!$A$2:$A2766,'Previous Rank'!$B$2:$B2766=B1980,'Previous Rank'!$C$2:$C2766=C1980))=1,filter('Previous Rank'!$A$2:$A2766,'Previous Rank'!$B$2:$B2766=B1980,'Previous Rank'!$C$2:$C2766=C1980),"""")"),1977.0)</f>
        <v>1977</v>
      </c>
      <c r="H1980" s="8">
        <f t="shared" si="1"/>
        <v>-2</v>
      </c>
    </row>
    <row r="1981">
      <c r="A1981" s="10">
        <v>1980.0</v>
      </c>
      <c r="B1981" s="11" t="s">
        <v>2080</v>
      </c>
      <c r="C1981" s="10" t="s">
        <v>55</v>
      </c>
      <c r="D1981" s="10" t="s">
        <v>34</v>
      </c>
      <c r="E1981" s="15"/>
      <c r="F1981" s="15" t="s">
        <v>382</v>
      </c>
      <c r="G1981" s="13">
        <f>IFERROR(__xludf.DUMMYFUNCTION("if(counta(filter('Previous Rank'!$A$2:$A2766,'Previous Rank'!$B$2:$B2766=B1981,'Previous Rank'!$C$2:$C2766=C1981))=1,filter('Previous Rank'!$A$2:$A2766,'Previous Rank'!$B$2:$B2766=B1981,'Previous Rank'!$C$2:$C2766=C1981),"""")"),1978.0)</f>
        <v>1978</v>
      </c>
      <c r="H1981" s="8">
        <f t="shared" si="1"/>
        <v>-2</v>
      </c>
    </row>
    <row r="1982">
      <c r="A1982" s="10">
        <v>1981.0</v>
      </c>
      <c r="B1982" s="11" t="s">
        <v>2081</v>
      </c>
      <c r="C1982" s="10" t="s">
        <v>240</v>
      </c>
      <c r="D1982" s="10" t="s">
        <v>42</v>
      </c>
      <c r="E1982" s="16"/>
      <c r="F1982" s="16" t="s">
        <v>382</v>
      </c>
      <c r="G1982" s="13">
        <f>IFERROR(__xludf.DUMMYFUNCTION("if(counta(filter('Previous Rank'!$A$2:$A2766,'Previous Rank'!$B$2:$B2766=B1982,'Previous Rank'!$C$2:$C2766=C1982))=1,filter('Previous Rank'!$A$2:$A2766,'Previous Rank'!$B$2:$B2766=B1982,'Previous Rank'!$C$2:$C2766=C1982),"""")"),1979.0)</f>
        <v>1979</v>
      </c>
      <c r="H1982" s="8">
        <f t="shared" si="1"/>
        <v>-2</v>
      </c>
    </row>
    <row r="1983">
      <c r="A1983" s="10">
        <v>1982.0</v>
      </c>
      <c r="B1983" s="11" t="s">
        <v>2082</v>
      </c>
      <c r="C1983" s="10" t="s">
        <v>77</v>
      </c>
      <c r="D1983" s="10" t="s">
        <v>137</v>
      </c>
      <c r="E1983" s="15"/>
      <c r="F1983" s="15" t="s">
        <v>382</v>
      </c>
      <c r="G1983" s="13">
        <f>IFERROR(__xludf.DUMMYFUNCTION("if(counta(filter('Previous Rank'!$A$2:$A2766,'Previous Rank'!$B$2:$B2766=B1983,'Previous Rank'!$C$2:$C2766=C1983))=1,filter('Previous Rank'!$A$2:$A2766,'Previous Rank'!$B$2:$B2766=B1983,'Previous Rank'!$C$2:$C2766=C1983),"""")"),1980.0)</f>
        <v>1980</v>
      </c>
      <c r="H1983" s="8">
        <f t="shared" si="1"/>
        <v>-2</v>
      </c>
    </row>
    <row r="1984">
      <c r="A1984" s="10">
        <v>1983.0</v>
      </c>
      <c r="B1984" s="11" t="s">
        <v>2083</v>
      </c>
      <c r="C1984" s="10" t="s">
        <v>150</v>
      </c>
      <c r="D1984" s="10" t="s">
        <v>36</v>
      </c>
      <c r="E1984" s="16"/>
      <c r="F1984" s="16" t="s">
        <v>382</v>
      </c>
      <c r="G1984" s="13">
        <f>IFERROR(__xludf.DUMMYFUNCTION("if(counta(filter('Previous Rank'!$A$2:$A2766,'Previous Rank'!$B$2:$B2766=B1984,'Previous Rank'!$C$2:$C2766=C1984))=1,filter('Previous Rank'!$A$2:$A2766,'Previous Rank'!$B$2:$B2766=B1984,'Previous Rank'!$C$2:$C2766=C1984),"""")"),1981.0)</f>
        <v>1981</v>
      </c>
      <c r="H1984" s="8">
        <f t="shared" si="1"/>
        <v>-2</v>
      </c>
    </row>
    <row r="1985">
      <c r="A1985" s="10">
        <v>1984.0</v>
      </c>
      <c r="B1985" s="11" t="s">
        <v>2084</v>
      </c>
      <c r="C1985" s="10" t="s">
        <v>48</v>
      </c>
      <c r="D1985" s="10" t="s">
        <v>120</v>
      </c>
      <c r="E1985" s="15"/>
      <c r="F1985" s="15" t="s">
        <v>382</v>
      </c>
      <c r="G1985" s="13">
        <f>IFERROR(__xludf.DUMMYFUNCTION("if(counta(filter('Previous Rank'!$A$2:$A2766,'Previous Rank'!$B$2:$B2766=B1985,'Previous Rank'!$C$2:$C2766=C1985))=1,filter('Previous Rank'!$A$2:$A2766,'Previous Rank'!$B$2:$B2766=B1985,'Previous Rank'!$C$2:$C2766=C1985),"""")"),1982.0)</f>
        <v>1982</v>
      </c>
      <c r="H1985" s="8">
        <f t="shared" si="1"/>
        <v>-2</v>
      </c>
    </row>
    <row r="1986">
      <c r="A1986" s="10">
        <v>1985.0</v>
      </c>
      <c r="B1986" s="11" t="s">
        <v>2085</v>
      </c>
      <c r="C1986" s="10" t="s">
        <v>77</v>
      </c>
      <c r="D1986" s="10" t="s">
        <v>120</v>
      </c>
      <c r="E1986" s="16"/>
      <c r="F1986" s="16" t="s">
        <v>382</v>
      </c>
      <c r="G1986" s="13">
        <f>IFERROR(__xludf.DUMMYFUNCTION("if(counta(filter('Previous Rank'!$A$2:$A2766,'Previous Rank'!$B$2:$B2766=B1986,'Previous Rank'!$C$2:$C2766=C1986))=1,filter('Previous Rank'!$A$2:$A2766,'Previous Rank'!$B$2:$B2766=B1986,'Previous Rank'!$C$2:$C2766=C1986),"""")"),1983.0)</f>
        <v>1983</v>
      </c>
      <c r="H1986" s="8">
        <f t="shared" si="1"/>
        <v>-2</v>
      </c>
    </row>
    <row r="1987">
      <c r="A1987" s="10">
        <v>1986.0</v>
      </c>
      <c r="B1987" s="11" t="s">
        <v>2086</v>
      </c>
      <c r="C1987" s="10" t="s">
        <v>14</v>
      </c>
      <c r="D1987" s="10" t="s">
        <v>140</v>
      </c>
      <c r="E1987" s="15"/>
      <c r="F1987" s="15" t="s">
        <v>382</v>
      </c>
      <c r="G1987" s="13">
        <f>IFERROR(__xludf.DUMMYFUNCTION("if(counta(filter('Previous Rank'!$A$2:$A2766,'Previous Rank'!$B$2:$B2766=B1987,'Previous Rank'!$C$2:$C2766=C1987))=1,filter('Previous Rank'!$A$2:$A2766,'Previous Rank'!$B$2:$B2766=B1987,'Previous Rank'!$C$2:$C2766=C1987),"""")"),1984.0)</f>
        <v>1984</v>
      </c>
      <c r="H1987" s="8">
        <f t="shared" si="1"/>
        <v>-2</v>
      </c>
    </row>
    <row r="1988">
      <c r="A1988" s="10">
        <v>1987.0</v>
      </c>
      <c r="B1988" s="11" t="s">
        <v>2087</v>
      </c>
      <c r="C1988" s="10" t="s">
        <v>48</v>
      </c>
      <c r="D1988" s="10" t="s">
        <v>18</v>
      </c>
      <c r="E1988" s="16"/>
      <c r="F1988" s="16" t="s">
        <v>382</v>
      </c>
      <c r="G1988" s="13">
        <f>IFERROR(__xludf.DUMMYFUNCTION("if(counta(filter('Previous Rank'!$A$2:$A2766,'Previous Rank'!$B$2:$B2766=B1988,'Previous Rank'!$C$2:$C2766=C1988))=1,filter('Previous Rank'!$A$2:$A2766,'Previous Rank'!$B$2:$B2766=B1988,'Previous Rank'!$C$2:$C2766=C1988),"""")"),1985.0)</f>
        <v>1985</v>
      </c>
      <c r="H1988" s="8">
        <f t="shared" si="1"/>
        <v>-2</v>
      </c>
    </row>
    <row r="1989">
      <c r="A1989" s="10">
        <v>1988.0</v>
      </c>
      <c r="B1989" s="11" t="s">
        <v>2088</v>
      </c>
      <c r="C1989" s="10" t="s">
        <v>14</v>
      </c>
      <c r="D1989" s="10" t="s">
        <v>129</v>
      </c>
      <c r="E1989" s="15"/>
      <c r="F1989" s="15" t="s">
        <v>382</v>
      </c>
      <c r="G1989" s="13">
        <f>IFERROR(__xludf.DUMMYFUNCTION("if(counta(filter('Previous Rank'!$A$2:$A2766,'Previous Rank'!$B$2:$B2766=B1989,'Previous Rank'!$C$2:$C2766=C1989))=1,filter('Previous Rank'!$A$2:$A2766,'Previous Rank'!$B$2:$B2766=B1989,'Previous Rank'!$C$2:$C2766=C1989),"""")"),1986.0)</f>
        <v>1986</v>
      </c>
      <c r="H1989" s="8">
        <f t="shared" si="1"/>
        <v>-2</v>
      </c>
    </row>
    <row r="1990">
      <c r="A1990" s="10">
        <v>1989.0</v>
      </c>
      <c r="B1990" s="11" t="s">
        <v>2089</v>
      </c>
      <c r="C1990" s="10" t="s">
        <v>77</v>
      </c>
      <c r="D1990" s="10" t="s">
        <v>42</v>
      </c>
      <c r="E1990" s="16"/>
      <c r="F1990" s="16" t="s">
        <v>382</v>
      </c>
      <c r="G1990" s="13">
        <f>IFERROR(__xludf.DUMMYFUNCTION("if(counta(filter('Previous Rank'!$A$2:$A2766,'Previous Rank'!$B$2:$B2766=B1990,'Previous Rank'!$C$2:$C2766=C1990))=1,filter('Previous Rank'!$A$2:$A2766,'Previous Rank'!$B$2:$B2766=B1990,'Previous Rank'!$C$2:$C2766=C1990),"""")"),1987.0)</f>
        <v>1987</v>
      </c>
      <c r="H1990" s="8">
        <f t="shared" si="1"/>
        <v>-2</v>
      </c>
    </row>
    <row r="1991">
      <c r="A1991" s="10">
        <v>1990.0</v>
      </c>
      <c r="B1991" s="11" t="s">
        <v>2090</v>
      </c>
      <c r="C1991" s="10" t="s">
        <v>17</v>
      </c>
      <c r="D1991" s="10" t="s">
        <v>46</v>
      </c>
      <c r="E1991" s="15"/>
      <c r="F1991" s="15" t="s">
        <v>382</v>
      </c>
      <c r="G1991" s="13">
        <f>IFERROR(__xludf.DUMMYFUNCTION("if(counta(filter('Previous Rank'!$A$2:$A2766,'Previous Rank'!$B$2:$B2766=B1991,'Previous Rank'!$C$2:$C2766=C1991))=1,filter('Previous Rank'!$A$2:$A2766,'Previous Rank'!$B$2:$B2766=B1991,'Previous Rank'!$C$2:$C2766=C1991),"""")"),1988.0)</f>
        <v>1988</v>
      </c>
      <c r="H1991" s="8">
        <f t="shared" si="1"/>
        <v>-2</v>
      </c>
    </row>
    <row r="1992">
      <c r="A1992" s="10">
        <v>1991.0</v>
      </c>
      <c r="B1992" s="11" t="s">
        <v>2091</v>
      </c>
      <c r="C1992" s="10" t="s">
        <v>33</v>
      </c>
      <c r="D1992" s="10" t="s">
        <v>46</v>
      </c>
      <c r="E1992" s="16"/>
      <c r="F1992" s="16" t="s">
        <v>382</v>
      </c>
      <c r="G1992" s="13">
        <f>IFERROR(__xludf.DUMMYFUNCTION("if(counta(filter('Previous Rank'!$A$2:$A2766,'Previous Rank'!$B$2:$B2766=B1992,'Previous Rank'!$C$2:$C2766=C1992))=1,filter('Previous Rank'!$A$2:$A2766,'Previous Rank'!$B$2:$B2766=B1992,'Previous Rank'!$C$2:$C2766=C1992),"""")"),1989.0)</f>
        <v>1989</v>
      </c>
      <c r="H1992" s="8">
        <f t="shared" si="1"/>
        <v>-2</v>
      </c>
    </row>
    <row r="1993">
      <c r="A1993" s="10">
        <v>1992.0</v>
      </c>
      <c r="B1993" s="11" t="s">
        <v>2092</v>
      </c>
      <c r="C1993" s="10" t="s">
        <v>48</v>
      </c>
      <c r="D1993" s="10" t="s">
        <v>36</v>
      </c>
      <c r="E1993" s="15"/>
      <c r="F1993" s="15" t="s">
        <v>382</v>
      </c>
      <c r="G1993" s="13">
        <f>IFERROR(__xludf.DUMMYFUNCTION("if(counta(filter('Previous Rank'!$A$2:$A2766,'Previous Rank'!$B$2:$B2766=B1993,'Previous Rank'!$C$2:$C2766=C1993))=1,filter('Previous Rank'!$A$2:$A2766,'Previous Rank'!$B$2:$B2766=B1993,'Previous Rank'!$C$2:$C2766=C1993),"""")"),1990.0)</f>
        <v>1990</v>
      </c>
      <c r="H1993" s="8">
        <f t="shared" si="1"/>
        <v>-2</v>
      </c>
    </row>
    <row r="1994">
      <c r="A1994" s="10">
        <v>1993.0</v>
      </c>
      <c r="B1994" s="11" t="s">
        <v>2093</v>
      </c>
      <c r="C1994" s="10" t="s">
        <v>48</v>
      </c>
      <c r="D1994" s="10" t="s">
        <v>25</v>
      </c>
      <c r="E1994" s="16"/>
      <c r="F1994" s="16" t="s">
        <v>382</v>
      </c>
      <c r="G1994" s="13">
        <f>IFERROR(__xludf.DUMMYFUNCTION("if(counta(filter('Previous Rank'!$A$2:$A2766,'Previous Rank'!$B$2:$B2766=B1994,'Previous Rank'!$C$2:$C2766=C1994))=1,filter('Previous Rank'!$A$2:$A2766,'Previous Rank'!$B$2:$B2766=B1994,'Previous Rank'!$C$2:$C2766=C1994),"""")"),1991.0)</f>
        <v>1991</v>
      </c>
      <c r="H1994" s="8">
        <f t="shared" si="1"/>
        <v>-2</v>
      </c>
    </row>
    <row r="1995">
      <c r="A1995" s="10">
        <v>1994.0</v>
      </c>
      <c r="B1995" s="11" t="s">
        <v>2094</v>
      </c>
      <c r="C1995" s="10" t="s">
        <v>39</v>
      </c>
      <c r="D1995" s="10" t="s">
        <v>46</v>
      </c>
      <c r="E1995" s="15"/>
      <c r="F1995" s="15" t="s">
        <v>382</v>
      </c>
      <c r="G1995" s="13">
        <f>IFERROR(__xludf.DUMMYFUNCTION("if(counta(filter('Previous Rank'!$A$2:$A2766,'Previous Rank'!$B$2:$B2766=B1995,'Previous Rank'!$C$2:$C2766=C1995))=1,filter('Previous Rank'!$A$2:$A2766,'Previous Rank'!$B$2:$B2766=B1995,'Previous Rank'!$C$2:$C2766=C1995),"""")"),1992.0)</f>
        <v>1992</v>
      </c>
      <c r="H1995" s="8">
        <f t="shared" si="1"/>
        <v>-2</v>
      </c>
    </row>
    <row r="1996">
      <c r="A1996" s="10">
        <v>1995.0</v>
      </c>
      <c r="B1996" s="11" t="s">
        <v>2095</v>
      </c>
      <c r="C1996" s="10" t="s">
        <v>77</v>
      </c>
      <c r="D1996" s="10" t="s">
        <v>34</v>
      </c>
      <c r="E1996" s="16"/>
      <c r="F1996" s="16" t="s">
        <v>382</v>
      </c>
      <c r="G1996" s="13">
        <f>IFERROR(__xludf.DUMMYFUNCTION("if(counta(filter('Previous Rank'!$A$2:$A2766,'Previous Rank'!$B$2:$B2766=B1996,'Previous Rank'!$C$2:$C2766=C1996))=1,filter('Previous Rank'!$A$2:$A2766,'Previous Rank'!$B$2:$B2766=B1996,'Previous Rank'!$C$2:$C2766=C1996),"""")"),1993.0)</f>
        <v>1993</v>
      </c>
      <c r="H1996" s="8">
        <f t="shared" si="1"/>
        <v>-2</v>
      </c>
    </row>
    <row r="1997">
      <c r="A1997" s="10">
        <v>1996.0</v>
      </c>
      <c r="B1997" s="11" t="s">
        <v>2096</v>
      </c>
      <c r="C1997" s="10" t="s">
        <v>17</v>
      </c>
      <c r="D1997" s="10" t="s">
        <v>137</v>
      </c>
      <c r="E1997" s="15"/>
      <c r="F1997" s="15" t="s">
        <v>382</v>
      </c>
      <c r="G1997" s="13">
        <f>IFERROR(__xludf.DUMMYFUNCTION("if(counta(filter('Previous Rank'!$A$2:$A2766,'Previous Rank'!$B$2:$B2766=B1997,'Previous Rank'!$C$2:$C2766=C1997))=1,filter('Previous Rank'!$A$2:$A2766,'Previous Rank'!$B$2:$B2766=B1997,'Previous Rank'!$C$2:$C2766=C1997),"""")"),1994.0)</f>
        <v>1994</v>
      </c>
      <c r="H1997" s="8">
        <f t="shared" si="1"/>
        <v>-2</v>
      </c>
    </row>
    <row r="1998">
      <c r="A1998" s="10">
        <v>1997.0</v>
      </c>
      <c r="B1998" s="11" t="s">
        <v>2097</v>
      </c>
      <c r="C1998" s="10" t="s">
        <v>48</v>
      </c>
      <c r="D1998" s="10" t="s">
        <v>27</v>
      </c>
      <c r="E1998" s="16"/>
      <c r="F1998" s="16" t="s">
        <v>382</v>
      </c>
      <c r="G1998" s="13">
        <f>IFERROR(__xludf.DUMMYFUNCTION("if(counta(filter('Previous Rank'!$A$2:$A2766,'Previous Rank'!$B$2:$B2766=B1998,'Previous Rank'!$C$2:$C2766=C1998))=1,filter('Previous Rank'!$A$2:$A2766,'Previous Rank'!$B$2:$B2766=B1998,'Previous Rank'!$C$2:$C2766=C1998),"""")"),1995.0)</f>
        <v>1995</v>
      </c>
      <c r="H1998" s="8">
        <f t="shared" si="1"/>
        <v>-2</v>
      </c>
    </row>
    <row r="1999">
      <c r="A1999" s="10">
        <v>1998.0</v>
      </c>
      <c r="B1999" s="11" t="s">
        <v>2098</v>
      </c>
      <c r="C1999" s="10" t="s">
        <v>55</v>
      </c>
      <c r="D1999" s="10" t="s">
        <v>52</v>
      </c>
      <c r="E1999" s="15"/>
      <c r="F1999" s="15" t="s">
        <v>382</v>
      </c>
      <c r="G1999" s="13">
        <f>IFERROR(__xludf.DUMMYFUNCTION("if(counta(filter('Previous Rank'!$A$2:$A2766,'Previous Rank'!$B$2:$B2766=B1999,'Previous Rank'!$C$2:$C2766=C1999))=1,filter('Previous Rank'!$A$2:$A2766,'Previous Rank'!$B$2:$B2766=B1999,'Previous Rank'!$C$2:$C2766=C1999),"""")"),1996.0)</f>
        <v>1996</v>
      </c>
      <c r="H1999" s="8">
        <f t="shared" si="1"/>
        <v>-2</v>
      </c>
    </row>
    <row r="2000">
      <c r="A2000" s="10">
        <v>1999.0</v>
      </c>
      <c r="B2000" s="11" t="s">
        <v>2099</v>
      </c>
      <c r="C2000" s="10" t="s">
        <v>77</v>
      </c>
      <c r="D2000" s="10" t="s">
        <v>23</v>
      </c>
      <c r="E2000" s="16"/>
      <c r="F2000" s="16" t="s">
        <v>382</v>
      </c>
      <c r="G2000" s="13">
        <f>IFERROR(__xludf.DUMMYFUNCTION("if(counta(filter('Previous Rank'!$A$2:$A2766,'Previous Rank'!$B$2:$B2766=B2000,'Previous Rank'!$C$2:$C2766=C2000))=1,filter('Previous Rank'!$A$2:$A2766,'Previous Rank'!$B$2:$B2766=B2000,'Previous Rank'!$C$2:$C2766=C2000),"""")"),1997.0)</f>
        <v>1997</v>
      </c>
      <c r="H2000" s="8">
        <f t="shared" si="1"/>
        <v>-2</v>
      </c>
    </row>
    <row r="2001">
      <c r="A2001" s="10">
        <v>2000.0</v>
      </c>
      <c r="B2001" s="11" t="s">
        <v>2100</v>
      </c>
      <c r="C2001" s="10" t="s">
        <v>11</v>
      </c>
      <c r="D2001" s="10" t="s">
        <v>105</v>
      </c>
      <c r="E2001" s="15"/>
      <c r="F2001" s="15" t="s">
        <v>382</v>
      </c>
      <c r="G2001" s="13">
        <f>IFERROR(__xludf.DUMMYFUNCTION("if(counta(filter('Previous Rank'!$A$2:$A2766,'Previous Rank'!$B$2:$B2766=B2001,'Previous Rank'!$C$2:$C2766=C2001))=1,filter('Previous Rank'!$A$2:$A2766,'Previous Rank'!$B$2:$B2766=B2001,'Previous Rank'!$C$2:$C2766=C2001),"""")"),1998.0)</f>
        <v>1998</v>
      </c>
      <c r="H2001" s="8">
        <f t="shared" si="1"/>
        <v>-2</v>
      </c>
    </row>
    <row r="2002">
      <c r="A2002" s="10">
        <v>2001.0</v>
      </c>
      <c r="B2002" s="11" t="s">
        <v>2101</v>
      </c>
      <c r="C2002" s="10" t="s">
        <v>33</v>
      </c>
      <c r="D2002" s="10" t="s">
        <v>31</v>
      </c>
      <c r="E2002" s="16"/>
      <c r="F2002" s="16" t="s">
        <v>382</v>
      </c>
      <c r="G2002" s="13">
        <f>IFERROR(__xludf.DUMMYFUNCTION("if(counta(filter('Previous Rank'!$A$2:$A2766,'Previous Rank'!$B$2:$B2766=B2002,'Previous Rank'!$C$2:$C2766=C2002))=1,filter('Previous Rank'!$A$2:$A2766,'Previous Rank'!$B$2:$B2766=B2002,'Previous Rank'!$C$2:$C2766=C2002),"""")"),1999.0)</f>
        <v>1999</v>
      </c>
      <c r="H2002" s="8">
        <f t="shared" si="1"/>
        <v>-2</v>
      </c>
    </row>
    <row r="2003">
      <c r="A2003" s="10">
        <v>2002.0</v>
      </c>
      <c r="B2003" s="11" t="s">
        <v>2102</v>
      </c>
      <c r="C2003" s="10" t="s">
        <v>20</v>
      </c>
      <c r="D2003" s="10" t="s">
        <v>105</v>
      </c>
      <c r="E2003" s="15"/>
      <c r="F2003" s="15" t="s">
        <v>382</v>
      </c>
      <c r="G2003" s="13">
        <f>IFERROR(__xludf.DUMMYFUNCTION("if(counta(filter('Previous Rank'!$A$2:$A2766,'Previous Rank'!$B$2:$B2766=B2003,'Previous Rank'!$C$2:$C2766=C2003))=1,filter('Previous Rank'!$A$2:$A2766,'Previous Rank'!$B$2:$B2766=B2003,'Previous Rank'!$C$2:$C2766=C2003),"""")"),2000.0)</f>
        <v>2000</v>
      </c>
      <c r="H2003" s="8">
        <f t="shared" si="1"/>
        <v>-2</v>
      </c>
    </row>
    <row r="2004">
      <c r="A2004" s="10">
        <v>2003.0</v>
      </c>
      <c r="B2004" s="11" t="s">
        <v>2103</v>
      </c>
      <c r="C2004" s="10" t="s">
        <v>69</v>
      </c>
      <c r="D2004" s="10" t="s">
        <v>31</v>
      </c>
      <c r="E2004" s="16"/>
      <c r="F2004" s="16" t="s">
        <v>382</v>
      </c>
      <c r="G2004" s="13">
        <f>IFERROR(__xludf.DUMMYFUNCTION("if(counta(filter('Previous Rank'!$A$2:$A2766,'Previous Rank'!$B$2:$B2766=B2004,'Previous Rank'!$C$2:$C2766=C2004))=1,filter('Previous Rank'!$A$2:$A2766,'Previous Rank'!$B$2:$B2766=B2004,'Previous Rank'!$C$2:$C2766=C2004),"""")"),2001.0)</f>
        <v>2001</v>
      </c>
      <c r="H2004" s="8">
        <f t="shared" si="1"/>
        <v>-2</v>
      </c>
    </row>
    <row r="2005">
      <c r="A2005" s="10">
        <v>2004.0</v>
      </c>
      <c r="B2005" s="11" t="s">
        <v>2104</v>
      </c>
      <c r="C2005" s="10" t="s">
        <v>17</v>
      </c>
      <c r="D2005" s="10" t="s">
        <v>95</v>
      </c>
      <c r="E2005" s="15"/>
      <c r="F2005" s="15" t="s">
        <v>382</v>
      </c>
      <c r="G2005" s="13">
        <f>IFERROR(__xludf.DUMMYFUNCTION("if(counta(filter('Previous Rank'!$A$2:$A2766,'Previous Rank'!$B$2:$B2766=B2005,'Previous Rank'!$C$2:$C2766=C2005))=1,filter('Previous Rank'!$A$2:$A2766,'Previous Rank'!$B$2:$B2766=B2005,'Previous Rank'!$C$2:$C2766=C2005),"""")"),2002.0)</f>
        <v>2002</v>
      </c>
      <c r="H2005" s="8">
        <f t="shared" si="1"/>
        <v>-2</v>
      </c>
    </row>
    <row r="2006">
      <c r="A2006" s="10">
        <v>2005.0</v>
      </c>
      <c r="B2006" s="11" t="s">
        <v>2105</v>
      </c>
      <c r="C2006" s="10" t="s">
        <v>33</v>
      </c>
      <c r="D2006" s="10" t="s">
        <v>36</v>
      </c>
      <c r="E2006" s="16"/>
      <c r="F2006" s="16" t="s">
        <v>382</v>
      </c>
      <c r="G2006" s="13">
        <f>IFERROR(__xludf.DUMMYFUNCTION("if(counta(filter('Previous Rank'!$A$2:$A2766,'Previous Rank'!$B$2:$B2766=B2006,'Previous Rank'!$C$2:$C2766=C2006))=1,filter('Previous Rank'!$A$2:$A2766,'Previous Rank'!$B$2:$B2766=B2006,'Previous Rank'!$C$2:$C2766=C2006),"""")"),2003.0)</f>
        <v>2003</v>
      </c>
      <c r="H2006" s="8">
        <f t="shared" si="1"/>
        <v>-2</v>
      </c>
    </row>
    <row r="2007">
      <c r="A2007" s="10">
        <v>2006.0</v>
      </c>
      <c r="B2007" s="11" t="s">
        <v>2106</v>
      </c>
      <c r="C2007" s="10" t="s">
        <v>136</v>
      </c>
      <c r="D2007" s="10" t="s">
        <v>36</v>
      </c>
      <c r="E2007" s="15"/>
      <c r="F2007" s="15" t="s">
        <v>382</v>
      </c>
      <c r="G2007" s="13">
        <f>IFERROR(__xludf.DUMMYFUNCTION("if(counta(filter('Previous Rank'!$A$2:$A2766,'Previous Rank'!$B$2:$B2766=B2007,'Previous Rank'!$C$2:$C2766=C2007))=1,filter('Previous Rank'!$A$2:$A2766,'Previous Rank'!$B$2:$B2766=B2007,'Previous Rank'!$C$2:$C2766=C2007),"""")"),2004.0)</f>
        <v>2004</v>
      </c>
      <c r="H2007" s="8">
        <f t="shared" si="1"/>
        <v>-2</v>
      </c>
    </row>
    <row r="2008">
      <c r="A2008" s="10">
        <v>2007.0</v>
      </c>
      <c r="B2008" s="11" t="s">
        <v>2107</v>
      </c>
      <c r="C2008" s="10" t="s">
        <v>55</v>
      </c>
      <c r="D2008" s="10" t="s">
        <v>113</v>
      </c>
      <c r="E2008" s="16"/>
      <c r="F2008" s="16" t="s">
        <v>382</v>
      </c>
      <c r="G2008" s="13">
        <f>IFERROR(__xludf.DUMMYFUNCTION("if(counta(filter('Previous Rank'!$A$2:$A2766,'Previous Rank'!$B$2:$B2766=B2008,'Previous Rank'!$C$2:$C2766=C2008))=1,filter('Previous Rank'!$A$2:$A2766,'Previous Rank'!$B$2:$B2766=B2008,'Previous Rank'!$C$2:$C2766=C2008),"""")"),2005.0)</f>
        <v>2005</v>
      </c>
      <c r="H2008" s="8">
        <f t="shared" si="1"/>
        <v>-2</v>
      </c>
    </row>
    <row r="2009">
      <c r="A2009" s="10">
        <v>2008.0</v>
      </c>
      <c r="B2009" s="11" t="s">
        <v>2108</v>
      </c>
      <c r="C2009" s="10" t="s">
        <v>20</v>
      </c>
      <c r="D2009" s="10" t="s">
        <v>95</v>
      </c>
      <c r="E2009" s="15"/>
      <c r="F2009" s="15" t="s">
        <v>382</v>
      </c>
      <c r="G2009" s="13">
        <f>IFERROR(__xludf.DUMMYFUNCTION("if(counta(filter('Previous Rank'!$A$2:$A2766,'Previous Rank'!$B$2:$B2766=B2009,'Previous Rank'!$C$2:$C2766=C2009))=1,filter('Previous Rank'!$A$2:$A2766,'Previous Rank'!$B$2:$B2766=B2009,'Previous Rank'!$C$2:$C2766=C2009),"""")"),2006.0)</f>
        <v>2006</v>
      </c>
      <c r="H2009" s="8">
        <f t="shared" si="1"/>
        <v>-2</v>
      </c>
    </row>
    <row r="2010">
      <c r="A2010" s="10">
        <v>2009.0</v>
      </c>
      <c r="B2010" s="11" t="s">
        <v>2109</v>
      </c>
      <c r="C2010" s="10" t="s">
        <v>48</v>
      </c>
      <c r="D2010" s="10" t="s">
        <v>137</v>
      </c>
      <c r="E2010" s="16"/>
      <c r="F2010" s="16" t="s">
        <v>382</v>
      </c>
      <c r="G2010" s="13">
        <f>IFERROR(__xludf.DUMMYFUNCTION("if(counta(filter('Previous Rank'!$A$2:$A2766,'Previous Rank'!$B$2:$B2766=B2010,'Previous Rank'!$C$2:$C2766=C2010))=1,filter('Previous Rank'!$A$2:$A2766,'Previous Rank'!$B$2:$B2766=B2010,'Previous Rank'!$C$2:$C2766=C2010),"""")"),2007.0)</f>
        <v>2007</v>
      </c>
      <c r="H2010" s="8">
        <f t="shared" si="1"/>
        <v>-2</v>
      </c>
    </row>
    <row r="2011">
      <c r="A2011" s="10">
        <v>2010.0</v>
      </c>
      <c r="B2011" s="11" t="s">
        <v>2110</v>
      </c>
      <c r="C2011" s="10" t="s">
        <v>33</v>
      </c>
      <c r="D2011" s="10" t="s">
        <v>129</v>
      </c>
      <c r="E2011" s="15"/>
      <c r="F2011" s="15" t="s">
        <v>382</v>
      </c>
      <c r="G2011" s="13">
        <f>IFERROR(__xludf.DUMMYFUNCTION("if(counta(filter('Previous Rank'!$A$2:$A2766,'Previous Rank'!$B$2:$B2766=B2011,'Previous Rank'!$C$2:$C2766=C2011))=1,filter('Previous Rank'!$A$2:$A2766,'Previous Rank'!$B$2:$B2766=B2011,'Previous Rank'!$C$2:$C2766=C2011),"""")"),2008.0)</f>
        <v>2008</v>
      </c>
      <c r="H2011" s="8">
        <f t="shared" si="1"/>
        <v>-2</v>
      </c>
    </row>
    <row r="2012">
      <c r="A2012" s="10">
        <v>2011.0</v>
      </c>
      <c r="B2012" s="11" t="s">
        <v>2111</v>
      </c>
      <c r="C2012" s="10" t="s">
        <v>77</v>
      </c>
      <c r="D2012" s="10" t="s">
        <v>95</v>
      </c>
      <c r="E2012" s="16"/>
      <c r="F2012" s="16" t="s">
        <v>382</v>
      </c>
      <c r="G2012" s="13">
        <f>IFERROR(__xludf.DUMMYFUNCTION("if(counta(filter('Previous Rank'!$A$2:$A2766,'Previous Rank'!$B$2:$B2766=B2012,'Previous Rank'!$C$2:$C2766=C2012))=1,filter('Previous Rank'!$A$2:$A2766,'Previous Rank'!$B$2:$B2766=B2012,'Previous Rank'!$C$2:$C2766=C2012),"""")"),2009.0)</f>
        <v>2009</v>
      </c>
      <c r="H2012" s="8">
        <f t="shared" si="1"/>
        <v>-2</v>
      </c>
    </row>
    <row r="2013">
      <c r="A2013" s="10">
        <v>2012.0</v>
      </c>
      <c r="B2013" s="11" t="s">
        <v>2112</v>
      </c>
      <c r="C2013" s="10" t="s">
        <v>286</v>
      </c>
      <c r="D2013" s="10" t="s">
        <v>129</v>
      </c>
      <c r="E2013" s="15">
        <v>248.9</v>
      </c>
      <c r="F2013" s="15">
        <v>1.3</v>
      </c>
      <c r="G2013" s="13">
        <f>IFERROR(__xludf.DUMMYFUNCTION("if(counta(filter('Previous Rank'!$A$2:$A2766,'Previous Rank'!$B$2:$B2766=B2013,'Previous Rank'!$C$2:$C2766=C2013))=1,filter('Previous Rank'!$A$2:$A2766,'Previous Rank'!$B$2:$B2766=B2013,'Previous Rank'!$C$2:$C2766=C2013),"""")"),2010.0)</f>
        <v>2010</v>
      </c>
      <c r="H2013" s="8">
        <f t="shared" si="1"/>
        <v>-2</v>
      </c>
    </row>
    <row r="2014">
      <c r="A2014" s="10">
        <v>2013.0</v>
      </c>
      <c r="B2014" s="11" t="s">
        <v>2113</v>
      </c>
      <c r="C2014" s="10" t="s">
        <v>55</v>
      </c>
      <c r="D2014" s="10" t="s">
        <v>140</v>
      </c>
      <c r="E2014" s="16"/>
      <c r="F2014" s="16" t="s">
        <v>382</v>
      </c>
      <c r="G2014" s="13">
        <f>IFERROR(__xludf.DUMMYFUNCTION("if(counta(filter('Previous Rank'!$A$2:$A2766,'Previous Rank'!$B$2:$B2766=B2014,'Previous Rank'!$C$2:$C2766=C2014))=1,filter('Previous Rank'!$A$2:$A2766,'Previous Rank'!$B$2:$B2766=B2014,'Previous Rank'!$C$2:$C2766=C2014),"""")"),2011.0)</f>
        <v>2011</v>
      </c>
      <c r="H2014" s="8">
        <f t="shared" si="1"/>
        <v>-2</v>
      </c>
    </row>
    <row r="2015">
      <c r="A2015" s="10">
        <v>2014.0</v>
      </c>
      <c r="B2015" s="11" t="s">
        <v>2114</v>
      </c>
      <c r="C2015" s="10" t="s">
        <v>77</v>
      </c>
      <c r="D2015" s="10" t="s">
        <v>9</v>
      </c>
      <c r="E2015" s="15"/>
      <c r="F2015" s="15" t="s">
        <v>382</v>
      </c>
      <c r="G2015" s="13">
        <f>IFERROR(__xludf.DUMMYFUNCTION("if(counta(filter('Previous Rank'!$A$2:$A2766,'Previous Rank'!$B$2:$B2766=B2015,'Previous Rank'!$C$2:$C2766=C2015))=1,filter('Previous Rank'!$A$2:$A2766,'Previous Rank'!$B$2:$B2766=B2015,'Previous Rank'!$C$2:$C2766=C2015),"""")"),2012.0)</f>
        <v>2012</v>
      </c>
      <c r="H2015" s="8">
        <f t="shared" si="1"/>
        <v>-2</v>
      </c>
    </row>
    <row r="2016">
      <c r="A2016" s="10">
        <v>2015.0</v>
      </c>
      <c r="B2016" s="11" t="s">
        <v>2115</v>
      </c>
      <c r="C2016" s="10" t="s">
        <v>33</v>
      </c>
      <c r="D2016" s="10" t="s">
        <v>42</v>
      </c>
      <c r="E2016" s="16"/>
      <c r="F2016" s="16" t="s">
        <v>382</v>
      </c>
      <c r="G2016" s="13">
        <f>IFERROR(__xludf.DUMMYFUNCTION("if(counta(filter('Previous Rank'!$A$2:$A2766,'Previous Rank'!$B$2:$B2766=B2016,'Previous Rank'!$C$2:$C2766=C2016))=1,filter('Previous Rank'!$A$2:$A2766,'Previous Rank'!$B$2:$B2766=B2016,'Previous Rank'!$C$2:$C2766=C2016),"""")"),2013.0)</f>
        <v>2013</v>
      </c>
      <c r="H2016" s="8">
        <f t="shared" si="1"/>
        <v>-2</v>
      </c>
    </row>
    <row r="2017">
      <c r="A2017" s="10">
        <v>2016.0</v>
      </c>
      <c r="B2017" s="11" t="s">
        <v>2116</v>
      </c>
      <c r="C2017" s="10" t="s">
        <v>8</v>
      </c>
      <c r="D2017" s="10" t="s">
        <v>49</v>
      </c>
      <c r="E2017" s="15"/>
      <c r="F2017" s="15" t="s">
        <v>382</v>
      </c>
      <c r="G2017" s="13">
        <f>IFERROR(__xludf.DUMMYFUNCTION("if(counta(filter('Previous Rank'!$A$2:$A2766,'Previous Rank'!$B$2:$B2766=B2017,'Previous Rank'!$C$2:$C2766=C2017))=1,filter('Previous Rank'!$A$2:$A2766,'Previous Rank'!$B$2:$B2766=B2017,'Previous Rank'!$C$2:$C2766=C2017),"""")"),2014.0)</f>
        <v>2014</v>
      </c>
      <c r="H2017" s="8">
        <f t="shared" si="1"/>
        <v>-2</v>
      </c>
    </row>
    <row r="2018">
      <c r="A2018" s="10">
        <v>2017.0</v>
      </c>
      <c r="B2018" s="11" t="s">
        <v>2117</v>
      </c>
      <c r="C2018" s="10" t="s">
        <v>11</v>
      </c>
      <c r="D2018" s="10" t="s">
        <v>18</v>
      </c>
      <c r="E2018" s="16"/>
      <c r="F2018" s="16" t="s">
        <v>382</v>
      </c>
      <c r="G2018" s="13">
        <f>IFERROR(__xludf.DUMMYFUNCTION("if(counta(filter('Previous Rank'!$A$2:$A2766,'Previous Rank'!$B$2:$B2766=B2018,'Previous Rank'!$C$2:$C2766=C2018))=1,filter('Previous Rank'!$A$2:$A2766,'Previous Rank'!$B$2:$B2766=B2018,'Previous Rank'!$C$2:$C2766=C2018),"""")"),2015.0)</f>
        <v>2015</v>
      </c>
      <c r="H2018" s="8">
        <f t="shared" si="1"/>
        <v>-2</v>
      </c>
    </row>
    <row r="2019">
      <c r="A2019" s="10">
        <v>2018.0</v>
      </c>
      <c r="B2019" s="11" t="s">
        <v>2118</v>
      </c>
      <c r="C2019" s="10" t="s">
        <v>77</v>
      </c>
      <c r="D2019" s="10" t="s">
        <v>36</v>
      </c>
      <c r="E2019" s="15"/>
      <c r="F2019" s="15" t="s">
        <v>382</v>
      </c>
      <c r="G2019" s="13">
        <f>IFERROR(__xludf.DUMMYFUNCTION("if(counta(filter('Previous Rank'!$A$2:$A2766,'Previous Rank'!$B$2:$B2766=B2019,'Previous Rank'!$C$2:$C2766=C2019))=1,filter('Previous Rank'!$A$2:$A2766,'Previous Rank'!$B$2:$B2766=B2019,'Previous Rank'!$C$2:$C2766=C2019),"""")"),2016.0)</f>
        <v>2016</v>
      </c>
      <c r="H2019" s="8">
        <f t="shared" si="1"/>
        <v>-2</v>
      </c>
    </row>
    <row r="2020">
      <c r="A2020" s="10">
        <v>2019.0</v>
      </c>
      <c r="B2020" s="11" t="s">
        <v>2119</v>
      </c>
      <c r="C2020" s="10" t="s">
        <v>33</v>
      </c>
      <c r="D2020" s="10" t="s">
        <v>9</v>
      </c>
      <c r="E2020" s="16"/>
      <c r="F2020" s="16" t="s">
        <v>382</v>
      </c>
      <c r="G2020" s="13">
        <f>IFERROR(__xludf.DUMMYFUNCTION("if(counta(filter('Previous Rank'!$A$2:$A2766,'Previous Rank'!$B$2:$B2766=B2020,'Previous Rank'!$C$2:$C2766=C2020))=1,filter('Previous Rank'!$A$2:$A2766,'Previous Rank'!$B$2:$B2766=B2020,'Previous Rank'!$C$2:$C2766=C2020),"""")"),2017.0)</f>
        <v>2017</v>
      </c>
      <c r="H2020" s="8">
        <f t="shared" si="1"/>
        <v>-2</v>
      </c>
    </row>
    <row r="2021">
      <c r="A2021" s="10">
        <v>2020.0</v>
      </c>
      <c r="B2021" s="11" t="s">
        <v>2120</v>
      </c>
      <c r="C2021" s="10" t="s">
        <v>240</v>
      </c>
      <c r="D2021" s="10" t="s">
        <v>206</v>
      </c>
      <c r="E2021" s="15"/>
      <c r="F2021" s="15" t="s">
        <v>382</v>
      </c>
      <c r="G2021" s="13">
        <f>IFERROR(__xludf.DUMMYFUNCTION("if(counta(filter('Previous Rank'!$A$2:$A2766,'Previous Rank'!$B$2:$B2766=B2021,'Previous Rank'!$C$2:$C2766=C2021))=1,filter('Previous Rank'!$A$2:$A2766,'Previous Rank'!$B$2:$B2766=B2021,'Previous Rank'!$C$2:$C2766=C2021),"""")"),2018.0)</f>
        <v>2018</v>
      </c>
      <c r="H2021" s="8">
        <f t="shared" si="1"/>
        <v>-2</v>
      </c>
    </row>
    <row r="2022">
      <c r="A2022" s="10">
        <v>2021.0</v>
      </c>
      <c r="B2022" s="11" t="s">
        <v>2121</v>
      </c>
      <c r="C2022" s="10" t="s">
        <v>33</v>
      </c>
      <c r="D2022" s="10" t="s">
        <v>122</v>
      </c>
      <c r="E2022" s="16"/>
      <c r="F2022" s="16" t="s">
        <v>382</v>
      </c>
      <c r="G2022" s="13">
        <f>IFERROR(__xludf.DUMMYFUNCTION("if(counta(filter('Previous Rank'!$A$2:$A2766,'Previous Rank'!$B$2:$B2766=B2022,'Previous Rank'!$C$2:$C2766=C2022))=1,filter('Previous Rank'!$A$2:$A2766,'Previous Rank'!$B$2:$B2766=B2022,'Previous Rank'!$C$2:$C2766=C2022),"""")"),2019.0)</f>
        <v>2019</v>
      </c>
      <c r="H2022" s="8">
        <f t="shared" si="1"/>
        <v>-2</v>
      </c>
    </row>
    <row r="2023">
      <c r="A2023" s="10">
        <v>2022.0</v>
      </c>
      <c r="B2023" s="11" t="s">
        <v>2122</v>
      </c>
      <c r="C2023" s="10" t="s">
        <v>77</v>
      </c>
      <c r="D2023" s="10" t="s">
        <v>82</v>
      </c>
      <c r="E2023" s="15"/>
      <c r="F2023" s="15" t="s">
        <v>382</v>
      </c>
      <c r="G2023" s="13">
        <f>IFERROR(__xludf.DUMMYFUNCTION("if(counta(filter('Previous Rank'!$A$2:$A2766,'Previous Rank'!$B$2:$B2766=B2023,'Previous Rank'!$C$2:$C2766=C2023))=1,filter('Previous Rank'!$A$2:$A2766,'Previous Rank'!$B$2:$B2766=B2023,'Previous Rank'!$C$2:$C2766=C2023),"""")"),2020.0)</f>
        <v>2020</v>
      </c>
      <c r="H2023" s="8">
        <f t="shared" si="1"/>
        <v>-2</v>
      </c>
    </row>
    <row r="2024">
      <c r="A2024" s="10">
        <v>2023.0</v>
      </c>
      <c r="B2024" s="11" t="s">
        <v>2123</v>
      </c>
      <c r="C2024" s="10" t="s">
        <v>77</v>
      </c>
      <c r="D2024" s="10" t="s">
        <v>49</v>
      </c>
      <c r="E2024" s="16"/>
      <c r="F2024" s="16" t="s">
        <v>382</v>
      </c>
      <c r="G2024" s="13">
        <f>IFERROR(__xludf.DUMMYFUNCTION("if(counta(filter('Previous Rank'!$A$2:$A2766,'Previous Rank'!$B$2:$B2766=B2024,'Previous Rank'!$C$2:$C2766=C2024))=1,filter('Previous Rank'!$A$2:$A2766,'Previous Rank'!$B$2:$B2766=B2024,'Previous Rank'!$C$2:$C2766=C2024),"""")"),2021.0)</f>
        <v>2021</v>
      </c>
      <c r="H2024" s="8">
        <f t="shared" si="1"/>
        <v>-2</v>
      </c>
    </row>
    <row r="2025">
      <c r="A2025" s="10">
        <v>2024.0</v>
      </c>
      <c r="B2025" s="11" t="s">
        <v>2124</v>
      </c>
      <c r="C2025" s="10" t="s">
        <v>14</v>
      </c>
      <c r="D2025" s="10" t="s">
        <v>129</v>
      </c>
      <c r="E2025" s="15"/>
      <c r="F2025" s="15" t="s">
        <v>382</v>
      </c>
      <c r="G2025" s="13">
        <f>IFERROR(__xludf.DUMMYFUNCTION("if(counta(filter('Previous Rank'!$A$2:$A2766,'Previous Rank'!$B$2:$B2766=B2025,'Previous Rank'!$C$2:$C2766=C2025))=1,filter('Previous Rank'!$A$2:$A2766,'Previous Rank'!$B$2:$B2766=B2025,'Previous Rank'!$C$2:$C2766=C2025),"""")"),2022.0)</f>
        <v>2022</v>
      </c>
      <c r="H2025" s="8">
        <f t="shared" si="1"/>
        <v>-2</v>
      </c>
    </row>
    <row r="2026">
      <c r="A2026" s="10">
        <v>2025.0</v>
      </c>
      <c r="B2026" s="11" t="s">
        <v>2125</v>
      </c>
      <c r="C2026" s="10" t="s">
        <v>77</v>
      </c>
      <c r="D2026" s="10" t="s">
        <v>25</v>
      </c>
      <c r="E2026" s="16"/>
      <c r="F2026" s="16" t="s">
        <v>382</v>
      </c>
      <c r="G2026" s="13">
        <f>IFERROR(__xludf.DUMMYFUNCTION("if(counta(filter('Previous Rank'!$A$2:$A2766,'Previous Rank'!$B$2:$B2766=B2026,'Previous Rank'!$C$2:$C2766=C2026))=1,filter('Previous Rank'!$A$2:$A2766,'Previous Rank'!$B$2:$B2766=B2026,'Previous Rank'!$C$2:$C2766=C2026),"""")"),2023.0)</f>
        <v>2023</v>
      </c>
      <c r="H2026" s="8">
        <f t="shared" si="1"/>
        <v>-2</v>
      </c>
    </row>
    <row r="2027">
      <c r="A2027" s="10">
        <v>2026.0</v>
      </c>
      <c r="B2027" s="11" t="s">
        <v>2126</v>
      </c>
      <c r="C2027" s="10" t="s">
        <v>77</v>
      </c>
      <c r="D2027" s="10" t="s">
        <v>113</v>
      </c>
      <c r="E2027" s="15"/>
      <c r="F2027" s="15" t="s">
        <v>382</v>
      </c>
      <c r="G2027" s="13">
        <f>IFERROR(__xludf.DUMMYFUNCTION("if(counta(filter('Previous Rank'!$A$2:$A2766,'Previous Rank'!$B$2:$B2766=B2027,'Previous Rank'!$C$2:$C2766=C2027))=1,filter('Previous Rank'!$A$2:$A2766,'Previous Rank'!$B$2:$B2766=B2027,'Previous Rank'!$C$2:$C2766=C2027),"""")"),2024.0)</f>
        <v>2024</v>
      </c>
      <c r="H2027" s="8">
        <f t="shared" si="1"/>
        <v>-2</v>
      </c>
    </row>
    <row r="2028">
      <c r="A2028" s="10">
        <v>2027.0</v>
      </c>
      <c r="B2028" s="11" t="s">
        <v>2127</v>
      </c>
      <c r="C2028" s="10" t="s">
        <v>69</v>
      </c>
      <c r="D2028" s="10" t="s">
        <v>90</v>
      </c>
      <c r="E2028" s="16"/>
      <c r="F2028" s="16" t="s">
        <v>382</v>
      </c>
      <c r="G2028" s="13">
        <f>IFERROR(__xludf.DUMMYFUNCTION("if(counta(filter('Previous Rank'!$A$2:$A2766,'Previous Rank'!$B$2:$B2766=B2028,'Previous Rank'!$C$2:$C2766=C2028))=1,filter('Previous Rank'!$A$2:$A2766,'Previous Rank'!$B$2:$B2766=B2028,'Previous Rank'!$C$2:$C2766=C2028),"""")"),2025.0)</f>
        <v>2025</v>
      </c>
      <c r="H2028" s="8">
        <f t="shared" si="1"/>
        <v>-2</v>
      </c>
    </row>
    <row r="2029">
      <c r="A2029" s="10">
        <v>2028.0</v>
      </c>
      <c r="B2029" s="11" t="s">
        <v>2128</v>
      </c>
      <c r="C2029" s="10" t="s">
        <v>77</v>
      </c>
      <c r="D2029" s="10" t="s">
        <v>36</v>
      </c>
      <c r="E2029" s="15"/>
      <c r="F2029" s="15" t="s">
        <v>382</v>
      </c>
      <c r="G2029" s="13">
        <f>IFERROR(__xludf.DUMMYFUNCTION("if(counta(filter('Previous Rank'!$A$2:$A2766,'Previous Rank'!$B$2:$B2766=B2029,'Previous Rank'!$C$2:$C2766=C2029))=1,filter('Previous Rank'!$A$2:$A2766,'Previous Rank'!$B$2:$B2766=B2029,'Previous Rank'!$C$2:$C2766=C2029),"""")"),2026.0)</f>
        <v>2026</v>
      </c>
      <c r="H2029" s="8">
        <f t="shared" si="1"/>
        <v>-2</v>
      </c>
    </row>
    <row r="2030">
      <c r="A2030" s="10">
        <v>2029.0</v>
      </c>
      <c r="B2030" s="11" t="s">
        <v>2129</v>
      </c>
      <c r="C2030" s="10" t="s">
        <v>63</v>
      </c>
      <c r="D2030" s="10" t="s">
        <v>34</v>
      </c>
      <c r="E2030" s="16"/>
      <c r="F2030" s="16" t="s">
        <v>382</v>
      </c>
      <c r="G2030" s="13">
        <f>IFERROR(__xludf.DUMMYFUNCTION("if(counta(filter('Previous Rank'!$A$2:$A2766,'Previous Rank'!$B$2:$B2766=B2030,'Previous Rank'!$C$2:$C2766=C2030))=1,filter('Previous Rank'!$A$2:$A2766,'Previous Rank'!$B$2:$B2766=B2030,'Previous Rank'!$C$2:$C2766=C2030),"""")"),2027.0)</f>
        <v>2027</v>
      </c>
      <c r="H2030" s="8">
        <f t="shared" si="1"/>
        <v>-2</v>
      </c>
    </row>
    <row r="2031">
      <c r="A2031" s="10">
        <v>2030.0</v>
      </c>
      <c r="B2031" s="11" t="s">
        <v>2130</v>
      </c>
      <c r="C2031" s="10" t="s">
        <v>89</v>
      </c>
      <c r="D2031" s="10" t="s">
        <v>36</v>
      </c>
      <c r="E2031" s="15"/>
      <c r="F2031" s="15" t="s">
        <v>382</v>
      </c>
      <c r="G2031" s="13">
        <f>IFERROR(__xludf.DUMMYFUNCTION("if(counta(filter('Previous Rank'!$A$2:$A2766,'Previous Rank'!$B$2:$B2766=B2031,'Previous Rank'!$C$2:$C2766=C2031))=1,filter('Previous Rank'!$A$2:$A2766,'Previous Rank'!$B$2:$B2766=B2031,'Previous Rank'!$C$2:$C2766=C2031),"""")"),2028.0)</f>
        <v>2028</v>
      </c>
      <c r="H2031" s="8">
        <f t="shared" si="1"/>
        <v>-2</v>
      </c>
    </row>
    <row r="2032">
      <c r="A2032" s="10">
        <v>2031.0</v>
      </c>
      <c r="B2032" s="11" t="s">
        <v>2131</v>
      </c>
      <c r="C2032" s="10" t="s">
        <v>77</v>
      </c>
      <c r="D2032" s="10" t="s">
        <v>12</v>
      </c>
      <c r="E2032" s="16"/>
      <c r="F2032" s="16" t="s">
        <v>382</v>
      </c>
      <c r="G2032" s="13">
        <f>IFERROR(__xludf.DUMMYFUNCTION("if(counta(filter('Previous Rank'!$A$2:$A2766,'Previous Rank'!$B$2:$B2766=B2032,'Previous Rank'!$C$2:$C2766=C2032))=1,filter('Previous Rank'!$A$2:$A2766,'Previous Rank'!$B$2:$B2766=B2032,'Previous Rank'!$C$2:$C2766=C2032),"""")"),2029.0)</f>
        <v>2029</v>
      </c>
      <c r="H2032" s="8">
        <f t="shared" si="1"/>
        <v>-2</v>
      </c>
    </row>
    <row r="2033">
      <c r="A2033" s="10">
        <v>2032.0</v>
      </c>
      <c r="B2033" s="11" t="s">
        <v>2132</v>
      </c>
      <c r="C2033" s="10" t="s">
        <v>77</v>
      </c>
      <c r="D2033" s="10" t="s">
        <v>82</v>
      </c>
      <c r="E2033" s="15"/>
      <c r="F2033" s="15" t="s">
        <v>382</v>
      </c>
      <c r="G2033" s="13">
        <f>IFERROR(__xludf.DUMMYFUNCTION("if(counta(filter('Previous Rank'!$A$2:$A2766,'Previous Rank'!$B$2:$B2766=B2033,'Previous Rank'!$C$2:$C2766=C2033))=1,filter('Previous Rank'!$A$2:$A2766,'Previous Rank'!$B$2:$B2766=B2033,'Previous Rank'!$C$2:$C2766=C2033),"""")"),2030.0)</f>
        <v>2030</v>
      </c>
      <c r="H2033" s="8">
        <f t="shared" si="1"/>
        <v>-2</v>
      </c>
    </row>
    <row r="2034">
      <c r="A2034" s="10">
        <v>2033.0</v>
      </c>
      <c r="B2034" s="11" t="s">
        <v>2133</v>
      </c>
      <c r="C2034" s="10" t="s">
        <v>89</v>
      </c>
      <c r="D2034" s="10" t="s">
        <v>99</v>
      </c>
      <c r="E2034" s="16"/>
      <c r="F2034" s="16" t="s">
        <v>382</v>
      </c>
      <c r="G2034" s="13">
        <f>IFERROR(__xludf.DUMMYFUNCTION("if(counta(filter('Previous Rank'!$A$2:$A2766,'Previous Rank'!$B$2:$B2766=B2034,'Previous Rank'!$C$2:$C2766=C2034))=1,filter('Previous Rank'!$A$2:$A2766,'Previous Rank'!$B$2:$B2766=B2034,'Previous Rank'!$C$2:$C2766=C2034),"""")"),2031.0)</f>
        <v>2031</v>
      </c>
      <c r="H2034" s="8">
        <f t="shared" si="1"/>
        <v>-2</v>
      </c>
    </row>
    <row r="2035">
      <c r="A2035" s="10">
        <v>2034.0</v>
      </c>
      <c r="B2035" s="11" t="s">
        <v>2134</v>
      </c>
      <c r="C2035" s="10" t="s">
        <v>33</v>
      </c>
      <c r="D2035" s="10" t="s">
        <v>129</v>
      </c>
      <c r="E2035" s="15"/>
      <c r="F2035" s="15" t="s">
        <v>382</v>
      </c>
      <c r="G2035" s="13">
        <f>IFERROR(__xludf.DUMMYFUNCTION("if(counta(filter('Previous Rank'!$A$2:$A2766,'Previous Rank'!$B$2:$B2766=B2035,'Previous Rank'!$C$2:$C2766=C2035))=1,filter('Previous Rank'!$A$2:$A2766,'Previous Rank'!$B$2:$B2766=B2035,'Previous Rank'!$C$2:$C2766=C2035),"""")"),2032.0)</f>
        <v>2032</v>
      </c>
      <c r="H2035" s="8">
        <f t="shared" si="1"/>
        <v>-2</v>
      </c>
    </row>
    <row r="2036">
      <c r="A2036" s="10">
        <v>2035.0</v>
      </c>
      <c r="B2036" s="11" t="s">
        <v>2135</v>
      </c>
      <c r="C2036" s="10" t="s">
        <v>33</v>
      </c>
      <c r="D2036" s="10" t="s">
        <v>67</v>
      </c>
      <c r="E2036" s="16"/>
      <c r="F2036" s="16" t="s">
        <v>382</v>
      </c>
      <c r="G2036" s="13">
        <f>IFERROR(__xludf.DUMMYFUNCTION("if(counta(filter('Previous Rank'!$A$2:$A2766,'Previous Rank'!$B$2:$B2766=B2036,'Previous Rank'!$C$2:$C2766=C2036))=1,filter('Previous Rank'!$A$2:$A2766,'Previous Rank'!$B$2:$B2766=B2036,'Previous Rank'!$C$2:$C2766=C2036),"""")"),2033.0)</f>
        <v>2033</v>
      </c>
      <c r="H2036" s="8">
        <f t="shared" si="1"/>
        <v>-2</v>
      </c>
    </row>
    <row r="2037">
      <c r="A2037" s="10">
        <v>2036.0</v>
      </c>
      <c r="B2037" s="11" t="s">
        <v>2136</v>
      </c>
      <c r="C2037" s="10" t="s">
        <v>69</v>
      </c>
      <c r="D2037" s="10" t="s">
        <v>42</v>
      </c>
      <c r="E2037" s="15"/>
      <c r="F2037" s="15" t="s">
        <v>382</v>
      </c>
      <c r="G2037" s="13">
        <f>IFERROR(__xludf.DUMMYFUNCTION("if(counta(filter('Previous Rank'!$A$2:$A2766,'Previous Rank'!$B$2:$B2766=B2037,'Previous Rank'!$C$2:$C2766=C2037))=1,filter('Previous Rank'!$A$2:$A2766,'Previous Rank'!$B$2:$B2766=B2037,'Previous Rank'!$C$2:$C2766=C2037),"""")"),2034.0)</f>
        <v>2034</v>
      </c>
      <c r="H2037" s="8">
        <f t="shared" si="1"/>
        <v>-2</v>
      </c>
    </row>
    <row r="2038">
      <c r="A2038" s="10">
        <v>2037.0</v>
      </c>
      <c r="B2038" s="11" t="s">
        <v>2137</v>
      </c>
      <c r="C2038" s="10" t="s">
        <v>77</v>
      </c>
      <c r="D2038" s="10" t="s">
        <v>137</v>
      </c>
      <c r="E2038" s="16"/>
      <c r="F2038" s="16" t="s">
        <v>382</v>
      </c>
      <c r="G2038" s="13">
        <f>IFERROR(__xludf.DUMMYFUNCTION("if(counta(filter('Previous Rank'!$A$2:$A2766,'Previous Rank'!$B$2:$B2766=B2038,'Previous Rank'!$C$2:$C2766=C2038))=1,filter('Previous Rank'!$A$2:$A2766,'Previous Rank'!$B$2:$B2766=B2038,'Previous Rank'!$C$2:$C2766=C2038),"""")"),2035.0)</f>
        <v>2035</v>
      </c>
      <c r="H2038" s="8">
        <f t="shared" si="1"/>
        <v>-2</v>
      </c>
    </row>
    <row r="2039">
      <c r="A2039" s="10">
        <v>2038.0</v>
      </c>
      <c r="B2039" s="11" t="s">
        <v>2138</v>
      </c>
      <c r="C2039" s="10" t="s">
        <v>33</v>
      </c>
      <c r="D2039" s="10" t="s">
        <v>34</v>
      </c>
      <c r="E2039" s="15"/>
      <c r="F2039" s="15" t="s">
        <v>382</v>
      </c>
      <c r="G2039" s="13">
        <f>IFERROR(__xludf.DUMMYFUNCTION("if(counta(filter('Previous Rank'!$A$2:$A2766,'Previous Rank'!$B$2:$B2766=B2039,'Previous Rank'!$C$2:$C2766=C2039))=1,filter('Previous Rank'!$A$2:$A2766,'Previous Rank'!$B$2:$B2766=B2039,'Previous Rank'!$C$2:$C2766=C2039),"""")"),2036.0)</f>
        <v>2036</v>
      </c>
      <c r="H2039" s="8">
        <f t="shared" si="1"/>
        <v>-2</v>
      </c>
    </row>
    <row r="2040">
      <c r="A2040" s="10">
        <v>2039.0</v>
      </c>
      <c r="B2040" s="11" t="s">
        <v>2139</v>
      </c>
      <c r="C2040" s="10" t="s">
        <v>33</v>
      </c>
      <c r="D2040" s="10" t="s">
        <v>95</v>
      </c>
      <c r="E2040" s="16"/>
      <c r="F2040" s="16" t="s">
        <v>382</v>
      </c>
      <c r="G2040" s="13">
        <f>IFERROR(__xludf.DUMMYFUNCTION("if(counta(filter('Previous Rank'!$A$2:$A2766,'Previous Rank'!$B$2:$B2766=B2040,'Previous Rank'!$C$2:$C2766=C2040))=1,filter('Previous Rank'!$A$2:$A2766,'Previous Rank'!$B$2:$B2766=B2040,'Previous Rank'!$C$2:$C2766=C2040),"""")"),2037.0)</f>
        <v>2037</v>
      </c>
      <c r="H2040" s="8">
        <f t="shared" si="1"/>
        <v>-2</v>
      </c>
    </row>
    <row r="2041">
      <c r="A2041" s="10">
        <v>2040.0</v>
      </c>
      <c r="B2041" s="11" t="s">
        <v>2140</v>
      </c>
      <c r="C2041" s="10" t="s">
        <v>33</v>
      </c>
      <c r="D2041" s="10" t="s">
        <v>85</v>
      </c>
      <c r="E2041" s="15"/>
      <c r="F2041" s="15" t="s">
        <v>382</v>
      </c>
      <c r="G2041" s="13">
        <f>IFERROR(__xludf.DUMMYFUNCTION("if(counta(filter('Previous Rank'!$A$2:$A2766,'Previous Rank'!$B$2:$B2766=B2041,'Previous Rank'!$C$2:$C2766=C2041))=1,filter('Previous Rank'!$A$2:$A2766,'Previous Rank'!$B$2:$B2766=B2041,'Previous Rank'!$C$2:$C2766=C2041),"""")"),2038.0)</f>
        <v>2038</v>
      </c>
      <c r="H2041" s="8">
        <f t="shared" si="1"/>
        <v>-2</v>
      </c>
    </row>
    <row r="2042">
      <c r="A2042" s="10">
        <v>2041.0</v>
      </c>
      <c r="B2042" s="11" t="s">
        <v>2141</v>
      </c>
      <c r="C2042" s="10" t="s">
        <v>33</v>
      </c>
      <c r="D2042" s="10" t="s">
        <v>140</v>
      </c>
      <c r="E2042" s="16"/>
      <c r="F2042" s="16" t="s">
        <v>382</v>
      </c>
      <c r="G2042" s="13">
        <f>IFERROR(__xludf.DUMMYFUNCTION("if(counta(filter('Previous Rank'!$A$2:$A2766,'Previous Rank'!$B$2:$B2766=B2042,'Previous Rank'!$C$2:$C2766=C2042))=1,filter('Previous Rank'!$A$2:$A2766,'Previous Rank'!$B$2:$B2766=B2042,'Previous Rank'!$C$2:$C2766=C2042),"""")"),2039.0)</f>
        <v>2039</v>
      </c>
      <c r="H2042" s="8">
        <f t="shared" si="1"/>
        <v>-2</v>
      </c>
    </row>
    <row r="2043">
      <c r="A2043" s="10">
        <v>2042.0</v>
      </c>
      <c r="B2043" s="11" t="s">
        <v>2142</v>
      </c>
      <c r="C2043" s="10" t="s">
        <v>77</v>
      </c>
      <c r="D2043" s="10" t="s">
        <v>25</v>
      </c>
      <c r="E2043" s="15"/>
      <c r="F2043" s="15" t="s">
        <v>382</v>
      </c>
      <c r="G2043" s="13">
        <f>IFERROR(__xludf.DUMMYFUNCTION("if(counta(filter('Previous Rank'!$A$2:$A2766,'Previous Rank'!$B$2:$B2766=B2043,'Previous Rank'!$C$2:$C2766=C2043))=1,filter('Previous Rank'!$A$2:$A2766,'Previous Rank'!$B$2:$B2766=B2043,'Previous Rank'!$C$2:$C2766=C2043),"""")"),2040.0)</f>
        <v>2040</v>
      </c>
      <c r="H2043" s="8">
        <f t="shared" si="1"/>
        <v>-2</v>
      </c>
    </row>
    <row r="2044">
      <c r="A2044" s="10">
        <v>2043.0</v>
      </c>
      <c r="B2044" s="11" t="s">
        <v>2143</v>
      </c>
      <c r="C2044" s="10" t="s">
        <v>55</v>
      </c>
      <c r="D2044" s="10" t="s">
        <v>122</v>
      </c>
      <c r="E2044" s="16"/>
      <c r="F2044" s="16" t="s">
        <v>382</v>
      </c>
      <c r="G2044" s="13">
        <f>IFERROR(__xludf.DUMMYFUNCTION("if(counta(filter('Previous Rank'!$A$2:$A2766,'Previous Rank'!$B$2:$B2766=B2044,'Previous Rank'!$C$2:$C2766=C2044))=1,filter('Previous Rank'!$A$2:$A2766,'Previous Rank'!$B$2:$B2766=B2044,'Previous Rank'!$C$2:$C2766=C2044),"""")"),2041.0)</f>
        <v>2041</v>
      </c>
      <c r="H2044" s="8">
        <f t="shared" si="1"/>
        <v>-2</v>
      </c>
    </row>
    <row r="2045">
      <c r="A2045" s="10">
        <v>2044.0</v>
      </c>
      <c r="B2045" s="11" t="s">
        <v>2144</v>
      </c>
      <c r="C2045" s="10" t="s">
        <v>69</v>
      </c>
      <c r="D2045" s="10" t="s">
        <v>49</v>
      </c>
      <c r="E2045" s="15"/>
      <c r="F2045" s="15" t="s">
        <v>382</v>
      </c>
      <c r="G2045" s="13">
        <f>IFERROR(__xludf.DUMMYFUNCTION("if(counta(filter('Previous Rank'!$A$2:$A2766,'Previous Rank'!$B$2:$B2766=B2045,'Previous Rank'!$C$2:$C2766=C2045))=1,filter('Previous Rank'!$A$2:$A2766,'Previous Rank'!$B$2:$B2766=B2045,'Previous Rank'!$C$2:$C2766=C2045),"""")"),2042.0)</f>
        <v>2042</v>
      </c>
      <c r="H2045" s="8">
        <f t="shared" si="1"/>
        <v>-2</v>
      </c>
    </row>
    <row r="2046">
      <c r="A2046" s="10">
        <v>2045.0</v>
      </c>
      <c r="B2046" s="11" t="s">
        <v>2145</v>
      </c>
      <c r="C2046" s="10" t="s">
        <v>33</v>
      </c>
      <c r="D2046" s="10" t="s">
        <v>85</v>
      </c>
      <c r="E2046" s="16"/>
      <c r="F2046" s="16" t="s">
        <v>382</v>
      </c>
      <c r="G2046" s="13">
        <f>IFERROR(__xludf.DUMMYFUNCTION("if(counta(filter('Previous Rank'!$A$2:$A2766,'Previous Rank'!$B$2:$B2766=B2046,'Previous Rank'!$C$2:$C2766=C2046))=1,filter('Previous Rank'!$A$2:$A2766,'Previous Rank'!$B$2:$B2766=B2046,'Previous Rank'!$C$2:$C2766=C2046),"""")"),2043.0)</f>
        <v>2043</v>
      </c>
      <c r="H2046" s="8">
        <f t="shared" si="1"/>
        <v>-2</v>
      </c>
    </row>
    <row r="2047">
      <c r="A2047" s="10">
        <v>2046.0</v>
      </c>
      <c r="B2047" s="11" t="s">
        <v>2146</v>
      </c>
      <c r="C2047" s="10" t="s">
        <v>33</v>
      </c>
      <c r="D2047" s="10" t="s">
        <v>31</v>
      </c>
      <c r="E2047" s="15"/>
      <c r="F2047" s="15" t="s">
        <v>382</v>
      </c>
      <c r="G2047" s="13">
        <f>IFERROR(__xludf.DUMMYFUNCTION("if(counta(filter('Previous Rank'!$A$2:$A2766,'Previous Rank'!$B$2:$B2766=B2047,'Previous Rank'!$C$2:$C2766=C2047))=1,filter('Previous Rank'!$A$2:$A2766,'Previous Rank'!$B$2:$B2766=B2047,'Previous Rank'!$C$2:$C2766=C2047),"""")"),2044.0)</f>
        <v>2044</v>
      </c>
      <c r="H2047" s="8">
        <f t="shared" si="1"/>
        <v>-2</v>
      </c>
    </row>
    <row r="2048">
      <c r="A2048" s="10">
        <v>2047.0</v>
      </c>
      <c r="B2048" s="11" t="s">
        <v>2147</v>
      </c>
      <c r="C2048" s="10" t="s">
        <v>17</v>
      </c>
      <c r="D2048" s="10" t="s">
        <v>25</v>
      </c>
      <c r="E2048" s="16"/>
      <c r="F2048" s="16" t="s">
        <v>382</v>
      </c>
      <c r="G2048" s="13">
        <f>IFERROR(__xludf.DUMMYFUNCTION("if(counta(filter('Previous Rank'!$A$2:$A2766,'Previous Rank'!$B$2:$B2766=B2048,'Previous Rank'!$C$2:$C2766=C2048))=1,filter('Previous Rank'!$A$2:$A2766,'Previous Rank'!$B$2:$B2766=B2048,'Previous Rank'!$C$2:$C2766=C2048),"""")"),2045.0)</f>
        <v>2045</v>
      </c>
      <c r="H2048" s="8">
        <f t="shared" si="1"/>
        <v>-2</v>
      </c>
    </row>
    <row r="2049">
      <c r="A2049" s="10">
        <v>2048.0</v>
      </c>
      <c r="B2049" s="11" t="s">
        <v>2148</v>
      </c>
      <c r="C2049" s="10" t="s">
        <v>33</v>
      </c>
      <c r="D2049" s="10" t="s">
        <v>120</v>
      </c>
      <c r="E2049" s="15"/>
      <c r="F2049" s="15" t="s">
        <v>382</v>
      </c>
      <c r="G2049" s="13">
        <f>IFERROR(__xludf.DUMMYFUNCTION("if(counta(filter('Previous Rank'!$A$2:$A2766,'Previous Rank'!$B$2:$B2766=B2049,'Previous Rank'!$C$2:$C2766=C2049))=1,filter('Previous Rank'!$A$2:$A2766,'Previous Rank'!$B$2:$B2766=B2049,'Previous Rank'!$C$2:$C2766=C2049),"""")"),2046.0)</f>
        <v>2046</v>
      </c>
      <c r="H2049" s="8">
        <f t="shared" si="1"/>
        <v>-2</v>
      </c>
    </row>
    <row r="2050">
      <c r="A2050" s="10">
        <v>2049.0</v>
      </c>
      <c r="B2050" s="11" t="s">
        <v>2149</v>
      </c>
      <c r="C2050" s="10" t="s">
        <v>77</v>
      </c>
      <c r="D2050" s="10" t="s">
        <v>90</v>
      </c>
      <c r="E2050" s="16"/>
      <c r="F2050" s="16" t="s">
        <v>382</v>
      </c>
      <c r="G2050" s="13">
        <f>IFERROR(__xludf.DUMMYFUNCTION("if(counta(filter('Previous Rank'!$A$2:$A2766,'Previous Rank'!$B$2:$B2766=B2050,'Previous Rank'!$C$2:$C2766=C2050))=1,filter('Previous Rank'!$A$2:$A2766,'Previous Rank'!$B$2:$B2766=B2050,'Previous Rank'!$C$2:$C2766=C2050),"""")"),2047.0)</f>
        <v>2047</v>
      </c>
      <c r="H2050" s="8">
        <f t="shared" si="1"/>
        <v>-2</v>
      </c>
    </row>
    <row r="2051">
      <c r="A2051" s="10">
        <v>2050.0</v>
      </c>
      <c r="B2051" s="11" t="s">
        <v>2150</v>
      </c>
      <c r="C2051" s="10" t="s">
        <v>77</v>
      </c>
      <c r="D2051" s="10" t="s">
        <v>85</v>
      </c>
      <c r="E2051" s="15"/>
      <c r="F2051" s="15" t="s">
        <v>382</v>
      </c>
      <c r="G2051" s="13">
        <f>IFERROR(__xludf.DUMMYFUNCTION("if(counta(filter('Previous Rank'!$A$2:$A2766,'Previous Rank'!$B$2:$B2766=B2051,'Previous Rank'!$C$2:$C2766=C2051))=1,filter('Previous Rank'!$A$2:$A2766,'Previous Rank'!$B$2:$B2766=B2051,'Previous Rank'!$C$2:$C2766=C2051),"""")"),2048.0)</f>
        <v>2048</v>
      </c>
      <c r="H2051" s="8">
        <f t="shared" si="1"/>
        <v>-2</v>
      </c>
    </row>
    <row r="2052">
      <c r="A2052" s="10">
        <v>2051.0</v>
      </c>
      <c r="B2052" s="11" t="s">
        <v>2151</v>
      </c>
      <c r="C2052" s="10" t="s">
        <v>20</v>
      </c>
      <c r="D2052" s="10" t="s">
        <v>25</v>
      </c>
      <c r="E2052" s="16"/>
      <c r="F2052" s="16" t="s">
        <v>382</v>
      </c>
      <c r="G2052" s="13">
        <f>IFERROR(__xludf.DUMMYFUNCTION("if(counta(filter('Previous Rank'!$A$2:$A2766,'Previous Rank'!$B$2:$B2766=B2052,'Previous Rank'!$C$2:$C2766=C2052))=1,filter('Previous Rank'!$A$2:$A2766,'Previous Rank'!$B$2:$B2766=B2052,'Previous Rank'!$C$2:$C2766=C2052),"""")"),2049.0)</f>
        <v>2049</v>
      </c>
      <c r="H2052" s="8">
        <f t="shared" si="1"/>
        <v>-2</v>
      </c>
    </row>
    <row r="2053">
      <c r="A2053" s="10">
        <v>2052.0</v>
      </c>
      <c r="B2053" s="11" t="s">
        <v>2152</v>
      </c>
      <c r="C2053" s="10" t="s">
        <v>8</v>
      </c>
      <c r="D2053" s="10" t="s">
        <v>27</v>
      </c>
      <c r="E2053" s="15"/>
      <c r="F2053" s="15" t="s">
        <v>382</v>
      </c>
      <c r="G2053" s="13">
        <f>IFERROR(__xludf.DUMMYFUNCTION("if(counta(filter('Previous Rank'!$A$2:$A2766,'Previous Rank'!$B$2:$B2766=B2053,'Previous Rank'!$C$2:$C2766=C2053))=1,filter('Previous Rank'!$A$2:$A2766,'Previous Rank'!$B$2:$B2766=B2053,'Previous Rank'!$C$2:$C2766=C2053),"""")"),2050.0)</f>
        <v>2050</v>
      </c>
      <c r="H2053" s="8">
        <f t="shared" si="1"/>
        <v>-2</v>
      </c>
    </row>
    <row r="2054">
      <c r="A2054" s="10">
        <v>2053.0</v>
      </c>
      <c r="B2054" s="11" t="s">
        <v>2153</v>
      </c>
      <c r="C2054" s="10" t="s">
        <v>77</v>
      </c>
      <c r="D2054" s="10" t="s">
        <v>82</v>
      </c>
      <c r="E2054" s="16"/>
      <c r="F2054" s="16" t="s">
        <v>382</v>
      </c>
      <c r="G2054" s="13">
        <f>IFERROR(__xludf.DUMMYFUNCTION("if(counta(filter('Previous Rank'!$A$2:$A2766,'Previous Rank'!$B$2:$B2766=B2054,'Previous Rank'!$C$2:$C2766=C2054))=1,filter('Previous Rank'!$A$2:$A2766,'Previous Rank'!$B$2:$B2766=B2054,'Previous Rank'!$C$2:$C2766=C2054),"""")"),2051.0)</f>
        <v>2051</v>
      </c>
      <c r="H2054" s="8">
        <f t="shared" si="1"/>
        <v>-2</v>
      </c>
    </row>
    <row r="2055">
      <c r="A2055" s="10">
        <v>2054.0</v>
      </c>
      <c r="B2055" s="11" t="s">
        <v>2154</v>
      </c>
      <c r="C2055" s="10" t="s">
        <v>77</v>
      </c>
      <c r="D2055" s="10" t="s">
        <v>15</v>
      </c>
      <c r="E2055" s="15"/>
      <c r="F2055" s="15" t="s">
        <v>382</v>
      </c>
      <c r="G2055" s="13">
        <f>IFERROR(__xludf.DUMMYFUNCTION("if(counta(filter('Previous Rank'!$A$2:$A2766,'Previous Rank'!$B$2:$B2766=B2055,'Previous Rank'!$C$2:$C2766=C2055))=1,filter('Previous Rank'!$A$2:$A2766,'Previous Rank'!$B$2:$B2766=B2055,'Previous Rank'!$C$2:$C2766=C2055),"""")"),2052.0)</f>
        <v>2052</v>
      </c>
      <c r="H2055" s="8">
        <f t="shared" si="1"/>
        <v>-2</v>
      </c>
    </row>
    <row r="2056">
      <c r="A2056" s="10">
        <v>2055.0</v>
      </c>
      <c r="B2056" s="11" t="s">
        <v>2155</v>
      </c>
      <c r="C2056" s="10" t="s">
        <v>77</v>
      </c>
      <c r="D2056" s="10" t="s">
        <v>140</v>
      </c>
      <c r="E2056" s="16"/>
      <c r="F2056" s="16" t="s">
        <v>382</v>
      </c>
      <c r="G2056" s="13">
        <f>IFERROR(__xludf.DUMMYFUNCTION("if(counta(filter('Previous Rank'!$A$2:$A2766,'Previous Rank'!$B$2:$B2766=B2056,'Previous Rank'!$C$2:$C2766=C2056))=1,filter('Previous Rank'!$A$2:$A2766,'Previous Rank'!$B$2:$B2766=B2056,'Previous Rank'!$C$2:$C2766=C2056),"""")"),2053.0)</f>
        <v>2053</v>
      </c>
      <c r="H2056" s="8">
        <f t="shared" si="1"/>
        <v>-2</v>
      </c>
    </row>
    <row r="2057">
      <c r="A2057" s="10">
        <v>2056.0</v>
      </c>
      <c r="B2057" s="11" t="s">
        <v>2156</v>
      </c>
      <c r="C2057" s="10" t="s">
        <v>20</v>
      </c>
      <c r="D2057" s="10" t="s">
        <v>34</v>
      </c>
      <c r="E2057" s="15"/>
      <c r="F2057" s="15" t="s">
        <v>382</v>
      </c>
      <c r="G2057" s="13">
        <f>IFERROR(__xludf.DUMMYFUNCTION("if(counta(filter('Previous Rank'!$A$2:$A2766,'Previous Rank'!$B$2:$B2766=B2057,'Previous Rank'!$C$2:$C2766=C2057))=1,filter('Previous Rank'!$A$2:$A2766,'Previous Rank'!$B$2:$B2766=B2057,'Previous Rank'!$C$2:$C2766=C2057),"""")"),2054.0)</f>
        <v>2054</v>
      </c>
      <c r="H2057" s="8">
        <f t="shared" si="1"/>
        <v>-2</v>
      </c>
    </row>
    <row r="2058">
      <c r="A2058" s="10">
        <v>2057.0</v>
      </c>
      <c r="B2058" s="11" t="s">
        <v>2157</v>
      </c>
      <c r="C2058" s="10" t="s">
        <v>39</v>
      </c>
      <c r="D2058" s="10" t="s">
        <v>34</v>
      </c>
      <c r="E2058" s="16"/>
      <c r="F2058" s="16" t="s">
        <v>382</v>
      </c>
      <c r="G2058" s="13">
        <f>IFERROR(__xludf.DUMMYFUNCTION("if(counta(filter('Previous Rank'!$A$2:$A2766,'Previous Rank'!$B$2:$B2766=B2058,'Previous Rank'!$C$2:$C2766=C2058))=1,filter('Previous Rank'!$A$2:$A2766,'Previous Rank'!$B$2:$B2766=B2058,'Previous Rank'!$C$2:$C2766=C2058),"""")"),2055.0)</f>
        <v>2055</v>
      </c>
      <c r="H2058" s="8">
        <f t="shared" si="1"/>
        <v>-2</v>
      </c>
    </row>
    <row r="2059">
      <c r="A2059" s="10">
        <v>2058.0</v>
      </c>
      <c r="B2059" s="11" t="s">
        <v>2158</v>
      </c>
      <c r="C2059" s="10" t="s">
        <v>8</v>
      </c>
      <c r="D2059" s="10" t="s">
        <v>49</v>
      </c>
      <c r="E2059" s="15"/>
      <c r="F2059" s="15" t="s">
        <v>382</v>
      </c>
      <c r="G2059" s="13">
        <f>IFERROR(__xludf.DUMMYFUNCTION("if(counta(filter('Previous Rank'!$A$2:$A2766,'Previous Rank'!$B$2:$B2766=B2059,'Previous Rank'!$C$2:$C2766=C2059))=1,filter('Previous Rank'!$A$2:$A2766,'Previous Rank'!$B$2:$B2766=B2059,'Previous Rank'!$C$2:$C2766=C2059),"""")"),2056.0)</f>
        <v>2056</v>
      </c>
      <c r="H2059" s="8">
        <f t="shared" si="1"/>
        <v>-2</v>
      </c>
    </row>
    <row r="2060">
      <c r="A2060" s="10">
        <v>2059.0</v>
      </c>
      <c r="B2060" s="11" t="s">
        <v>2159</v>
      </c>
      <c r="C2060" s="10" t="s">
        <v>8</v>
      </c>
      <c r="D2060" s="10" t="s">
        <v>71</v>
      </c>
      <c r="E2060" s="16"/>
      <c r="F2060" s="16" t="s">
        <v>382</v>
      </c>
      <c r="G2060" s="13">
        <f>IFERROR(__xludf.DUMMYFUNCTION("if(counta(filter('Previous Rank'!$A$2:$A2766,'Previous Rank'!$B$2:$B2766=B2060,'Previous Rank'!$C$2:$C2766=C2060))=1,filter('Previous Rank'!$A$2:$A2766,'Previous Rank'!$B$2:$B2766=B2060,'Previous Rank'!$C$2:$C2766=C2060),"""")"),2057.0)</f>
        <v>2057</v>
      </c>
      <c r="H2060" s="8">
        <f t="shared" si="1"/>
        <v>-2</v>
      </c>
    </row>
    <row r="2061">
      <c r="A2061" s="10">
        <v>2060.0</v>
      </c>
      <c r="B2061" s="11" t="s">
        <v>2160</v>
      </c>
      <c r="C2061" s="10" t="s">
        <v>17</v>
      </c>
      <c r="D2061" s="10" t="s">
        <v>25</v>
      </c>
      <c r="E2061" s="15"/>
      <c r="F2061" s="15" t="s">
        <v>382</v>
      </c>
      <c r="G2061" s="13">
        <f>IFERROR(__xludf.DUMMYFUNCTION("if(counta(filter('Previous Rank'!$A$2:$A2766,'Previous Rank'!$B$2:$B2766=B2061,'Previous Rank'!$C$2:$C2766=C2061))=1,filter('Previous Rank'!$A$2:$A2766,'Previous Rank'!$B$2:$B2766=B2061,'Previous Rank'!$C$2:$C2766=C2061),"""")"),2058.0)</f>
        <v>2058</v>
      </c>
      <c r="H2061" s="8">
        <f t="shared" si="1"/>
        <v>-2</v>
      </c>
    </row>
    <row r="2062">
      <c r="A2062" s="10">
        <v>2061.0</v>
      </c>
      <c r="B2062" s="11" t="s">
        <v>2161</v>
      </c>
      <c r="C2062" s="10" t="s">
        <v>33</v>
      </c>
      <c r="D2062" s="10" t="s">
        <v>122</v>
      </c>
      <c r="E2062" s="16"/>
      <c r="F2062" s="16" t="s">
        <v>382</v>
      </c>
      <c r="G2062" s="13">
        <f>IFERROR(__xludf.DUMMYFUNCTION("if(counta(filter('Previous Rank'!$A$2:$A2766,'Previous Rank'!$B$2:$B2766=B2062,'Previous Rank'!$C$2:$C2766=C2062))=1,filter('Previous Rank'!$A$2:$A2766,'Previous Rank'!$B$2:$B2766=B2062,'Previous Rank'!$C$2:$C2766=C2062),"""")"),2059.0)</f>
        <v>2059</v>
      </c>
      <c r="H2062" s="8">
        <f t="shared" si="1"/>
        <v>-2</v>
      </c>
    </row>
    <row r="2063">
      <c r="A2063" s="10">
        <v>2062.0</v>
      </c>
      <c r="B2063" s="11" t="s">
        <v>2162</v>
      </c>
      <c r="C2063" s="10" t="s">
        <v>77</v>
      </c>
      <c r="D2063" s="10" t="s">
        <v>12</v>
      </c>
      <c r="E2063" s="15"/>
      <c r="F2063" s="15" t="s">
        <v>382</v>
      </c>
      <c r="G2063" s="13">
        <f>IFERROR(__xludf.DUMMYFUNCTION("if(counta(filter('Previous Rank'!$A$2:$A2766,'Previous Rank'!$B$2:$B2766=B2063,'Previous Rank'!$C$2:$C2766=C2063))=1,filter('Previous Rank'!$A$2:$A2766,'Previous Rank'!$B$2:$B2766=B2063,'Previous Rank'!$C$2:$C2766=C2063),"""")"),2060.0)</f>
        <v>2060</v>
      </c>
      <c r="H2063" s="8">
        <f t="shared" si="1"/>
        <v>-2</v>
      </c>
    </row>
    <row r="2064">
      <c r="A2064" s="10">
        <v>2063.0</v>
      </c>
      <c r="B2064" s="11" t="s">
        <v>2163</v>
      </c>
      <c r="C2064" s="10" t="s">
        <v>55</v>
      </c>
      <c r="D2064" s="10" t="s">
        <v>67</v>
      </c>
      <c r="E2064" s="16"/>
      <c r="F2064" s="16" t="s">
        <v>382</v>
      </c>
      <c r="G2064" s="13">
        <f>IFERROR(__xludf.DUMMYFUNCTION("if(counta(filter('Previous Rank'!$A$2:$A2766,'Previous Rank'!$B$2:$B2766=B2064,'Previous Rank'!$C$2:$C2766=C2064))=1,filter('Previous Rank'!$A$2:$A2766,'Previous Rank'!$B$2:$B2766=B2064,'Previous Rank'!$C$2:$C2766=C2064),"""")"),2061.0)</f>
        <v>2061</v>
      </c>
      <c r="H2064" s="8">
        <f t="shared" si="1"/>
        <v>-2</v>
      </c>
    </row>
    <row r="2065">
      <c r="A2065" s="10">
        <v>2064.0</v>
      </c>
      <c r="B2065" s="11" t="s">
        <v>2164</v>
      </c>
      <c r="C2065" s="10" t="s">
        <v>17</v>
      </c>
      <c r="D2065" s="10" t="s">
        <v>18</v>
      </c>
      <c r="E2065" s="15"/>
      <c r="F2065" s="15" t="s">
        <v>382</v>
      </c>
      <c r="G2065" s="13">
        <f>IFERROR(__xludf.DUMMYFUNCTION("if(counta(filter('Previous Rank'!$A$2:$A2766,'Previous Rank'!$B$2:$B2766=B2065,'Previous Rank'!$C$2:$C2766=C2065))=1,filter('Previous Rank'!$A$2:$A2766,'Previous Rank'!$B$2:$B2766=B2065,'Previous Rank'!$C$2:$C2766=C2065),"""")"),2062.0)</f>
        <v>2062</v>
      </c>
      <c r="H2065" s="8">
        <f t="shared" si="1"/>
        <v>-2</v>
      </c>
    </row>
    <row r="2066">
      <c r="A2066" s="10">
        <v>2065.0</v>
      </c>
      <c r="B2066" s="11" t="s">
        <v>2165</v>
      </c>
      <c r="C2066" s="10" t="s">
        <v>14</v>
      </c>
      <c r="D2066" s="10" t="s">
        <v>42</v>
      </c>
      <c r="E2066" s="16"/>
      <c r="F2066" s="16" t="s">
        <v>382</v>
      </c>
      <c r="G2066" s="13">
        <f>IFERROR(__xludf.DUMMYFUNCTION("if(counta(filter('Previous Rank'!$A$2:$A2766,'Previous Rank'!$B$2:$B2766=B2066,'Previous Rank'!$C$2:$C2766=C2066))=1,filter('Previous Rank'!$A$2:$A2766,'Previous Rank'!$B$2:$B2766=B2066,'Previous Rank'!$C$2:$C2766=C2066),"""")"),2063.0)</f>
        <v>2063</v>
      </c>
      <c r="H2066" s="8">
        <f t="shared" si="1"/>
        <v>-2</v>
      </c>
    </row>
    <row r="2067">
      <c r="A2067" s="10">
        <v>2066.0</v>
      </c>
      <c r="B2067" s="11" t="s">
        <v>2166</v>
      </c>
      <c r="C2067" s="10" t="s">
        <v>14</v>
      </c>
      <c r="D2067" s="10" t="s">
        <v>36</v>
      </c>
      <c r="E2067" s="15"/>
      <c r="F2067" s="15" t="s">
        <v>382</v>
      </c>
      <c r="G2067" s="13">
        <f>IFERROR(__xludf.DUMMYFUNCTION("if(counta(filter('Previous Rank'!$A$2:$A2766,'Previous Rank'!$B$2:$B2766=B2067,'Previous Rank'!$C$2:$C2766=C2067))=1,filter('Previous Rank'!$A$2:$A2766,'Previous Rank'!$B$2:$B2766=B2067,'Previous Rank'!$C$2:$C2766=C2067),"""")"),2064.0)</f>
        <v>2064</v>
      </c>
      <c r="H2067" s="8">
        <f t="shared" si="1"/>
        <v>-2</v>
      </c>
    </row>
    <row r="2068">
      <c r="A2068" s="10">
        <v>2067.0</v>
      </c>
      <c r="B2068" s="11" t="s">
        <v>2167</v>
      </c>
      <c r="C2068" s="10" t="s">
        <v>39</v>
      </c>
      <c r="D2068" s="10" t="s">
        <v>27</v>
      </c>
      <c r="E2068" s="16"/>
      <c r="F2068" s="16" t="s">
        <v>382</v>
      </c>
      <c r="G2068" s="13">
        <f>IFERROR(__xludf.DUMMYFUNCTION("if(counta(filter('Previous Rank'!$A$2:$A2766,'Previous Rank'!$B$2:$B2766=B2068,'Previous Rank'!$C$2:$C2766=C2068))=1,filter('Previous Rank'!$A$2:$A2766,'Previous Rank'!$B$2:$B2766=B2068,'Previous Rank'!$C$2:$C2766=C2068),"""")"),2065.0)</f>
        <v>2065</v>
      </c>
      <c r="H2068" s="8">
        <f t="shared" si="1"/>
        <v>-2</v>
      </c>
    </row>
    <row r="2069">
      <c r="A2069" s="10">
        <v>2068.0</v>
      </c>
      <c r="B2069" s="11" t="s">
        <v>2168</v>
      </c>
      <c r="C2069" s="10" t="s">
        <v>346</v>
      </c>
      <c r="D2069" s="10" t="s">
        <v>36</v>
      </c>
      <c r="E2069" s="15"/>
      <c r="F2069" s="15" t="s">
        <v>382</v>
      </c>
      <c r="G2069" s="13">
        <f>IFERROR(__xludf.DUMMYFUNCTION("if(counta(filter('Previous Rank'!$A$2:$A2766,'Previous Rank'!$B$2:$B2766=B2069,'Previous Rank'!$C$2:$C2766=C2069))=1,filter('Previous Rank'!$A$2:$A2766,'Previous Rank'!$B$2:$B2766=B2069,'Previous Rank'!$C$2:$C2766=C2069),"""")"),2066.0)</f>
        <v>2066</v>
      </c>
      <c r="H2069" s="8">
        <f t="shared" si="1"/>
        <v>-2</v>
      </c>
    </row>
    <row r="2070">
      <c r="A2070" s="10">
        <v>2069.0</v>
      </c>
      <c r="B2070" s="11" t="s">
        <v>2169</v>
      </c>
      <c r="C2070" s="10" t="s">
        <v>39</v>
      </c>
      <c r="D2070" s="10" t="s">
        <v>34</v>
      </c>
      <c r="E2070" s="16"/>
      <c r="F2070" s="16" t="s">
        <v>382</v>
      </c>
      <c r="G2070" s="13">
        <f>IFERROR(__xludf.DUMMYFUNCTION("if(counta(filter('Previous Rank'!$A$2:$A2766,'Previous Rank'!$B$2:$B2766=B2070,'Previous Rank'!$C$2:$C2766=C2070))=1,filter('Previous Rank'!$A$2:$A2766,'Previous Rank'!$B$2:$B2766=B2070,'Previous Rank'!$C$2:$C2766=C2070),"""")"),2067.0)</f>
        <v>2067</v>
      </c>
      <c r="H2070" s="8">
        <f t="shared" si="1"/>
        <v>-2</v>
      </c>
    </row>
    <row r="2071">
      <c r="A2071" s="10">
        <v>2070.0</v>
      </c>
      <c r="B2071" s="11" t="s">
        <v>2170</v>
      </c>
      <c r="C2071" s="10" t="s">
        <v>20</v>
      </c>
      <c r="D2071" s="10" t="s">
        <v>15</v>
      </c>
      <c r="E2071" s="15"/>
      <c r="F2071" s="15" t="s">
        <v>382</v>
      </c>
      <c r="G2071" s="13">
        <f>IFERROR(__xludf.DUMMYFUNCTION("if(counta(filter('Previous Rank'!$A$2:$A2766,'Previous Rank'!$B$2:$B2766=B2071,'Previous Rank'!$C$2:$C2766=C2071))=1,filter('Previous Rank'!$A$2:$A2766,'Previous Rank'!$B$2:$B2766=B2071,'Previous Rank'!$C$2:$C2766=C2071),"""")"),2068.0)</f>
        <v>2068</v>
      </c>
      <c r="H2071" s="8">
        <f t="shared" si="1"/>
        <v>-2</v>
      </c>
    </row>
    <row r="2072">
      <c r="A2072" s="10">
        <v>2071.0</v>
      </c>
      <c r="B2072" s="11" t="s">
        <v>2171</v>
      </c>
      <c r="C2072" s="10" t="s">
        <v>14</v>
      </c>
      <c r="D2072" s="10" t="s">
        <v>113</v>
      </c>
      <c r="E2072" s="16"/>
      <c r="F2072" s="16" t="s">
        <v>382</v>
      </c>
      <c r="G2072" s="13">
        <f>IFERROR(__xludf.DUMMYFUNCTION("if(counta(filter('Previous Rank'!$A$2:$A2766,'Previous Rank'!$B$2:$B2766=B2072,'Previous Rank'!$C$2:$C2766=C2072))=1,filter('Previous Rank'!$A$2:$A2766,'Previous Rank'!$B$2:$B2766=B2072,'Previous Rank'!$C$2:$C2766=C2072),"""")"),2069.0)</f>
        <v>2069</v>
      </c>
      <c r="H2072" s="8">
        <f t="shared" si="1"/>
        <v>-2</v>
      </c>
    </row>
    <row r="2073">
      <c r="A2073" s="10">
        <v>2072.0</v>
      </c>
      <c r="B2073" s="11" t="s">
        <v>2172</v>
      </c>
      <c r="C2073" s="10" t="s">
        <v>77</v>
      </c>
      <c r="D2073" s="10" t="s">
        <v>137</v>
      </c>
      <c r="E2073" s="15"/>
      <c r="F2073" s="15" t="s">
        <v>382</v>
      </c>
      <c r="G2073" s="13">
        <f>IFERROR(__xludf.DUMMYFUNCTION("if(counta(filter('Previous Rank'!$A$2:$A2766,'Previous Rank'!$B$2:$B2766=B2073,'Previous Rank'!$C$2:$C2766=C2073))=1,filter('Previous Rank'!$A$2:$A2766,'Previous Rank'!$B$2:$B2766=B2073,'Previous Rank'!$C$2:$C2766=C2073),"""")"),2070.0)</f>
        <v>2070</v>
      </c>
      <c r="H2073" s="8">
        <f t="shared" si="1"/>
        <v>-2</v>
      </c>
    </row>
    <row r="2074">
      <c r="A2074" s="10">
        <v>2073.0</v>
      </c>
      <c r="B2074" s="11" t="s">
        <v>2173</v>
      </c>
      <c r="C2074" s="10" t="s">
        <v>14</v>
      </c>
      <c r="D2074" s="10" t="s">
        <v>140</v>
      </c>
      <c r="E2074" s="16"/>
      <c r="F2074" s="16" t="s">
        <v>382</v>
      </c>
      <c r="G2074" s="13">
        <f>IFERROR(__xludf.DUMMYFUNCTION("if(counta(filter('Previous Rank'!$A$2:$A2766,'Previous Rank'!$B$2:$B2766=B2074,'Previous Rank'!$C$2:$C2766=C2074))=1,filter('Previous Rank'!$A$2:$A2766,'Previous Rank'!$B$2:$B2766=B2074,'Previous Rank'!$C$2:$C2766=C2074),"""")"),2071.0)</f>
        <v>2071</v>
      </c>
      <c r="H2074" s="8">
        <f t="shared" si="1"/>
        <v>-2</v>
      </c>
    </row>
    <row r="2075">
      <c r="A2075" s="10">
        <v>2074.0</v>
      </c>
      <c r="B2075" s="11" t="s">
        <v>2174</v>
      </c>
      <c r="C2075" s="10" t="s">
        <v>14</v>
      </c>
      <c r="D2075" s="10" t="s">
        <v>99</v>
      </c>
      <c r="E2075" s="15"/>
      <c r="F2075" s="15" t="s">
        <v>382</v>
      </c>
      <c r="G2075" s="13">
        <f>IFERROR(__xludf.DUMMYFUNCTION("if(counta(filter('Previous Rank'!$A$2:$A2766,'Previous Rank'!$B$2:$B2766=B2075,'Previous Rank'!$C$2:$C2766=C2075))=1,filter('Previous Rank'!$A$2:$A2766,'Previous Rank'!$B$2:$B2766=B2075,'Previous Rank'!$C$2:$C2766=C2075),"""")"),2072.0)</f>
        <v>2072</v>
      </c>
      <c r="H2075" s="8">
        <f t="shared" si="1"/>
        <v>-2</v>
      </c>
    </row>
    <row r="2076">
      <c r="A2076" s="10">
        <v>2075.0</v>
      </c>
      <c r="B2076" s="11" t="s">
        <v>2175</v>
      </c>
      <c r="C2076" s="10" t="s">
        <v>14</v>
      </c>
      <c r="D2076" s="10" t="s">
        <v>85</v>
      </c>
      <c r="E2076" s="16"/>
      <c r="F2076" s="16" t="s">
        <v>382</v>
      </c>
      <c r="G2076" s="13">
        <f>IFERROR(__xludf.DUMMYFUNCTION("if(counta(filter('Previous Rank'!$A$2:$A2766,'Previous Rank'!$B$2:$B2766=B2076,'Previous Rank'!$C$2:$C2766=C2076))=1,filter('Previous Rank'!$A$2:$A2766,'Previous Rank'!$B$2:$B2766=B2076,'Previous Rank'!$C$2:$C2766=C2076),"""")"),2073.0)</f>
        <v>2073</v>
      </c>
      <c r="H2076" s="8">
        <f t="shared" si="1"/>
        <v>-2</v>
      </c>
    </row>
    <row r="2077">
      <c r="A2077" s="10">
        <v>2076.0</v>
      </c>
      <c r="B2077" s="11" t="s">
        <v>2176</v>
      </c>
      <c r="C2077" s="10" t="s">
        <v>8</v>
      </c>
      <c r="D2077" s="10" t="s">
        <v>129</v>
      </c>
      <c r="E2077" s="15"/>
      <c r="F2077" s="15" t="s">
        <v>382</v>
      </c>
      <c r="G2077" s="13">
        <f>IFERROR(__xludf.DUMMYFUNCTION("if(counta(filter('Previous Rank'!$A$2:$A2766,'Previous Rank'!$B$2:$B2766=B2077,'Previous Rank'!$C$2:$C2766=C2077))=1,filter('Previous Rank'!$A$2:$A2766,'Previous Rank'!$B$2:$B2766=B2077,'Previous Rank'!$C$2:$C2766=C2077),"""")"),2074.0)</f>
        <v>2074</v>
      </c>
      <c r="H2077" s="8">
        <f t="shared" si="1"/>
        <v>-2</v>
      </c>
    </row>
    <row r="2078">
      <c r="A2078" s="10">
        <v>2077.0</v>
      </c>
      <c r="B2078" s="11" t="s">
        <v>2177</v>
      </c>
      <c r="C2078" s="10" t="s">
        <v>17</v>
      </c>
      <c r="D2078" s="10" t="s">
        <v>71</v>
      </c>
      <c r="E2078" s="16"/>
      <c r="F2078" s="16" t="s">
        <v>382</v>
      </c>
      <c r="G2078" s="13">
        <f>IFERROR(__xludf.DUMMYFUNCTION("if(counta(filter('Previous Rank'!$A$2:$A2766,'Previous Rank'!$B$2:$B2766=B2078,'Previous Rank'!$C$2:$C2766=C2078))=1,filter('Previous Rank'!$A$2:$A2766,'Previous Rank'!$B$2:$B2766=B2078,'Previous Rank'!$C$2:$C2766=C2078),"""")"),2075.0)</f>
        <v>2075</v>
      </c>
      <c r="H2078" s="8">
        <f t="shared" si="1"/>
        <v>-2</v>
      </c>
    </row>
    <row r="2079">
      <c r="A2079" s="10">
        <v>2078.0</v>
      </c>
      <c r="B2079" s="11" t="s">
        <v>2178</v>
      </c>
      <c r="C2079" s="10" t="s">
        <v>17</v>
      </c>
      <c r="D2079" s="10" t="s">
        <v>120</v>
      </c>
      <c r="E2079" s="15"/>
      <c r="F2079" s="15" t="s">
        <v>382</v>
      </c>
      <c r="G2079" s="13">
        <f>IFERROR(__xludf.DUMMYFUNCTION("if(counta(filter('Previous Rank'!$A$2:$A2766,'Previous Rank'!$B$2:$B2766=B2079,'Previous Rank'!$C$2:$C2766=C2079))=1,filter('Previous Rank'!$A$2:$A2766,'Previous Rank'!$B$2:$B2766=B2079,'Previous Rank'!$C$2:$C2766=C2079),"""")"),2076.0)</f>
        <v>2076</v>
      </c>
      <c r="H2079" s="8">
        <f t="shared" si="1"/>
        <v>-2</v>
      </c>
    </row>
    <row r="2080">
      <c r="A2080" s="10">
        <v>2079.0</v>
      </c>
      <c r="B2080" s="11" t="s">
        <v>2179</v>
      </c>
      <c r="C2080" s="10" t="s">
        <v>11</v>
      </c>
      <c r="D2080" s="10" t="s">
        <v>99</v>
      </c>
      <c r="E2080" s="16"/>
      <c r="F2080" s="16" t="s">
        <v>382</v>
      </c>
      <c r="G2080" s="13">
        <f>IFERROR(__xludf.DUMMYFUNCTION("if(counta(filter('Previous Rank'!$A$2:$A2766,'Previous Rank'!$B$2:$B2766=B2080,'Previous Rank'!$C$2:$C2766=C2080))=1,filter('Previous Rank'!$A$2:$A2766,'Previous Rank'!$B$2:$B2766=B2080,'Previous Rank'!$C$2:$C2766=C2080),"""")"),2077.0)</f>
        <v>2077</v>
      </c>
      <c r="H2080" s="8">
        <f t="shared" si="1"/>
        <v>-2</v>
      </c>
    </row>
    <row r="2081">
      <c r="A2081" s="10">
        <v>2080.0</v>
      </c>
      <c r="B2081" s="11" t="s">
        <v>2180</v>
      </c>
      <c r="C2081" s="10" t="s">
        <v>14</v>
      </c>
      <c r="D2081" s="10" t="s">
        <v>46</v>
      </c>
      <c r="E2081" s="15"/>
      <c r="F2081" s="15" t="s">
        <v>382</v>
      </c>
      <c r="G2081" s="13">
        <f>IFERROR(__xludf.DUMMYFUNCTION("if(counta(filter('Previous Rank'!$A$2:$A2766,'Previous Rank'!$B$2:$B2766=B2081,'Previous Rank'!$C$2:$C2766=C2081))=1,filter('Previous Rank'!$A$2:$A2766,'Previous Rank'!$B$2:$B2766=B2081,'Previous Rank'!$C$2:$C2766=C2081),"""")"),2078.0)</f>
        <v>2078</v>
      </c>
      <c r="H2081" s="8">
        <f t="shared" si="1"/>
        <v>-2</v>
      </c>
    </row>
    <row r="2082">
      <c r="A2082" s="10">
        <v>2081.0</v>
      </c>
      <c r="B2082" s="11" t="s">
        <v>2181</v>
      </c>
      <c r="C2082" s="10" t="s">
        <v>14</v>
      </c>
      <c r="D2082" s="10" t="s">
        <v>25</v>
      </c>
      <c r="E2082" s="16"/>
      <c r="F2082" s="16" t="s">
        <v>382</v>
      </c>
      <c r="G2082" s="13">
        <f>IFERROR(__xludf.DUMMYFUNCTION("if(counta(filter('Previous Rank'!$A$2:$A2766,'Previous Rank'!$B$2:$B2766=B2082,'Previous Rank'!$C$2:$C2766=C2082))=1,filter('Previous Rank'!$A$2:$A2766,'Previous Rank'!$B$2:$B2766=B2082,'Previous Rank'!$C$2:$C2766=C2082),"""")"),2079.0)</f>
        <v>2079</v>
      </c>
      <c r="H2082" s="8">
        <f t="shared" si="1"/>
        <v>-2</v>
      </c>
    </row>
    <row r="2083">
      <c r="A2083" s="10">
        <v>2082.0</v>
      </c>
      <c r="B2083" s="11" t="s">
        <v>2182</v>
      </c>
      <c r="C2083" s="10" t="s">
        <v>39</v>
      </c>
      <c r="D2083" s="10" t="s">
        <v>129</v>
      </c>
      <c r="E2083" s="15"/>
      <c r="F2083" s="15" t="s">
        <v>382</v>
      </c>
      <c r="G2083" s="13">
        <f>IFERROR(__xludf.DUMMYFUNCTION("if(counta(filter('Previous Rank'!$A$2:$A2766,'Previous Rank'!$B$2:$B2766=B2083,'Previous Rank'!$C$2:$C2766=C2083))=1,filter('Previous Rank'!$A$2:$A2766,'Previous Rank'!$B$2:$B2766=B2083,'Previous Rank'!$C$2:$C2766=C2083),"""")"),2080.0)</f>
        <v>2080</v>
      </c>
      <c r="H2083" s="8">
        <f t="shared" si="1"/>
        <v>-2</v>
      </c>
    </row>
    <row r="2084">
      <c r="A2084" s="10">
        <v>2083.0</v>
      </c>
      <c r="B2084" s="11" t="s">
        <v>2183</v>
      </c>
      <c r="C2084" s="10" t="s">
        <v>17</v>
      </c>
      <c r="D2084" s="10" t="s">
        <v>85</v>
      </c>
      <c r="E2084" s="16"/>
      <c r="F2084" s="16" t="s">
        <v>382</v>
      </c>
      <c r="G2084" s="13">
        <f>IFERROR(__xludf.DUMMYFUNCTION("if(counta(filter('Previous Rank'!$A$2:$A2766,'Previous Rank'!$B$2:$B2766=B2084,'Previous Rank'!$C$2:$C2766=C2084))=1,filter('Previous Rank'!$A$2:$A2766,'Previous Rank'!$B$2:$B2766=B2084,'Previous Rank'!$C$2:$C2766=C2084),"""")"),2081.0)</f>
        <v>2081</v>
      </c>
      <c r="H2084" s="8">
        <f t="shared" si="1"/>
        <v>-2</v>
      </c>
    </row>
    <row r="2085">
      <c r="A2085" s="10">
        <v>2084.0</v>
      </c>
      <c r="B2085" s="11" t="s">
        <v>2184</v>
      </c>
      <c r="C2085" s="10" t="s">
        <v>14</v>
      </c>
      <c r="D2085" s="10" t="s">
        <v>120</v>
      </c>
      <c r="E2085" s="15"/>
      <c r="F2085" s="15" t="s">
        <v>382</v>
      </c>
      <c r="G2085" s="13">
        <f>IFERROR(__xludf.DUMMYFUNCTION("if(counta(filter('Previous Rank'!$A$2:$A2766,'Previous Rank'!$B$2:$B2766=B2085,'Previous Rank'!$C$2:$C2766=C2085))=1,filter('Previous Rank'!$A$2:$A2766,'Previous Rank'!$B$2:$B2766=B2085,'Previous Rank'!$C$2:$C2766=C2085),"""")"),2082.0)</f>
        <v>2082</v>
      </c>
      <c r="H2085" s="8">
        <f t="shared" si="1"/>
        <v>-2</v>
      </c>
    </row>
    <row r="2086">
      <c r="A2086" s="10">
        <v>2085.0</v>
      </c>
      <c r="B2086" s="11" t="s">
        <v>2185</v>
      </c>
      <c r="C2086" s="10" t="s">
        <v>1857</v>
      </c>
      <c r="D2086" s="10" t="s">
        <v>25</v>
      </c>
      <c r="E2086" s="16"/>
      <c r="F2086" s="16" t="s">
        <v>382</v>
      </c>
      <c r="G2086" s="13">
        <f>IFERROR(__xludf.DUMMYFUNCTION("if(counta(filter('Previous Rank'!$A$2:$A2766,'Previous Rank'!$B$2:$B2766=B2086,'Previous Rank'!$C$2:$C2766=C2086))=1,filter('Previous Rank'!$A$2:$A2766,'Previous Rank'!$B$2:$B2766=B2086,'Previous Rank'!$C$2:$C2766=C2086),"""")"),2083.0)</f>
        <v>2083</v>
      </c>
      <c r="H2086" s="8">
        <f t="shared" si="1"/>
        <v>-2</v>
      </c>
    </row>
    <row r="2087">
      <c r="A2087" s="10">
        <v>2086.0</v>
      </c>
      <c r="B2087" s="11" t="s">
        <v>2186</v>
      </c>
      <c r="C2087" s="10" t="s">
        <v>14</v>
      </c>
      <c r="D2087" s="10" t="s">
        <v>46</v>
      </c>
      <c r="E2087" s="15"/>
      <c r="F2087" s="15" t="s">
        <v>382</v>
      </c>
      <c r="G2087" s="13">
        <f>IFERROR(__xludf.DUMMYFUNCTION("if(counta(filter('Previous Rank'!$A$2:$A2766,'Previous Rank'!$B$2:$B2766=B2087,'Previous Rank'!$C$2:$C2766=C2087))=1,filter('Previous Rank'!$A$2:$A2766,'Previous Rank'!$B$2:$B2766=B2087,'Previous Rank'!$C$2:$C2766=C2087),"""")"),2084.0)</f>
        <v>2084</v>
      </c>
      <c r="H2087" s="8">
        <f t="shared" si="1"/>
        <v>-2</v>
      </c>
    </row>
    <row r="2088">
      <c r="A2088" s="10">
        <v>2087.0</v>
      </c>
      <c r="B2088" s="11" t="s">
        <v>2187</v>
      </c>
      <c r="C2088" s="10" t="s">
        <v>14</v>
      </c>
      <c r="D2088" s="10" t="s">
        <v>90</v>
      </c>
      <c r="E2088" s="16"/>
      <c r="F2088" s="16" t="s">
        <v>382</v>
      </c>
      <c r="G2088" s="13">
        <f>IFERROR(__xludf.DUMMYFUNCTION("if(counta(filter('Previous Rank'!$A$2:$A2766,'Previous Rank'!$B$2:$B2766=B2088,'Previous Rank'!$C$2:$C2766=C2088))=1,filter('Previous Rank'!$A$2:$A2766,'Previous Rank'!$B$2:$B2766=B2088,'Previous Rank'!$C$2:$C2766=C2088),"""")"),2085.0)</f>
        <v>2085</v>
      </c>
      <c r="H2088" s="8">
        <f t="shared" si="1"/>
        <v>-2</v>
      </c>
    </row>
    <row r="2089">
      <c r="A2089" s="10">
        <v>2088.0</v>
      </c>
      <c r="B2089" s="11" t="s">
        <v>2188</v>
      </c>
      <c r="C2089" s="10" t="s">
        <v>14</v>
      </c>
      <c r="D2089" s="10" t="s">
        <v>122</v>
      </c>
      <c r="E2089" s="15"/>
      <c r="F2089" s="15" t="s">
        <v>382</v>
      </c>
      <c r="G2089" s="13">
        <f>IFERROR(__xludf.DUMMYFUNCTION("if(counta(filter('Previous Rank'!$A$2:$A2766,'Previous Rank'!$B$2:$B2766=B2089,'Previous Rank'!$C$2:$C2766=C2089))=1,filter('Previous Rank'!$A$2:$A2766,'Previous Rank'!$B$2:$B2766=B2089,'Previous Rank'!$C$2:$C2766=C2089),"""")"),2086.0)</f>
        <v>2086</v>
      </c>
      <c r="H2089" s="8">
        <f t="shared" si="1"/>
        <v>-2</v>
      </c>
    </row>
    <row r="2090">
      <c r="A2090" s="10">
        <v>2089.0</v>
      </c>
      <c r="B2090" s="11" t="s">
        <v>2189</v>
      </c>
      <c r="C2090" s="10" t="s">
        <v>17</v>
      </c>
      <c r="D2090" s="10" t="s">
        <v>122</v>
      </c>
      <c r="E2090" s="16"/>
      <c r="F2090" s="16" t="s">
        <v>382</v>
      </c>
      <c r="G2090" s="13">
        <f>IFERROR(__xludf.DUMMYFUNCTION("if(counta(filter('Previous Rank'!$A$2:$A2766,'Previous Rank'!$B$2:$B2766=B2090,'Previous Rank'!$C$2:$C2766=C2090))=1,filter('Previous Rank'!$A$2:$A2766,'Previous Rank'!$B$2:$B2766=B2090,'Previous Rank'!$C$2:$C2766=C2090),"""")"),2087.0)</f>
        <v>2087</v>
      </c>
      <c r="H2090" s="8">
        <f t="shared" si="1"/>
        <v>-2</v>
      </c>
    </row>
    <row r="2091">
      <c r="A2091" s="10">
        <v>2090.0</v>
      </c>
      <c r="B2091" s="11" t="s">
        <v>2190</v>
      </c>
      <c r="C2091" s="10" t="s">
        <v>48</v>
      </c>
      <c r="D2091" s="10" t="s">
        <v>206</v>
      </c>
      <c r="E2091" s="15"/>
      <c r="F2091" s="15" t="s">
        <v>382</v>
      </c>
      <c r="G2091" s="13">
        <f>IFERROR(__xludf.DUMMYFUNCTION("if(counta(filter('Previous Rank'!$A$2:$A2766,'Previous Rank'!$B$2:$B2766=B2091,'Previous Rank'!$C$2:$C2766=C2091))=1,filter('Previous Rank'!$A$2:$A2766,'Previous Rank'!$B$2:$B2766=B2091,'Previous Rank'!$C$2:$C2766=C2091),"""")"),2088.0)</f>
        <v>2088</v>
      </c>
      <c r="H2091" s="8">
        <f t="shared" si="1"/>
        <v>-2</v>
      </c>
    </row>
    <row r="2092">
      <c r="A2092" s="10">
        <v>2091.0</v>
      </c>
      <c r="B2092" s="11" t="s">
        <v>2191</v>
      </c>
      <c r="C2092" s="10" t="s">
        <v>39</v>
      </c>
      <c r="D2092" s="10" t="s">
        <v>25</v>
      </c>
      <c r="E2092" s="16"/>
      <c r="F2092" s="16" t="s">
        <v>382</v>
      </c>
      <c r="G2092" s="13">
        <f>IFERROR(__xludf.DUMMYFUNCTION("if(counta(filter('Previous Rank'!$A$2:$A2766,'Previous Rank'!$B$2:$B2766=B2092,'Previous Rank'!$C$2:$C2766=C2092))=1,filter('Previous Rank'!$A$2:$A2766,'Previous Rank'!$B$2:$B2766=B2092,'Previous Rank'!$C$2:$C2766=C2092),"""")"),2089.0)</f>
        <v>2089</v>
      </c>
      <c r="H2092" s="8">
        <f t="shared" si="1"/>
        <v>-2</v>
      </c>
    </row>
    <row r="2093">
      <c r="A2093" s="10">
        <v>2092.0</v>
      </c>
      <c r="B2093" s="11" t="s">
        <v>2192</v>
      </c>
      <c r="C2093" s="10" t="s">
        <v>39</v>
      </c>
      <c r="D2093" s="10" t="s">
        <v>71</v>
      </c>
      <c r="E2093" s="15"/>
      <c r="F2093" s="15" t="s">
        <v>382</v>
      </c>
      <c r="G2093" s="13">
        <f>IFERROR(__xludf.DUMMYFUNCTION("if(counta(filter('Previous Rank'!$A$2:$A2766,'Previous Rank'!$B$2:$B2766=B2093,'Previous Rank'!$C$2:$C2766=C2093))=1,filter('Previous Rank'!$A$2:$A2766,'Previous Rank'!$B$2:$B2766=B2093,'Previous Rank'!$C$2:$C2766=C2093),"""")"),2090.0)</f>
        <v>2090</v>
      </c>
      <c r="H2093" s="8">
        <f t="shared" si="1"/>
        <v>-2</v>
      </c>
    </row>
    <row r="2094">
      <c r="A2094" s="10">
        <v>2093.0</v>
      </c>
      <c r="B2094" s="11" t="s">
        <v>2193</v>
      </c>
      <c r="C2094" s="10" t="s">
        <v>11</v>
      </c>
      <c r="D2094" s="10" t="s">
        <v>206</v>
      </c>
      <c r="E2094" s="16"/>
      <c r="F2094" s="16" t="s">
        <v>382</v>
      </c>
      <c r="G2094" s="13">
        <f>IFERROR(__xludf.DUMMYFUNCTION("if(counta(filter('Previous Rank'!$A$2:$A2766,'Previous Rank'!$B$2:$B2766=B2094,'Previous Rank'!$C$2:$C2766=C2094))=1,filter('Previous Rank'!$A$2:$A2766,'Previous Rank'!$B$2:$B2766=B2094,'Previous Rank'!$C$2:$C2766=C2094),"""")"),2091.0)</f>
        <v>2091</v>
      </c>
      <c r="H2094" s="8">
        <f t="shared" si="1"/>
        <v>-2</v>
      </c>
    </row>
    <row r="2095">
      <c r="A2095" s="10">
        <v>2094.0</v>
      </c>
      <c r="B2095" s="11" t="s">
        <v>2194</v>
      </c>
      <c r="C2095" s="10" t="s">
        <v>39</v>
      </c>
      <c r="D2095" s="10" t="s">
        <v>129</v>
      </c>
      <c r="E2095" s="15"/>
      <c r="F2095" s="15" t="s">
        <v>382</v>
      </c>
      <c r="G2095" s="13">
        <f>IFERROR(__xludf.DUMMYFUNCTION("if(counta(filter('Previous Rank'!$A$2:$A2766,'Previous Rank'!$B$2:$B2766=B2095,'Previous Rank'!$C$2:$C2766=C2095))=1,filter('Previous Rank'!$A$2:$A2766,'Previous Rank'!$B$2:$B2766=B2095,'Previous Rank'!$C$2:$C2766=C2095),"""")"),2092.0)</f>
        <v>2092</v>
      </c>
      <c r="H2095" s="8">
        <f t="shared" si="1"/>
        <v>-2</v>
      </c>
    </row>
    <row r="2096">
      <c r="A2096" s="10">
        <v>2095.0</v>
      </c>
      <c r="B2096" s="11" t="s">
        <v>2195</v>
      </c>
      <c r="C2096" s="10" t="s">
        <v>77</v>
      </c>
      <c r="D2096" s="10" t="s">
        <v>23</v>
      </c>
      <c r="E2096" s="16"/>
      <c r="F2096" s="16" t="s">
        <v>382</v>
      </c>
      <c r="G2096" s="13">
        <f>IFERROR(__xludf.DUMMYFUNCTION("if(counta(filter('Previous Rank'!$A$2:$A2766,'Previous Rank'!$B$2:$B2766=B2096,'Previous Rank'!$C$2:$C2766=C2096))=1,filter('Previous Rank'!$A$2:$A2766,'Previous Rank'!$B$2:$B2766=B2096,'Previous Rank'!$C$2:$C2766=C2096),"""")"),2093.0)</f>
        <v>2093</v>
      </c>
      <c r="H2096" s="8">
        <f t="shared" si="1"/>
        <v>-2</v>
      </c>
    </row>
    <row r="2097">
      <c r="A2097" s="10">
        <v>2096.0</v>
      </c>
      <c r="B2097" s="11" t="s">
        <v>2196</v>
      </c>
      <c r="C2097" s="10" t="s">
        <v>77</v>
      </c>
      <c r="D2097" s="10" t="s">
        <v>67</v>
      </c>
      <c r="E2097" s="15"/>
      <c r="F2097" s="15" t="s">
        <v>382</v>
      </c>
      <c r="G2097" s="13">
        <f>IFERROR(__xludf.DUMMYFUNCTION("if(counta(filter('Previous Rank'!$A$2:$A2766,'Previous Rank'!$B$2:$B2766=B2097,'Previous Rank'!$C$2:$C2766=C2097))=1,filter('Previous Rank'!$A$2:$A2766,'Previous Rank'!$B$2:$B2766=B2097,'Previous Rank'!$C$2:$C2766=C2097),"""")"),2094.0)</f>
        <v>2094</v>
      </c>
      <c r="H2097" s="8">
        <f t="shared" si="1"/>
        <v>-2</v>
      </c>
    </row>
    <row r="2098">
      <c r="A2098" s="10">
        <v>2097.0</v>
      </c>
      <c r="B2098" s="11" t="s">
        <v>2197</v>
      </c>
      <c r="C2098" s="10" t="s">
        <v>20</v>
      </c>
      <c r="D2098" s="10" t="s">
        <v>99</v>
      </c>
      <c r="E2098" s="16"/>
      <c r="F2098" s="16" t="s">
        <v>382</v>
      </c>
      <c r="G2098" s="13">
        <f>IFERROR(__xludf.DUMMYFUNCTION("if(counta(filter('Previous Rank'!$A$2:$A2766,'Previous Rank'!$B$2:$B2766=B2098,'Previous Rank'!$C$2:$C2766=C2098))=1,filter('Previous Rank'!$A$2:$A2766,'Previous Rank'!$B$2:$B2766=B2098,'Previous Rank'!$C$2:$C2766=C2098),"""")"),2095.0)</f>
        <v>2095</v>
      </c>
      <c r="H2098" s="8">
        <f t="shared" si="1"/>
        <v>-2</v>
      </c>
    </row>
    <row r="2099">
      <c r="A2099" s="10">
        <v>2098.0</v>
      </c>
      <c r="B2099" s="11" t="s">
        <v>2198</v>
      </c>
      <c r="C2099" s="10" t="s">
        <v>20</v>
      </c>
      <c r="D2099" s="10" t="s">
        <v>90</v>
      </c>
      <c r="E2099" s="15"/>
      <c r="F2099" s="15" t="s">
        <v>382</v>
      </c>
      <c r="G2099" s="13">
        <f>IFERROR(__xludf.DUMMYFUNCTION("if(counta(filter('Previous Rank'!$A$2:$A2766,'Previous Rank'!$B$2:$B2766=B2099,'Previous Rank'!$C$2:$C2766=C2099))=1,filter('Previous Rank'!$A$2:$A2766,'Previous Rank'!$B$2:$B2766=B2099,'Previous Rank'!$C$2:$C2766=C2099),"""")"),2096.0)</f>
        <v>2096</v>
      </c>
      <c r="H2099" s="8">
        <f t="shared" si="1"/>
        <v>-2</v>
      </c>
    </row>
    <row r="2100">
      <c r="A2100" s="10">
        <v>2099.0</v>
      </c>
      <c r="B2100" s="11" t="s">
        <v>2199</v>
      </c>
      <c r="C2100" s="10" t="s">
        <v>11</v>
      </c>
      <c r="D2100" s="10" t="s">
        <v>113</v>
      </c>
      <c r="E2100" s="16"/>
      <c r="F2100" s="16" t="s">
        <v>382</v>
      </c>
      <c r="G2100" s="13">
        <f>IFERROR(__xludf.DUMMYFUNCTION("if(counta(filter('Previous Rank'!$A$2:$A2766,'Previous Rank'!$B$2:$B2766=B2100,'Previous Rank'!$C$2:$C2766=C2100))=1,filter('Previous Rank'!$A$2:$A2766,'Previous Rank'!$B$2:$B2766=B2100,'Previous Rank'!$C$2:$C2766=C2100),"""")"),2097.0)</f>
        <v>2097</v>
      </c>
      <c r="H2100" s="8">
        <f t="shared" si="1"/>
        <v>-2</v>
      </c>
    </row>
    <row r="2101">
      <c r="A2101" s="10">
        <v>2100.0</v>
      </c>
      <c r="B2101" s="11" t="s">
        <v>2200</v>
      </c>
      <c r="C2101" s="10" t="s">
        <v>150</v>
      </c>
      <c r="D2101" s="10" t="s">
        <v>105</v>
      </c>
      <c r="E2101" s="15"/>
      <c r="F2101" s="15" t="s">
        <v>382</v>
      </c>
      <c r="G2101" s="13">
        <f>IFERROR(__xludf.DUMMYFUNCTION("if(counta(filter('Previous Rank'!$A$2:$A2766,'Previous Rank'!$B$2:$B2766=B2101,'Previous Rank'!$C$2:$C2766=C2101))=1,filter('Previous Rank'!$A$2:$A2766,'Previous Rank'!$B$2:$B2766=B2101,'Previous Rank'!$C$2:$C2766=C2101),"""")"),2098.0)</f>
        <v>2098</v>
      </c>
      <c r="H2101" s="8">
        <f t="shared" si="1"/>
        <v>-2</v>
      </c>
    </row>
    <row r="2102">
      <c r="A2102" s="10">
        <v>2101.0</v>
      </c>
      <c r="B2102" s="11" t="s">
        <v>2201</v>
      </c>
      <c r="C2102" s="10" t="s">
        <v>77</v>
      </c>
      <c r="D2102" s="10" t="s">
        <v>137</v>
      </c>
      <c r="E2102" s="16"/>
      <c r="F2102" s="16" t="s">
        <v>382</v>
      </c>
      <c r="G2102" s="13">
        <f>IFERROR(__xludf.DUMMYFUNCTION("if(counta(filter('Previous Rank'!$A$2:$A2766,'Previous Rank'!$B$2:$B2766=B2102,'Previous Rank'!$C$2:$C2766=C2102))=1,filter('Previous Rank'!$A$2:$A2766,'Previous Rank'!$B$2:$B2766=B2102,'Previous Rank'!$C$2:$C2766=C2102),"""")"),2099.0)</f>
        <v>2099</v>
      </c>
      <c r="H2102" s="8">
        <f t="shared" si="1"/>
        <v>-2</v>
      </c>
    </row>
    <row r="2103">
      <c r="A2103" s="10">
        <v>2102.0</v>
      </c>
      <c r="B2103" s="11" t="s">
        <v>2202</v>
      </c>
      <c r="C2103" s="10" t="s">
        <v>14</v>
      </c>
      <c r="D2103" s="10" t="s">
        <v>12</v>
      </c>
      <c r="E2103" s="15"/>
      <c r="F2103" s="15" t="s">
        <v>382</v>
      </c>
      <c r="G2103" s="13">
        <f>IFERROR(__xludf.DUMMYFUNCTION("if(counta(filter('Previous Rank'!$A$2:$A2766,'Previous Rank'!$B$2:$B2766=B2103,'Previous Rank'!$C$2:$C2766=C2103))=1,filter('Previous Rank'!$A$2:$A2766,'Previous Rank'!$B$2:$B2766=B2103,'Previous Rank'!$C$2:$C2766=C2103),"""")"),2100.0)</f>
        <v>2100</v>
      </c>
      <c r="H2103" s="8">
        <f t="shared" si="1"/>
        <v>-2</v>
      </c>
    </row>
    <row r="2104">
      <c r="A2104" s="10">
        <v>2103.0</v>
      </c>
      <c r="B2104" s="11" t="s">
        <v>2203</v>
      </c>
      <c r="C2104" s="10" t="s">
        <v>14</v>
      </c>
      <c r="D2104" s="10" t="s">
        <v>85</v>
      </c>
      <c r="E2104" s="16"/>
      <c r="F2104" s="16" t="s">
        <v>382</v>
      </c>
      <c r="G2104" s="13">
        <f>IFERROR(__xludf.DUMMYFUNCTION("if(counta(filter('Previous Rank'!$A$2:$A2766,'Previous Rank'!$B$2:$B2766=B2104,'Previous Rank'!$C$2:$C2766=C2104))=1,filter('Previous Rank'!$A$2:$A2766,'Previous Rank'!$B$2:$B2766=B2104,'Previous Rank'!$C$2:$C2766=C2104),"""")"),2101.0)</f>
        <v>2101</v>
      </c>
      <c r="H2104" s="8">
        <f t="shared" si="1"/>
        <v>-2</v>
      </c>
    </row>
    <row r="2105">
      <c r="A2105" s="10">
        <v>2104.0</v>
      </c>
      <c r="B2105" s="11" t="s">
        <v>2204</v>
      </c>
      <c r="C2105" s="10" t="s">
        <v>240</v>
      </c>
      <c r="D2105" s="10" t="s">
        <v>90</v>
      </c>
      <c r="E2105" s="15"/>
      <c r="F2105" s="15" t="s">
        <v>382</v>
      </c>
      <c r="G2105" s="13">
        <f>IFERROR(__xludf.DUMMYFUNCTION("if(counta(filter('Previous Rank'!$A$2:$A2766,'Previous Rank'!$B$2:$B2766=B2105,'Previous Rank'!$C$2:$C2766=C2105))=1,filter('Previous Rank'!$A$2:$A2766,'Previous Rank'!$B$2:$B2766=B2105,'Previous Rank'!$C$2:$C2766=C2105),"""")"),2102.0)</f>
        <v>2102</v>
      </c>
      <c r="H2105" s="8">
        <f t="shared" si="1"/>
        <v>-2</v>
      </c>
    </row>
    <row r="2106">
      <c r="A2106" s="10">
        <v>2105.0</v>
      </c>
      <c r="B2106" s="11" t="s">
        <v>2205</v>
      </c>
      <c r="C2106" s="10" t="s">
        <v>39</v>
      </c>
      <c r="D2106" s="10" t="s">
        <v>18</v>
      </c>
      <c r="E2106" s="16"/>
      <c r="F2106" s="16" t="s">
        <v>382</v>
      </c>
      <c r="G2106" s="13">
        <f>IFERROR(__xludf.DUMMYFUNCTION("if(counta(filter('Previous Rank'!$A$2:$A2766,'Previous Rank'!$B$2:$B2766=B2106,'Previous Rank'!$C$2:$C2766=C2106))=1,filter('Previous Rank'!$A$2:$A2766,'Previous Rank'!$B$2:$B2766=B2106,'Previous Rank'!$C$2:$C2766=C2106),"""")"),2103.0)</f>
        <v>2103</v>
      </c>
      <c r="H2106" s="8">
        <f t="shared" si="1"/>
        <v>-2</v>
      </c>
    </row>
    <row r="2107">
      <c r="A2107" s="10">
        <v>2106.0</v>
      </c>
      <c r="B2107" s="11" t="s">
        <v>2206</v>
      </c>
      <c r="C2107" s="10" t="s">
        <v>14</v>
      </c>
      <c r="D2107" s="10" t="s">
        <v>23</v>
      </c>
      <c r="E2107" s="15"/>
      <c r="F2107" s="15" t="s">
        <v>382</v>
      </c>
      <c r="G2107" s="13">
        <f>IFERROR(__xludf.DUMMYFUNCTION("if(counta(filter('Previous Rank'!$A$2:$A2766,'Previous Rank'!$B$2:$B2766=B2107,'Previous Rank'!$C$2:$C2766=C2107))=1,filter('Previous Rank'!$A$2:$A2766,'Previous Rank'!$B$2:$B2766=B2107,'Previous Rank'!$C$2:$C2766=C2107),"""")"),2104.0)</f>
        <v>2104</v>
      </c>
      <c r="H2107" s="8">
        <f t="shared" si="1"/>
        <v>-2</v>
      </c>
    </row>
    <row r="2108">
      <c r="A2108" s="10">
        <v>2107.0</v>
      </c>
      <c r="B2108" s="11" t="s">
        <v>2207</v>
      </c>
      <c r="C2108" s="10" t="s">
        <v>14</v>
      </c>
      <c r="D2108" s="10" t="s">
        <v>95</v>
      </c>
      <c r="E2108" s="16"/>
      <c r="F2108" s="16" t="s">
        <v>382</v>
      </c>
      <c r="G2108" s="13">
        <f>IFERROR(__xludf.DUMMYFUNCTION("if(counta(filter('Previous Rank'!$A$2:$A2766,'Previous Rank'!$B$2:$B2766=B2108,'Previous Rank'!$C$2:$C2766=C2108))=1,filter('Previous Rank'!$A$2:$A2766,'Previous Rank'!$B$2:$B2766=B2108,'Previous Rank'!$C$2:$C2766=C2108),"""")"),2105.0)</f>
        <v>2105</v>
      </c>
      <c r="H2108" s="8">
        <f t="shared" si="1"/>
        <v>-2</v>
      </c>
    </row>
    <row r="2109">
      <c r="A2109" s="10">
        <v>2108.0</v>
      </c>
      <c r="B2109" s="11" t="s">
        <v>2208</v>
      </c>
      <c r="C2109" s="10" t="s">
        <v>11</v>
      </c>
      <c r="D2109" s="10" t="s">
        <v>95</v>
      </c>
      <c r="E2109" s="15"/>
      <c r="F2109" s="15" t="s">
        <v>382</v>
      </c>
      <c r="G2109" s="13">
        <f>IFERROR(__xludf.DUMMYFUNCTION("if(counta(filter('Previous Rank'!$A$2:$A2766,'Previous Rank'!$B$2:$B2766=B2109,'Previous Rank'!$C$2:$C2766=C2109))=1,filter('Previous Rank'!$A$2:$A2766,'Previous Rank'!$B$2:$B2766=B2109,'Previous Rank'!$C$2:$C2766=C2109),"""")"),2106.0)</f>
        <v>2106</v>
      </c>
      <c r="H2109" s="8">
        <f t="shared" si="1"/>
        <v>-2</v>
      </c>
    </row>
    <row r="2110">
      <c r="A2110" s="10">
        <v>2109.0</v>
      </c>
      <c r="B2110" s="11" t="s">
        <v>2209</v>
      </c>
      <c r="C2110" s="10" t="s">
        <v>14</v>
      </c>
      <c r="D2110" s="10" t="s">
        <v>12</v>
      </c>
      <c r="E2110" s="16"/>
      <c r="F2110" s="16" t="s">
        <v>382</v>
      </c>
      <c r="G2110" s="13">
        <f>IFERROR(__xludf.DUMMYFUNCTION("if(counta(filter('Previous Rank'!$A$2:$A2766,'Previous Rank'!$B$2:$B2766=B2110,'Previous Rank'!$C$2:$C2766=C2110))=1,filter('Previous Rank'!$A$2:$A2766,'Previous Rank'!$B$2:$B2766=B2110,'Previous Rank'!$C$2:$C2766=C2110),"""")"),2107.0)</f>
        <v>2107</v>
      </c>
      <c r="H2110" s="8">
        <f t="shared" si="1"/>
        <v>-2</v>
      </c>
    </row>
    <row r="2111">
      <c r="A2111" s="10">
        <v>2110.0</v>
      </c>
      <c r="B2111" s="11" t="s">
        <v>2210</v>
      </c>
      <c r="C2111" s="10" t="s">
        <v>77</v>
      </c>
      <c r="D2111" s="10" t="s">
        <v>105</v>
      </c>
      <c r="E2111" s="15"/>
      <c r="F2111" s="15" t="s">
        <v>382</v>
      </c>
      <c r="G2111" s="13">
        <f>IFERROR(__xludf.DUMMYFUNCTION("if(counta(filter('Previous Rank'!$A$2:$A2766,'Previous Rank'!$B$2:$B2766=B2111,'Previous Rank'!$C$2:$C2766=C2111))=1,filter('Previous Rank'!$A$2:$A2766,'Previous Rank'!$B$2:$B2766=B2111,'Previous Rank'!$C$2:$C2766=C2111),"""")"),2108.0)</f>
        <v>2108</v>
      </c>
      <c r="H2111" s="8">
        <f t="shared" si="1"/>
        <v>-2</v>
      </c>
    </row>
    <row r="2112">
      <c r="A2112" s="10">
        <v>2111.0</v>
      </c>
      <c r="B2112" s="11" t="s">
        <v>2211</v>
      </c>
      <c r="C2112" s="10" t="s">
        <v>14</v>
      </c>
      <c r="D2112" s="10" t="s">
        <v>18</v>
      </c>
      <c r="E2112" s="16"/>
      <c r="F2112" s="16" t="s">
        <v>382</v>
      </c>
      <c r="G2112" s="13">
        <f>IFERROR(__xludf.DUMMYFUNCTION("if(counta(filter('Previous Rank'!$A$2:$A2766,'Previous Rank'!$B$2:$B2766=B2112,'Previous Rank'!$C$2:$C2766=C2112))=1,filter('Previous Rank'!$A$2:$A2766,'Previous Rank'!$B$2:$B2766=B2112,'Previous Rank'!$C$2:$C2766=C2112),"""")"),2109.0)</f>
        <v>2109</v>
      </c>
      <c r="H2112" s="8">
        <f t="shared" si="1"/>
        <v>-2</v>
      </c>
    </row>
    <row r="2113">
      <c r="A2113" s="10">
        <v>2112.0</v>
      </c>
      <c r="B2113" s="11" t="s">
        <v>2212</v>
      </c>
      <c r="C2113" s="10" t="s">
        <v>14</v>
      </c>
      <c r="D2113" s="10" t="s">
        <v>23</v>
      </c>
      <c r="E2113" s="15"/>
      <c r="F2113" s="15" t="s">
        <v>382</v>
      </c>
      <c r="G2113" s="13">
        <f>IFERROR(__xludf.DUMMYFUNCTION("if(counta(filter('Previous Rank'!$A$2:$A2766,'Previous Rank'!$B$2:$B2766=B2113,'Previous Rank'!$C$2:$C2766=C2113))=1,filter('Previous Rank'!$A$2:$A2766,'Previous Rank'!$B$2:$B2766=B2113,'Previous Rank'!$C$2:$C2766=C2113),"""")"),2110.0)</f>
        <v>2110</v>
      </c>
      <c r="H2113" s="8">
        <f t="shared" si="1"/>
        <v>-2</v>
      </c>
    </row>
    <row r="2114">
      <c r="A2114" s="10">
        <v>2113.0</v>
      </c>
      <c r="B2114" s="11" t="s">
        <v>2213</v>
      </c>
      <c r="C2114" s="10" t="s">
        <v>17</v>
      </c>
      <c r="D2114" s="10" t="s">
        <v>31</v>
      </c>
      <c r="E2114" s="16"/>
      <c r="F2114" s="16" t="s">
        <v>382</v>
      </c>
      <c r="G2114" s="13">
        <f>IFERROR(__xludf.DUMMYFUNCTION("if(counta(filter('Previous Rank'!$A$2:$A2766,'Previous Rank'!$B$2:$B2766=B2114,'Previous Rank'!$C$2:$C2766=C2114))=1,filter('Previous Rank'!$A$2:$A2766,'Previous Rank'!$B$2:$B2766=B2114,'Previous Rank'!$C$2:$C2766=C2114),"""")"),2111.0)</f>
        <v>2111</v>
      </c>
      <c r="H2114" s="8">
        <f t="shared" si="1"/>
        <v>-2</v>
      </c>
    </row>
    <row r="2115">
      <c r="A2115" s="10">
        <v>2114.0</v>
      </c>
      <c r="B2115" s="11" t="s">
        <v>2214</v>
      </c>
      <c r="C2115" s="10" t="s">
        <v>77</v>
      </c>
      <c r="D2115" s="10" t="s">
        <v>140</v>
      </c>
      <c r="E2115" s="15"/>
      <c r="F2115" s="15" t="s">
        <v>382</v>
      </c>
      <c r="G2115" s="13">
        <f>IFERROR(__xludf.DUMMYFUNCTION("if(counta(filter('Previous Rank'!$A$2:$A2766,'Previous Rank'!$B$2:$B2766=B2115,'Previous Rank'!$C$2:$C2766=C2115))=1,filter('Previous Rank'!$A$2:$A2766,'Previous Rank'!$B$2:$B2766=B2115,'Previous Rank'!$C$2:$C2766=C2115),"""")"),2112.0)</f>
        <v>2112</v>
      </c>
      <c r="H2115" s="8">
        <f t="shared" si="1"/>
        <v>-2</v>
      </c>
    </row>
    <row r="2116">
      <c r="A2116" s="10">
        <v>2115.0</v>
      </c>
      <c r="B2116" s="11" t="s">
        <v>2215</v>
      </c>
      <c r="C2116" s="10" t="s">
        <v>39</v>
      </c>
      <c r="D2116" s="10" t="s">
        <v>31</v>
      </c>
      <c r="E2116" s="16"/>
      <c r="F2116" s="16" t="s">
        <v>382</v>
      </c>
      <c r="G2116" s="13">
        <f>IFERROR(__xludf.DUMMYFUNCTION("if(counta(filter('Previous Rank'!$A$2:$A2766,'Previous Rank'!$B$2:$B2766=B2116,'Previous Rank'!$C$2:$C2766=C2116))=1,filter('Previous Rank'!$A$2:$A2766,'Previous Rank'!$B$2:$B2766=B2116,'Previous Rank'!$C$2:$C2766=C2116),"""")"),2113.0)</f>
        <v>2113</v>
      </c>
      <c r="H2116" s="8">
        <f t="shared" si="1"/>
        <v>-2</v>
      </c>
    </row>
    <row r="2117">
      <c r="A2117" s="10">
        <v>2116.0</v>
      </c>
      <c r="B2117" s="11" t="s">
        <v>2216</v>
      </c>
      <c r="C2117" s="10" t="s">
        <v>11</v>
      </c>
      <c r="D2117" s="10" t="s">
        <v>25</v>
      </c>
      <c r="E2117" s="15"/>
      <c r="F2117" s="15" t="s">
        <v>382</v>
      </c>
      <c r="G2117" s="13">
        <f>IFERROR(__xludf.DUMMYFUNCTION("if(counta(filter('Previous Rank'!$A$2:$A2766,'Previous Rank'!$B$2:$B2766=B2117,'Previous Rank'!$C$2:$C2766=C2117))=1,filter('Previous Rank'!$A$2:$A2766,'Previous Rank'!$B$2:$B2766=B2117,'Previous Rank'!$C$2:$C2766=C2117),"""")"),2114.0)</f>
        <v>2114</v>
      </c>
      <c r="H2117" s="8">
        <f t="shared" si="1"/>
        <v>-2</v>
      </c>
    </row>
    <row r="2118">
      <c r="A2118" s="10">
        <v>2117.0</v>
      </c>
      <c r="B2118" s="11" t="s">
        <v>2217</v>
      </c>
      <c r="C2118" s="10" t="s">
        <v>136</v>
      </c>
      <c r="D2118" s="10" t="s">
        <v>36</v>
      </c>
      <c r="E2118" s="16"/>
      <c r="F2118" s="16" t="s">
        <v>382</v>
      </c>
      <c r="G2118" s="13">
        <f>IFERROR(__xludf.DUMMYFUNCTION("if(counta(filter('Previous Rank'!$A$2:$A2766,'Previous Rank'!$B$2:$B2766=B2118,'Previous Rank'!$C$2:$C2766=C2118))=1,filter('Previous Rank'!$A$2:$A2766,'Previous Rank'!$B$2:$B2766=B2118,'Previous Rank'!$C$2:$C2766=C2118),"""")"),2115.0)</f>
        <v>2115</v>
      </c>
      <c r="H2118" s="8">
        <f t="shared" si="1"/>
        <v>-2</v>
      </c>
    </row>
    <row r="2119">
      <c r="A2119" s="10">
        <v>2118.0</v>
      </c>
      <c r="B2119" s="11" t="s">
        <v>2218</v>
      </c>
      <c r="C2119" s="10" t="s">
        <v>14</v>
      </c>
      <c r="D2119" s="10" t="s">
        <v>206</v>
      </c>
      <c r="E2119" s="15"/>
      <c r="F2119" s="15" t="s">
        <v>382</v>
      </c>
      <c r="G2119" s="13">
        <f>IFERROR(__xludf.DUMMYFUNCTION("if(counta(filter('Previous Rank'!$A$2:$A2766,'Previous Rank'!$B$2:$B2766=B2119,'Previous Rank'!$C$2:$C2766=C2119))=1,filter('Previous Rank'!$A$2:$A2766,'Previous Rank'!$B$2:$B2766=B2119,'Previous Rank'!$C$2:$C2766=C2119),"""")"),2116.0)</f>
        <v>2116</v>
      </c>
      <c r="H2119" s="8">
        <f t="shared" si="1"/>
        <v>-2</v>
      </c>
    </row>
    <row r="2120">
      <c r="A2120" s="10">
        <v>2119.0</v>
      </c>
      <c r="B2120" s="11" t="s">
        <v>2219</v>
      </c>
      <c r="C2120" s="10" t="s">
        <v>77</v>
      </c>
      <c r="D2120" s="10" t="s">
        <v>23</v>
      </c>
      <c r="E2120" s="16"/>
      <c r="F2120" s="16" t="s">
        <v>382</v>
      </c>
      <c r="G2120" s="13">
        <f>IFERROR(__xludf.DUMMYFUNCTION("if(counta(filter('Previous Rank'!$A$2:$A2766,'Previous Rank'!$B$2:$B2766=B2120,'Previous Rank'!$C$2:$C2766=C2120))=1,filter('Previous Rank'!$A$2:$A2766,'Previous Rank'!$B$2:$B2766=B2120,'Previous Rank'!$C$2:$C2766=C2120),"""")"),2117.0)</f>
        <v>2117</v>
      </c>
      <c r="H2120" s="8">
        <f t="shared" si="1"/>
        <v>-2</v>
      </c>
    </row>
    <row r="2121">
      <c r="A2121" s="10">
        <v>2120.0</v>
      </c>
      <c r="B2121" s="11" t="s">
        <v>2220</v>
      </c>
      <c r="C2121" s="10" t="s">
        <v>39</v>
      </c>
      <c r="D2121" s="10" t="s">
        <v>105</v>
      </c>
      <c r="E2121" s="15"/>
      <c r="F2121" s="15" t="s">
        <v>382</v>
      </c>
      <c r="G2121" s="13">
        <f>IFERROR(__xludf.DUMMYFUNCTION("if(counta(filter('Previous Rank'!$A$2:$A2766,'Previous Rank'!$B$2:$B2766=B2121,'Previous Rank'!$C$2:$C2766=C2121))=1,filter('Previous Rank'!$A$2:$A2766,'Previous Rank'!$B$2:$B2766=B2121,'Previous Rank'!$C$2:$C2766=C2121),"""")"),2118.0)</f>
        <v>2118</v>
      </c>
      <c r="H2121" s="8">
        <f t="shared" si="1"/>
        <v>-2</v>
      </c>
    </row>
    <row r="2122">
      <c r="A2122" s="10">
        <v>2121.0</v>
      </c>
      <c r="B2122" s="11" t="s">
        <v>2221</v>
      </c>
      <c r="C2122" s="10" t="s">
        <v>11</v>
      </c>
      <c r="D2122" s="10" t="s">
        <v>25</v>
      </c>
      <c r="E2122" s="16"/>
      <c r="F2122" s="16" t="s">
        <v>382</v>
      </c>
      <c r="G2122" s="13">
        <f>IFERROR(__xludf.DUMMYFUNCTION("if(counta(filter('Previous Rank'!$A$2:$A2766,'Previous Rank'!$B$2:$B2766=B2122,'Previous Rank'!$C$2:$C2766=C2122))=1,filter('Previous Rank'!$A$2:$A2766,'Previous Rank'!$B$2:$B2766=B2122,'Previous Rank'!$C$2:$C2766=C2122),"""")"),2119.0)</f>
        <v>2119</v>
      </c>
      <c r="H2122" s="8">
        <f t="shared" si="1"/>
        <v>-2</v>
      </c>
    </row>
    <row r="2123">
      <c r="A2123" s="10">
        <v>2122.0</v>
      </c>
      <c r="B2123" s="11" t="s">
        <v>2222</v>
      </c>
      <c r="C2123" s="10" t="s">
        <v>20</v>
      </c>
      <c r="D2123" s="10" t="s">
        <v>122</v>
      </c>
      <c r="E2123" s="15"/>
      <c r="F2123" s="15" t="s">
        <v>382</v>
      </c>
      <c r="G2123" s="13">
        <f>IFERROR(__xludf.DUMMYFUNCTION("if(counta(filter('Previous Rank'!$A$2:$A2766,'Previous Rank'!$B$2:$B2766=B2123,'Previous Rank'!$C$2:$C2766=C2123))=1,filter('Previous Rank'!$A$2:$A2766,'Previous Rank'!$B$2:$B2766=B2123,'Previous Rank'!$C$2:$C2766=C2123),"""")"),2120.0)</f>
        <v>2120</v>
      </c>
      <c r="H2123" s="8">
        <f t="shared" si="1"/>
        <v>-2</v>
      </c>
    </row>
    <row r="2124">
      <c r="A2124" s="10">
        <v>2123.0</v>
      </c>
      <c r="B2124" s="11" t="s">
        <v>2223</v>
      </c>
      <c r="C2124" s="10" t="s">
        <v>136</v>
      </c>
      <c r="D2124" s="10" t="s">
        <v>95</v>
      </c>
      <c r="E2124" s="16"/>
      <c r="F2124" s="16" t="s">
        <v>382</v>
      </c>
      <c r="G2124" s="13">
        <f>IFERROR(__xludf.DUMMYFUNCTION("if(counta(filter('Previous Rank'!$A$2:$A2766,'Previous Rank'!$B$2:$B2766=B2124,'Previous Rank'!$C$2:$C2766=C2124))=1,filter('Previous Rank'!$A$2:$A2766,'Previous Rank'!$B$2:$B2766=B2124,'Previous Rank'!$C$2:$C2766=C2124),"""")"),2121.0)</f>
        <v>2121</v>
      </c>
      <c r="H2124" s="8">
        <f t="shared" si="1"/>
        <v>-2</v>
      </c>
    </row>
    <row r="2125">
      <c r="A2125" s="10">
        <v>2124.0</v>
      </c>
      <c r="B2125" s="11" t="s">
        <v>2224</v>
      </c>
      <c r="C2125" s="10" t="s">
        <v>14</v>
      </c>
      <c r="D2125" s="10" t="s">
        <v>34</v>
      </c>
      <c r="E2125" s="15"/>
      <c r="F2125" s="15" t="s">
        <v>382</v>
      </c>
      <c r="G2125" s="13">
        <f>IFERROR(__xludf.DUMMYFUNCTION("if(counta(filter('Previous Rank'!$A$2:$A2766,'Previous Rank'!$B$2:$B2766=B2125,'Previous Rank'!$C$2:$C2766=C2125))=1,filter('Previous Rank'!$A$2:$A2766,'Previous Rank'!$B$2:$B2766=B2125,'Previous Rank'!$C$2:$C2766=C2125),"""")"),2122.0)</f>
        <v>2122</v>
      </c>
      <c r="H2125" s="8">
        <f t="shared" si="1"/>
        <v>-2</v>
      </c>
    </row>
    <row r="2126">
      <c r="A2126" s="10">
        <v>2125.0</v>
      </c>
      <c r="B2126" s="11" t="s">
        <v>2225</v>
      </c>
      <c r="C2126" s="10" t="s">
        <v>14</v>
      </c>
      <c r="D2126" s="10" t="s">
        <v>129</v>
      </c>
      <c r="E2126" s="16"/>
      <c r="F2126" s="16" t="s">
        <v>382</v>
      </c>
      <c r="G2126" s="13">
        <f>IFERROR(__xludf.DUMMYFUNCTION("if(counta(filter('Previous Rank'!$A$2:$A2766,'Previous Rank'!$B$2:$B2766=B2126,'Previous Rank'!$C$2:$C2766=C2126))=1,filter('Previous Rank'!$A$2:$A2766,'Previous Rank'!$B$2:$B2766=B2126,'Previous Rank'!$C$2:$C2766=C2126),"""")"),2123.0)</f>
        <v>2123</v>
      </c>
      <c r="H2126" s="8">
        <f t="shared" si="1"/>
        <v>-2</v>
      </c>
    </row>
    <row r="2127">
      <c r="A2127" s="10">
        <v>2126.0</v>
      </c>
      <c r="B2127" s="11" t="s">
        <v>2226</v>
      </c>
      <c r="C2127" s="10" t="s">
        <v>17</v>
      </c>
      <c r="D2127" s="10" t="s">
        <v>9</v>
      </c>
      <c r="E2127" s="15"/>
      <c r="F2127" s="15" t="s">
        <v>382</v>
      </c>
      <c r="G2127" s="13">
        <f>IFERROR(__xludf.DUMMYFUNCTION("if(counta(filter('Previous Rank'!$A$2:$A2766,'Previous Rank'!$B$2:$B2766=B2127,'Previous Rank'!$C$2:$C2766=C2127))=1,filter('Previous Rank'!$A$2:$A2766,'Previous Rank'!$B$2:$B2766=B2127,'Previous Rank'!$C$2:$C2766=C2127),"""")"),2124.0)</f>
        <v>2124</v>
      </c>
      <c r="H2127" s="8">
        <f t="shared" si="1"/>
        <v>-2</v>
      </c>
    </row>
    <row r="2128">
      <c r="A2128" s="10">
        <v>2127.0</v>
      </c>
      <c r="B2128" s="11" t="s">
        <v>2227</v>
      </c>
      <c r="C2128" s="10" t="s">
        <v>17</v>
      </c>
      <c r="D2128" s="10" t="s">
        <v>49</v>
      </c>
      <c r="E2128" s="16"/>
      <c r="F2128" s="16" t="s">
        <v>382</v>
      </c>
      <c r="G2128" s="13">
        <f>IFERROR(__xludf.DUMMYFUNCTION("if(counta(filter('Previous Rank'!$A$2:$A2766,'Previous Rank'!$B$2:$B2766=B2128,'Previous Rank'!$C$2:$C2766=C2128))=1,filter('Previous Rank'!$A$2:$A2766,'Previous Rank'!$B$2:$B2766=B2128,'Previous Rank'!$C$2:$C2766=C2128),"""")"),2125.0)</f>
        <v>2125</v>
      </c>
      <c r="H2128" s="8">
        <f t="shared" si="1"/>
        <v>-2</v>
      </c>
    </row>
    <row r="2129">
      <c r="A2129" s="10">
        <v>2128.0</v>
      </c>
      <c r="B2129" s="11" t="s">
        <v>2228</v>
      </c>
      <c r="C2129" s="10" t="s">
        <v>11</v>
      </c>
      <c r="D2129" s="10" t="s">
        <v>34</v>
      </c>
      <c r="E2129" s="15"/>
      <c r="F2129" s="15" t="s">
        <v>382</v>
      </c>
      <c r="G2129" s="13">
        <f>IFERROR(__xludf.DUMMYFUNCTION("if(counta(filter('Previous Rank'!$A$2:$A2766,'Previous Rank'!$B$2:$B2766=B2129,'Previous Rank'!$C$2:$C2766=C2129))=1,filter('Previous Rank'!$A$2:$A2766,'Previous Rank'!$B$2:$B2766=B2129,'Previous Rank'!$C$2:$C2766=C2129),"""")"),2126.0)</f>
        <v>2126</v>
      </c>
      <c r="H2129" s="8">
        <f t="shared" si="1"/>
        <v>-2</v>
      </c>
    </row>
    <row r="2130">
      <c r="A2130" s="10">
        <v>2129.0</v>
      </c>
      <c r="B2130" s="11" t="s">
        <v>2229</v>
      </c>
      <c r="C2130" s="10" t="s">
        <v>11</v>
      </c>
      <c r="D2130" s="10" t="s">
        <v>82</v>
      </c>
      <c r="E2130" s="16"/>
      <c r="F2130" s="16" t="s">
        <v>382</v>
      </c>
      <c r="G2130" s="13">
        <f>IFERROR(__xludf.DUMMYFUNCTION("if(counta(filter('Previous Rank'!$A$2:$A2766,'Previous Rank'!$B$2:$B2766=B2130,'Previous Rank'!$C$2:$C2766=C2130))=1,filter('Previous Rank'!$A$2:$A2766,'Previous Rank'!$B$2:$B2766=B2130,'Previous Rank'!$C$2:$C2766=C2130),"""")"),2127.0)</f>
        <v>2127</v>
      </c>
      <c r="H2130" s="8">
        <f t="shared" si="1"/>
        <v>-2</v>
      </c>
    </row>
    <row r="2131">
      <c r="A2131" s="10">
        <v>2130.0</v>
      </c>
      <c r="B2131" s="11" t="s">
        <v>2230</v>
      </c>
      <c r="C2131" s="10" t="s">
        <v>89</v>
      </c>
      <c r="D2131" s="10" t="s">
        <v>95</v>
      </c>
      <c r="E2131" s="15"/>
      <c r="F2131" s="15" t="s">
        <v>382</v>
      </c>
      <c r="G2131" s="13">
        <f>IFERROR(__xludf.DUMMYFUNCTION("if(counta(filter('Previous Rank'!$A$2:$A2766,'Previous Rank'!$B$2:$B2766=B2131,'Previous Rank'!$C$2:$C2766=C2131))=1,filter('Previous Rank'!$A$2:$A2766,'Previous Rank'!$B$2:$B2766=B2131,'Previous Rank'!$C$2:$C2766=C2131),"""")"),2128.0)</f>
        <v>2128</v>
      </c>
      <c r="H2131" s="8">
        <f t="shared" si="1"/>
        <v>-2</v>
      </c>
    </row>
    <row r="2132">
      <c r="A2132" s="10">
        <v>2131.0</v>
      </c>
      <c r="B2132" s="11" t="s">
        <v>2231</v>
      </c>
      <c r="C2132" s="10" t="s">
        <v>39</v>
      </c>
      <c r="D2132" s="10" t="s">
        <v>105</v>
      </c>
      <c r="E2132" s="16"/>
      <c r="F2132" s="16" t="s">
        <v>382</v>
      </c>
      <c r="G2132" s="13">
        <f>IFERROR(__xludf.DUMMYFUNCTION("if(counta(filter('Previous Rank'!$A$2:$A2766,'Previous Rank'!$B$2:$B2766=B2132,'Previous Rank'!$C$2:$C2766=C2132))=1,filter('Previous Rank'!$A$2:$A2766,'Previous Rank'!$B$2:$B2766=B2132,'Previous Rank'!$C$2:$C2766=C2132),"""")"),2129.0)</f>
        <v>2129</v>
      </c>
      <c r="H2132" s="8">
        <f t="shared" si="1"/>
        <v>-2</v>
      </c>
    </row>
    <row r="2133">
      <c r="A2133" s="10">
        <v>2132.0</v>
      </c>
      <c r="B2133" s="11" t="s">
        <v>2232</v>
      </c>
      <c r="C2133" s="10" t="s">
        <v>77</v>
      </c>
      <c r="D2133" s="10" t="s">
        <v>27</v>
      </c>
      <c r="E2133" s="15"/>
      <c r="F2133" s="15" t="s">
        <v>382</v>
      </c>
      <c r="G2133" s="13">
        <f>IFERROR(__xludf.DUMMYFUNCTION("if(counta(filter('Previous Rank'!$A$2:$A2766,'Previous Rank'!$B$2:$B2766=B2133,'Previous Rank'!$C$2:$C2766=C2133))=1,filter('Previous Rank'!$A$2:$A2766,'Previous Rank'!$B$2:$B2766=B2133,'Previous Rank'!$C$2:$C2766=C2133),"""")"),2130.0)</f>
        <v>2130</v>
      </c>
      <c r="H2133" s="8">
        <f t="shared" si="1"/>
        <v>-2</v>
      </c>
    </row>
    <row r="2134">
      <c r="A2134" s="10">
        <v>2133.0</v>
      </c>
      <c r="B2134" s="11" t="s">
        <v>175</v>
      </c>
      <c r="C2134" s="10" t="s">
        <v>14</v>
      </c>
      <c r="D2134" s="10" t="s">
        <v>120</v>
      </c>
      <c r="E2134" s="16"/>
      <c r="F2134" s="16" t="s">
        <v>382</v>
      </c>
      <c r="G2134" s="13">
        <f>IFERROR(__xludf.DUMMYFUNCTION("if(counta(filter('Previous Rank'!$A$2:$A2766,'Previous Rank'!$B$2:$B2766=B2134,'Previous Rank'!$C$2:$C2766=C2134))=1,filter('Previous Rank'!$A$2:$A2766,'Previous Rank'!$B$2:$B2766=B2134,'Previous Rank'!$C$2:$C2766=C2134),"""")"),2131.0)</f>
        <v>2131</v>
      </c>
      <c r="H2134" s="8">
        <f t="shared" si="1"/>
        <v>-2</v>
      </c>
    </row>
    <row r="2135">
      <c r="A2135" s="10">
        <v>2134.0</v>
      </c>
      <c r="B2135" s="11" t="s">
        <v>2233</v>
      </c>
      <c r="C2135" s="10" t="s">
        <v>39</v>
      </c>
      <c r="D2135" s="10" t="s">
        <v>49</v>
      </c>
      <c r="E2135" s="15"/>
      <c r="F2135" s="15" t="s">
        <v>382</v>
      </c>
      <c r="G2135" s="13">
        <f>IFERROR(__xludf.DUMMYFUNCTION("if(counta(filter('Previous Rank'!$A$2:$A2766,'Previous Rank'!$B$2:$B2766=B2135,'Previous Rank'!$C$2:$C2766=C2135))=1,filter('Previous Rank'!$A$2:$A2766,'Previous Rank'!$B$2:$B2766=B2135,'Previous Rank'!$C$2:$C2766=C2135),"""")"),2132.0)</f>
        <v>2132</v>
      </c>
      <c r="H2135" s="8">
        <f t="shared" si="1"/>
        <v>-2</v>
      </c>
    </row>
    <row r="2136">
      <c r="A2136" s="10">
        <v>2135.0</v>
      </c>
      <c r="B2136" s="11" t="s">
        <v>2234</v>
      </c>
      <c r="C2136" s="10" t="s">
        <v>39</v>
      </c>
      <c r="D2136" s="10" t="s">
        <v>46</v>
      </c>
      <c r="E2136" s="16"/>
      <c r="F2136" s="16" t="s">
        <v>382</v>
      </c>
      <c r="G2136" s="13">
        <f>IFERROR(__xludf.DUMMYFUNCTION("if(counta(filter('Previous Rank'!$A$2:$A2766,'Previous Rank'!$B$2:$B2766=B2136,'Previous Rank'!$C$2:$C2766=C2136))=1,filter('Previous Rank'!$A$2:$A2766,'Previous Rank'!$B$2:$B2766=B2136,'Previous Rank'!$C$2:$C2766=C2136),"""")"),2133.0)</f>
        <v>2133</v>
      </c>
      <c r="H2136" s="8">
        <f t="shared" si="1"/>
        <v>-2</v>
      </c>
    </row>
    <row r="2137">
      <c r="A2137" s="10">
        <v>2136.0</v>
      </c>
      <c r="B2137" s="11" t="s">
        <v>2235</v>
      </c>
      <c r="C2137" s="10" t="s">
        <v>17</v>
      </c>
      <c r="D2137" s="10" t="s">
        <v>85</v>
      </c>
      <c r="E2137" s="15"/>
      <c r="F2137" s="15" t="s">
        <v>382</v>
      </c>
      <c r="G2137" s="13">
        <f>IFERROR(__xludf.DUMMYFUNCTION("if(counta(filter('Previous Rank'!$A$2:$A2766,'Previous Rank'!$B$2:$B2766=B2137,'Previous Rank'!$C$2:$C2766=C2137))=1,filter('Previous Rank'!$A$2:$A2766,'Previous Rank'!$B$2:$B2766=B2137,'Previous Rank'!$C$2:$C2766=C2137),"""")"),2134.0)</f>
        <v>2134</v>
      </c>
      <c r="H2137" s="8">
        <f t="shared" si="1"/>
        <v>-2</v>
      </c>
    </row>
    <row r="2138">
      <c r="A2138" s="10">
        <v>2137.0</v>
      </c>
      <c r="B2138" s="11" t="s">
        <v>2236</v>
      </c>
      <c r="C2138" s="10" t="s">
        <v>14</v>
      </c>
      <c r="D2138" s="10" t="s">
        <v>73</v>
      </c>
      <c r="E2138" s="16"/>
      <c r="F2138" s="16" t="s">
        <v>382</v>
      </c>
      <c r="G2138" s="13">
        <f>IFERROR(__xludf.DUMMYFUNCTION("if(counta(filter('Previous Rank'!$A$2:$A2766,'Previous Rank'!$B$2:$B2766=B2138,'Previous Rank'!$C$2:$C2766=C2138))=1,filter('Previous Rank'!$A$2:$A2766,'Previous Rank'!$B$2:$B2766=B2138,'Previous Rank'!$C$2:$C2766=C2138),"""")"),2135.0)</f>
        <v>2135</v>
      </c>
      <c r="H2138" s="8">
        <f t="shared" si="1"/>
        <v>-2</v>
      </c>
    </row>
    <row r="2139">
      <c r="A2139" s="10">
        <v>2138.0</v>
      </c>
      <c r="B2139" s="11" t="s">
        <v>2237</v>
      </c>
      <c r="C2139" s="10" t="s">
        <v>14</v>
      </c>
      <c r="D2139" s="10" t="s">
        <v>105</v>
      </c>
      <c r="E2139" s="15"/>
      <c r="F2139" s="15" t="s">
        <v>382</v>
      </c>
      <c r="G2139" s="13">
        <f>IFERROR(__xludf.DUMMYFUNCTION("if(counta(filter('Previous Rank'!$A$2:$A2766,'Previous Rank'!$B$2:$B2766=B2139,'Previous Rank'!$C$2:$C2766=C2139))=1,filter('Previous Rank'!$A$2:$A2766,'Previous Rank'!$B$2:$B2766=B2139,'Previous Rank'!$C$2:$C2766=C2139),"""")"),2136.0)</f>
        <v>2136</v>
      </c>
      <c r="H2139" s="8">
        <f t="shared" si="1"/>
        <v>-2</v>
      </c>
    </row>
    <row r="2140">
      <c r="A2140" s="10">
        <v>2139.0</v>
      </c>
      <c r="B2140" s="11" t="s">
        <v>2238</v>
      </c>
      <c r="C2140" s="10" t="s">
        <v>11</v>
      </c>
      <c r="D2140" s="10" t="s">
        <v>42</v>
      </c>
      <c r="E2140" s="16"/>
      <c r="F2140" s="16" t="s">
        <v>382</v>
      </c>
      <c r="G2140" s="13">
        <f>IFERROR(__xludf.DUMMYFUNCTION("if(counta(filter('Previous Rank'!$A$2:$A2766,'Previous Rank'!$B$2:$B2766=B2140,'Previous Rank'!$C$2:$C2766=C2140))=1,filter('Previous Rank'!$A$2:$A2766,'Previous Rank'!$B$2:$B2766=B2140,'Previous Rank'!$C$2:$C2766=C2140),"""")"),2137.0)</f>
        <v>2137</v>
      </c>
      <c r="H2140" s="8">
        <f t="shared" si="1"/>
        <v>-2</v>
      </c>
    </row>
    <row r="2141">
      <c r="A2141" s="10">
        <v>2140.0</v>
      </c>
      <c r="B2141" s="11" t="s">
        <v>2239</v>
      </c>
      <c r="C2141" s="10" t="s">
        <v>55</v>
      </c>
      <c r="D2141" s="10" t="s">
        <v>206</v>
      </c>
      <c r="E2141" s="15"/>
      <c r="F2141" s="15" t="s">
        <v>382</v>
      </c>
      <c r="G2141" s="13">
        <f>IFERROR(__xludf.DUMMYFUNCTION("if(counta(filter('Previous Rank'!$A$2:$A2766,'Previous Rank'!$B$2:$B2766=B2141,'Previous Rank'!$C$2:$C2766=C2141))=1,filter('Previous Rank'!$A$2:$A2766,'Previous Rank'!$B$2:$B2766=B2141,'Previous Rank'!$C$2:$C2766=C2141),"""")"),2138.0)</f>
        <v>2138</v>
      </c>
      <c r="H2141" s="8">
        <f t="shared" si="1"/>
        <v>-2</v>
      </c>
    </row>
    <row r="2142">
      <c r="A2142" s="10">
        <v>2141.0</v>
      </c>
      <c r="B2142" s="11" t="s">
        <v>2240</v>
      </c>
      <c r="C2142" s="10" t="s">
        <v>39</v>
      </c>
      <c r="D2142" s="10" t="s">
        <v>12</v>
      </c>
      <c r="E2142" s="16"/>
      <c r="F2142" s="16" t="s">
        <v>382</v>
      </c>
      <c r="G2142" s="13">
        <f>IFERROR(__xludf.DUMMYFUNCTION("if(counta(filter('Previous Rank'!$A$2:$A2766,'Previous Rank'!$B$2:$B2766=B2142,'Previous Rank'!$C$2:$C2766=C2142))=1,filter('Previous Rank'!$A$2:$A2766,'Previous Rank'!$B$2:$B2766=B2142,'Previous Rank'!$C$2:$C2766=C2142),"""")"),2139.0)</f>
        <v>2139</v>
      </c>
      <c r="H2142" s="8">
        <f t="shared" si="1"/>
        <v>-2</v>
      </c>
    </row>
    <row r="2143">
      <c r="A2143" s="10">
        <v>2142.0</v>
      </c>
      <c r="B2143" s="11" t="s">
        <v>2241</v>
      </c>
      <c r="C2143" s="10" t="s">
        <v>14</v>
      </c>
      <c r="D2143" s="10" t="s">
        <v>129</v>
      </c>
      <c r="E2143" s="15"/>
      <c r="F2143" s="15" t="s">
        <v>382</v>
      </c>
      <c r="G2143" s="13">
        <f>IFERROR(__xludf.DUMMYFUNCTION("if(counta(filter('Previous Rank'!$A$2:$A2766,'Previous Rank'!$B$2:$B2766=B2143,'Previous Rank'!$C$2:$C2766=C2143))=1,filter('Previous Rank'!$A$2:$A2766,'Previous Rank'!$B$2:$B2766=B2143,'Previous Rank'!$C$2:$C2766=C2143),"""")"),2140.0)</f>
        <v>2140</v>
      </c>
      <c r="H2143" s="8">
        <f t="shared" si="1"/>
        <v>-2</v>
      </c>
    </row>
    <row r="2144">
      <c r="A2144" s="10">
        <v>2143.0</v>
      </c>
      <c r="B2144" s="11" t="s">
        <v>2242</v>
      </c>
      <c r="C2144" s="10" t="s">
        <v>17</v>
      </c>
      <c r="D2144" s="10" t="s">
        <v>82</v>
      </c>
      <c r="E2144" s="16"/>
      <c r="F2144" s="16" t="s">
        <v>382</v>
      </c>
      <c r="G2144" s="13">
        <f>IFERROR(__xludf.DUMMYFUNCTION("if(counta(filter('Previous Rank'!$A$2:$A2766,'Previous Rank'!$B$2:$B2766=B2144,'Previous Rank'!$C$2:$C2766=C2144))=1,filter('Previous Rank'!$A$2:$A2766,'Previous Rank'!$B$2:$B2766=B2144,'Previous Rank'!$C$2:$C2766=C2144),"""")"),2141.0)</f>
        <v>2141</v>
      </c>
      <c r="H2144" s="8">
        <f t="shared" si="1"/>
        <v>-2</v>
      </c>
    </row>
    <row r="2145">
      <c r="A2145" s="10">
        <v>2144.0</v>
      </c>
      <c r="B2145" s="11" t="s">
        <v>2243</v>
      </c>
      <c r="C2145" s="10" t="s">
        <v>8</v>
      </c>
      <c r="D2145" s="10" t="s">
        <v>95</v>
      </c>
      <c r="E2145" s="15"/>
      <c r="F2145" s="15" t="s">
        <v>382</v>
      </c>
      <c r="G2145" s="13">
        <f>IFERROR(__xludf.DUMMYFUNCTION("if(counta(filter('Previous Rank'!$A$2:$A2766,'Previous Rank'!$B$2:$B2766=B2145,'Previous Rank'!$C$2:$C2766=C2145))=1,filter('Previous Rank'!$A$2:$A2766,'Previous Rank'!$B$2:$B2766=B2145,'Previous Rank'!$C$2:$C2766=C2145),"""")"),2142.0)</f>
        <v>2142</v>
      </c>
      <c r="H2145" s="8">
        <f t="shared" si="1"/>
        <v>-2</v>
      </c>
    </row>
    <row r="2146">
      <c r="A2146" s="10">
        <v>2145.0</v>
      </c>
      <c r="B2146" s="11" t="s">
        <v>2244</v>
      </c>
      <c r="C2146" s="10" t="s">
        <v>77</v>
      </c>
      <c r="D2146" s="10" t="s">
        <v>42</v>
      </c>
      <c r="E2146" s="16"/>
      <c r="F2146" s="16" t="s">
        <v>382</v>
      </c>
      <c r="G2146" s="13">
        <f>IFERROR(__xludf.DUMMYFUNCTION("if(counta(filter('Previous Rank'!$A$2:$A2766,'Previous Rank'!$B$2:$B2766=B2146,'Previous Rank'!$C$2:$C2766=C2146))=1,filter('Previous Rank'!$A$2:$A2766,'Previous Rank'!$B$2:$B2766=B2146,'Previous Rank'!$C$2:$C2766=C2146),"""")"),2143.0)</f>
        <v>2143</v>
      </c>
      <c r="H2146" s="8">
        <f t="shared" si="1"/>
        <v>-2</v>
      </c>
    </row>
    <row r="2147">
      <c r="A2147" s="10">
        <v>2146.0</v>
      </c>
      <c r="B2147" s="11" t="s">
        <v>2245</v>
      </c>
      <c r="C2147" s="10" t="s">
        <v>77</v>
      </c>
      <c r="D2147" s="10" t="s">
        <v>52</v>
      </c>
      <c r="E2147" s="15"/>
      <c r="F2147" s="15" t="s">
        <v>382</v>
      </c>
      <c r="G2147" s="13">
        <f>IFERROR(__xludf.DUMMYFUNCTION("if(counta(filter('Previous Rank'!$A$2:$A2766,'Previous Rank'!$B$2:$B2766=B2147,'Previous Rank'!$C$2:$C2766=C2147))=1,filter('Previous Rank'!$A$2:$A2766,'Previous Rank'!$B$2:$B2766=B2147,'Previous Rank'!$C$2:$C2766=C2147),"""")"),2144.0)</f>
        <v>2144</v>
      </c>
      <c r="H2147" s="8">
        <f t="shared" si="1"/>
        <v>-2</v>
      </c>
    </row>
    <row r="2148">
      <c r="A2148" s="10">
        <v>2147.0</v>
      </c>
      <c r="B2148" s="11" t="s">
        <v>2246</v>
      </c>
      <c r="C2148" s="10" t="s">
        <v>39</v>
      </c>
      <c r="D2148" s="10" t="s">
        <v>25</v>
      </c>
      <c r="E2148" s="16"/>
      <c r="F2148" s="16" t="s">
        <v>382</v>
      </c>
      <c r="G2148" s="13">
        <f>IFERROR(__xludf.DUMMYFUNCTION("if(counta(filter('Previous Rank'!$A$2:$A2766,'Previous Rank'!$B$2:$B2766=B2148,'Previous Rank'!$C$2:$C2766=C2148))=1,filter('Previous Rank'!$A$2:$A2766,'Previous Rank'!$B$2:$B2766=B2148,'Previous Rank'!$C$2:$C2766=C2148),"""")"),2145.0)</f>
        <v>2145</v>
      </c>
      <c r="H2148" s="8">
        <f t="shared" si="1"/>
        <v>-2</v>
      </c>
    </row>
    <row r="2149">
      <c r="A2149" s="10">
        <v>2148.0</v>
      </c>
      <c r="B2149" s="11" t="s">
        <v>2247</v>
      </c>
      <c r="C2149" s="10" t="s">
        <v>39</v>
      </c>
      <c r="D2149" s="10" t="s">
        <v>52</v>
      </c>
      <c r="E2149" s="15"/>
      <c r="F2149" s="15" t="s">
        <v>382</v>
      </c>
      <c r="G2149" s="13">
        <f>IFERROR(__xludf.DUMMYFUNCTION("if(counta(filter('Previous Rank'!$A$2:$A2766,'Previous Rank'!$B$2:$B2766=B2149,'Previous Rank'!$C$2:$C2766=C2149))=1,filter('Previous Rank'!$A$2:$A2766,'Previous Rank'!$B$2:$B2766=B2149,'Previous Rank'!$C$2:$C2766=C2149),"""")"),2146.0)</f>
        <v>2146</v>
      </c>
      <c r="H2149" s="8">
        <f t="shared" si="1"/>
        <v>-2</v>
      </c>
    </row>
    <row r="2150">
      <c r="A2150" s="10">
        <v>2149.0</v>
      </c>
      <c r="B2150" s="11" t="s">
        <v>2248</v>
      </c>
      <c r="C2150" s="10" t="s">
        <v>20</v>
      </c>
      <c r="D2150" s="10" t="s">
        <v>105</v>
      </c>
      <c r="E2150" s="16"/>
      <c r="F2150" s="16" t="s">
        <v>382</v>
      </c>
      <c r="G2150" s="13">
        <f>IFERROR(__xludf.DUMMYFUNCTION("if(counta(filter('Previous Rank'!$A$2:$A2766,'Previous Rank'!$B$2:$B2766=B2150,'Previous Rank'!$C$2:$C2766=C2150))=1,filter('Previous Rank'!$A$2:$A2766,'Previous Rank'!$B$2:$B2766=B2150,'Previous Rank'!$C$2:$C2766=C2150),"""")"),2147.0)</f>
        <v>2147</v>
      </c>
      <c r="H2150" s="8">
        <f t="shared" si="1"/>
        <v>-2</v>
      </c>
    </row>
    <row r="2151">
      <c r="A2151" s="10">
        <v>2150.0</v>
      </c>
      <c r="B2151" s="11" t="s">
        <v>2249</v>
      </c>
      <c r="C2151" s="10" t="s">
        <v>77</v>
      </c>
      <c r="D2151" s="10" t="s">
        <v>49</v>
      </c>
      <c r="E2151" s="15"/>
      <c r="F2151" s="15" t="s">
        <v>382</v>
      </c>
      <c r="G2151" s="13">
        <f>IFERROR(__xludf.DUMMYFUNCTION("if(counta(filter('Previous Rank'!$A$2:$A2766,'Previous Rank'!$B$2:$B2766=B2151,'Previous Rank'!$C$2:$C2766=C2151))=1,filter('Previous Rank'!$A$2:$A2766,'Previous Rank'!$B$2:$B2766=B2151,'Previous Rank'!$C$2:$C2766=C2151),"""")"),2148.0)</f>
        <v>2148</v>
      </c>
      <c r="H2151" s="8">
        <f t="shared" si="1"/>
        <v>-2</v>
      </c>
    </row>
    <row r="2152">
      <c r="A2152" s="10">
        <v>2151.0</v>
      </c>
      <c r="B2152" s="11" t="s">
        <v>2250</v>
      </c>
      <c r="C2152" s="10" t="s">
        <v>39</v>
      </c>
      <c r="D2152" s="10" t="s">
        <v>27</v>
      </c>
      <c r="E2152" s="16"/>
      <c r="F2152" s="16" t="s">
        <v>382</v>
      </c>
      <c r="G2152" s="13">
        <f>IFERROR(__xludf.DUMMYFUNCTION("if(counta(filter('Previous Rank'!$A$2:$A2766,'Previous Rank'!$B$2:$B2766=B2152,'Previous Rank'!$C$2:$C2766=C2152))=1,filter('Previous Rank'!$A$2:$A2766,'Previous Rank'!$B$2:$B2766=B2152,'Previous Rank'!$C$2:$C2766=C2152),"""")"),2149.0)</f>
        <v>2149</v>
      </c>
      <c r="H2152" s="8">
        <f t="shared" si="1"/>
        <v>-2</v>
      </c>
    </row>
    <row r="2153">
      <c r="A2153" s="10">
        <v>2152.0</v>
      </c>
      <c r="B2153" s="11" t="s">
        <v>2251</v>
      </c>
      <c r="C2153" s="10" t="s">
        <v>240</v>
      </c>
      <c r="D2153" s="10" t="s">
        <v>31</v>
      </c>
      <c r="E2153" s="15"/>
      <c r="F2153" s="15" t="s">
        <v>382</v>
      </c>
      <c r="G2153" s="13">
        <f>IFERROR(__xludf.DUMMYFUNCTION("if(counta(filter('Previous Rank'!$A$2:$A2766,'Previous Rank'!$B$2:$B2766=B2153,'Previous Rank'!$C$2:$C2766=C2153))=1,filter('Previous Rank'!$A$2:$A2766,'Previous Rank'!$B$2:$B2766=B2153,'Previous Rank'!$C$2:$C2766=C2153),"""")"),2150.0)</f>
        <v>2150</v>
      </c>
      <c r="H2153" s="8">
        <f t="shared" si="1"/>
        <v>-2</v>
      </c>
    </row>
    <row r="2154">
      <c r="A2154" s="10">
        <v>2153.0</v>
      </c>
      <c r="B2154" s="11" t="s">
        <v>2252</v>
      </c>
      <c r="C2154" s="10" t="s">
        <v>63</v>
      </c>
      <c r="D2154" s="10" t="s">
        <v>36</v>
      </c>
      <c r="E2154" s="16"/>
      <c r="F2154" s="16" t="s">
        <v>382</v>
      </c>
      <c r="G2154" s="13">
        <f>IFERROR(__xludf.DUMMYFUNCTION("if(counta(filter('Previous Rank'!$A$2:$A2766,'Previous Rank'!$B$2:$B2766=B2154,'Previous Rank'!$C$2:$C2766=C2154))=1,filter('Previous Rank'!$A$2:$A2766,'Previous Rank'!$B$2:$B2766=B2154,'Previous Rank'!$C$2:$C2766=C2154),"""")"),2151.0)</f>
        <v>2151</v>
      </c>
      <c r="H2154" s="8">
        <f t="shared" si="1"/>
        <v>-2</v>
      </c>
    </row>
    <row r="2155">
      <c r="A2155" s="10">
        <v>2154.0</v>
      </c>
      <c r="B2155" s="11" t="s">
        <v>2253</v>
      </c>
      <c r="C2155" s="10" t="s">
        <v>39</v>
      </c>
      <c r="D2155" s="10" t="s">
        <v>23</v>
      </c>
      <c r="E2155" s="15"/>
      <c r="F2155" s="15" t="s">
        <v>382</v>
      </c>
      <c r="G2155" s="13">
        <f>IFERROR(__xludf.DUMMYFUNCTION("if(counta(filter('Previous Rank'!$A$2:$A2766,'Previous Rank'!$B$2:$B2766=B2155,'Previous Rank'!$C$2:$C2766=C2155))=1,filter('Previous Rank'!$A$2:$A2766,'Previous Rank'!$B$2:$B2766=B2155,'Previous Rank'!$C$2:$C2766=C2155),"""")"),2152.0)</f>
        <v>2152</v>
      </c>
      <c r="H2155" s="8">
        <f t="shared" si="1"/>
        <v>-2</v>
      </c>
    </row>
    <row r="2156">
      <c r="A2156" s="10">
        <v>2155.0</v>
      </c>
      <c r="B2156" s="11" t="s">
        <v>2254</v>
      </c>
      <c r="C2156" s="10" t="s">
        <v>39</v>
      </c>
      <c r="D2156" s="10" t="s">
        <v>34</v>
      </c>
      <c r="E2156" s="16"/>
      <c r="F2156" s="16" t="s">
        <v>382</v>
      </c>
      <c r="G2156" s="13">
        <f>IFERROR(__xludf.DUMMYFUNCTION("if(counta(filter('Previous Rank'!$A$2:$A2766,'Previous Rank'!$B$2:$B2766=B2156,'Previous Rank'!$C$2:$C2766=C2156))=1,filter('Previous Rank'!$A$2:$A2766,'Previous Rank'!$B$2:$B2766=B2156,'Previous Rank'!$C$2:$C2766=C2156),"""")"),2153.0)</f>
        <v>2153</v>
      </c>
      <c r="H2156" s="8">
        <f t="shared" si="1"/>
        <v>-2</v>
      </c>
    </row>
    <row r="2157">
      <c r="A2157" s="10">
        <v>2156.0</v>
      </c>
      <c r="B2157" s="11" t="s">
        <v>2255</v>
      </c>
      <c r="C2157" s="10" t="s">
        <v>77</v>
      </c>
      <c r="D2157" s="10" t="s">
        <v>71</v>
      </c>
      <c r="E2157" s="15"/>
      <c r="F2157" s="15" t="s">
        <v>382</v>
      </c>
      <c r="G2157" s="13">
        <f>IFERROR(__xludf.DUMMYFUNCTION("if(counta(filter('Previous Rank'!$A$2:$A2766,'Previous Rank'!$B$2:$B2766=B2157,'Previous Rank'!$C$2:$C2766=C2157))=1,filter('Previous Rank'!$A$2:$A2766,'Previous Rank'!$B$2:$B2766=B2157,'Previous Rank'!$C$2:$C2766=C2157),"""")"),2154.0)</f>
        <v>2154</v>
      </c>
      <c r="H2157" s="8">
        <f t="shared" si="1"/>
        <v>-2</v>
      </c>
    </row>
    <row r="2158">
      <c r="A2158" s="10">
        <v>2157.0</v>
      </c>
      <c r="B2158" s="11" t="s">
        <v>2256</v>
      </c>
      <c r="C2158" s="10" t="s">
        <v>39</v>
      </c>
      <c r="D2158" s="10" t="s">
        <v>206</v>
      </c>
      <c r="E2158" s="16"/>
      <c r="F2158" s="16" t="s">
        <v>382</v>
      </c>
      <c r="G2158" s="13">
        <f>IFERROR(__xludf.DUMMYFUNCTION("if(counta(filter('Previous Rank'!$A$2:$A2766,'Previous Rank'!$B$2:$B2766=B2158,'Previous Rank'!$C$2:$C2766=C2158))=1,filter('Previous Rank'!$A$2:$A2766,'Previous Rank'!$B$2:$B2766=B2158,'Previous Rank'!$C$2:$C2766=C2158),"""")"),2155.0)</f>
        <v>2155</v>
      </c>
      <c r="H2158" s="8">
        <f t="shared" si="1"/>
        <v>-2</v>
      </c>
    </row>
    <row r="2159">
      <c r="A2159" s="10">
        <v>2158.0</v>
      </c>
      <c r="B2159" s="11" t="s">
        <v>2257</v>
      </c>
      <c r="C2159" s="10" t="s">
        <v>39</v>
      </c>
      <c r="D2159" s="10" t="s">
        <v>113</v>
      </c>
      <c r="E2159" s="15">
        <v>241.0</v>
      </c>
      <c r="F2159" s="15">
        <v>1.7</v>
      </c>
      <c r="G2159" s="13">
        <f>IFERROR(__xludf.DUMMYFUNCTION("if(counta(filter('Previous Rank'!$A$2:$A2766,'Previous Rank'!$B$2:$B2766=B2159,'Previous Rank'!$C$2:$C2766=C2159))=1,filter('Previous Rank'!$A$2:$A2766,'Previous Rank'!$B$2:$B2766=B2159,'Previous Rank'!$C$2:$C2766=C2159),"""")"),2156.0)</f>
        <v>2156</v>
      </c>
      <c r="H2159" s="8">
        <f t="shared" si="1"/>
        <v>-2</v>
      </c>
    </row>
    <row r="2160">
      <c r="A2160" s="10">
        <v>2159.0</v>
      </c>
      <c r="B2160" s="11" t="s">
        <v>2258</v>
      </c>
      <c r="C2160" s="10" t="s">
        <v>55</v>
      </c>
      <c r="D2160" s="10" t="s">
        <v>105</v>
      </c>
      <c r="E2160" s="16"/>
      <c r="F2160" s="16" t="s">
        <v>382</v>
      </c>
      <c r="G2160" s="13">
        <f>IFERROR(__xludf.DUMMYFUNCTION("if(counta(filter('Previous Rank'!$A$2:$A2766,'Previous Rank'!$B$2:$B2766=B2160,'Previous Rank'!$C$2:$C2766=C2160))=1,filter('Previous Rank'!$A$2:$A2766,'Previous Rank'!$B$2:$B2766=B2160,'Previous Rank'!$C$2:$C2766=C2160),"""")"),2157.0)</f>
        <v>2157</v>
      </c>
      <c r="H2160" s="8">
        <f t="shared" si="1"/>
        <v>-2</v>
      </c>
    </row>
    <row r="2161">
      <c r="A2161" s="10">
        <v>2160.0</v>
      </c>
      <c r="B2161" s="11" t="s">
        <v>2259</v>
      </c>
      <c r="C2161" s="10" t="s">
        <v>20</v>
      </c>
      <c r="D2161" s="10" t="s">
        <v>49</v>
      </c>
      <c r="E2161" s="15"/>
      <c r="F2161" s="15" t="s">
        <v>382</v>
      </c>
      <c r="G2161" s="13">
        <f>IFERROR(__xludf.DUMMYFUNCTION("if(counta(filter('Previous Rank'!$A$2:$A2766,'Previous Rank'!$B$2:$B2766=B2161,'Previous Rank'!$C$2:$C2766=C2161))=1,filter('Previous Rank'!$A$2:$A2766,'Previous Rank'!$B$2:$B2766=B2161,'Previous Rank'!$C$2:$C2766=C2161),"""")"),2158.0)</f>
        <v>2158</v>
      </c>
      <c r="H2161" s="8">
        <f t="shared" si="1"/>
        <v>-2</v>
      </c>
    </row>
    <row r="2162">
      <c r="A2162" s="10">
        <v>2161.0</v>
      </c>
      <c r="B2162" s="11" t="s">
        <v>2260</v>
      </c>
      <c r="C2162" s="10" t="s">
        <v>14</v>
      </c>
      <c r="D2162" s="10" t="s">
        <v>52</v>
      </c>
      <c r="E2162" s="16"/>
      <c r="F2162" s="16" t="s">
        <v>382</v>
      </c>
      <c r="G2162" s="13">
        <f>IFERROR(__xludf.DUMMYFUNCTION("if(counta(filter('Previous Rank'!$A$2:$A2766,'Previous Rank'!$B$2:$B2766=B2162,'Previous Rank'!$C$2:$C2766=C2162))=1,filter('Previous Rank'!$A$2:$A2766,'Previous Rank'!$B$2:$B2766=B2162,'Previous Rank'!$C$2:$C2766=C2162),"""")"),2159.0)</f>
        <v>2159</v>
      </c>
      <c r="H2162" s="8">
        <f t="shared" si="1"/>
        <v>-2</v>
      </c>
    </row>
    <row r="2163">
      <c r="A2163" s="10">
        <v>2162.0</v>
      </c>
      <c r="B2163" s="11" t="s">
        <v>2261</v>
      </c>
      <c r="C2163" s="10" t="s">
        <v>14</v>
      </c>
      <c r="D2163" s="10" t="s">
        <v>73</v>
      </c>
      <c r="E2163" s="15"/>
      <c r="F2163" s="15" t="s">
        <v>382</v>
      </c>
      <c r="G2163" s="13">
        <f>IFERROR(__xludf.DUMMYFUNCTION("if(counta(filter('Previous Rank'!$A$2:$A2766,'Previous Rank'!$B$2:$B2766=B2163,'Previous Rank'!$C$2:$C2766=C2163))=1,filter('Previous Rank'!$A$2:$A2766,'Previous Rank'!$B$2:$B2766=B2163,'Previous Rank'!$C$2:$C2766=C2163),"""")"),2160.0)</f>
        <v>2160</v>
      </c>
      <c r="H2163" s="8">
        <f t="shared" si="1"/>
        <v>-2</v>
      </c>
    </row>
    <row r="2164">
      <c r="A2164" s="10">
        <v>2163.0</v>
      </c>
      <c r="B2164" s="11" t="s">
        <v>2262</v>
      </c>
      <c r="C2164" s="10" t="s">
        <v>55</v>
      </c>
      <c r="D2164" s="10" t="s">
        <v>120</v>
      </c>
      <c r="E2164" s="16"/>
      <c r="F2164" s="16" t="s">
        <v>382</v>
      </c>
      <c r="G2164" s="13">
        <f>IFERROR(__xludf.DUMMYFUNCTION("if(counta(filter('Previous Rank'!$A$2:$A2766,'Previous Rank'!$B$2:$B2766=B2164,'Previous Rank'!$C$2:$C2766=C2164))=1,filter('Previous Rank'!$A$2:$A2766,'Previous Rank'!$B$2:$B2766=B2164,'Previous Rank'!$C$2:$C2766=C2164),"""")"),2161.0)</f>
        <v>2161</v>
      </c>
      <c r="H2164" s="8">
        <f t="shared" si="1"/>
        <v>-2</v>
      </c>
    </row>
    <row r="2165">
      <c r="A2165" s="10">
        <v>2164.0</v>
      </c>
      <c r="B2165" s="11" t="s">
        <v>2263</v>
      </c>
      <c r="C2165" s="10" t="s">
        <v>14</v>
      </c>
      <c r="D2165" s="10" t="s">
        <v>49</v>
      </c>
      <c r="E2165" s="15"/>
      <c r="F2165" s="15" t="s">
        <v>382</v>
      </c>
      <c r="G2165" s="13">
        <f>IFERROR(__xludf.DUMMYFUNCTION("if(counta(filter('Previous Rank'!$A$2:$A2766,'Previous Rank'!$B$2:$B2766=B2165,'Previous Rank'!$C$2:$C2766=C2165))=1,filter('Previous Rank'!$A$2:$A2766,'Previous Rank'!$B$2:$B2766=B2165,'Previous Rank'!$C$2:$C2766=C2165),"""")"),2162.0)</f>
        <v>2162</v>
      </c>
      <c r="H2165" s="8">
        <f t="shared" si="1"/>
        <v>-2</v>
      </c>
    </row>
    <row r="2166">
      <c r="A2166" s="10">
        <v>2165.0</v>
      </c>
      <c r="B2166" s="11" t="s">
        <v>2264</v>
      </c>
      <c r="C2166" s="10" t="s">
        <v>77</v>
      </c>
      <c r="D2166" s="10" t="s">
        <v>27</v>
      </c>
      <c r="E2166" s="16"/>
      <c r="F2166" s="16" t="s">
        <v>382</v>
      </c>
      <c r="G2166" s="13">
        <f>IFERROR(__xludf.DUMMYFUNCTION("if(counta(filter('Previous Rank'!$A$2:$A2766,'Previous Rank'!$B$2:$B2766=B2166,'Previous Rank'!$C$2:$C2766=C2166))=1,filter('Previous Rank'!$A$2:$A2766,'Previous Rank'!$B$2:$B2766=B2166,'Previous Rank'!$C$2:$C2766=C2166),"""")"),2163.0)</f>
        <v>2163</v>
      </c>
      <c r="H2166" s="8">
        <f t="shared" si="1"/>
        <v>-2</v>
      </c>
    </row>
    <row r="2167">
      <c r="A2167" s="10">
        <v>2166.0</v>
      </c>
      <c r="B2167" s="11" t="s">
        <v>2265</v>
      </c>
      <c r="C2167" s="10" t="s">
        <v>77</v>
      </c>
      <c r="D2167" s="10" t="s">
        <v>36</v>
      </c>
      <c r="E2167" s="15"/>
      <c r="F2167" s="15" t="s">
        <v>382</v>
      </c>
      <c r="G2167" s="13">
        <f>IFERROR(__xludf.DUMMYFUNCTION("if(counta(filter('Previous Rank'!$A$2:$A2766,'Previous Rank'!$B$2:$B2766=B2167,'Previous Rank'!$C$2:$C2766=C2167))=1,filter('Previous Rank'!$A$2:$A2766,'Previous Rank'!$B$2:$B2766=B2167,'Previous Rank'!$C$2:$C2766=C2167),"""")"),2164.0)</f>
        <v>2164</v>
      </c>
      <c r="H2167" s="8">
        <f t="shared" si="1"/>
        <v>-2</v>
      </c>
    </row>
    <row r="2168">
      <c r="A2168" s="10">
        <v>2167.0</v>
      </c>
      <c r="B2168" s="11" t="s">
        <v>2266</v>
      </c>
      <c r="C2168" s="10" t="s">
        <v>55</v>
      </c>
      <c r="D2168" s="10" t="s">
        <v>120</v>
      </c>
      <c r="E2168" s="16"/>
      <c r="F2168" s="16" t="s">
        <v>382</v>
      </c>
      <c r="G2168" s="13">
        <f>IFERROR(__xludf.DUMMYFUNCTION("if(counta(filter('Previous Rank'!$A$2:$A2766,'Previous Rank'!$B$2:$B2766=B2168,'Previous Rank'!$C$2:$C2766=C2168))=1,filter('Previous Rank'!$A$2:$A2766,'Previous Rank'!$B$2:$B2766=B2168,'Previous Rank'!$C$2:$C2766=C2168),"""")"),2165.0)</f>
        <v>2165</v>
      </c>
      <c r="H2168" s="8">
        <f t="shared" si="1"/>
        <v>-2</v>
      </c>
    </row>
    <row r="2169">
      <c r="A2169" s="10">
        <v>2168.0</v>
      </c>
      <c r="B2169" s="11" t="s">
        <v>2267</v>
      </c>
      <c r="C2169" s="10" t="s">
        <v>77</v>
      </c>
      <c r="D2169" s="10" t="s">
        <v>113</v>
      </c>
      <c r="E2169" s="15"/>
      <c r="F2169" s="15" t="s">
        <v>382</v>
      </c>
      <c r="G2169" s="13">
        <f>IFERROR(__xludf.DUMMYFUNCTION("if(counta(filter('Previous Rank'!$A$2:$A2766,'Previous Rank'!$B$2:$B2766=B2169,'Previous Rank'!$C$2:$C2766=C2169))=1,filter('Previous Rank'!$A$2:$A2766,'Previous Rank'!$B$2:$B2766=B2169,'Previous Rank'!$C$2:$C2766=C2169),"""")"),2166.0)</f>
        <v>2166</v>
      </c>
      <c r="H2169" s="8">
        <f t="shared" si="1"/>
        <v>-2</v>
      </c>
    </row>
    <row r="2170">
      <c r="A2170" s="10">
        <v>2169.0</v>
      </c>
      <c r="B2170" s="11" t="s">
        <v>2268</v>
      </c>
      <c r="C2170" s="10" t="s">
        <v>14</v>
      </c>
      <c r="D2170" s="10" t="s">
        <v>73</v>
      </c>
      <c r="E2170" s="16"/>
      <c r="F2170" s="16" t="s">
        <v>382</v>
      </c>
      <c r="G2170" s="13">
        <f>IFERROR(__xludf.DUMMYFUNCTION("if(counta(filter('Previous Rank'!$A$2:$A2766,'Previous Rank'!$B$2:$B2766=B2170,'Previous Rank'!$C$2:$C2766=C2170))=1,filter('Previous Rank'!$A$2:$A2766,'Previous Rank'!$B$2:$B2766=B2170,'Previous Rank'!$C$2:$C2766=C2170),"""")"),2167.0)</f>
        <v>2167</v>
      </c>
      <c r="H2170" s="8">
        <f t="shared" si="1"/>
        <v>-2</v>
      </c>
    </row>
    <row r="2171">
      <c r="A2171" s="10">
        <v>2170.0</v>
      </c>
      <c r="B2171" s="11" t="s">
        <v>2269</v>
      </c>
      <c r="C2171" s="10" t="s">
        <v>14</v>
      </c>
      <c r="D2171" s="10" t="s">
        <v>95</v>
      </c>
      <c r="E2171" s="15"/>
      <c r="F2171" s="15" t="s">
        <v>382</v>
      </c>
      <c r="G2171" s="13">
        <f>IFERROR(__xludf.DUMMYFUNCTION("if(counta(filter('Previous Rank'!$A$2:$A2766,'Previous Rank'!$B$2:$B2766=B2171,'Previous Rank'!$C$2:$C2766=C2171))=1,filter('Previous Rank'!$A$2:$A2766,'Previous Rank'!$B$2:$B2766=B2171,'Previous Rank'!$C$2:$C2766=C2171),"""")"),2168.0)</f>
        <v>2168</v>
      </c>
      <c r="H2171" s="8">
        <f t="shared" si="1"/>
        <v>-2</v>
      </c>
    </row>
    <row r="2172">
      <c r="A2172" s="10">
        <v>2171.0</v>
      </c>
      <c r="B2172" s="11" t="s">
        <v>2270</v>
      </c>
      <c r="C2172" s="10" t="s">
        <v>14</v>
      </c>
      <c r="D2172" s="10" t="s">
        <v>122</v>
      </c>
      <c r="E2172" s="16"/>
      <c r="F2172" s="16" t="s">
        <v>382</v>
      </c>
      <c r="G2172" s="13">
        <f>IFERROR(__xludf.DUMMYFUNCTION("if(counta(filter('Previous Rank'!$A$2:$A2766,'Previous Rank'!$B$2:$B2766=B2172,'Previous Rank'!$C$2:$C2766=C2172))=1,filter('Previous Rank'!$A$2:$A2766,'Previous Rank'!$B$2:$B2766=B2172,'Previous Rank'!$C$2:$C2766=C2172),"""")"),2169.0)</f>
        <v>2169</v>
      </c>
      <c r="H2172" s="8">
        <f t="shared" si="1"/>
        <v>-2</v>
      </c>
    </row>
    <row r="2173">
      <c r="A2173" s="10">
        <v>2172.0</v>
      </c>
      <c r="B2173" s="11" t="s">
        <v>2271</v>
      </c>
      <c r="C2173" s="10" t="s">
        <v>20</v>
      </c>
      <c r="D2173" s="10" t="s">
        <v>36</v>
      </c>
      <c r="E2173" s="15"/>
      <c r="F2173" s="15" t="s">
        <v>382</v>
      </c>
      <c r="G2173" s="13">
        <f>IFERROR(__xludf.DUMMYFUNCTION("if(counta(filter('Previous Rank'!$A$2:$A2766,'Previous Rank'!$B$2:$B2766=B2173,'Previous Rank'!$C$2:$C2766=C2173))=1,filter('Previous Rank'!$A$2:$A2766,'Previous Rank'!$B$2:$B2766=B2173,'Previous Rank'!$C$2:$C2766=C2173),"""")"),2170.0)</f>
        <v>2170</v>
      </c>
      <c r="H2173" s="8">
        <f t="shared" si="1"/>
        <v>-2</v>
      </c>
    </row>
    <row r="2174">
      <c r="A2174" s="10">
        <v>2173.0</v>
      </c>
      <c r="B2174" s="11" t="s">
        <v>2272</v>
      </c>
      <c r="C2174" s="10" t="s">
        <v>11</v>
      </c>
      <c r="D2174" s="10" t="s">
        <v>105</v>
      </c>
      <c r="E2174" s="16"/>
      <c r="F2174" s="16" t="s">
        <v>382</v>
      </c>
      <c r="G2174" s="13">
        <f>IFERROR(__xludf.DUMMYFUNCTION("if(counta(filter('Previous Rank'!$A$2:$A2766,'Previous Rank'!$B$2:$B2766=B2174,'Previous Rank'!$C$2:$C2766=C2174))=1,filter('Previous Rank'!$A$2:$A2766,'Previous Rank'!$B$2:$B2766=B2174,'Previous Rank'!$C$2:$C2766=C2174),"""")"),2171.0)</f>
        <v>2171</v>
      </c>
      <c r="H2174" s="8">
        <f t="shared" si="1"/>
        <v>-2</v>
      </c>
    </row>
    <row r="2175">
      <c r="A2175" s="10">
        <v>2174.0</v>
      </c>
      <c r="B2175" s="11" t="s">
        <v>2273</v>
      </c>
      <c r="C2175" s="10" t="s">
        <v>77</v>
      </c>
      <c r="D2175" s="10" t="s">
        <v>67</v>
      </c>
      <c r="E2175" s="15"/>
      <c r="F2175" s="15" t="s">
        <v>382</v>
      </c>
      <c r="G2175" s="13">
        <f>IFERROR(__xludf.DUMMYFUNCTION("if(counta(filter('Previous Rank'!$A$2:$A2766,'Previous Rank'!$B$2:$B2766=B2175,'Previous Rank'!$C$2:$C2766=C2175))=1,filter('Previous Rank'!$A$2:$A2766,'Previous Rank'!$B$2:$B2766=B2175,'Previous Rank'!$C$2:$C2766=C2175),"""")"),2172.0)</f>
        <v>2172</v>
      </c>
      <c r="H2175" s="8">
        <f t="shared" si="1"/>
        <v>-2</v>
      </c>
    </row>
    <row r="2176">
      <c r="A2176" s="10">
        <v>2175.0</v>
      </c>
      <c r="B2176" s="11" t="s">
        <v>2274</v>
      </c>
      <c r="C2176" s="10" t="s">
        <v>14</v>
      </c>
      <c r="D2176" s="10" t="s">
        <v>120</v>
      </c>
      <c r="E2176" s="16"/>
      <c r="F2176" s="16" t="s">
        <v>382</v>
      </c>
      <c r="G2176" s="13">
        <f>IFERROR(__xludf.DUMMYFUNCTION("if(counta(filter('Previous Rank'!$A$2:$A2766,'Previous Rank'!$B$2:$B2766=B2176,'Previous Rank'!$C$2:$C2766=C2176))=1,filter('Previous Rank'!$A$2:$A2766,'Previous Rank'!$B$2:$B2766=B2176,'Previous Rank'!$C$2:$C2766=C2176),"""")"),2173.0)</f>
        <v>2173</v>
      </c>
      <c r="H2176" s="8">
        <f t="shared" si="1"/>
        <v>-2</v>
      </c>
    </row>
    <row r="2177">
      <c r="A2177" s="10">
        <v>2176.0</v>
      </c>
      <c r="B2177" s="11" t="s">
        <v>2275</v>
      </c>
      <c r="C2177" s="10" t="s">
        <v>39</v>
      </c>
      <c r="D2177" s="10" t="s">
        <v>42</v>
      </c>
      <c r="E2177" s="15"/>
      <c r="F2177" s="15" t="s">
        <v>382</v>
      </c>
      <c r="G2177" s="13">
        <f>IFERROR(__xludf.DUMMYFUNCTION("if(counta(filter('Previous Rank'!$A$2:$A2766,'Previous Rank'!$B$2:$B2766=B2177,'Previous Rank'!$C$2:$C2766=C2177))=1,filter('Previous Rank'!$A$2:$A2766,'Previous Rank'!$B$2:$B2766=B2177,'Previous Rank'!$C$2:$C2766=C2177),"""")"),2174.0)</f>
        <v>2174</v>
      </c>
      <c r="H2177" s="8">
        <f t="shared" si="1"/>
        <v>-2</v>
      </c>
    </row>
    <row r="2178">
      <c r="A2178" s="10">
        <v>2177.0</v>
      </c>
      <c r="B2178" s="11" t="s">
        <v>2276</v>
      </c>
      <c r="C2178" s="10" t="s">
        <v>39</v>
      </c>
      <c r="D2178" s="10" t="s">
        <v>129</v>
      </c>
      <c r="E2178" s="16"/>
      <c r="F2178" s="16" t="s">
        <v>382</v>
      </c>
      <c r="G2178" s="13">
        <f>IFERROR(__xludf.DUMMYFUNCTION("if(counta(filter('Previous Rank'!$A$2:$A2766,'Previous Rank'!$B$2:$B2766=B2178,'Previous Rank'!$C$2:$C2766=C2178))=1,filter('Previous Rank'!$A$2:$A2766,'Previous Rank'!$B$2:$B2766=B2178,'Previous Rank'!$C$2:$C2766=C2178),"""")"),2175.0)</f>
        <v>2175</v>
      </c>
      <c r="H2178" s="8">
        <f t="shared" si="1"/>
        <v>-2</v>
      </c>
    </row>
    <row r="2179">
      <c r="A2179" s="10">
        <v>2178.0</v>
      </c>
      <c r="B2179" s="11" t="s">
        <v>2277</v>
      </c>
      <c r="C2179" s="10" t="s">
        <v>48</v>
      </c>
      <c r="D2179" s="10" t="s">
        <v>90</v>
      </c>
      <c r="E2179" s="15"/>
      <c r="F2179" s="15" t="s">
        <v>382</v>
      </c>
      <c r="G2179" s="13">
        <f>IFERROR(__xludf.DUMMYFUNCTION("if(counta(filter('Previous Rank'!$A$2:$A2766,'Previous Rank'!$B$2:$B2766=B2179,'Previous Rank'!$C$2:$C2766=C2179))=1,filter('Previous Rank'!$A$2:$A2766,'Previous Rank'!$B$2:$B2766=B2179,'Previous Rank'!$C$2:$C2766=C2179),"""")"),2176.0)</f>
        <v>2176</v>
      </c>
      <c r="H2179" s="8">
        <f t="shared" si="1"/>
        <v>-2</v>
      </c>
    </row>
    <row r="2180">
      <c r="A2180" s="10">
        <v>2179.0</v>
      </c>
      <c r="B2180" s="11" t="s">
        <v>2278</v>
      </c>
      <c r="C2180" s="10" t="s">
        <v>14</v>
      </c>
      <c r="D2180" s="10" t="s">
        <v>140</v>
      </c>
      <c r="E2180" s="16"/>
      <c r="F2180" s="16" t="s">
        <v>382</v>
      </c>
      <c r="G2180" s="13">
        <f>IFERROR(__xludf.DUMMYFUNCTION("if(counta(filter('Previous Rank'!$A$2:$A2766,'Previous Rank'!$B$2:$B2766=B2180,'Previous Rank'!$C$2:$C2766=C2180))=1,filter('Previous Rank'!$A$2:$A2766,'Previous Rank'!$B$2:$B2766=B2180,'Previous Rank'!$C$2:$C2766=C2180),"""")"),2177.0)</f>
        <v>2177</v>
      </c>
      <c r="H2180" s="8">
        <f t="shared" si="1"/>
        <v>-2</v>
      </c>
    </row>
    <row r="2181">
      <c r="A2181" s="10">
        <v>2180.0</v>
      </c>
      <c r="B2181" s="11" t="s">
        <v>2279</v>
      </c>
      <c r="C2181" s="10" t="s">
        <v>39</v>
      </c>
      <c r="D2181" s="10" t="s">
        <v>82</v>
      </c>
      <c r="E2181" s="15"/>
      <c r="F2181" s="15" t="s">
        <v>382</v>
      </c>
      <c r="G2181" s="13">
        <f>IFERROR(__xludf.DUMMYFUNCTION("if(counta(filter('Previous Rank'!$A$2:$A2766,'Previous Rank'!$B$2:$B2766=B2181,'Previous Rank'!$C$2:$C2766=C2181))=1,filter('Previous Rank'!$A$2:$A2766,'Previous Rank'!$B$2:$B2766=B2181,'Previous Rank'!$C$2:$C2766=C2181),"""")"),2178.0)</f>
        <v>2178</v>
      </c>
      <c r="H2181" s="8">
        <f t="shared" si="1"/>
        <v>-2</v>
      </c>
    </row>
    <row r="2182">
      <c r="A2182" s="10">
        <v>2181.0</v>
      </c>
      <c r="B2182" s="11" t="s">
        <v>2280</v>
      </c>
      <c r="C2182" s="10" t="s">
        <v>17</v>
      </c>
      <c r="D2182" s="10" t="s">
        <v>52</v>
      </c>
      <c r="E2182" s="16"/>
      <c r="F2182" s="16" t="s">
        <v>382</v>
      </c>
      <c r="G2182" s="13">
        <f>IFERROR(__xludf.DUMMYFUNCTION("if(counta(filter('Previous Rank'!$A$2:$A2766,'Previous Rank'!$B$2:$B2766=B2182,'Previous Rank'!$C$2:$C2766=C2182))=1,filter('Previous Rank'!$A$2:$A2766,'Previous Rank'!$B$2:$B2766=B2182,'Previous Rank'!$C$2:$C2766=C2182),"""")"),2179.0)</f>
        <v>2179</v>
      </c>
      <c r="H2182" s="8">
        <f t="shared" si="1"/>
        <v>-2</v>
      </c>
    </row>
    <row r="2183">
      <c r="A2183" s="10">
        <v>2182.0</v>
      </c>
      <c r="B2183" s="11" t="s">
        <v>2281</v>
      </c>
      <c r="C2183" s="10" t="s">
        <v>77</v>
      </c>
      <c r="D2183" s="10" t="s">
        <v>120</v>
      </c>
      <c r="E2183" s="15"/>
      <c r="F2183" s="15" t="s">
        <v>382</v>
      </c>
      <c r="G2183" s="13">
        <f>IFERROR(__xludf.DUMMYFUNCTION("if(counta(filter('Previous Rank'!$A$2:$A2766,'Previous Rank'!$B$2:$B2766=B2183,'Previous Rank'!$C$2:$C2766=C2183))=1,filter('Previous Rank'!$A$2:$A2766,'Previous Rank'!$B$2:$B2766=B2183,'Previous Rank'!$C$2:$C2766=C2183),"""")"),2180.0)</f>
        <v>2180</v>
      </c>
      <c r="H2183" s="8">
        <f t="shared" si="1"/>
        <v>-2</v>
      </c>
    </row>
    <row r="2184">
      <c r="A2184" s="10">
        <v>2183.0</v>
      </c>
      <c r="B2184" s="11" t="s">
        <v>2282</v>
      </c>
      <c r="C2184" s="10" t="s">
        <v>14</v>
      </c>
      <c r="D2184" s="10" t="s">
        <v>71</v>
      </c>
      <c r="E2184" s="16"/>
      <c r="F2184" s="16" t="s">
        <v>382</v>
      </c>
      <c r="G2184" s="13">
        <f>IFERROR(__xludf.DUMMYFUNCTION("if(counta(filter('Previous Rank'!$A$2:$A2766,'Previous Rank'!$B$2:$B2766=B2184,'Previous Rank'!$C$2:$C2766=C2184))=1,filter('Previous Rank'!$A$2:$A2766,'Previous Rank'!$B$2:$B2766=B2184,'Previous Rank'!$C$2:$C2766=C2184),"""")"),2181.0)</f>
        <v>2181</v>
      </c>
      <c r="H2184" s="8">
        <f t="shared" si="1"/>
        <v>-2</v>
      </c>
    </row>
    <row r="2185">
      <c r="A2185" s="10">
        <v>2184.0</v>
      </c>
      <c r="B2185" s="11" t="s">
        <v>2283</v>
      </c>
      <c r="C2185" s="10" t="s">
        <v>77</v>
      </c>
      <c r="D2185" s="10" t="s">
        <v>18</v>
      </c>
      <c r="E2185" s="15"/>
      <c r="F2185" s="15" t="s">
        <v>382</v>
      </c>
      <c r="G2185" s="13">
        <f>IFERROR(__xludf.DUMMYFUNCTION("if(counta(filter('Previous Rank'!$A$2:$A2766,'Previous Rank'!$B$2:$B2766=B2185,'Previous Rank'!$C$2:$C2766=C2185))=1,filter('Previous Rank'!$A$2:$A2766,'Previous Rank'!$B$2:$B2766=B2185,'Previous Rank'!$C$2:$C2766=C2185),"""")"),2182.0)</f>
        <v>2182</v>
      </c>
      <c r="H2185" s="8">
        <f t="shared" si="1"/>
        <v>-2</v>
      </c>
    </row>
    <row r="2186">
      <c r="A2186" s="10">
        <v>2185.0</v>
      </c>
      <c r="B2186" s="11" t="s">
        <v>2284</v>
      </c>
      <c r="C2186" s="10" t="s">
        <v>39</v>
      </c>
      <c r="D2186" s="10" t="s">
        <v>73</v>
      </c>
      <c r="E2186" s="16"/>
      <c r="F2186" s="16" t="s">
        <v>382</v>
      </c>
      <c r="G2186" s="13">
        <f>IFERROR(__xludf.DUMMYFUNCTION("if(counta(filter('Previous Rank'!$A$2:$A2766,'Previous Rank'!$B$2:$B2766=B2186,'Previous Rank'!$C$2:$C2766=C2186))=1,filter('Previous Rank'!$A$2:$A2766,'Previous Rank'!$B$2:$B2766=B2186,'Previous Rank'!$C$2:$C2766=C2186),"""")"),2183.0)</f>
        <v>2183</v>
      </c>
      <c r="H2186" s="8">
        <f t="shared" si="1"/>
        <v>-2</v>
      </c>
    </row>
    <row r="2187">
      <c r="A2187" s="10">
        <v>2186.0</v>
      </c>
      <c r="B2187" s="11" t="s">
        <v>2285</v>
      </c>
      <c r="C2187" s="10" t="s">
        <v>39</v>
      </c>
      <c r="D2187" s="10" t="s">
        <v>120</v>
      </c>
      <c r="E2187" s="15"/>
      <c r="F2187" s="15" t="s">
        <v>382</v>
      </c>
      <c r="G2187" s="13">
        <f>IFERROR(__xludf.DUMMYFUNCTION("if(counta(filter('Previous Rank'!$A$2:$A2766,'Previous Rank'!$B$2:$B2766=B2187,'Previous Rank'!$C$2:$C2766=C2187))=1,filter('Previous Rank'!$A$2:$A2766,'Previous Rank'!$B$2:$B2766=B2187,'Previous Rank'!$C$2:$C2766=C2187),"""")"),2184.0)</f>
        <v>2184</v>
      </c>
      <c r="H2187" s="8">
        <f t="shared" si="1"/>
        <v>-2</v>
      </c>
    </row>
    <row r="2188">
      <c r="A2188" s="10">
        <v>2187.0</v>
      </c>
      <c r="B2188" s="11" t="s">
        <v>2286</v>
      </c>
      <c r="C2188" s="10" t="s">
        <v>14</v>
      </c>
      <c r="D2188" s="10" t="s">
        <v>27</v>
      </c>
      <c r="E2188" s="16"/>
      <c r="F2188" s="16" t="s">
        <v>382</v>
      </c>
      <c r="G2188" s="13">
        <f>IFERROR(__xludf.DUMMYFUNCTION("if(counta(filter('Previous Rank'!$A$2:$A2766,'Previous Rank'!$B$2:$B2766=B2188,'Previous Rank'!$C$2:$C2766=C2188))=1,filter('Previous Rank'!$A$2:$A2766,'Previous Rank'!$B$2:$B2766=B2188,'Previous Rank'!$C$2:$C2766=C2188),"""")"),2185.0)</f>
        <v>2185</v>
      </c>
      <c r="H2188" s="8">
        <f t="shared" si="1"/>
        <v>-2</v>
      </c>
    </row>
    <row r="2189">
      <c r="A2189" s="10">
        <v>2188.0</v>
      </c>
      <c r="B2189" s="11" t="s">
        <v>2287</v>
      </c>
      <c r="C2189" s="10" t="s">
        <v>14</v>
      </c>
      <c r="D2189" s="10" t="s">
        <v>122</v>
      </c>
      <c r="E2189" s="15"/>
      <c r="F2189" s="15" t="s">
        <v>382</v>
      </c>
      <c r="G2189" s="13">
        <f>IFERROR(__xludf.DUMMYFUNCTION("if(counta(filter('Previous Rank'!$A$2:$A2766,'Previous Rank'!$B$2:$B2766=B2189,'Previous Rank'!$C$2:$C2766=C2189))=1,filter('Previous Rank'!$A$2:$A2766,'Previous Rank'!$B$2:$B2766=B2189,'Previous Rank'!$C$2:$C2766=C2189),"""")"),2186.0)</f>
        <v>2186</v>
      </c>
      <c r="H2189" s="8">
        <f t="shared" si="1"/>
        <v>-2</v>
      </c>
    </row>
    <row r="2190">
      <c r="A2190" s="10">
        <v>2189.0</v>
      </c>
      <c r="B2190" s="11" t="s">
        <v>2288</v>
      </c>
      <c r="C2190" s="10" t="s">
        <v>14</v>
      </c>
      <c r="D2190" s="10" t="s">
        <v>99</v>
      </c>
      <c r="E2190" s="16"/>
      <c r="F2190" s="16" t="s">
        <v>382</v>
      </c>
      <c r="G2190" s="13">
        <f>IFERROR(__xludf.DUMMYFUNCTION("if(counta(filter('Previous Rank'!$A$2:$A2766,'Previous Rank'!$B$2:$B2766=B2190,'Previous Rank'!$C$2:$C2766=C2190))=1,filter('Previous Rank'!$A$2:$A2766,'Previous Rank'!$B$2:$B2766=B2190,'Previous Rank'!$C$2:$C2766=C2190),"""")"),2187.0)</f>
        <v>2187</v>
      </c>
      <c r="H2190" s="8">
        <f t="shared" si="1"/>
        <v>-2</v>
      </c>
    </row>
    <row r="2191">
      <c r="A2191" s="10">
        <v>2190.0</v>
      </c>
      <c r="B2191" s="11" t="s">
        <v>2289</v>
      </c>
      <c r="C2191" s="10" t="s">
        <v>139</v>
      </c>
      <c r="D2191" s="10" t="s">
        <v>42</v>
      </c>
      <c r="E2191" s="15"/>
      <c r="F2191" s="15" t="s">
        <v>382</v>
      </c>
      <c r="G2191" s="13">
        <f>IFERROR(__xludf.DUMMYFUNCTION("if(counta(filter('Previous Rank'!$A$2:$A2766,'Previous Rank'!$B$2:$B2766=B2191,'Previous Rank'!$C$2:$C2766=C2191))=1,filter('Previous Rank'!$A$2:$A2766,'Previous Rank'!$B$2:$B2766=B2191,'Previous Rank'!$C$2:$C2766=C2191),"""")"),2188.0)</f>
        <v>2188</v>
      </c>
      <c r="H2191" s="8">
        <f t="shared" si="1"/>
        <v>-2</v>
      </c>
    </row>
    <row r="2192">
      <c r="A2192" s="10">
        <v>2191.0</v>
      </c>
      <c r="B2192" s="11" t="s">
        <v>2290</v>
      </c>
      <c r="C2192" s="10" t="s">
        <v>14</v>
      </c>
      <c r="D2192" s="10" t="s">
        <v>122</v>
      </c>
      <c r="E2192" s="16"/>
      <c r="F2192" s="16" t="s">
        <v>382</v>
      </c>
      <c r="G2192" s="13">
        <f>IFERROR(__xludf.DUMMYFUNCTION("if(counta(filter('Previous Rank'!$A$2:$A2766,'Previous Rank'!$B$2:$B2766=B2192,'Previous Rank'!$C$2:$C2766=C2192))=1,filter('Previous Rank'!$A$2:$A2766,'Previous Rank'!$B$2:$B2766=B2192,'Previous Rank'!$C$2:$C2766=C2192),"""")"),2189.0)</f>
        <v>2189</v>
      </c>
      <c r="H2192" s="8">
        <f t="shared" si="1"/>
        <v>-2</v>
      </c>
    </row>
    <row r="2193">
      <c r="A2193" s="10">
        <v>2192.0</v>
      </c>
      <c r="B2193" s="11" t="s">
        <v>2291</v>
      </c>
      <c r="C2193" s="10" t="s">
        <v>48</v>
      </c>
      <c r="D2193" s="10" t="s">
        <v>52</v>
      </c>
      <c r="E2193" s="15"/>
      <c r="F2193" s="15" t="s">
        <v>382</v>
      </c>
      <c r="G2193" s="13">
        <f>IFERROR(__xludf.DUMMYFUNCTION("if(counta(filter('Previous Rank'!$A$2:$A2766,'Previous Rank'!$B$2:$B2766=B2193,'Previous Rank'!$C$2:$C2766=C2193))=1,filter('Previous Rank'!$A$2:$A2766,'Previous Rank'!$B$2:$B2766=B2193,'Previous Rank'!$C$2:$C2766=C2193),"""")"),2190.0)</f>
        <v>2190</v>
      </c>
      <c r="H2193" s="8">
        <f t="shared" si="1"/>
        <v>-2</v>
      </c>
    </row>
    <row r="2194">
      <c r="A2194" s="10">
        <v>2193.0</v>
      </c>
      <c r="B2194" s="11" t="s">
        <v>2292</v>
      </c>
      <c r="C2194" s="10" t="s">
        <v>39</v>
      </c>
      <c r="D2194" s="10" t="s">
        <v>25</v>
      </c>
      <c r="E2194" s="16"/>
      <c r="F2194" s="16"/>
      <c r="G2194" s="13">
        <f>IFERROR(__xludf.DUMMYFUNCTION("if(counta(filter('Previous Rank'!$A$2:$A2766,'Previous Rank'!$B$2:$B2766=B2194,'Previous Rank'!$C$2:$C2766=C2194))=1,filter('Previous Rank'!$A$2:$A2766,'Previous Rank'!$B$2:$B2766=B2194,'Previous Rank'!$C$2:$C2766=C2194),"""")"),2191.0)</f>
        <v>2191</v>
      </c>
      <c r="H2194" s="8">
        <f t="shared" si="1"/>
        <v>-2</v>
      </c>
    </row>
    <row r="2195">
      <c r="A2195" s="10">
        <v>2194.0</v>
      </c>
      <c r="B2195" s="11" t="s">
        <v>2293</v>
      </c>
      <c r="C2195" s="10" t="s">
        <v>14</v>
      </c>
      <c r="D2195" s="10" t="s">
        <v>71</v>
      </c>
      <c r="E2195" s="15"/>
      <c r="F2195" s="15" t="s">
        <v>382</v>
      </c>
      <c r="G2195" s="13">
        <f>IFERROR(__xludf.DUMMYFUNCTION("if(counta(filter('Previous Rank'!$A$2:$A2766,'Previous Rank'!$B$2:$B2766=B2195,'Previous Rank'!$C$2:$C2766=C2195))=1,filter('Previous Rank'!$A$2:$A2766,'Previous Rank'!$B$2:$B2766=B2195,'Previous Rank'!$C$2:$C2766=C2195),"""")"),2192.0)</f>
        <v>2192</v>
      </c>
      <c r="H2195" s="8">
        <f t="shared" si="1"/>
        <v>-2</v>
      </c>
    </row>
    <row r="2196">
      <c r="A2196" s="10">
        <v>2195.0</v>
      </c>
      <c r="B2196" s="11" t="s">
        <v>2294</v>
      </c>
      <c r="C2196" s="10" t="s">
        <v>63</v>
      </c>
      <c r="D2196" s="10" t="s">
        <v>18</v>
      </c>
      <c r="E2196" s="16"/>
      <c r="F2196" s="16" t="s">
        <v>382</v>
      </c>
      <c r="G2196" s="13">
        <f>IFERROR(__xludf.DUMMYFUNCTION("if(counta(filter('Previous Rank'!$A$2:$A2766,'Previous Rank'!$B$2:$B2766=B2196,'Previous Rank'!$C$2:$C2766=C2196))=1,filter('Previous Rank'!$A$2:$A2766,'Previous Rank'!$B$2:$B2766=B2196,'Previous Rank'!$C$2:$C2766=C2196),"""")"),2193.0)</f>
        <v>2193</v>
      </c>
      <c r="H2196" s="8">
        <f t="shared" si="1"/>
        <v>-2</v>
      </c>
    </row>
    <row r="2197">
      <c r="A2197" s="10">
        <v>2196.0</v>
      </c>
      <c r="B2197" s="11" t="s">
        <v>2295</v>
      </c>
      <c r="C2197" s="10" t="s">
        <v>14</v>
      </c>
      <c r="D2197" s="10" t="s">
        <v>15</v>
      </c>
      <c r="E2197" s="15"/>
      <c r="F2197" s="15" t="s">
        <v>382</v>
      </c>
      <c r="G2197" s="13">
        <f>IFERROR(__xludf.DUMMYFUNCTION("if(counta(filter('Previous Rank'!$A$2:$A2766,'Previous Rank'!$B$2:$B2766=B2197,'Previous Rank'!$C$2:$C2766=C2197))=1,filter('Previous Rank'!$A$2:$A2766,'Previous Rank'!$B$2:$B2766=B2197,'Previous Rank'!$C$2:$C2766=C2197),"""")"),2194.0)</f>
        <v>2194</v>
      </c>
      <c r="H2197" s="8">
        <f t="shared" si="1"/>
        <v>-2</v>
      </c>
    </row>
    <row r="2198">
      <c r="A2198" s="10">
        <v>2197.0</v>
      </c>
      <c r="B2198" s="11" t="s">
        <v>2296</v>
      </c>
      <c r="C2198" s="10" t="s">
        <v>55</v>
      </c>
      <c r="D2198" s="10" t="s">
        <v>18</v>
      </c>
      <c r="E2198" s="16"/>
      <c r="F2198" s="16" t="s">
        <v>382</v>
      </c>
      <c r="G2198" s="13">
        <f>IFERROR(__xludf.DUMMYFUNCTION("if(counta(filter('Previous Rank'!$A$2:$A2766,'Previous Rank'!$B$2:$B2766=B2198,'Previous Rank'!$C$2:$C2766=C2198))=1,filter('Previous Rank'!$A$2:$A2766,'Previous Rank'!$B$2:$B2766=B2198,'Previous Rank'!$C$2:$C2766=C2198),"""")"),2195.0)</f>
        <v>2195</v>
      </c>
      <c r="H2198" s="8">
        <f t="shared" si="1"/>
        <v>-2</v>
      </c>
    </row>
    <row r="2199">
      <c r="A2199" s="10">
        <v>2198.0</v>
      </c>
      <c r="B2199" s="11" t="s">
        <v>2297</v>
      </c>
      <c r="C2199" s="10" t="s">
        <v>55</v>
      </c>
      <c r="D2199" s="10" t="s">
        <v>9</v>
      </c>
      <c r="E2199" s="15"/>
      <c r="F2199" s="15" t="s">
        <v>382</v>
      </c>
      <c r="G2199" s="13">
        <f>IFERROR(__xludf.DUMMYFUNCTION("if(counta(filter('Previous Rank'!$A$2:$A2766,'Previous Rank'!$B$2:$B2766=B2199,'Previous Rank'!$C$2:$C2766=C2199))=1,filter('Previous Rank'!$A$2:$A2766,'Previous Rank'!$B$2:$B2766=B2199,'Previous Rank'!$C$2:$C2766=C2199),"""")"),2196.0)</f>
        <v>2196</v>
      </c>
      <c r="H2199" s="8">
        <f t="shared" si="1"/>
        <v>-2</v>
      </c>
    </row>
    <row r="2200">
      <c r="A2200" s="10">
        <v>2199.0</v>
      </c>
      <c r="B2200" s="11" t="s">
        <v>2298</v>
      </c>
      <c r="C2200" s="10" t="s">
        <v>11</v>
      </c>
      <c r="D2200" s="10" t="s">
        <v>105</v>
      </c>
      <c r="E2200" s="16"/>
      <c r="F2200" s="16" t="s">
        <v>382</v>
      </c>
      <c r="G2200" s="13">
        <f>IFERROR(__xludf.DUMMYFUNCTION("if(counta(filter('Previous Rank'!$A$2:$A2766,'Previous Rank'!$B$2:$B2766=B2200,'Previous Rank'!$C$2:$C2766=C2200))=1,filter('Previous Rank'!$A$2:$A2766,'Previous Rank'!$B$2:$B2766=B2200,'Previous Rank'!$C$2:$C2766=C2200),"""")"),2197.0)</f>
        <v>2197</v>
      </c>
      <c r="H2200" s="8">
        <f t="shared" si="1"/>
        <v>-2</v>
      </c>
    </row>
    <row r="2201">
      <c r="A2201" s="10">
        <v>2200.0</v>
      </c>
      <c r="B2201" s="11" t="s">
        <v>2299</v>
      </c>
      <c r="C2201" s="10" t="s">
        <v>14</v>
      </c>
      <c r="D2201" s="10" t="s">
        <v>90</v>
      </c>
      <c r="E2201" s="15"/>
      <c r="F2201" s="15" t="s">
        <v>382</v>
      </c>
      <c r="G2201" s="13">
        <f>IFERROR(__xludf.DUMMYFUNCTION("if(counta(filter('Previous Rank'!$A$2:$A2766,'Previous Rank'!$B$2:$B2766=B2201,'Previous Rank'!$C$2:$C2766=C2201))=1,filter('Previous Rank'!$A$2:$A2766,'Previous Rank'!$B$2:$B2766=B2201,'Previous Rank'!$C$2:$C2766=C2201),"""")"),2198.0)</f>
        <v>2198</v>
      </c>
      <c r="H2201" s="8">
        <f t="shared" si="1"/>
        <v>-2</v>
      </c>
    </row>
    <row r="2202">
      <c r="A2202" s="10">
        <v>2201.0</v>
      </c>
      <c r="B2202" s="11" t="s">
        <v>1811</v>
      </c>
      <c r="C2202" s="10" t="s">
        <v>14</v>
      </c>
      <c r="D2202" s="10" t="s">
        <v>31</v>
      </c>
      <c r="E2202" s="16"/>
      <c r="F2202" s="16" t="s">
        <v>382</v>
      </c>
      <c r="G2202" s="13">
        <f>IFERROR(__xludf.DUMMYFUNCTION("if(counta(filter('Previous Rank'!$A$2:$A2766,'Previous Rank'!$B$2:$B2766=B2202,'Previous Rank'!$C$2:$C2766=C2202))=1,filter('Previous Rank'!$A$2:$A2766,'Previous Rank'!$B$2:$B2766=B2202,'Previous Rank'!$C$2:$C2766=C2202),"""")"),2199.0)</f>
        <v>2199</v>
      </c>
      <c r="H2202" s="8">
        <f t="shared" si="1"/>
        <v>-2</v>
      </c>
    </row>
    <row r="2203">
      <c r="A2203" s="10">
        <v>2202.0</v>
      </c>
      <c r="B2203" s="11" t="s">
        <v>2300</v>
      </c>
      <c r="C2203" s="10" t="s">
        <v>89</v>
      </c>
      <c r="D2203" s="10" t="s">
        <v>129</v>
      </c>
      <c r="E2203" s="15"/>
      <c r="F2203" s="15" t="s">
        <v>382</v>
      </c>
      <c r="G2203" s="13">
        <f>IFERROR(__xludf.DUMMYFUNCTION("if(counta(filter('Previous Rank'!$A$2:$A2766,'Previous Rank'!$B$2:$B2766=B2203,'Previous Rank'!$C$2:$C2766=C2203))=1,filter('Previous Rank'!$A$2:$A2766,'Previous Rank'!$B$2:$B2766=B2203,'Previous Rank'!$C$2:$C2766=C2203),"""")"),2200.0)</f>
        <v>2200</v>
      </c>
      <c r="H2203" s="8">
        <f t="shared" si="1"/>
        <v>-2</v>
      </c>
    </row>
    <row r="2204">
      <c r="A2204" s="10">
        <v>2203.0</v>
      </c>
      <c r="B2204" s="11" t="s">
        <v>2301</v>
      </c>
      <c r="C2204" s="10" t="s">
        <v>39</v>
      </c>
      <c r="D2204" s="10" t="s">
        <v>85</v>
      </c>
      <c r="E2204" s="16"/>
      <c r="F2204" s="16" t="s">
        <v>382</v>
      </c>
      <c r="G2204" s="13">
        <f>IFERROR(__xludf.DUMMYFUNCTION("if(counta(filter('Previous Rank'!$A$2:$A2766,'Previous Rank'!$B$2:$B2766=B2204,'Previous Rank'!$C$2:$C2766=C2204))=1,filter('Previous Rank'!$A$2:$A2766,'Previous Rank'!$B$2:$B2766=B2204,'Previous Rank'!$C$2:$C2766=C2204),"""")"),2201.0)</f>
        <v>2201</v>
      </c>
      <c r="H2204" s="8">
        <f t="shared" si="1"/>
        <v>-2</v>
      </c>
    </row>
    <row r="2205">
      <c r="A2205" s="10">
        <v>2204.0</v>
      </c>
      <c r="B2205" s="11" t="s">
        <v>2302</v>
      </c>
      <c r="C2205" s="10" t="s">
        <v>11</v>
      </c>
      <c r="D2205" s="10" t="s">
        <v>42</v>
      </c>
      <c r="E2205" s="15"/>
      <c r="F2205" s="15" t="s">
        <v>382</v>
      </c>
      <c r="G2205" s="13">
        <f>IFERROR(__xludf.DUMMYFUNCTION("if(counta(filter('Previous Rank'!$A$2:$A2766,'Previous Rank'!$B$2:$B2766=B2205,'Previous Rank'!$C$2:$C2766=C2205))=1,filter('Previous Rank'!$A$2:$A2766,'Previous Rank'!$B$2:$B2766=B2205,'Previous Rank'!$C$2:$C2766=C2205),"""")"),2202.0)</f>
        <v>2202</v>
      </c>
      <c r="H2205" s="8">
        <f t="shared" si="1"/>
        <v>-2</v>
      </c>
    </row>
    <row r="2206">
      <c r="A2206" s="10">
        <v>2205.0</v>
      </c>
      <c r="B2206" s="11" t="s">
        <v>2303</v>
      </c>
      <c r="C2206" s="10" t="s">
        <v>8</v>
      </c>
      <c r="D2206" s="10" t="s">
        <v>206</v>
      </c>
      <c r="E2206" s="16"/>
      <c r="F2206" s="16" t="s">
        <v>382</v>
      </c>
      <c r="G2206" s="13">
        <f>IFERROR(__xludf.DUMMYFUNCTION("if(counta(filter('Previous Rank'!$A$2:$A2766,'Previous Rank'!$B$2:$B2766=B2206,'Previous Rank'!$C$2:$C2766=C2206))=1,filter('Previous Rank'!$A$2:$A2766,'Previous Rank'!$B$2:$B2766=B2206,'Previous Rank'!$C$2:$C2766=C2206),"""")"),2203.0)</f>
        <v>2203</v>
      </c>
      <c r="H2206" s="8">
        <f t="shared" si="1"/>
        <v>-2</v>
      </c>
    </row>
    <row r="2207">
      <c r="A2207" s="10">
        <v>2206.0</v>
      </c>
      <c r="B2207" s="11" t="s">
        <v>2304</v>
      </c>
      <c r="C2207" s="10" t="s">
        <v>11</v>
      </c>
      <c r="D2207" s="10" t="s">
        <v>120</v>
      </c>
      <c r="E2207" s="15"/>
      <c r="F2207" s="15" t="s">
        <v>382</v>
      </c>
      <c r="G2207" s="13">
        <f>IFERROR(__xludf.DUMMYFUNCTION("if(counta(filter('Previous Rank'!$A$2:$A2766,'Previous Rank'!$B$2:$B2766=B2207,'Previous Rank'!$C$2:$C2766=C2207))=1,filter('Previous Rank'!$A$2:$A2766,'Previous Rank'!$B$2:$B2766=B2207,'Previous Rank'!$C$2:$C2766=C2207),"""")"),2204.0)</f>
        <v>2204</v>
      </c>
      <c r="H2207" s="8">
        <f t="shared" si="1"/>
        <v>-2</v>
      </c>
    </row>
    <row r="2208">
      <c r="A2208" s="10">
        <v>2207.0</v>
      </c>
      <c r="B2208" s="11" t="s">
        <v>2305</v>
      </c>
      <c r="C2208" s="10" t="s">
        <v>470</v>
      </c>
      <c r="D2208" s="10" t="s">
        <v>90</v>
      </c>
      <c r="E2208" s="16"/>
      <c r="F2208" s="16" t="s">
        <v>382</v>
      </c>
      <c r="G2208" s="13">
        <f>IFERROR(__xludf.DUMMYFUNCTION("if(counta(filter('Previous Rank'!$A$2:$A2766,'Previous Rank'!$B$2:$B2766=B2208,'Previous Rank'!$C$2:$C2766=C2208))=1,filter('Previous Rank'!$A$2:$A2766,'Previous Rank'!$B$2:$B2766=B2208,'Previous Rank'!$C$2:$C2766=C2208),"""")"),2205.0)</f>
        <v>2205</v>
      </c>
      <c r="H2208" s="8">
        <f t="shared" si="1"/>
        <v>-2</v>
      </c>
    </row>
    <row r="2209">
      <c r="A2209" s="10">
        <v>2208.0</v>
      </c>
      <c r="B2209" s="11" t="s">
        <v>2306</v>
      </c>
      <c r="C2209" s="10" t="s">
        <v>87</v>
      </c>
      <c r="D2209" s="10" t="s">
        <v>71</v>
      </c>
      <c r="E2209" s="15"/>
      <c r="F2209" s="15" t="s">
        <v>382</v>
      </c>
      <c r="G2209" s="13">
        <f>IFERROR(__xludf.DUMMYFUNCTION("if(counta(filter('Previous Rank'!$A$2:$A2766,'Previous Rank'!$B$2:$B2766=B2209,'Previous Rank'!$C$2:$C2766=C2209))=1,filter('Previous Rank'!$A$2:$A2766,'Previous Rank'!$B$2:$B2766=B2209,'Previous Rank'!$C$2:$C2766=C2209),"""")"),2206.0)</f>
        <v>2206</v>
      </c>
      <c r="H2209" s="8">
        <f t="shared" si="1"/>
        <v>-2</v>
      </c>
    </row>
    <row r="2210">
      <c r="A2210" s="10">
        <v>2209.0</v>
      </c>
      <c r="B2210" s="11" t="s">
        <v>2307</v>
      </c>
      <c r="C2210" s="10" t="s">
        <v>14</v>
      </c>
      <c r="D2210" s="10" t="s">
        <v>18</v>
      </c>
      <c r="E2210" s="16"/>
      <c r="F2210" s="16" t="s">
        <v>382</v>
      </c>
      <c r="G2210" s="13">
        <f>IFERROR(__xludf.DUMMYFUNCTION("if(counta(filter('Previous Rank'!$A$2:$A2766,'Previous Rank'!$B$2:$B2766=B2210,'Previous Rank'!$C$2:$C2766=C2210))=1,filter('Previous Rank'!$A$2:$A2766,'Previous Rank'!$B$2:$B2766=B2210,'Previous Rank'!$C$2:$C2766=C2210),"""")"),2207.0)</f>
        <v>2207</v>
      </c>
      <c r="H2210" s="8">
        <f t="shared" si="1"/>
        <v>-2</v>
      </c>
    </row>
    <row r="2211">
      <c r="A2211" s="10">
        <v>2210.0</v>
      </c>
      <c r="B2211" s="11" t="s">
        <v>2308</v>
      </c>
      <c r="C2211" s="10" t="s">
        <v>55</v>
      </c>
      <c r="D2211" s="10" t="s">
        <v>46</v>
      </c>
      <c r="E2211" s="15"/>
      <c r="F2211" s="15" t="s">
        <v>382</v>
      </c>
      <c r="G2211" s="13">
        <f>IFERROR(__xludf.DUMMYFUNCTION("if(counta(filter('Previous Rank'!$A$2:$A2766,'Previous Rank'!$B$2:$B2766=B2211,'Previous Rank'!$C$2:$C2766=C2211))=1,filter('Previous Rank'!$A$2:$A2766,'Previous Rank'!$B$2:$B2766=B2211,'Previous Rank'!$C$2:$C2766=C2211),"""")"),2208.0)</f>
        <v>2208</v>
      </c>
      <c r="H2211" s="8">
        <f t="shared" si="1"/>
        <v>-2</v>
      </c>
    </row>
    <row r="2212">
      <c r="A2212" s="10">
        <v>2211.0</v>
      </c>
      <c r="B2212" s="11" t="s">
        <v>2309</v>
      </c>
      <c r="C2212" s="10" t="s">
        <v>14</v>
      </c>
      <c r="D2212" s="10" t="s">
        <v>15</v>
      </c>
      <c r="E2212" s="16"/>
      <c r="F2212" s="16" t="s">
        <v>382</v>
      </c>
      <c r="G2212" s="13">
        <f>IFERROR(__xludf.DUMMYFUNCTION("if(counta(filter('Previous Rank'!$A$2:$A2766,'Previous Rank'!$B$2:$B2766=B2212,'Previous Rank'!$C$2:$C2766=C2212))=1,filter('Previous Rank'!$A$2:$A2766,'Previous Rank'!$B$2:$B2766=B2212,'Previous Rank'!$C$2:$C2766=C2212),"""")"),2209.0)</f>
        <v>2209</v>
      </c>
      <c r="H2212" s="8">
        <f t="shared" si="1"/>
        <v>-2</v>
      </c>
    </row>
    <row r="2213">
      <c r="A2213" s="10">
        <v>2212.0</v>
      </c>
      <c r="B2213" s="11" t="s">
        <v>2310</v>
      </c>
      <c r="C2213" s="10" t="s">
        <v>14</v>
      </c>
      <c r="D2213" s="10" t="s">
        <v>95</v>
      </c>
      <c r="E2213" s="15"/>
      <c r="F2213" s="15" t="s">
        <v>382</v>
      </c>
      <c r="G2213" s="13">
        <f>IFERROR(__xludf.DUMMYFUNCTION("if(counta(filter('Previous Rank'!$A$2:$A2766,'Previous Rank'!$B$2:$B2766=B2213,'Previous Rank'!$C$2:$C2766=C2213))=1,filter('Previous Rank'!$A$2:$A2766,'Previous Rank'!$B$2:$B2766=B2213,'Previous Rank'!$C$2:$C2766=C2213),"""")"),2210.0)</f>
        <v>2210</v>
      </c>
      <c r="H2213" s="8">
        <f t="shared" si="1"/>
        <v>-2</v>
      </c>
    </row>
    <row r="2214">
      <c r="A2214" s="10">
        <v>2213.0</v>
      </c>
      <c r="B2214" s="11" t="s">
        <v>2311</v>
      </c>
      <c r="C2214" s="10" t="s">
        <v>14</v>
      </c>
      <c r="D2214" s="10" t="s">
        <v>46</v>
      </c>
      <c r="E2214" s="16"/>
      <c r="F2214" s="16" t="s">
        <v>382</v>
      </c>
      <c r="G2214" s="13">
        <f>IFERROR(__xludf.DUMMYFUNCTION("if(counta(filter('Previous Rank'!$A$2:$A2766,'Previous Rank'!$B$2:$B2766=B2214,'Previous Rank'!$C$2:$C2766=C2214))=1,filter('Previous Rank'!$A$2:$A2766,'Previous Rank'!$B$2:$B2766=B2214,'Previous Rank'!$C$2:$C2766=C2214),"""")"),2211.0)</f>
        <v>2211</v>
      </c>
      <c r="H2214" s="8">
        <f t="shared" si="1"/>
        <v>-2</v>
      </c>
    </row>
    <row r="2215">
      <c r="A2215" s="10">
        <v>2214.0</v>
      </c>
      <c r="B2215" s="11" t="s">
        <v>2312</v>
      </c>
      <c r="C2215" s="10" t="s">
        <v>55</v>
      </c>
      <c r="D2215" s="10" t="s">
        <v>23</v>
      </c>
      <c r="E2215" s="15"/>
      <c r="F2215" s="15" t="s">
        <v>382</v>
      </c>
      <c r="G2215" s="13">
        <f>IFERROR(__xludf.DUMMYFUNCTION("if(counta(filter('Previous Rank'!$A$2:$A2766,'Previous Rank'!$B$2:$B2766=B2215,'Previous Rank'!$C$2:$C2766=C2215))=1,filter('Previous Rank'!$A$2:$A2766,'Previous Rank'!$B$2:$B2766=B2215,'Previous Rank'!$C$2:$C2766=C2215),"""")"),2212.0)</f>
        <v>2212</v>
      </c>
      <c r="H2215" s="8">
        <f t="shared" si="1"/>
        <v>-2</v>
      </c>
    </row>
    <row r="2216">
      <c r="A2216" s="10">
        <v>2215.0</v>
      </c>
      <c r="B2216" s="11" t="s">
        <v>2313</v>
      </c>
      <c r="C2216" s="10" t="s">
        <v>77</v>
      </c>
      <c r="D2216" s="10" t="s">
        <v>90</v>
      </c>
      <c r="E2216" s="16"/>
      <c r="F2216" s="16" t="s">
        <v>382</v>
      </c>
      <c r="G2216" s="13">
        <f>IFERROR(__xludf.DUMMYFUNCTION("if(counta(filter('Previous Rank'!$A$2:$A2766,'Previous Rank'!$B$2:$B2766=B2216,'Previous Rank'!$C$2:$C2766=C2216))=1,filter('Previous Rank'!$A$2:$A2766,'Previous Rank'!$B$2:$B2766=B2216,'Previous Rank'!$C$2:$C2766=C2216),"""")"),2213.0)</f>
        <v>2213</v>
      </c>
      <c r="H2216" s="8">
        <f t="shared" si="1"/>
        <v>-2</v>
      </c>
    </row>
    <row r="2217">
      <c r="A2217" s="10">
        <v>2216.0</v>
      </c>
      <c r="B2217" s="11" t="s">
        <v>2314</v>
      </c>
      <c r="C2217" s="10" t="s">
        <v>39</v>
      </c>
      <c r="D2217" s="10" t="s">
        <v>15</v>
      </c>
      <c r="E2217" s="15"/>
      <c r="F2217" s="15" t="s">
        <v>382</v>
      </c>
      <c r="G2217" s="13">
        <f>IFERROR(__xludf.DUMMYFUNCTION("if(counta(filter('Previous Rank'!$A$2:$A2766,'Previous Rank'!$B$2:$B2766=B2217,'Previous Rank'!$C$2:$C2766=C2217))=1,filter('Previous Rank'!$A$2:$A2766,'Previous Rank'!$B$2:$B2766=B2217,'Previous Rank'!$C$2:$C2766=C2217),"""")"),2214.0)</f>
        <v>2214</v>
      </c>
      <c r="H2217" s="8">
        <f t="shared" si="1"/>
        <v>-2</v>
      </c>
    </row>
    <row r="2218">
      <c r="A2218" s="10">
        <v>2217.0</v>
      </c>
      <c r="B2218" s="11" t="s">
        <v>2315</v>
      </c>
      <c r="C2218" s="10" t="s">
        <v>77</v>
      </c>
      <c r="D2218" s="10" t="s">
        <v>67</v>
      </c>
      <c r="E2218" s="16"/>
      <c r="F2218" s="16" t="s">
        <v>382</v>
      </c>
      <c r="G2218" s="13">
        <f>IFERROR(__xludf.DUMMYFUNCTION("if(counta(filter('Previous Rank'!$A$2:$A2766,'Previous Rank'!$B$2:$B2766=B2218,'Previous Rank'!$C$2:$C2766=C2218))=1,filter('Previous Rank'!$A$2:$A2766,'Previous Rank'!$B$2:$B2766=B2218,'Previous Rank'!$C$2:$C2766=C2218),"""")"),2215.0)</f>
        <v>2215</v>
      </c>
      <c r="H2218" s="8">
        <f t="shared" si="1"/>
        <v>-2</v>
      </c>
    </row>
    <row r="2219">
      <c r="A2219" s="10">
        <v>2218.0</v>
      </c>
      <c r="B2219" s="11" t="s">
        <v>2316</v>
      </c>
      <c r="C2219" s="10" t="s">
        <v>39</v>
      </c>
      <c r="D2219" s="10" t="s">
        <v>206</v>
      </c>
      <c r="E2219" s="15"/>
      <c r="F2219" s="15" t="s">
        <v>382</v>
      </c>
      <c r="G2219" s="13">
        <f>IFERROR(__xludf.DUMMYFUNCTION("if(counta(filter('Previous Rank'!$A$2:$A2766,'Previous Rank'!$B$2:$B2766=B2219,'Previous Rank'!$C$2:$C2766=C2219))=1,filter('Previous Rank'!$A$2:$A2766,'Previous Rank'!$B$2:$B2766=B2219,'Previous Rank'!$C$2:$C2766=C2219),"""")"),2216.0)</f>
        <v>2216</v>
      </c>
      <c r="H2219" s="8">
        <f t="shared" si="1"/>
        <v>-2</v>
      </c>
    </row>
    <row r="2220">
      <c r="A2220" s="10">
        <v>2219.0</v>
      </c>
      <c r="B2220" s="11" t="s">
        <v>2317</v>
      </c>
      <c r="C2220" s="10" t="s">
        <v>77</v>
      </c>
      <c r="D2220" s="10" t="s">
        <v>82</v>
      </c>
      <c r="E2220" s="16"/>
      <c r="F2220" s="16" t="s">
        <v>382</v>
      </c>
      <c r="G2220" s="13">
        <f>IFERROR(__xludf.DUMMYFUNCTION("if(counta(filter('Previous Rank'!$A$2:$A2766,'Previous Rank'!$B$2:$B2766=B2220,'Previous Rank'!$C$2:$C2766=C2220))=1,filter('Previous Rank'!$A$2:$A2766,'Previous Rank'!$B$2:$B2766=B2220,'Previous Rank'!$C$2:$C2766=C2220),"""")"),2217.0)</f>
        <v>2217</v>
      </c>
      <c r="H2220" s="8">
        <f t="shared" si="1"/>
        <v>-2</v>
      </c>
    </row>
    <row r="2221">
      <c r="A2221" s="10">
        <v>2220.0</v>
      </c>
      <c r="B2221" s="11" t="s">
        <v>2318</v>
      </c>
      <c r="C2221" s="10" t="s">
        <v>8</v>
      </c>
      <c r="D2221" s="10" t="s">
        <v>46</v>
      </c>
      <c r="E2221" s="15"/>
      <c r="F2221" s="15" t="s">
        <v>382</v>
      </c>
      <c r="G2221" s="13">
        <f>IFERROR(__xludf.DUMMYFUNCTION("if(counta(filter('Previous Rank'!$A$2:$A2766,'Previous Rank'!$B$2:$B2766=B2221,'Previous Rank'!$C$2:$C2766=C2221))=1,filter('Previous Rank'!$A$2:$A2766,'Previous Rank'!$B$2:$B2766=B2221,'Previous Rank'!$C$2:$C2766=C2221),"""")"),2218.0)</f>
        <v>2218</v>
      </c>
      <c r="H2221" s="8">
        <f t="shared" si="1"/>
        <v>-2</v>
      </c>
    </row>
    <row r="2222">
      <c r="A2222" s="10">
        <v>2221.0</v>
      </c>
      <c r="B2222" s="11" t="s">
        <v>2319</v>
      </c>
      <c r="C2222" s="10" t="s">
        <v>14</v>
      </c>
      <c r="D2222" s="10" t="s">
        <v>9</v>
      </c>
      <c r="E2222" s="16"/>
      <c r="F2222" s="16" t="s">
        <v>382</v>
      </c>
      <c r="G2222" s="13">
        <f>IFERROR(__xludf.DUMMYFUNCTION("if(counta(filter('Previous Rank'!$A$2:$A2766,'Previous Rank'!$B$2:$B2766=B2222,'Previous Rank'!$C$2:$C2766=C2222))=1,filter('Previous Rank'!$A$2:$A2766,'Previous Rank'!$B$2:$B2766=B2222,'Previous Rank'!$C$2:$C2766=C2222),"""")"),2219.0)</f>
        <v>2219</v>
      </c>
      <c r="H2222" s="8">
        <f t="shared" si="1"/>
        <v>-2</v>
      </c>
    </row>
    <row r="2223">
      <c r="A2223" s="10">
        <v>2222.0</v>
      </c>
      <c r="B2223" s="11" t="s">
        <v>2320</v>
      </c>
      <c r="C2223" s="10" t="s">
        <v>11</v>
      </c>
      <c r="D2223" s="10" t="s">
        <v>122</v>
      </c>
      <c r="E2223" s="15"/>
      <c r="F2223" s="15" t="s">
        <v>382</v>
      </c>
      <c r="G2223" s="13">
        <f>IFERROR(__xludf.DUMMYFUNCTION("if(counta(filter('Previous Rank'!$A$2:$A2766,'Previous Rank'!$B$2:$B2766=B2223,'Previous Rank'!$C$2:$C2766=C2223))=1,filter('Previous Rank'!$A$2:$A2766,'Previous Rank'!$B$2:$B2766=B2223,'Previous Rank'!$C$2:$C2766=C2223),"""")"),2220.0)</f>
        <v>2220</v>
      </c>
      <c r="H2223" s="8">
        <f t="shared" si="1"/>
        <v>-2</v>
      </c>
    </row>
    <row r="2224">
      <c r="A2224" s="10">
        <v>2223.0</v>
      </c>
      <c r="B2224" s="11" t="s">
        <v>2321</v>
      </c>
      <c r="C2224" s="10" t="s">
        <v>55</v>
      </c>
      <c r="D2224" s="10" t="s">
        <v>85</v>
      </c>
      <c r="E2224" s="16"/>
      <c r="F2224" s="16" t="s">
        <v>382</v>
      </c>
      <c r="G2224" s="13">
        <f>IFERROR(__xludf.DUMMYFUNCTION("if(counta(filter('Previous Rank'!$A$2:$A2766,'Previous Rank'!$B$2:$B2766=B2224,'Previous Rank'!$C$2:$C2766=C2224))=1,filter('Previous Rank'!$A$2:$A2766,'Previous Rank'!$B$2:$B2766=B2224,'Previous Rank'!$C$2:$C2766=C2224),"""")"),2221.0)</f>
        <v>2221</v>
      </c>
      <c r="H2224" s="8">
        <f t="shared" si="1"/>
        <v>-2</v>
      </c>
    </row>
    <row r="2225">
      <c r="A2225" s="10">
        <v>2224.0</v>
      </c>
      <c r="B2225" s="11" t="s">
        <v>2322</v>
      </c>
      <c r="C2225" s="10" t="s">
        <v>77</v>
      </c>
      <c r="D2225" s="10" t="s">
        <v>31</v>
      </c>
      <c r="E2225" s="15"/>
      <c r="F2225" s="15" t="s">
        <v>382</v>
      </c>
      <c r="G2225" s="13">
        <f>IFERROR(__xludf.DUMMYFUNCTION("if(counta(filter('Previous Rank'!$A$2:$A2766,'Previous Rank'!$B$2:$B2766=B2225,'Previous Rank'!$C$2:$C2766=C2225))=1,filter('Previous Rank'!$A$2:$A2766,'Previous Rank'!$B$2:$B2766=B2225,'Previous Rank'!$C$2:$C2766=C2225),"""")"),2222.0)</f>
        <v>2222</v>
      </c>
      <c r="H2225" s="8">
        <f t="shared" si="1"/>
        <v>-2</v>
      </c>
    </row>
    <row r="2226">
      <c r="A2226" s="10">
        <v>2225.0</v>
      </c>
      <c r="B2226" s="11" t="s">
        <v>2323</v>
      </c>
      <c r="C2226" s="10" t="s">
        <v>14</v>
      </c>
      <c r="D2226" s="10" t="s">
        <v>140</v>
      </c>
      <c r="E2226" s="16"/>
      <c r="F2226" s="16" t="s">
        <v>382</v>
      </c>
      <c r="G2226" s="13">
        <f>IFERROR(__xludf.DUMMYFUNCTION("if(counta(filter('Previous Rank'!$A$2:$A2766,'Previous Rank'!$B$2:$B2766=B2226,'Previous Rank'!$C$2:$C2766=C2226))=1,filter('Previous Rank'!$A$2:$A2766,'Previous Rank'!$B$2:$B2766=B2226,'Previous Rank'!$C$2:$C2766=C2226),"""")"),2223.0)</f>
        <v>2223</v>
      </c>
      <c r="H2226" s="8">
        <f t="shared" si="1"/>
        <v>-2</v>
      </c>
    </row>
    <row r="2227">
      <c r="A2227" s="10">
        <v>2226.0</v>
      </c>
      <c r="B2227" s="11" t="s">
        <v>2324</v>
      </c>
      <c r="C2227" s="10" t="s">
        <v>14</v>
      </c>
      <c r="D2227" s="10" t="s">
        <v>36</v>
      </c>
      <c r="E2227" s="15"/>
      <c r="F2227" s="15" t="s">
        <v>382</v>
      </c>
      <c r="G2227" s="13">
        <f>IFERROR(__xludf.DUMMYFUNCTION("if(counta(filter('Previous Rank'!$A$2:$A2766,'Previous Rank'!$B$2:$B2766=B2227,'Previous Rank'!$C$2:$C2766=C2227))=1,filter('Previous Rank'!$A$2:$A2766,'Previous Rank'!$B$2:$B2766=B2227,'Previous Rank'!$C$2:$C2766=C2227),"""")"),2224.0)</f>
        <v>2224</v>
      </c>
      <c r="H2227" s="8">
        <f t="shared" si="1"/>
        <v>-2</v>
      </c>
    </row>
    <row r="2228">
      <c r="A2228" s="10">
        <v>2227.0</v>
      </c>
      <c r="B2228" s="11" t="s">
        <v>2325</v>
      </c>
      <c r="C2228" s="10" t="s">
        <v>17</v>
      </c>
      <c r="D2228" s="10" t="s">
        <v>95</v>
      </c>
      <c r="E2228" s="16"/>
      <c r="F2228" s="16" t="s">
        <v>382</v>
      </c>
      <c r="G2228" s="13">
        <f>IFERROR(__xludf.DUMMYFUNCTION("if(counta(filter('Previous Rank'!$A$2:$A2766,'Previous Rank'!$B$2:$B2766=B2228,'Previous Rank'!$C$2:$C2766=C2228))=1,filter('Previous Rank'!$A$2:$A2766,'Previous Rank'!$B$2:$B2766=B2228,'Previous Rank'!$C$2:$C2766=C2228),"""")"),2225.0)</f>
        <v>2225</v>
      </c>
      <c r="H2228" s="8">
        <f t="shared" si="1"/>
        <v>-2</v>
      </c>
    </row>
    <row r="2229">
      <c r="A2229" s="10">
        <v>2228.0</v>
      </c>
      <c r="B2229" s="11" t="s">
        <v>2326</v>
      </c>
      <c r="C2229" s="10" t="s">
        <v>14</v>
      </c>
      <c r="D2229" s="10" t="s">
        <v>99</v>
      </c>
      <c r="E2229" s="15"/>
      <c r="F2229" s="15" t="s">
        <v>382</v>
      </c>
      <c r="G2229" s="13">
        <f>IFERROR(__xludf.DUMMYFUNCTION("if(counta(filter('Previous Rank'!$A$2:$A2766,'Previous Rank'!$B$2:$B2766=B2229,'Previous Rank'!$C$2:$C2766=C2229))=1,filter('Previous Rank'!$A$2:$A2766,'Previous Rank'!$B$2:$B2766=B2229,'Previous Rank'!$C$2:$C2766=C2229),"""")"),2226.0)</f>
        <v>2226</v>
      </c>
      <c r="H2229" s="8">
        <f t="shared" si="1"/>
        <v>-2</v>
      </c>
    </row>
    <row r="2230">
      <c r="A2230" s="10">
        <v>2229.0</v>
      </c>
      <c r="B2230" s="11" t="s">
        <v>2327</v>
      </c>
      <c r="C2230" s="10" t="s">
        <v>39</v>
      </c>
      <c r="D2230" s="10" t="s">
        <v>71</v>
      </c>
      <c r="E2230" s="16"/>
      <c r="F2230" s="16" t="s">
        <v>382</v>
      </c>
      <c r="G2230" s="13">
        <f>IFERROR(__xludf.DUMMYFUNCTION("if(counta(filter('Previous Rank'!$A$2:$A2766,'Previous Rank'!$B$2:$B2766=B2230,'Previous Rank'!$C$2:$C2766=C2230))=1,filter('Previous Rank'!$A$2:$A2766,'Previous Rank'!$B$2:$B2766=B2230,'Previous Rank'!$C$2:$C2766=C2230),"""")"),2227.0)</f>
        <v>2227</v>
      </c>
      <c r="H2230" s="8">
        <f t="shared" si="1"/>
        <v>-2</v>
      </c>
    </row>
    <row r="2231">
      <c r="A2231" s="10">
        <v>2230.0</v>
      </c>
      <c r="B2231" s="11" t="s">
        <v>2328</v>
      </c>
      <c r="C2231" s="10" t="s">
        <v>14</v>
      </c>
      <c r="D2231" s="10" t="s">
        <v>113</v>
      </c>
      <c r="E2231" s="15"/>
      <c r="F2231" s="15" t="s">
        <v>382</v>
      </c>
      <c r="G2231" s="13">
        <f>IFERROR(__xludf.DUMMYFUNCTION("if(counta(filter('Previous Rank'!$A$2:$A2766,'Previous Rank'!$B$2:$B2766=B2231,'Previous Rank'!$C$2:$C2766=C2231))=1,filter('Previous Rank'!$A$2:$A2766,'Previous Rank'!$B$2:$B2766=B2231,'Previous Rank'!$C$2:$C2766=C2231),"""")"),2228.0)</f>
        <v>2228</v>
      </c>
      <c r="H2231" s="8">
        <f t="shared" si="1"/>
        <v>-2</v>
      </c>
    </row>
    <row r="2232">
      <c r="A2232" s="10">
        <v>2231.0</v>
      </c>
      <c r="B2232" s="11" t="s">
        <v>2329</v>
      </c>
      <c r="C2232" s="10" t="s">
        <v>14</v>
      </c>
      <c r="D2232" s="10" t="s">
        <v>82</v>
      </c>
      <c r="E2232" s="16"/>
      <c r="F2232" s="16" t="s">
        <v>382</v>
      </c>
      <c r="G2232" s="13">
        <f>IFERROR(__xludf.DUMMYFUNCTION("if(counta(filter('Previous Rank'!$A$2:$A2766,'Previous Rank'!$B$2:$B2766=B2232,'Previous Rank'!$C$2:$C2766=C2232))=1,filter('Previous Rank'!$A$2:$A2766,'Previous Rank'!$B$2:$B2766=B2232,'Previous Rank'!$C$2:$C2766=C2232),"""")"),2229.0)</f>
        <v>2229</v>
      </c>
      <c r="H2232" s="8">
        <f t="shared" si="1"/>
        <v>-2</v>
      </c>
    </row>
    <row r="2233">
      <c r="A2233" s="10">
        <v>2232.0</v>
      </c>
      <c r="B2233" s="11" t="s">
        <v>2330</v>
      </c>
      <c r="C2233" s="10" t="s">
        <v>14</v>
      </c>
      <c r="D2233" s="10" t="s">
        <v>18</v>
      </c>
      <c r="E2233" s="15"/>
      <c r="F2233" s="15" t="s">
        <v>382</v>
      </c>
      <c r="G2233" s="13">
        <f>IFERROR(__xludf.DUMMYFUNCTION("if(counta(filter('Previous Rank'!$A$2:$A2766,'Previous Rank'!$B$2:$B2766=B2233,'Previous Rank'!$C$2:$C2766=C2233))=1,filter('Previous Rank'!$A$2:$A2766,'Previous Rank'!$B$2:$B2766=B2233,'Previous Rank'!$C$2:$C2766=C2233),"""")"),2230.0)</f>
        <v>2230</v>
      </c>
      <c r="H2233" s="8">
        <f t="shared" si="1"/>
        <v>-2</v>
      </c>
    </row>
    <row r="2234">
      <c r="A2234" s="10">
        <v>2233.0</v>
      </c>
      <c r="B2234" s="11" t="s">
        <v>2331</v>
      </c>
      <c r="C2234" s="10" t="s">
        <v>77</v>
      </c>
      <c r="D2234" s="10" t="s">
        <v>42</v>
      </c>
      <c r="E2234" s="16"/>
      <c r="F2234" s="16" t="s">
        <v>382</v>
      </c>
      <c r="G2234" s="13">
        <f>IFERROR(__xludf.DUMMYFUNCTION("if(counta(filter('Previous Rank'!$A$2:$A2766,'Previous Rank'!$B$2:$B2766=B2234,'Previous Rank'!$C$2:$C2766=C2234))=1,filter('Previous Rank'!$A$2:$A2766,'Previous Rank'!$B$2:$B2766=B2234,'Previous Rank'!$C$2:$C2766=C2234),"""")"),2231.0)</f>
        <v>2231</v>
      </c>
      <c r="H2234" s="8">
        <f t="shared" si="1"/>
        <v>-2</v>
      </c>
    </row>
    <row r="2235">
      <c r="A2235" s="10">
        <v>2234.0</v>
      </c>
      <c r="B2235" s="11" t="s">
        <v>2332</v>
      </c>
      <c r="C2235" s="10" t="s">
        <v>11</v>
      </c>
      <c r="D2235" s="10" t="s">
        <v>82</v>
      </c>
      <c r="E2235" s="15"/>
      <c r="F2235" s="15" t="s">
        <v>382</v>
      </c>
      <c r="G2235" s="13">
        <f>IFERROR(__xludf.DUMMYFUNCTION("if(counta(filter('Previous Rank'!$A$2:$A2766,'Previous Rank'!$B$2:$B2766=B2235,'Previous Rank'!$C$2:$C2766=C2235))=1,filter('Previous Rank'!$A$2:$A2766,'Previous Rank'!$B$2:$B2766=B2235,'Previous Rank'!$C$2:$C2766=C2235),"""")"),2232.0)</f>
        <v>2232</v>
      </c>
      <c r="H2235" s="8">
        <f t="shared" si="1"/>
        <v>-2</v>
      </c>
    </row>
    <row r="2236">
      <c r="A2236" s="10">
        <v>2235.0</v>
      </c>
      <c r="B2236" s="11" t="s">
        <v>2333</v>
      </c>
      <c r="C2236" s="10" t="s">
        <v>89</v>
      </c>
      <c r="D2236" s="10" t="s">
        <v>15</v>
      </c>
      <c r="E2236" s="16"/>
      <c r="F2236" s="16" t="s">
        <v>382</v>
      </c>
      <c r="G2236" s="13">
        <f>IFERROR(__xludf.DUMMYFUNCTION("if(counta(filter('Previous Rank'!$A$2:$A2766,'Previous Rank'!$B$2:$B2766=B2236,'Previous Rank'!$C$2:$C2766=C2236))=1,filter('Previous Rank'!$A$2:$A2766,'Previous Rank'!$B$2:$B2766=B2236,'Previous Rank'!$C$2:$C2766=C2236),"""")"),2233.0)</f>
        <v>2233</v>
      </c>
      <c r="H2236" s="8">
        <f t="shared" si="1"/>
        <v>-2</v>
      </c>
    </row>
    <row r="2237">
      <c r="A2237" s="10">
        <v>2236.0</v>
      </c>
      <c r="B2237" s="11" t="s">
        <v>2334</v>
      </c>
      <c r="C2237" s="10" t="s">
        <v>39</v>
      </c>
      <c r="D2237" s="10" t="s">
        <v>42</v>
      </c>
      <c r="E2237" s="15"/>
      <c r="F2237" s="15" t="s">
        <v>382</v>
      </c>
      <c r="G2237" s="13">
        <f>IFERROR(__xludf.DUMMYFUNCTION("if(counta(filter('Previous Rank'!$A$2:$A2766,'Previous Rank'!$B$2:$B2766=B2237,'Previous Rank'!$C$2:$C2766=C2237))=1,filter('Previous Rank'!$A$2:$A2766,'Previous Rank'!$B$2:$B2766=B2237,'Previous Rank'!$C$2:$C2766=C2237),"""")"),2234.0)</f>
        <v>2234</v>
      </c>
      <c r="H2237" s="8">
        <f t="shared" si="1"/>
        <v>-2</v>
      </c>
    </row>
    <row r="2238">
      <c r="A2238" s="10">
        <v>2237.0</v>
      </c>
      <c r="B2238" s="11" t="s">
        <v>2335</v>
      </c>
      <c r="C2238" s="10" t="s">
        <v>14</v>
      </c>
      <c r="D2238" s="10" t="s">
        <v>42</v>
      </c>
      <c r="E2238" s="16"/>
      <c r="F2238" s="16" t="s">
        <v>382</v>
      </c>
      <c r="G2238" s="13">
        <f>IFERROR(__xludf.DUMMYFUNCTION("if(counta(filter('Previous Rank'!$A$2:$A2766,'Previous Rank'!$B$2:$B2766=B2238,'Previous Rank'!$C$2:$C2766=C2238))=1,filter('Previous Rank'!$A$2:$A2766,'Previous Rank'!$B$2:$B2766=B2238,'Previous Rank'!$C$2:$C2766=C2238),"""")"),2235.0)</f>
        <v>2235</v>
      </c>
      <c r="H2238" s="8">
        <f t="shared" si="1"/>
        <v>-2</v>
      </c>
    </row>
    <row r="2239">
      <c r="A2239" s="10">
        <v>2238.0</v>
      </c>
      <c r="B2239" s="11" t="s">
        <v>2336</v>
      </c>
      <c r="C2239" s="10" t="s">
        <v>176</v>
      </c>
      <c r="D2239" s="10" t="s">
        <v>206</v>
      </c>
      <c r="E2239" s="15"/>
      <c r="F2239" s="15" t="s">
        <v>382</v>
      </c>
      <c r="G2239" s="13">
        <f>IFERROR(__xludf.DUMMYFUNCTION("if(counta(filter('Previous Rank'!$A$2:$A2766,'Previous Rank'!$B$2:$B2766=B2239,'Previous Rank'!$C$2:$C2766=C2239))=1,filter('Previous Rank'!$A$2:$A2766,'Previous Rank'!$B$2:$B2766=B2239,'Previous Rank'!$C$2:$C2766=C2239),"""")"),2236.0)</f>
        <v>2236</v>
      </c>
      <c r="H2239" s="8">
        <f t="shared" si="1"/>
        <v>-2</v>
      </c>
    </row>
    <row r="2240">
      <c r="A2240" s="10">
        <v>2239.0</v>
      </c>
      <c r="B2240" s="11" t="s">
        <v>2337</v>
      </c>
      <c r="C2240" s="10" t="s">
        <v>55</v>
      </c>
      <c r="D2240" s="10" t="s">
        <v>34</v>
      </c>
      <c r="E2240" s="16"/>
      <c r="F2240" s="16" t="s">
        <v>382</v>
      </c>
      <c r="G2240" s="13">
        <f>IFERROR(__xludf.DUMMYFUNCTION("if(counta(filter('Previous Rank'!$A$2:$A2766,'Previous Rank'!$B$2:$B2766=B2240,'Previous Rank'!$C$2:$C2766=C2240))=1,filter('Previous Rank'!$A$2:$A2766,'Previous Rank'!$B$2:$B2766=B2240,'Previous Rank'!$C$2:$C2766=C2240),"""")"),2237.0)</f>
        <v>2237</v>
      </c>
      <c r="H2240" s="8">
        <f t="shared" si="1"/>
        <v>-2</v>
      </c>
    </row>
    <row r="2241">
      <c r="A2241" s="10">
        <v>2240.0</v>
      </c>
      <c r="B2241" s="11" t="s">
        <v>2338</v>
      </c>
      <c r="C2241" s="10" t="s">
        <v>17</v>
      </c>
      <c r="D2241" s="10" t="s">
        <v>90</v>
      </c>
      <c r="E2241" s="15"/>
      <c r="F2241" s="15" t="s">
        <v>382</v>
      </c>
      <c r="G2241" s="13">
        <f>IFERROR(__xludf.DUMMYFUNCTION("if(counta(filter('Previous Rank'!$A$2:$A2766,'Previous Rank'!$B$2:$B2766=B2241,'Previous Rank'!$C$2:$C2766=C2241))=1,filter('Previous Rank'!$A$2:$A2766,'Previous Rank'!$B$2:$B2766=B2241,'Previous Rank'!$C$2:$C2766=C2241),"""")"),2238.0)</f>
        <v>2238</v>
      </c>
      <c r="H2241" s="8">
        <f t="shared" si="1"/>
        <v>-2</v>
      </c>
    </row>
    <row r="2242">
      <c r="A2242" s="10">
        <v>2241.0</v>
      </c>
      <c r="B2242" s="11" t="s">
        <v>2339</v>
      </c>
      <c r="C2242" s="10" t="s">
        <v>14</v>
      </c>
      <c r="D2242" s="10" t="s">
        <v>34</v>
      </c>
      <c r="E2242" s="16"/>
      <c r="F2242" s="16" t="s">
        <v>382</v>
      </c>
      <c r="G2242" s="13">
        <f>IFERROR(__xludf.DUMMYFUNCTION("if(counta(filter('Previous Rank'!$A$2:$A2766,'Previous Rank'!$B$2:$B2766=B2242,'Previous Rank'!$C$2:$C2766=C2242))=1,filter('Previous Rank'!$A$2:$A2766,'Previous Rank'!$B$2:$B2766=B2242,'Previous Rank'!$C$2:$C2766=C2242),"""")"),2239.0)</f>
        <v>2239</v>
      </c>
      <c r="H2242" s="8">
        <f t="shared" si="1"/>
        <v>-2</v>
      </c>
    </row>
    <row r="2243">
      <c r="A2243" s="10">
        <v>2242.0</v>
      </c>
      <c r="B2243" s="11" t="s">
        <v>2340</v>
      </c>
      <c r="C2243" s="10" t="s">
        <v>39</v>
      </c>
      <c r="D2243" s="10" t="s">
        <v>137</v>
      </c>
      <c r="E2243" s="15"/>
      <c r="F2243" s="15" t="s">
        <v>382</v>
      </c>
      <c r="G2243" s="13">
        <f>IFERROR(__xludf.DUMMYFUNCTION("if(counta(filter('Previous Rank'!$A$2:$A2766,'Previous Rank'!$B$2:$B2766=B2243,'Previous Rank'!$C$2:$C2766=C2243))=1,filter('Previous Rank'!$A$2:$A2766,'Previous Rank'!$B$2:$B2766=B2243,'Previous Rank'!$C$2:$C2766=C2243),"""")"),2240.0)</f>
        <v>2240</v>
      </c>
      <c r="H2243" s="8">
        <f t="shared" si="1"/>
        <v>-2</v>
      </c>
    </row>
    <row r="2244">
      <c r="A2244" s="10">
        <v>2243.0</v>
      </c>
      <c r="B2244" s="11" t="s">
        <v>2341</v>
      </c>
      <c r="C2244" s="10" t="s">
        <v>14</v>
      </c>
      <c r="D2244" s="10" t="s">
        <v>34</v>
      </c>
      <c r="E2244" s="16"/>
      <c r="F2244" s="16" t="s">
        <v>382</v>
      </c>
      <c r="G2244" s="13">
        <f>IFERROR(__xludf.DUMMYFUNCTION("if(counta(filter('Previous Rank'!$A$2:$A2766,'Previous Rank'!$B$2:$B2766=B2244,'Previous Rank'!$C$2:$C2766=C2244))=1,filter('Previous Rank'!$A$2:$A2766,'Previous Rank'!$B$2:$B2766=B2244,'Previous Rank'!$C$2:$C2766=C2244),"""")"),2241.0)</f>
        <v>2241</v>
      </c>
      <c r="H2244" s="8">
        <f t="shared" si="1"/>
        <v>-2</v>
      </c>
    </row>
    <row r="2245">
      <c r="A2245" s="10">
        <v>2244.0</v>
      </c>
      <c r="B2245" s="11" t="s">
        <v>2342</v>
      </c>
      <c r="C2245" s="10" t="s">
        <v>14</v>
      </c>
      <c r="D2245" s="10" t="s">
        <v>120</v>
      </c>
      <c r="E2245" s="15"/>
      <c r="F2245" s="15" t="s">
        <v>382</v>
      </c>
      <c r="G2245" s="13">
        <f>IFERROR(__xludf.DUMMYFUNCTION("if(counta(filter('Previous Rank'!$A$2:$A2766,'Previous Rank'!$B$2:$B2766=B2245,'Previous Rank'!$C$2:$C2766=C2245))=1,filter('Previous Rank'!$A$2:$A2766,'Previous Rank'!$B$2:$B2766=B2245,'Previous Rank'!$C$2:$C2766=C2245),"""")"),2242.0)</f>
        <v>2242</v>
      </c>
      <c r="H2245" s="8">
        <f t="shared" si="1"/>
        <v>-2</v>
      </c>
    </row>
    <row r="2246">
      <c r="A2246" s="10">
        <v>2245.0</v>
      </c>
      <c r="B2246" s="11" t="s">
        <v>2343</v>
      </c>
      <c r="C2246" s="10" t="s">
        <v>14</v>
      </c>
      <c r="D2246" s="10" t="s">
        <v>206</v>
      </c>
      <c r="E2246" s="16"/>
      <c r="F2246" s="16" t="s">
        <v>382</v>
      </c>
      <c r="G2246" s="13">
        <f>IFERROR(__xludf.DUMMYFUNCTION("if(counta(filter('Previous Rank'!$A$2:$A2766,'Previous Rank'!$B$2:$B2766=B2246,'Previous Rank'!$C$2:$C2766=C2246))=1,filter('Previous Rank'!$A$2:$A2766,'Previous Rank'!$B$2:$B2766=B2246,'Previous Rank'!$C$2:$C2766=C2246),"""")"),2243.0)</f>
        <v>2243</v>
      </c>
      <c r="H2246" s="8">
        <f t="shared" si="1"/>
        <v>-2</v>
      </c>
    </row>
    <row r="2247">
      <c r="A2247" s="10">
        <v>2246.0</v>
      </c>
      <c r="B2247" s="11" t="s">
        <v>2344</v>
      </c>
      <c r="C2247" s="10" t="s">
        <v>39</v>
      </c>
      <c r="D2247" s="10" t="s">
        <v>25</v>
      </c>
      <c r="E2247" s="15"/>
      <c r="F2247" s="15" t="s">
        <v>382</v>
      </c>
      <c r="G2247" s="13">
        <f>IFERROR(__xludf.DUMMYFUNCTION("if(counta(filter('Previous Rank'!$A$2:$A2766,'Previous Rank'!$B$2:$B2766=B2247,'Previous Rank'!$C$2:$C2766=C2247))=1,filter('Previous Rank'!$A$2:$A2766,'Previous Rank'!$B$2:$B2766=B2247,'Previous Rank'!$C$2:$C2766=C2247),"""")"),2244.0)</f>
        <v>2244</v>
      </c>
      <c r="H2247" s="8">
        <f t="shared" si="1"/>
        <v>-2</v>
      </c>
    </row>
    <row r="2248">
      <c r="A2248" s="10">
        <v>2247.0</v>
      </c>
      <c r="B2248" s="11" t="s">
        <v>2345</v>
      </c>
      <c r="C2248" s="10" t="s">
        <v>89</v>
      </c>
      <c r="D2248" s="10" t="s">
        <v>15</v>
      </c>
      <c r="E2248" s="16"/>
      <c r="F2248" s="16" t="s">
        <v>382</v>
      </c>
      <c r="G2248" s="13">
        <f>IFERROR(__xludf.DUMMYFUNCTION("if(counta(filter('Previous Rank'!$A$2:$A2766,'Previous Rank'!$B$2:$B2766=B2248,'Previous Rank'!$C$2:$C2766=C2248))=1,filter('Previous Rank'!$A$2:$A2766,'Previous Rank'!$B$2:$B2766=B2248,'Previous Rank'!$C$2:$C2766=C2248),"""")"),2245.0)</f>
        <v>2245</v>
      </c>
      <c r="H2248" s="8">
        <f t="shared" si="1"/>
        <v>-2</v>
      </c>
    </row>
    <row r="2249">
      <c r="A2249" s="10">
        <v>2248.0</v>
      </c>
      <c r="B2249" s="11" t="s">
        <v>2346</v>
      </c>
      <c r="C2249" s="10" t="s">
        <v>77</v>
      </c>
      <c r="D2249" s="10" t="s">
        <v>12</v>
      </c>
      <c r="E2249" s="15"/>
      <c r="F2249" s="15" t="s">
        <v>382</v>
      </c>
      <c r="G2249" s="13">
        <f>IFERROR(__xludf.DUMMYFUNCTION("if(counta(filter('Previous Rank'!$A$2:$A2766,'Previous Rank'!$B$2:$B2766=B2249,'Previous Rank'!$C$2:$C2766=C2249))=1,filter('Previous Rank'!$A$2:$A2766,'Previous Rank'!$B$2:$B2766=B2249,'Previous Rank'!$C$2:$C2766=C2249),"""")"),2246.0)</f>
        <v>2246</v>
      </c>
      <c r="H2249" s="8">
        <f t="shared" si="1"/>
        <v>-2</v>
      </c>
    </row>
    <row r="2250">
      <c r="A2250" s="10">
        <v>2249.0</v>
      </c>
      <c r="B2250" s="11" t="s">
        <v>2347</v>
      </c>
      <c r="C2250" s="10" t="s">
        <v>14</v>
      </c>
      <c r="D2250" s="10" t="s">
        <v>9</v>
      </c>
      <c r="E2250" s="16"/>
      <c r="F2250" s="16" t="s">
        <v>382</v>
      </c>
      <c r="G2250" s="13">
        <f>IFERROR(__xludf.DUMMYFUNCTION("if(counta(filter('Previous Rank'!$A$2:$A2766,'Previous Rank'!$B$2:$B2766=B2250,'Previous Rank'!$C$2:$C2766=C2250))=1,filter('Previous Rank'!$A$2:$A2766,'Previous Rank'!$B$2:$B2766=B2250,'Previous Rank'!$C$2:$C2766=C2250),"""")"),2247.0)</f>
        <v>2247</v>
      </c>
      <c r="H2250" s="8">
        <f t="shared" si="1"/>
        <v>-2</v>
      </c>
    </row>
    <row r="2251">
      <c r="A2251" s="10">
        <v>2250.0</v>
      </c>
      <c r="B2251" s="11" t="s">
        <v>2348</v>
      </c>
      <c r="C2251" s="10" t="s">
        <v>11</v>
      </c>
      <c r="D2251" s="10" t="s">
        <v>122</v>
      </c>
      <c r="E2251" s="15"/>
      <c r="F2251" s="15" t="s">
        <v>382</v>
      </c>
      <c r="G2251" s="13">
        <f>IFERROR(__xludf.DUMMYFUNCTION("if(counta(filter('Previous Rank'!$A$2:$A2766,'Previous Rank'!$B$2:$B2766=B2251,'Previous Rank'!$C$2:$C2766=C2251))=1,filter('Previous Rank'!$A$2:$A2766,'Previous Rank'!$B$2:$B2766=B2251,'Previous Rank'!$C$2:$C2766=C2251),"""")"),2248.0)</f>
        <v>2248</v>
      </c>
      <c r="H2251" s="8">
        <f t="shared" si="1"/>
        <v>-2</v>
      </c>
    </row>
    <row r="2252">
      <c r="A2252" s="10">
        <v>2251.0</v>
      </c>
      <c r="B2252" s="11" t="s">
        <v>2349</v>
      </c>
      <c r="C2252" s="10" t="s">
        <v>14</v>
      </c>
      <c r="D2252" s="10" t="s">
        <v>49</v>
      </c>
      <c r="E2252" s="16"/>
      <c r="F2252" s="16" t="s">
        <v>382</v>
      </c>
      <c r="G2252" s="13">
        <f>IFERROR(__xludf.DUMMYFUNCTION("if(counta(filter('Previous Rank'!$A$2:$A2766,'Previous Rank'!$B$2:$B2766=B2252,'Previous Rank'!$C$2:$C2766=C2252))=1,filter('Previous Rank'!$A$2:$A2766,'Previous Rank'!$B$2:$B2766=B2252,'Previous Rank'!$C$2:$C2766=C2252),"""")"),2249.0)</f>
        <v>2249</v>
      </c>
      <c r="H2252" s="8">
        <f t="shared" si="1"/>
        <v>-2</v>
      </c>
    </row>
    <row r="2253">
      <c r="A2253" s="10">
        <v>2252.0</v>
      </c>
      <c r="B2253" s="11" t="s">
        <v>2350</v>
      </c>
      <c r="C2253" s="10" t="s">
        <v>14</v>
      </c>
      <c r="D2253" s="10" t="s">
        <v>120</v>
      </c>
      <c r="E2253" s="15"/>
      <c r="F2253" s="15" t="s">
        <v>382</v>
      </c>
      <c r="G2253" s="13">
        <f>IFERROR(__xludf.DUMMYFUNCTION("if(counta(filter('Previous Rank'!$A$2:$A2766,'Previous Rank'!$B$2:$B2766=B2253,'Previous Rank'!$C$2:$C2766=C2253))=1,filter('Previous Rank'!$A$2:$A2766,'Previous Rank'!$B$2:$B2766=B2253,'Previous Rank'!$C$2:$C2766=C2253),"""")"),2250.0)</f>
        <v>2250</v>
      </c>
      <c r="H2253" s="8">
        <f t="shared" si="1"/>
        <v>-2</v>
      </c>
    </row>
    <row r="2254">
      <c r="A2254" s="10">
        <v>2253.0</v>
      </c>
      <c r="B2254" s="11" t="s">
        <v>2351</v>
      </c>
      <c r="C2254" s="10" t="s">
        <v>39</v>
      </c>
      <c r="D2254" s="10" t="s">
        <v>46</v>
      </c>
      <c r="E2254" s="16"/>
      <c r="F2254" s="16" t="s">
        <v>382</v>
      </c>
      <c r="G2254" s="13">
        <f>IFERROR(__xludf.DUMMYFUNCTION("if(counta(filter('Previous Rank'!$A$2:$A2766,'Previous Rank'!$B$2:$B2766=B2254,'Previous Rank'!$C$2:$C2766=C2254))=1,filter('Previous Rank'!$A$2:$A2766,'Previous Rank'!$B$2:$B2766=B2254,'Previous Rank'!$C$2:$C2766=C2254),"""")"),2251.0)</f>
        <v>2251</v>
      </c>
      <c r="H2254" s="8">
        <f t="shared" si="1"/>
        <v>-2</v>
      </c>
    </row>
    <row r="2255">
      <c r="A2255" s="10">
        <v>2254.0</v>
      </c>
      <c r="B2255" s="11" t="s">
        <v>2352</v>
      </c>
      <c r="C2255" s="10" t="s">
        <v>136</v>
      </c>
      <c r="D2255" s="10" t="s">
        <v>105</v>
      </c>
      <c r="E2255" s="15"/>
      <c r="F2255" s="15" t="s">
        <v>382</v>
      </c>
      <c r="G2255" s="13">
        <f>IFERROR(__xludf.DUMMYFUNCTION("if(counta(filter('Previous Rank'!$A$2:$A2766,'Previous Rank'!$B$2:$B2766=B2255,'Previous Rank'!$C$2:$C2766=C2255))=1,filter('Previous Rank'!$A$2:$A2766,'Previous Rank'!$B$2:$B2766=B2255,'Previous Rank'!$C$2:$C2766=C2255),"""")"),2252.0)</f>
        <v>2252</v>
      </c>
      <c r="H2255" s="8">
        <f t="shared" si="1"/>
        <v>-2</v>
      </c>
    </row>
    <row r="2256">
      <c r="A2256" s="10">
        <v>2255.0</v>
      </c>
      <c r="B2256" s="11" t="s">
        <v>2353</v>
      </c>
      <c r="C2256" s="10" t="s">
        <v>14</v>
      </c>
      <c r="D2256" s="10" t="s">
        <v>9</v>
      </c>
      <c r="E2256" s="16"/>
      <c r="F2256" s="16" t="s">
        <v>382</v>
      </c>
      <c r="G2256" s="13">
        <f>IFERROR(__xludf.DUMMYFUNCTION("if(counta(filter('Previous Rank'!$A$2:$A2766,'Previous Rank'!$B$2:$B2766=B2256,'Previous Rank'!$C$2:$C2766=C2256))=1,filter('Previous Rank'!$A$2:$A2766,'Previous Rank'!$B$2:$B2766=B2256,'Previous Rank'!$C$2:$C2766=C2256),"""")"),2253.0)</f>
        <v>2253</v>
      </c>
      <c r="H2256" s="8">
        <f t="shared" si="1"/>
        <v>-2</v>
      </c>
    </row>
    <row r="2257">
      <c r="A2257" s="10">
        <v>2256.0</v>
      </c>
      <c r="B2257" s="11" t="s">
        <v>2354</v>
      </c>
      <c r="C2257" s="10" t="s">
        <v>11</v>
      </c>
      <c r="D2257" s="10" t="s">
        <v>73</v>
      </c>
      <c r="E2257" s="15"/>
      <c r="F2257" s="15" t="s">
        <v>382</v>
      </c>
      <c r="G2257" s="13">
        <f>IFERROR(__xludf.DUMMYFUNCTION("if(counta(filter('Previous Rank'!$A$2:$A2766,'Previous Rank'!$B$2:$B2766=B2257,'Previous Rank'!$C$2:$C2766=C2257))=1,filter('Previous Rank'!$A$2:$A2766,'Previous Rank'!$B$2:$B2766=B2257,'Previous Rank'!$C$2:$C2766=C2257),"""")"),2254.0)</f>
        <v>2254</v>
      </c>
      <c r="H2257" s="8">
        <f t="shared" si="1"/>
        <v>-2</v>
      </c>
    </row>
    <row r="2258">
      <c r="A2258" s="10">
        <v>2257.0</v>
      </c>
      <c r="B2258" s="11" t="s">
        <v>2355</v>
      </c>
      <c r="C2258" s="10" t="s">
        <v>14</v>
      </c>
      <c r="D2258" s="10" t="s">
        <v>9</v>
      </c>
      <c r="E2258" s="16"/>
      <c r="F2258" s="16" t="s">
        <v>382</v>
      </c>
      <c r="G2258" s="13">
        <f>IFERROR(__xludf.DUMMYFUNCTION("if(counta(filter('Previous Rank'!$A$2:$A2766,'Previous Rank'!$B$2:$B2766=B2258,'Previous Rank'!$C$2:$C2766=C2258))=1,filter('Previous Rank'!$A$2:$A2766,'Previous Rank'!$B$2:$B2766=B2258,'Previous Rank'!$C$2:$C2766=C2258),"""")"),2255.0)</f>
        <v>2255</v>
      </c>
      <c r="H2258" s="8">
        <f t="shared" si="1"/>
        <v>-2</v>
      </c>
    </row>
    <row r="2259">
      <c r="A2259" s="10">
        <v>2258.0</v>
      </c>
      <c r="B2259" s="11" t="s">
        <v>2356</v>
      </c>
      <c r="C2259" s="10" t="s">
        <v>148</v>
      </c>
      <c r="D2259" s="10" t="s">
        <v>140</v>
      </c>
      <c r="E2259" s="15"/>
      <c r="F2259" s="15" t="s">
        <v>382</v>
      </c>
      <c r="G2259" s="13">
        <f>IFERROR(__xludf.DUMMYFUNCTION("if(counta(filter('Previous Rank'!$A$2:$A2766,'Previous Rank'!$B$2:$B2766=B2259,'Previous Rank'!$C$2:$C2766=C2259))=1,filter('Previous Rank'!$A$2:$A2766,'Previous Rank'!$B$2:$B2766=B2259,'Previous Rank'!$C$2:$C2766=C2259),"""")"),2256.0)</f>
        <v>2256</v>
      </c>
      <c r="H2259" s="8">
        <f t="shared" si="1"/>
        <v>-2</v>
      </c>
    </row>
    <row r="2260">
      <c r="A2260" s="10">
        <v>2259.0</v>
      </c>
      <c r="B2260" s="11" t="s">
        <v>2357</v>
      </c>
      <c r="C2260" s="10" t="s">
        <v>17</v>
      </c>
      <c r="D2260" s="10" t="s">
        <v>82</v>
      </c>
      <c r="E2260" s="16"/>
      <c r="F2260" s="16" t="s">
        <v>382</v>
      </c>
      <c r="G2260" s="13">
        <f>IFERROR(__xludf.DUMMYFUNCTION("if(counta(filter('Previous Rank'!$A$2:$A2766,'Previous Rank'!$B$2:$B2766=B2260,'Previous Rank'!$C$2:$C2766=C2260))=1,filter('Previous Rank'!$A$2:$A2766,'Previous Rank'!$B$2:$B2766=B2260,'Previous Rank'!$C$2:$C2766=C2260),"""")"),2257.0)</f>
        <v>2257</v>
      </c>
      <c r="H2260" s="8">
        <f t="shared" si="1"/>
        <v>-2</v>
      </c>
    </row>
    <row r="2261">
      <c r="A2261" s="10">
        <v>2260.0</v>
      </c>
      <c r="B2261" s="11" t="s">
        <v>2358</v>
      </c>
      <c r="C2261" s="10" t="s">
        <v>39</v>
      </c>
      <c r="D2261" s="10" t="s">
        <v>25</v>
      </c>
      <c r="E2261" s="15"/>
      <c r="F2261" s="15" t="s">
        <v>382</v>
      </c>
      <c r="G2261" s="13">
        <f>IFERROR(__xludf.DUMMYFUNCTION("if(counta(filter('Previous Rank'!$A$2:$A2766,'Previous Rank'!$B$2:$B2766=B2261,'Previous Rank'!$C$2:$C2766=C2261))=1,filter('Previous Rank'!$A$2:$A2766,'Previous Rank'!$B$2:$B2766=B2261,'Previous Rank'!$C$2:$C2766=C2261),"""")"),2258.0)</f>
        <v>2258</v>
      </c>
      <c r="H2261" s="8">
        <f t="shared" si="1"/>
        <v>-2</v>
      </c>
    </row>
    <row r="2262">
      <c r="A2262" s="10">
        <v>2261.0</v>
      </c>
      <c r="B2262" s="11" t="s">
        <v>2359</v>
      </c>
      <c r="C2262" s="10" t="s">
        <v>89</v>
      </c>
      <c r="D2262" s="10" t="s">
        <v>36</v>
      </c>
      <c r="E2262" s="16"/>
      <c r="F2262" s="16" t="s">
        <v>382</v>
      </c>
      <c r="G2262" s="13">
        <f>IFERROR(__xludf.DUMMYFUNCTION("if(counta(filter('Previous Rank'!$A$2:$A2766,'Previous Rank'!$B$2:$B2766=B2262,'Previous Rank'!$C$2:$C2766=C2262))=1,filter('Previous Rank'!$A$2:$A2766,'Previous Rank'!$B$2:$B2766=B2262,'Previous Rank'!$C$2:$C2766=C2262),"""")"),2259.0)</f>
        <v>2259</v>
      </c>
      <c r="H2262" s="8">
        <f t="shared" si="1"/>
        <v>-2</v>
      </c>
    </row>
    <row r="2263">
      <c r="A2263" s="10">
        <v>2262.0</v>
      </c>
      <c r="B2263" s="11" t="s">
        <v>2360</v>
      </c>
      <c r="C2263" s="10" t="s">
        <v>55</v>
      </c>
      <c r="D2263" s="10" t="s">
        <v>206</v>
      </c>
      <c r="E2263" s="15"/>
      <c r="F2263" s="15" t="s">
        <v>382</v>
      </c>
      <c r="G2263" s="13">
        <f>IFERROR(__xludf.DUMMYFUNCTION("if(counta(filter('Previous Rank'!$A$2:$A2766,'Previous Rank'!$B$2:$B2766=B2263,'Previous Rank'!$C$2:$C2766=C2263))=1,filter('Previous Rank'!$A$2:$A2766,'Previous Rank'!$B$2:$B2766=B2263,'Previous Rank'!$C$2:$C2766=C2263),"""")"),2260.0)</f>
        <v>2260</v>
      </c>
      <c r="H2263" s="8">
        <f t="shared" si="1"/>
        <v>-2</v>
      </c>
    </row>
    <row r="2264">
      <c r="A2264" s="10">
        <v>2263.0</v>
      </c>
      <c r="B2264" s="11" t="s">
        <v>2361</v>
      </c>
      <c r="C2264" s="10" t="s">
        <v>77</v>
      </c>
      <c r="D2264" s="10" t="s">
        <v>120</v>
      </c>
      <c r="E2264" s="16"/>
      <c r="F2264" s="16" t="s">
        <v>382</v>
      </c>
      <c r="G2264" s="13">
        <f>IFERROR(__xludf.DUMMYFUNCTION("if(counta(filter('Previous Rank'!$A$2:$A2766,'Previous Rank'!$B$2:$B2766=B2264,'Previous Rank'!$C$2:$C2766=C2264))=1,filter('Previous Rank'!$A$2:$A2766,'Previous Rank'!$B$2:$B2766=B2264,'Previous Rank'!$C$2:$C2766=C2264),"""")"),2261.0)</f>
        <v>2261</v>
      </c>
      <c r="H2264" s="8">
        <f t="shared" si="1"/>
        <v>-2</v>
      </c>
    </row>
    <row r="2265">
      <c r="A2265" s="10">
        <v>2264.0</v>
      </c>
      <c r="B2265" s="11" t="s">
        <v>2362</v>
      </c>
      <c r="C2265" s="10" t="s">
        <v>39</v>
      </c>
      <c r="D2265" s="10" t="s">
        <v>120</v>
      </c>
      <c r="E2265" s="15"/>
      <c r="F2265" s="15" t="s">
        <v>382</v>
      </c>
      <c r="G2265" s="13">
        <f>IFERROR(__xludf.DUMMYFUNCTION("if(counta(filter('Previous Rank'!$A$2:$A2766,'Previous Rank'!$B$2:$B2766=B2265,'Previous Rank'!$C$2:$C2766=C2265))=1,filter('Previous Rank'!$A$2:$A2766,'Previous Rank'!$B$2:$B2766=B2265,'Previous Rank'!$C$2:$C2766=C2265),"""")"),2262.0)</f>
        <v>2262</v>
      </c>
      <c r="H2265" s="8">
        <f t="shared" si="1"/>
        <v>-2</v>
      </c>
    </row>
    <row r="2266">
      <c r="A2266" s="10">
        <v>2265.0</v>
      </c>
      <c r="B2266" s="11" t="s">
        <v>2363</v>
      </c>
      <c r="C2266" s="10" t="s">
        <v>14</v>
      </c>
      <c r="D2266" s="10" t="s">
        <v>140</v>
      </c>
      <c r="E2266" s="16"/>
      <c r="F2266" s="16" t="s">
        <v>382</v>
      </c>
      <c r="G2266" s="13">
        <f>IFERROR(__xludf.DUMMYFUNCTION("if(counta(filter('Previous Rank'!$A$2:$A2766,'Previous Rank'!$B$2:$B2766=B2266,'Previous Rank'!$C$2:$C2766=C2266))=1,filter('Previous Rank'!$A$2:$A2766,'Previous Rank'!$B$2:$B2766=B2266,'Previous Rank'!$C$2:$C2766=C2266),"""")"),2263.0)</f>
        <v>2263</v>
      </c>
      <c r="H2266" s="8">
        <f t="shared" si="1"/>
        <v>-2</v>
      </c>
    </row>
    <row r="2267">
      <c r="A2267" s="10">
        <v>2266.0</v>
      </c>
      <c r="B2267" s="11" t="s">
        <v>2364</v>
      </c>
      <c r="C2267" s="10" t="s">
        <v>39</v>
      </c>
      <c r="D2267" s="10" t="s">
        <v>67</v>
      </c>
      <c r="E2267" s="15"/>
      <c r="F2267" s="15" t="s">
        <v>382</v>
      </c>
      <c r="G2267" s="13">
        <f>IFERROR(__xludf.DUMMYFUNCTION("if(counta(filter('Previous Rank'!$A$2:$A2766,'Previous Rank'!$B$2:$B2766=B2267,'Previous Rank'!$C$2:$C2766=C2267))=1,filter('Previous Rank'!$A$2:$A2766,'Previous Rank'!$B$2:$B2766=B2267,'Previous Rank'!$C$2:$C2766=C2267),"""")"),2264.0)</f>
        <v>2264</v>
      </c>
      <c r="H2267" s="8">
        <f t="shared" si="1"/>
        <v>-2</v>
      </c>
    </row>
    <row r="2268">
      <c r="A2268" s="10">
        <v>2267.0</v>
      </c>
      <c r="B2268" s="11" t="s">
        <v>2365</v>
      </c>
      <c r="C2268" s="10" t="s">
        <v>14</v>
      </c>
      <c r="D2268" s="10" t="s">
        <v>42</v>
      </c>
      <c r="E2268" s="16"/>
      <c r="F2268" s="16" t="s">
        <v>382</v>
      </c>
      <c r="G2268" s="13">
        <f>IFERROR(__xludf.DUMMYFUNCTION("if(counta(filter('Previous Rank'!$A$2:$A2766,'Previous Rank'!$B$2:$B2766=B2268,'Previous Rank'!$C$2:$C2766=C2268))=1,filter('Previous Rank'!$A$2:$A2766,'Previous Rank'!$B$2:$B2766=B2268,'Previous Rank'!$C$2:$C2766=C2268),"""")"),2265.0)</f>
        <v>2265</v>
      </c>
      <c r="H2268" s="8">
        <f t="shared" si="1"/>
        <v>-2</v>
      </c>
    </row>
    <row r="2269">
      <c r="A2269" s="10">
        <v>2268.0</v>
      </c>
      <c r="B2269" s="11" t="s">
        <v>2366</v>
      </c>
      <c r="C2269" s="10" t="s">
        <v>14</v>
      </c>
      <c r="D2269" s="10" t="s">
        <v>67</v>
      </c>
      <c r="E2269" s="15"/>
      <c r="F2269" s="15" t="s">
        <v>382</v>
      </c>
      <c r="G2269" s="13">
        <f>IFERROR(__xludf.DUMMYFUNCTION("if(counta(filter('Previous Rank'!$A$2:$A2766,'Previous Rank'!$B$2:$B2766=B2269,'Previous Rank'!$C$2:$C2766=C2269))=1,filter('Previous Rank'!$A$2:$A2766,'Previous Rank'!$B$2:$B2766=B2269,'Previous Rank'!$C$2:$C2766=C2269),"""")"),2266.0)</f>
        <v>2266</v>
      </c>
      <c r="H2269" s="8">
        <f t="shared" si="1"/>
        <v>-2</v>
      </c>
    </row>
    <row r="2270">
      <c r="A2270" s="10">
        <v>2269.0</v>
      </c>
      <c r="B2270" s="11" t="s">
        <v>2367</v>
      </c>
      <c r="C2270" s="10" t="s">
        <v>14</v>
      </c>
      <c r="D2270" s="10" t="s">
        <v>85</v>
      </c>
      <c r="E2270" s="16"/>
      <c r="F2270" s="16" t="s">
        <v>382</v>
      </c>
      <c r="G2270" s="13">
        <f>IFERROR(__xludf.DUMMYFUNCTION("if(counta(filter('Previous Rank'!$A$2:$A2766,'Previous Rank'!$B$2:$B2766=B2270,'Previous Rank'!$C$2:$C2766=C2270))=1,filter('Previous Rank'!$A$2:$A2766,'Previous Rank'!$B$2:$B2766=B2270,'Previous Rank'!$C$2:$C2766=C2270),"""")"),2267.0)</f>
        <v>2267</v>
      </c>
      <c r="H2270" s="8">
        <f t="shared" si="1"/>
        <v>-2</v>
      </c>
    </row>
    <row r="2271">
      <c r="A2271" s="10">
        <v>2270.0</v>
      </c>
      <c r="B2271" s="11" t="s">
        <v>2368</v>
      </c>
      <c r="C2271" s="10" t="s">
        <v>89</v>
      </c>
      <c r="D2271" s="10" t="s">
        <v>113</v>
      </c>
      <c r="E2271" s="15"/>
      <c r="F2271" s="15" t="s">
        <v>382</v>
      </c>
      <c r="G2271" s="13">
        <f>IFERROR(__xludf.DUMMYFUNCTION("if(counta(filter('Previous Rank'!$A$2:$A2766,'Previous Rank'!$B$2:$B2766=B2271,'Previous Rank'!$C$2:$C2766=C2271))=1,filter('Previous Rank'!$A$2:$A2766,'Previous Rank'!$B$2:$B2766=B2271,'Previous Rank'!$C$2:$C2766=C2271),"""")"),2268.0)</f>
        <v>2268</v>
      </c>
      <c r="H2271" s="8">
        <f t="shared" si="1"/>
        <v>-2</v>
      </c>
    </row>
    <row r="2272">
      <c r="A2272" s="10">
        <v>2271.0</v>
      </c>
      <c r="B2272" s="11" t="s">
        <v>2369</v>
      </c>
      <c r="C2272" s="10" t="s">
        <v>77</v>
      </c>
      <c r="D2272" s="10" t="s">
        <v>36</v>
      </c>
      <c r="E2272" s="14"/>
      <c r="F2272" s="14" t="s">
        <v>382</v>
      </c>
      <c r="G2272" s="13">
        <f>IFERROR(__xludf.DUMMYFUNCTION("if(counta(filter('Previous Rank'!$A$2:$A2766,'Previous Rank'!$B$2:$B2766=B2272,'Previous Rank'!$C$2:$C2766=C2272))=1,filter('Previous Rank'!$A$2:$A2766,'Previous Rank'!$B$2:$B2766=B2272,'Previous Rank'!$C$2:$C2766=C2272),"""")"),2269.0)</f>
        <v>2269</v>
      </c>
      <c r="H2272" s="8">
        <f t="shared" si="1"/>
        <v>-2</v>
      </c>
    </row>
    <row r="2273">
      <c r="A2273" s="10">
        <v>2272.0</v>
      </c>
      <c r="B2273" s="11" t="s">
        <v>2370</v>
      </c>
      <c r="C2273" s="10" t="s">
        <v>48</v>
      </c>
      <c r="D2273" s="10" t="s">
        <v>85</v>
      </c>
      <c r="E2273" s="15"/>
      <c r="F2273" s="15" t="s">
        <v>382</v>
      </c>
      <c r="G2273" s="13">
        <f>IFERROR(__xludf.DUMMYFUNCTION("if(counta(filter('Previous Rank'!$A$2:$A2766,'Previous Rank'!$B$2:$B2766=B2273,'Previous Rank'!$C$2:$C2766=C2273))=1,filter('Previous Rank'!$A$2:$A2766,'Previous Rank'!$B$2:$B2766=B2273,'Previous Rank'!$C$2:$C2766=C2273),"""")"),2270.0)</f>
        <v>2270</v>
      </c>
      <c r="H2273" s="8">
        <f t="shared" si="1"/>
        <v>-2</v>
      </c>
    </row>
    <row r="2274">
      <c r="A2274" s="10">
        <v>2273.0</v>
      </c>
      <c r="B2274" s="11" t="s">
        <v>2371</v>
      </c>
      <c r="C2274" s="10" t="s">
        <v>39</v>
      </c>
      <c r="D2274" s="10" t="s">
        <v>36</v>
      </c>
      <c r="E2274" s="16"/>
      <c r="F2274" s="16"/>
      <c r="G2274" s="13">
        <f>IFERROR(__xludf.DUMMYFUNCTION("if(counta(filter('Previous Rank'!$A$2:$A2766,'Previous Rank'!$B$2:$B2766=B2274,'Previous Rank'!$C$2:$C2766=C2274))=1,filter('Previous Rank'!$A$2:$A2766,'Previous Rank'!$B$2:$B2766=B2274,'Previous Rank'!$C$2:$C2766=C2274),"""")"),2271.0)</f>
        <v>2271</v>
      </c>
      <c r="H2274" s="8">
        <f t="shared" si="1"/>
        <v>-2</v>
      </c>
    </row>
    <row r="2275">
      <c r="A2275" s="10">
        <v>2274.0</v>
      </c>
      <c r="B2275" s="11" t="s">
        <v>2372</v>
      </c>
      <c r="C2275" s="10" t="s">
        <v>14</v>
      </c>
      <c r="D2275" s="10" t="s">
        <v>71</v>
      </c>
      <c r="E2275" s="15"/>
      <c r="F2275" s="15" t="s">
        <v>382</v>
      </c>
      <c r="G2275" s="13">
        <f>IFERROR(__xludf.DUMMYFUNCTION("if(counta(filter('Previous Rank'!$A$2:$A2766,'Previous Rank'!$B$2:$B2766=B2275,'Previous Rank'!$C$2:$C2766=C2275))=1,filter('Previous Rank'!$A$2:$A2766,'Previous Rank'!$B$2:$B2766=B2275,'Previous Rank'!$C$2:$C2766=C2275),"""")"),2272.0)</f>
        <v>2272</v>
      </c>
      <c r="H2275" s="8">
        <f t="shared" si="1"/>
        <v>-2</v>
      </c>
    </row>
    <row r="2276">
      <c r="A2276" s="10">
        <v>2275.0</v>
      </c>
      <c r="B2276" s="11" t="s">
        <v>2373</v>
      </c>
      <c r="C2276" s="10" t="s">
        <v>48</v>
      </c>
      <c r="D2276" s="10" t="s">
        <v>90</v>
      </c>
      <c r="E2276" s="16"/>
      <c r="F2276" s="16" t="s">
        <v>382</v>
      </c>
      <c r="G2276" s="13">
        <f>IFERROR(__xludf.DUMMYFUNCTION("if(counta(filter('Previous Rank'!$A$2:$A2766,'Previous Rank'!$B$2:$B2766=B2276,'Previous Rank'!$C$2:$C2766=C2276))=1,filter('Previous Rank'!$A$2:$A2766,'Previous Rank'!$B$2:$B2766=B2276,'Previous Rank'!$C$2:$C2766=C2276),"""")"),2273.0)</f>
        <v>2273</v>
      </c>
      <c r="H2276" s="8">
        <f t="shared" si="1"/>
        <v>-2</v>
      </c>
    </row>
    <row r="2277">
      <c r="A2277" s="10">
        <v>2276.0</v>
      </c>
      <c r="B2277" s="11" t="s">
        <v>2374</v>
      </c>
      <c r="C2277" s="10" t="s">
        <v>14</v>
      </c>
      <c r="D2277" s="10" t="s">
        <v>137</v>
      </c>
      <c r="E2277" s="15"/>
      <c r="F2277" s="15" t="s">
        <v>382</v>
      </c>
      <c r="G2277" s="13">
        <f>IFERROR(__xludf.DUMMYFUNCTION("if(counta(filter('Previous Rank'!$A$2:$A2766,'Previous Rank'!$B$2:$B2766=B2277,'Previous Rank'!$C$2:$C2766=C2277))=1,filter('Previous Rank'!$A$2:$A2766,'Previous Rank'!$B$2:$B2766=B2277,'Previous Rank'!$C$2:$C2766=C2277),"""")"),2274.0)</f>
        <v>2274</v>
      </c>
      <c r="H2277" s="8">
        <f t="shared" si="1"/>
        <v>-2</v>
      </c>
    </row>
    <row r="2278">
      <c r="A2278" s="10">
        <v>2277.0</v>
      </c>
      <c r="B2278" s="11" t="s">
        <v>2375</v>
      </c>
      <c r="C2278" s="10" t="s">
        <v>14</v>
      </c>
      <c r="D2278" s="10" t="s">
        <v>18</v>
      </c>
      <c r="E2278" s="16"/>
      <c r="F2278" s="16" t="s">
        <v>382</v>
      </c>
      <c r="G2278" s="13">
        <f>IFERROR(__xludf.DUMMYFUNCTION("if(counta(filter('Previous Rank'!$A$2:$A2766,'Previous Rank'!$B$2:$B2766=B2278,'Previous Rank'!$C$2:$C2766=C2278))=1,filter('Previous Rank'!$A$2:$A2766,'Previous Rank'!$B$2:$B2766=B2278,'Previous Rank'!$C$2:$C2766=C2278),"""")"),2275.0)</f>
        <v>2275</v>
      </c>
      <c r="H2278" s="8">
        <f t="shared" si="1"/>
        <v>-2</v>
      </c>
    </row>
    <row r="2279">
      <c r="A2279" s="10">
        <v>2278.0</v>
      </c>
      <c r="B2279" s="11" t="s">
        <v>2376</v>
      </c>
      <c r="C2279" s="10" t="s">
        <v>77</v>
      </c>
      <c r="D2279" s="10" t="s">
        <v>122</v>
      </c>
      <c r="E2279" s="15"/>
      <c r="F2279" s="15" t="s">
        <v>382</v>
      </c>
      <c r="G2279" s="13">
        <f>IFERROR(__xludf.DUMMYFUNCTION("if(counta(filter('Previous Rank'!$A$2:$A2766,'Previous Rank'!$B$2:$B2766=B2279,'Previous Rank'!$C$2:$C2766=C2279))=1,filter('Previous Rank'!$A$2:$A2766,'Previous Rank'!$B$2:$B2766=B2279,'Previous Rank'!$C$2:$C2766=C2279),"""")"),2276.0)</f>
        <v>2276</v>
      </c>
      <c r="H2279" s="8">
        <f t="shared" si="1"/>
        <v>-2</v>
      </c>
    </row>
    <row r="2280">
      <c r="A2280" s="10">
        <v>2279.0</v>
      </c>
      <c r="B2280" s="11" t="s">
        <v>1089</v>
      </c>
      <c r="C2280" s="10" t="s">
        <v>14</v>
      </c>
      <c r="D2280" s="10" t="s">
        <v>206</v>
      </c>
      <c r="E2280" s="16"/>
      <c r="F2280" s="16" t="s">
        <v>382</v>
      </c>
      <c r="G2280" s="13">
        <f>IFERROR(__xludf.DUMMYFUNCTION("if(counta(filter('Previous Rank'!$A$2:$A2766,'Previous Rank'!$B$2:$B2766=B2280,'Previous Rank'!$C$2:$C2766=C2280))=1,filter('Previous Rank'!$A$2:$A2766,'Previous Rank'!$B$2:$B2766=B2280,'Previous Rank'!$C$2:$C2766=C2280),"""")"),2277.0)</f>
        <v>2277</v>
      </c>
      <c r="H2280" s="8">
        <f t="shared" si="1"/>
        <v>-2</v>
      </c>
    </row>
    <row r="2281">
      <c r="A2281" s="10">
        <v>2280.0</v>
      </c>
      <c r="B2281" s="11" t="s">
        <v>2377</v>
      </c>
      <c r="C2281" s="10" t="s">
        <v>55</v>
      </c>
      <c r="D2281" s="10" t="s">
        <v>18</v>
      </c>
      <c r="E2281" s="15"/>
      <c r="F2281" s="15" t="s">
        <v>382</v>
      </c>
      <c r="G2281" s="13">
        <f>IFERROR(__xludf.DUMMYFUNCTION("if(counta(filter('Previous Rank'!$A$2:$A2766,'Previous Rank'!$B$2:$B2766=B2281,'Previous Rank'!$C$2:$C2766=C2281))=1,filter('Previous Rank'!$A$2:$A2766,'Previous Rank'!$B$2:$B2766=B2281,'Previous Rank'!$C$2:$C2766=C2281),"""")"),2278.0)</f>
        <v>2278</v>
      </c>
      <c r="H2281" s="8">
        <f t="shared" si="1"/>
        <v>-2</v>
      </c>
    </row>
    <row r="2282">
      <c r="A2282" s="10">
        <v>2281.0</v>
      </c>
      <c r="B2282" s="11" t="s">
        <v>2378</v>
      </c>
      <c r="C2282" s="10" t="s">
        <v>8</v>
      </c>
      <c r="D2282" s="10" t="s">
        <v>71</v>
      </c>
      <c r="E2282" s="16"/>
      <c r="F2282" s="16" t="s">
        <v>382</v>
      </c>
      <c r="G2282" s="13">
        <f>IFERROR(__xludf.DUMMYFUNCTION("if(counta(filter('Previous Rank'!$A$2:$A2766,'Previous Rank'!$B$2:$B2766=B2282,'Previous Rank'!$C$2:$C2766=C2282))=1,filter('Previous Rank'!$A$2:$A2766,'Previous Rank'!$B$2:$B2766=B2282,'Previous Rank'!$C$2:$C2766=C2282),"""")"),2279.0)</f>
        <v>2279</v>
      </c>
      <c r="H2282" s="8">
        <f t="shared" si="1"/>
        <v>-2</v>
      </c>
    </row>
    <row r="2283">
      <c r="A2283" s="10">
        <v>2282.0</v>
      </c>
      <c r="B2283" s="11" t="s">
        <v>2379</v>
      </c>
      <c r="C2283" s="10" t="s">
        <v>14</v>
      </c>
      <c r="D2283" s="10" t="s">
        <v>99</v>
      </c>
      <c r="E2283" s="15"/>
      <c r="F2283" s="15" t="s">
        <v>382</v>
      </c>
      <c r="G2283" s="13">
        <f>IFERROR(__xludf.DUMMYFUNCTION("if(counta(filter('Previous Rank'!$A$2:$A2766,'Previous Rank'!$B$2:$B2766=B2283,'Previous Rank'!$C$2:$C2766=C2283))=1,filter('Previous Rank'!$A$2:$A2766,'Previous Rank'!$B$2:$B2766=B2283,'Previous Rank'!$C$2:$C2766=C2283),"""")"),2280.0)</f>
        <v>2280</v>
      </c>
      <c r="H2283" s="8">
        <f t="shared" si="1"/>
        <v>-2</v>
      </c>
    </row>
    <row r="2284">
      <c r="A2284" s="10">
        <v>2283.0</v>
      </c>
      <c r="B2284" s="11" t="s">
        <v>2380</v>
      </c>
      <c r="C2284" s="10" t="s">
        <v>11</v>
      </c>
      <c r="D2284" s="10" t="s">
        <v>113</v>
      </c>
      <c r="E2284" s="16"/>
      <c r="F2284" s="16" t="s">
        <v>382</v>
      </c>
      <c r="G2284" s="13">
        <f>IFERROR(__xludf.DUMMYFUNCTION("if(counta(filter('Previous Rank'!$A$2:$A2766,'Previous Rank'!$B$2:$B2766=B2284,'Previous Rank'!$C$2:$C2766=C2284))=1,filter('Previous Rank'!$A$2:$A2766,'Previous Rank'!$B$2:$B2766=B2284,'Previous Rank'!$C$2:$C2766=C2284),"""")"),2281.0)</f>
        <v>2281</v>
      </c>
      <c r="H2284" s="8">
        <f t="shared" si="1"/>
        <v>-2</v>
      </c>
    </row>
    <row r="2285">
      <c r="A2285" s="10">
        <v>2284.0</v>
      </c>
      <c r="B2285" s="11" t="s">
        <v>2381</v>
      </c>
      <c r="C2285" s="10" t="s">
        <v>48</v>
      </c>
      <c r="D2285" s="10" t="s">
        <v>71</v>
      </c>
      <c r="E2285" s="15"/>
      <c r="F2285" s="15" t="s">
        <v>382</v>
      </c>
      <c r="G2285" s="13">
        <f>IFERROR(__xludf.DUMMYFUNCTION("if(counta(filter('Previous Rank'!$A$2:$A2766,'Previous Rank'!$B$2:$B2766=B2285,'Previous Rank'!$C$2:$C2766=C2285))=1,filter('Previous Rank'!$A$2:$A2766,'Previous Rank'!$B$2:$B2766=B2285,'Previous Rank'!$C$2:$C2766=C2285),"""")"),2282.0)</f>
        <v>2282</v>
      </c>
      <c r="H2285" s="8">
        <f t="shared" si="1"/>
        <v>-2</v>
      </c>
    </row>
    <row r="2286">
      <c r="A2286" s="10">
        <v>2285.0</v>
      </c>
      <c r="B2286" s="11" t="s">
        <v>2382</v>
      </c>
      <c r="C2286" s="10" t="s">
        <v>39</v>
      </c>
      <c r="D2286" s="10" t="s">
        <v>122</v>
      </c>
      <c r="E2286" s="16"/>
      <c r="F2286" s="16" t="s">
        <v>382</v>
      </c>
      <c r="G2286" s="13">
        <f>IFERROR(__xludf.DUMMYFUNCTION("if(counta(filter('Previous Rank'!$A$2:$A2766,'Previous Rank'!$B$2:$B2766=B2286,'Previous Rank'!$C$2:$C2766=C2286))=1,filter('Previous Rank'!$A$2:$A2766,'Previous Rank'!$B$2:$B2766=B2286,'Previous Rank'!$C$2:$C2766=C2286),"""")"),2283.0)</f>
        <v>2283</v>
      </c>
      <c r="H2286" s="8">
        <f t="shared" si="1"/>
        <v>-2</v>
      </c>
    </row>
    <row r="2287">
      <c r="A2287" s="10">
        <v>2286.0</v>
      </c>
      <c r="B2287" s="11" t="s">
        <v>2383</v>
      </c>
      <c r="C2287" s="10" t="s">
        <v>14</v>
      </c>
      <c r="D2287" s="10" t="s">
        <v>206</v>
      </c>
      <c r="E2287" s="15"/>
      <c r="F2287" s="15" t="s">
        <v>382</v>
      </c>
      <c r="G2287" s="13">
        <f>IFERROR(__xludf.DUMMYFUNCTION("if(counta(filter('Previous Rank'!$A$2:$A2766,'Previous Rank'!$B$2:$B2766=B2287,'Previous Rank'!$C$2:$C2766=C2287))=1,filter('Previous Rank'!$A$2:$A2766,'Previous Rank'!$B$2:$B2766=B2287,'Previous Rank'!$C$2:$C2766=C2287),"""")"),2284.0)</f>
        <v>2284</v>
      </c>
      <c r="H2287" s="8">
        <f t="shared" si="1"/>
        <v>-2</v>
      </c>
    </row>
    <row r="2288">
      <c r="A2288" s="10">
        <v>2287.0</v>
      </c>
      <c r="B2288" s="11" t="s">
        <v>2384</v>
      </c>
      <c r="C2288" s="10" t="s">
        <v>48</v>
      </c>
      <c r="D2288" s="10" t="s">
        <v>82</v>
      </c>
      <c r="E2288" s="16"/>
      <c r="F2288" s="16" t="s">
        <v>382</v>
      </c>
      <c r="G2288" s="13">
        <f>IFERROR(__xludf.DUMMYFUNCTION("if(counta(filter('Previous Rank'!$A$2:$A2766,'Previous Rank'!$B$2:$B2766=B2288,'Previous Rank'!$C$2:$C2766=C2288))=1,filter('Previous Rank'!$A$2:$A2766,'Previous Rank'!$B$2:$B2766=B2288,'Previous Rank'!$C$2:$C2766=C2288),"""")"),2285.0)</f>
        <v>2285</v>
      </c>
      <c r="H2288" s="8">
        <f t="shared" si="1"/>
        <v>-2</v>
      </c>
    </row>
    <row r="2289">
      <c r="A2289" s="10">
        <v>2288.0</v>
      </c>
      <c r="B2289" s="11" t="s">
        <v>2385</v>
      </c>
      <c r="C2289" s="10" t="s">
        <v>89</v>
      </c>
      <c r="D2289" s="10" t="s">
        <v>113</v>
      </c>
      <c r="E2289" s="15"/>
      <c r="F2289" s="15" t="s">
        <v>382</v>
      </c>
      <c r="G2289" s="13">
        <f>IFERROR(__xludf.DUMMYFUNCTION("if(counta(filter('Previous Rank'!$A$2:$A2766,'Previous Rank'!$B$2:$B2766=B2289,'Previous Rank'!$C$2:$C2766=C2289))=1,filter('Previous Rank'!$A$2:$A2766,'Previous Rank'!$B$2:$B2766=B2289,'Previous Rank'!$C$2:$C2766=C2289),"""")"),2286.0)</f>
        <v>2286</v>
      </c>
      <c r="H2289" s="8">
        <f t="shared" si="1"/>
        <v>-2</v>
      </c>
    </row>
    <row r="2290">
      <c r="A2290" s="10">
        <v>2289.0</v>
      </c>
      <c r="B2290" s="11" t="s">
        <v>2386</v>
      </c>
      <c r="C2290" s="10" t="s">
        <v>63</v>
      </c>
      <c r="D2290" s="10" t="s">
        <v>105</v>
      </c>
      <c r="E2290" s="16"/>
      <c r="F2290" s="16" t="s">
        <v>382</v>
      </c>
      <c r="G2290" s="13">
        <f>IFERROR(__xludf.DUMMYFUNCTION("if(counta(filter('Previous Rank'!$A$2:$A2766,'Previous Rank'!$B$2:$B2766=B2290,'Previous Rank'!$C$2:$C2766=C2290))=1,filter('Previous Rank'!$A$2:$A2766,'Previous Rank'!$B$2:$B2766=B2290,'Previous Rank'!$C$2:$C2766=C2290),"""")"),2287.0)</f>
        <v>2287</v>
      </c>
      <c r="H2290" s="8">
        <f t="shared" si="1"/>
        <v>-2</v>
      </c>
    </row>
    <row r="2291">
      <c r="A2291" s="10">
        <v>2290.0</v>
      </c>
      <c r="B2291" s="11" t="s">
        <v>2387</v>
      </c>
      <c r="C2291" s="10" t="s">
        <v>14</v>
      </c>
      <c r="D2291" s="10" t="s">
        <v>52</v>
      </c>
      <c r="E2291" s="15"/>
      <c r="F2291" s="15" t="s">
        <v>382</v>
      </c>
      <c r="G2291" s="13">
        <f>IFERROR(__xludf.DUMMYFUNCTION("if(counta(filter('Previous Rank'!$A$2:$A2766,'Previous Rank'!$B$2:$B2766=B2291,'Previous Rank'!$C$2:$C2766=C2291))=1,filter('Previous Rank'!$A$2:$A2766,'Previous Rank'!$B$2:$B2766=B2291,'Previous Rank'!$C$2:$C2766=C2291),"""")"),2288.0)</f>
        <v>2288</v>
      </c>
      <c r="H2291" s="8">
        <f t="shared" si="1"/>
        <v>-2</v>
      </c>
    </row>
    <row r="2292">
      <c r="A2292" s="10">
        <v>2291.0</v>
      </c>
      <c r="B2292" s="11" t="s">
        <v>2388</v>
      </c>
      <c r="C2292" s="10" t="s">
        <v>240</v>
      </c>
      <c r="D2292" s="10" t="s">
        <v>105</v>
      </c>
      <c r="E2292" s="16"/>
      <c r="F2292" s="16" t="s">
        <v>382</v>
      </c>
      <c r="G2292" s="13">
        <f>IFERROR(__xludf.DUMMYFUNCTION("if(counta(filter('Previous Rank'!$A$2:$A2766,'Previous Rank'!$B$2:$B2766=B2292,'Previous Rank'!$C$2:$C2766=C2292))=1,filter('Previous Rank'!$A$2:$A2766,'Previous Rank'!$B$2:$B2766=B2292,'Previous Rank'!$C$2:$C2766=C2292),"""")"),2289.0)</f>
        <v>2289</v>
      </c>
      <c r="H2292" s="8">
        <f t="shared" si="1"/>
        <v>-2</v>
      </c>
    </row>
    <row r="2293">
      <c r="A2293" s="10">
        <v>2292.0</v>
      </c>
      <c r="B2293" s="11" t="s">
        <v>2389</v>
      </c>
      <c r="C2293" s="10" t="s">
        <v>39</v>
      </c>
      <c r="D2293" s="10" t="s">
        <v>85</v>
      </c>
      <c r="E2293" s="15"/>
      <c r="F2293" s="15" t="s">
        <v>382</v>
      </c>
      <c r="G2293" s="13">
        <f>IFERROR(__xludf.DUMMYFUNCTION("if(counta(filter('Previous Rank'!$A$2:$A2766,'Previous Rank'!$B$2:$B2766=B2293,'Previous Rank'!$C$2:$C2766=C2293))=1,filter('Previous Rank'!$A$2:$A2766,'Previous Rank'!$B$2:$B2766=B2293,'Previous Rank'!$C$2:$C2766=C2293),"""")"),2290.0)</f>
        <v>2290</v>
      </c>
      <c r="H2293" s="8">
        <f t="shared" si="1"/>
        <v>-2</v>
      </c>
    </row>
    <row r="2294">
      <c r="A2294" s="10">
        <v>2293.0</v>
      </c>
      <c r="B2294" s="11" t="s">
        <v>2390</v>
      </c>
      <c r="C2294" s="10" t="s">
        <v>77</v>
      </c>
      <c r="D2294" s="10" t="s">
        <v>49</v>
      </c>
      <c r="E2294" s="16"/>
      <c r="F2294" s="16" t="s">
        <v>382</v>
      </c>
      <c r="G2294" s="13">
        <f>IFERROR(__xludf.DUMMYFUNCTION("if(counta(filter('Previous Rank'!$A$2:$A2766,'Previous Rank'!$B$2:$B2766=B2294,'Previous Rank'!$C$2:$C2766=C2294))=1,filter('Previous Rank'!$A$2:$A2766,'Previous Rank'!$B$2:$B2766=B2294,'Previous Rank'!$C$2:$C2766=C2294),"""")"),2291.0)</f>
        <v>2291</v>
      </c>
      <c r="H2294" s="8">
        <f t="shared" si="1"/>
        <v>-2</v>
      </c>
    </row>
    <row r="2295">
      <c r="A2295" s="10">
        <v>2294.0</v>
      </c>
      <c r="B2295" s="11" t="s">
        <v>2391</v>
      </c>
      <c r="C2295" s="10" t="s">
        <v>11</v>
      </c>
      <c r="D2295" s="10" t="s">
        <v>105</v>
      </c>
      <c r="E2295" s="15"/>
      <c r="F2295" s="15" t="s">
        <v>382</v>
      </c>
      <c r="G2295" s="13">
        <f>IFERROR(__xludf.DUMMYFUNCTION("if(counta(filter('Previous Rank'!$A$2:$A2766,'Previous Rank'!$B$2:$B2766=B2295,'Previous Rank'!$C$2:$C2766=C2295))=1,filter('Previous Rank'!$A$2:$A2766,'Previous Rank'!$B$2:$B2766=B2295,'Previous Rank'!$C$2:$C2766=C2295),"""")"),2292.0)</f>
        <v>2292</v>
      </c>
      <c r="H2295" s="8">
        <f t="shared" si="1"/>
        <v>-2</v>
      </c>
    </row>
    <row r="2296">
      <c r="A2296" s="10">
        <v>2295.0</v>
      </c>
      <c r="B2296" s="11" t="s">
        <v>2392</v>
      </c>
      <c r="C2296" s="10" t="s">
        <v>77</v>
      </c>
      <c r="D2296" s="10" t="s">
        <v>15</v>
      </c>
      <c r="E2296" s="16"/>
      <c r="F2296" s="16" t="s">
        <v>382</v>
      </c>
      <c r="G2296" s="13">
        <f>IFERROR(__xludf.DUMMYFUNCTION("if(counta(filter('Previous Rank'!$A$2:$A2766,'Previous Rank'!$B$2:$B2766=B2296,'Previous Rank'!$C$2:$C2766=C2296))=1,filter('Previous Rank'!$A$2:$A2766,'Previous Rank'!$B$2:$B2766=B2296,'Previous Rank'!$C$2:$C2766=C2296),"""")"),2293.0)</f>
        <v>2293</v>
      </c>
      <c r="H2296" s="8">
        <f t="shared" si="1"/>
        <v>-2</v>
      </c>
    </row>
    <row r="2297">
      <c r="A2297" s="10">
        <v>2296.0</v>
      </c>
      <c r="B2297" s="11" t="s">
        <v>2393</v>
      </c>
      <c r="C2297" s="10" t="s">
        <v>8</v>
      </c>
      <c r="D2297" s="10" t="s">
        <v>15</v>
      </c>
      <c r="E2297" s="15"/>
      <c r="F2297" s="15" t="s">
        <v>382</v>
      </c>
      <c r="G2297" s="13">
        <f>IFERROR(__xludf.DUMMYFUNCTION("if(counta(filter('Previous Rank'!$A$2:$A2766,'Previous Rank'!$B$2:$B2766=B2297,'Previous Rank'!$C$2:$C2766=C2297))=1,filter('Previous Rank'!$A$2:$A2766,'Previous Rank'!$B$2:$B2766=B2297,'Previous Rank'!$C$2:$C2766=C2297),"""")"),2294.0)</f>
        <v>2294</v>
      </c>
      <c r="H2297" s="8">
        <f t="shared" si="1"/>
        <v>-2</v>
      </c>
    </row>
    <row r="2298">
      <c r="A2298" s="10">
        <v>2297.0</v>
      </c>
      <c r="B2298" s="11" t="s">
        <v>2394</v>
      </c>
      <c r="C2298" s="10" t="s">
        <v>77</v>
      </c>
      <c r="D2298" s="10" t="s">
        <v>42</v>
      </c>
      <c r="E2298" s="16"/>
      <c r="F2298" s="16" t="s">
        <v>382</v>
      </c>
      <c r="G2298" s="13">
        <f>IFERROR(__xludf.DUMMYFUNCTION("if(counta(filter('Previous Rank'!$A$2:$A2766,'Previous Rank'!$B$2:$B2766=B2298,'Previous Rank'!$C$2:$C2766=C2298))=1,filter('Previous Rank'!$A$2:$A2766,'Previous Rank'!$B$2:$B2766=B2298,'Previous Rank'!$C$2:$C2766=C2298),"""")"),2295.0)</f>
        <v>2295</v>
      </c>
      <c r="H2298" s="8">
        <f t="shared" si="1"/>
        <v>-2</v>
      </c>
    </row>
    <row r="2299">
      <c r="A2299" s="10">
        <v>2298.0</v>
      </c>
      <c r="B2299" s="11" t="s">
        <v>2395</v>
      </c>
      <c r="C2299" s="10" t="s">
        <v>17</v>
      </c>
      <c r="D2299" s="10" t="s">
        <v>82</v>
      </c>
      <c r="E2299" s="15"/>
      <c r="F2299" s="15" t="s">
        <v>382</v>
      </c>
      <c r="G2299" s="13">
        <f>IFERROR(__xludf.DUMMYFUNCTION("if(counta(filter('Previous Rank'!$A$2:$A2766,'Previous Rank'!$B$2:$B2766=B2299,'Previous Rank'!$C$2:$C2766=C2299))=1,filter('Previous Rank'!$A$2:$A2766,'Previous Rank'!$B$2:$B2766=B2299,'Previous Rank'!$C$2:$C2766=C2299),"""")"),2296.0)</f>
        <v>2296</v>
      </c>
      <c r="H2299" s="8">
        <f t="shared" si="1"/>
        <v>-2</v>
      </c>
    </row>
    <row r="2300">
      <c r="A2300" s="10">
        <v>2299.0</v>
      </c>
      <c r="B2300" s="11" t="s">
        <v>2396</v>
      </c>
      <c r="C2300" s="10" t="s">
        <v>77</v>
      </c>
      <c r="D2300" s="10" t="s">
        <v>85</v>
      </c>
      <c r="E2300" s="16"/>
      <c r="F2300" s="16" t="s">
        <v>382</v>
      </c>
      <c r="G2300" s="13">
        <f>IFERROR(__xludf.DUMMYFUNCTION("if(counta(filter('Previous Rank'!$A$2:$A2766,'Previous Rank'!$B$2:$B2766=B2300,'Previous Rank'!$C$2:$C2766=C2300))=1,filter('Previous Rank'!$A$2:$A2766,'Previous Rank'!$B$2:$B2766=B2300,'Previous Rank'!$C$2:$C2766=C2300),"""")"),2297.0)</f>
        <v>2297</v>
      </c>
      <c r="H2300" s="8">
        <f t="shared" si="1"/>
        <v>-2</v>
      </c>
    </row>
    <row r="2301">
      <c r="A2301" s="10">
        <v>2300.0</v>
      </c>
      <c r="B2301" s="11" t="s">
        <v>2397</v>
      </c>
      <c r="C2301" s="10" t="s">
        <v>39</v>
      </c>
      <c r="D2301" s="10" t="s">
        <v>34</v>
      </c>
      <c r="E2301" s="15"/>
      <c r="F2301" s="15" t="s">
        <v>382</v>
      </c>
      <c r="G2301" s="13">
        <f>IFERROR(__xludf.DUMMYFUNCTION("if(counta(filter('Previous Rank'!$A$2:$A2766,'Previous Rank'!$B$2:$B2766=B2301,'Previous Rank'!$C$2:$C2766=C2301))=1,filter('Previous Rank'!$A$2:$A2766,'Previous Rank'!$B$2:$B2766=B2301,'Previous Rank'!$C$2:$C2766=C2301),"""")"),2298.0)</f>
        <v>2298</v>
      </c>
      <c r="H2301" s="8">
        <f t="shared" si="1"/>
        <v>-2</v>
      </c>
    </row>
    <row r="2302">
      <c r="A2302" s="10">
        <v>2301.0</v>
      </c>
      <c r="B2302" s="11" t="s">
        <v>2398</v>
      </c>
      <c r="C2302" s="10" t="s">
        <v>77</v>
      </c>
      <c r="D2302" s="10" t="s">
        <v>23</v>
      </c>
      <c r="E2302" s="16"/>
      <c r="F2302" s="16" t="s">
        <v>382</v>
      </c>
      <c r="G2302" s="13">
        <f>IFERROR(__xludf.DUMMYFUNCTION("if(counta(filter('Previous Rank'!$A$2:$A2766,'Previous Rank'!$B$2:$B2766=B2302,'Previous Rank'!$C$2:$C2766=C2302))=1,filter('Previous Rank'!$A$2:$A2766,'Previous Rank'!$B$2:$B2766=B2302,'Previous Rank'!$C$2:$C2766=C2302),"""")"),2299.0)</f>
        <v>2299</v>
      </c>
      <c r="H2302" s="8">
        <f t="shared" si="1"/>
        <v>-2</v>
      </c>
    </row>
    <row r="2303">
      <c r="A2303" s="10">
        <v>2302.0</v>
      </c>
      <c r="B2303" s="11" t="s">
        <v>2399</v>
      </c>
      <c r="C2303" s="10" t="s">
        <v>11</v>
      </c>
      <c r="D2303" s="10" t="s">
        <v>82</v>
      </c>
      <c r="E2303" s="15"/>
      <c r="F2303" s="15" t="s">
        <v>382</v>
      </c>
      <c r="G2303" s="13">
        <f>IFERROR(__xludf.DUMMYFUNCTION("if(counta(filter('Previous Rank'!$A$2:$A2766,'Previous Rank'!$B$2:$B2766=B2303,'Previous Rank'!$C$2:$C2766=C2303))=1,filter('Previous Rank'!$A$2:$A2766,'Previous Rank'!$B$2:$B2766=B2303,'Previous Rank'!$C$2:$C2766=C2303),"""")"),2300.0)</f>
        <v>2300</v>
      </c>
      <c r="H2303" s="8">
        <f t="shared" si="1"/>
        <v>-2</v>
      </c>
    </row>
    <row r="2304">
      <c r="A2304" s="10">
        <v>2303.0</v>
      </c>
      <c r="B2304" s="11" t="s">
        <v>2400</v>
      </c>
      <c r="C2304" s="10" t="s">
        <v>14</v>
      </c>
      <c r="D2304" s="10" t="s">
        <v>27</v>
      </c>
      <c r="E2304" s="16"/>
      <c r="F2304" s="16" t="s">
        <v>382</v>
      </c>
      <c r="G2304" s="13">
        <f>IFERROR(__xludf.DUMMYFUNCTION("if(counta(filter('Previous Rank'!$A$2:$A2766,'Previous Rank'!$B$2:$B2766=B2304,'Previous Rank'!$C$2:$C2766=C2304))=1,filter('Previous Rank'!$A$2:$A2766,'Previous Rank'!$B$2:$B2766=B2304,'Previous Rank'!$C$2:$C2766=C2304),"""")"),2301.0)</f>
        <v>2301</v>
      </c>
      <c r="H2304" s="8">
        <f t="shared" si="1"/>
        <v>-2</v>
      </c>
    </row>
    <row r="2305">
      <c r="A2305" s="10">
        <v>2304.0</v>
      </c>
      <c r="B2305" s="11" t="s">
        <v>2401</v>
      </c>
      <c r="C2305" s="10" t="s">
        <v>136</v>
      </c>
      <c r="D2305" s="10" t="s">
        <v>137</v>
      </c>
      <c r="E2305" s="15"/>
      <c r="F2305" s="15" t="s">
        <v>382</v>
      </c>
      <c r="G2305" s="13">
        <f>IFERROR(__xludf.DUMMYFUNCTION("if(counta(filter('Previous Rank'!$A$2:$A2766,'Previous Rank'!$B$2:$B2766=B2305,'Previous Rank'!$C$2:$C2766=C2305))=1,filter('Previous Rank'!$A$2:$A2766,'Previous Rank'!$B$2:$B2766=B2305,'Previous Rank'!$C$2:$C2766=C2305),"""")"),2302.0)</f>
        <v>2302</v>
      </c>
      <c r="H2305" s="8">
        <f t="shared" si="1"/>
        <v>-2</v>
      </c>
    </row>
    <row r="2306">
      <c r="A2306" s="10">
        <v>2305.0</v>
      </c>
      <c r="B2306" s="11" t="s">
        <v>2402</v>
      </c>
      <c r="C2306" s="10" t="s">
        <v>77</v>
      </c>
      <c r="D2306" s="10" t="s">
        <v>27</v>
      </c>
      <c r="E2306" s="16"/>
      <c r="F2306" s="16" t="s">
        <v>382</v>
      </c>
      <c r="G2306" s="13">
        <f>IFERROR(__xludf.DUMMYFUNCTION("if(counta(filter('Previous Rank'!$A$2:$A2766,'Previous Rank'!$B$2:$B2766=B2306,'Previous Rank'!$C$2:$C2766=C2306))=1,filter('Previous Rank'!$A$2:$A2766,'Previous Rank'!$B$2:$B2766=B2306,'Previous Rank'!$C$2:$C2766=C2306),"""")"),2303.0)</f>
        <v>2303</v>
      </c>
      <c r="H2306" s="8">
        <f t="shared" si="1"/>
        <v>-2</v>
      </c>
    </row>
    <row r="2307">
      <c r="A2307" s="10">
        <v>2306.0</v>
      </c>
      <c r="B2307" s="11" t="s">
        <v>2403</v>
      </c>
      <c r="C2307" s="10" t="s">
        <v>14</v>
      </c>
      <c r="D2307" s="10" t="s">
        <v>34</v>
      </c>
      <c r="E2307" s="15"/>
      <c r="F2307" s="15" t="s">
        <v>382</v>
      </c>
      <c r="G2307" s="13">
        <f>IFERROR(__xludf.DUMMYFUNCTION("if(counta(filter('Previous Rank'!$A$2:$A2766,'Previous Rank'!$B$2:$B2766=B2307,'Previous Rank'!$C$2:$C2766=C2307))=1,filter('Previous Rank'!$A$2:$A2766,'Previous Rank'!$B$2:$B2766=B2307,'Previous Rank'!$C$2:$C2766=C2307),"""")"),2304.0)</f>
        <v>2304</v>
      </c>
      <c r="H2307" s="8">
        <f t="shared" si="1"/>
        <v>-2</v>
      </c>
    </row>
    <row r="2308">
      <c r="A2308" s="10">
        <v>2307.0</v>
      </c>
      <c r="B2308" s="11" t="s">
        <v>2404</v>
      </c>
      <c r="C2308" s="10" t="s">
        <v>39</v>
      </c>
      <c r="D2308" s="10" t="s">
        <v>122</v>
      </c>
      <c r="E2308" s="16"/>
      <c r="F2308" s="16" t="s">
        <v>382</v>
      </c>
      <c r="G2308" s="13">
        <f>IFERROR(__xludf.DUMMYFUNCTION("if(counta(filter('Previous Rank'!$A$2:$A2766,'Previous Rank'!$B$2:$B2766=B2308,'Previous Rank'!$C$2:$C2766=C2308))=1,filter('Previous Rank'!$A$2:$A2766,'Previous Rank'!$B$2:$B2766=B2308,'Previous Rank'!$C$2:$C2766=C2308),"""")"),2305.0)</f>
        <v>2305</v>
      </c>
      <c r="H2308" s="8">
        <f t="shared" si="1"/>
        <v>-2</v>
      </c>
    </row>
    <row r="2309">
      <c r="A2309" s="10">
        <v>2308.0</v>
      </c>
      <c r="B2309" s="11" t="s">
        <v>2405</v>
      </c>
      <c r="C2309" s="10" t="s">
        <v>14</v>
      </c>
      <c r="D2309" s="10" t="s">
        <v>90</v>
      </c>
      <c r="E2309" s="15"/>
      <c r="F2309" s="15" t="s">
        <v>382</v>
      </c>
      <c r="G2309" s="13">
        <f>IFERROR(__xludf.DUMMYFUNCTION("if(counta(filter('Previous Rank'!$A$2:$A2766,'Previous Rank'!$B$2:$B2766=B2309,'Previous Rank'!$C$2:$C2766=C2309))=1,filter('Previous Rank'!$A$2:$A2766,'Previous Rank'!$B$2:$B2766=B2309,'Previous Rank'!$C$2:$C2766=C2309),"""")"),2306.0)</f>
        <v>2306</v>
      </c>
      <c r="H2309" s="8">
        <f t="shared" si="1"/>
        <v>-2</v>
      </c>
    </row>
    <row r="2310">
      <c r="A2310" s="10">
        <v>2309.0</v>
      </c>
      <c r="B2310" s="11" t="s">
        <v>1088</v>
      </c>
      <c r="C2310" s="10" t="s">
        <v>39</v>
      </c>
      <c r="D2310" s="10" t="s">
        <v>25</v>
      </c>
      <c r="E2310" s="16"/>
      <c r="F2310" s="16" t="s">
        <v>382</v>
      </c>
      <c r="G2310" s="13">
        <f>IFERROR(__xludf.DUMMYFUNCTION("if(counta(filter('Previous Rank'!$A$2:$A2766,'Previous Rank'!$B$2:$B2766=B2310,'Previous Rank'!$C$2:$C2766=C2310))=1,filter('Previous Rank'!$A$2:$A2766,'Previous Rank'!$B$2:$B2766=B2310,'Previous Rank'!$C$2:$C2766=C2310),"""")"),2307.0)</f>
        <v>2307</v>
      </c>
      <c r="H2310" s="8">
        <f t="shared" si="1"/>
        <v>-2</v>
      </c>
    </row>
    <row r="2311">
      <c r="A2311" s="10">
        <v>2310.0</v>
      </c>
      <c r="B2311" s="11" t="s">
        <v>2406</v>
      </c>
      <c r="C2311" s="10" t="s">
        <v>89</v>
      </c>
      <c r="D2311" s="10" t="s">
        <v>73</v>
      </c>
      <c r="E2311" s="15"/>
      <c r="F2311" s="15" t="s">
        <v>382</v>
      </c>
      <c r="G2311" s="13">
        <f>IFERROR(__xludf.DUMMYFUNCTION("if(counta(filter('Previous Rank'!$A$2:$A2766,'Previous Rank'!$B$2:$B2766=B2311,'Previous Rank'!$C$2:$C2766=C2311))=1,filter('Previous Rank'!$A$2:$A2766,'Previous Rank'!$B$2:$B2766=B2311,'Previous Rank'!$C$2:$C2766=C2311),"""")"),2308.0)</f>
        <v>2308</v>
      </c>
      <c r="H2311" s="8">
        <f t="shared" si="1"/>
        <v>-2</v>
      </c>
    </row>
    <row r="2312">
      <c r="A2312" s="10">
        <v>2311.0</v>
      </c>
      <c r="B2312" s="11" t="s">
        <v>2407</v>
      </c>
      <c r="C2312" s="10" t="s">
        <v>17</v>
      </c>
      <c r="D2312" s="10" t="s">
        <v>85</v>
      </c>
      <c r="E2312" s="16"/>
      <c r="F2312" s="16" t="s">
        <v>382</v>
      </c>
      <c r="G2312" s="13">
        <f>IFERROR(__xludf.DUMMYFUNCTION("if(counta(filter('Previous Rank'!$A$2:$A2766,'Previous Rank'!$B$2:$B2766=B2312,'Previous Rank'!$C$2:$C2766=C2312))=1,filter('Previous Rank'!$A$2:$A2766,'Previous Rank'!$B$2:$B2766=B2312,'Previous Rank'!$C$2:$C2766=C2312),"""")"),2309.0)</f>
        <v>2309</v>
      </c>
      <c r="H2312" s="8">
        <f t="shared" si="1"/>
        <v>-2</v>
      </c>
    </row>
    <row r="2313">
      <c r="A2313" s="10">
        <v>2312.0</v>
      </c>
      <c r="B2313" s="11" t="s">
        <v>2408</v>
      </c>
      <c r="C2313" s="10" t="s">
        <v>17</v>
      </c>
      <c r="D2313" s="10" t="s">
        <v>31</v>
      </c>
      <c r="E2313" s="15"/>
      <c r="F2313" s="15" t="s">
        <v>382</v>
      </c>
      <c r="G2313" s="13">
        <f>IFERROR(__xludf.DUMMYFUNCTION("if(counta(filter('Previous Rank'!$A$2:$A2766,'Previous Rank'!$B$2:$B2766=B2313,'Previous Rank'!$C$2:$C2766=C2313))=1,filter('Previous Rank'!$A$2:$A2766,'Previous Rank'!$B$2:$B2766=B2313,'Previous Rank'!$C$2:$C2766=C2313),"""")"),2310.0)</f>
        <v>2310</v>
      </c>
      <c r="H2313" s="8">
        <f t="shared" si="1"/>
        <v>-2</v>
      </c>
    </row>
    <row r="2314">
      <c r="A2314" s="10">
        <v>2313.0</v>
      </c>
      <c r="B2314" s="11" t="s">
        <v>372</v>
      </c>
      <c r="C2314" s="10" t="s">
        <v>77</v>
      </c>
      <c r="D2314" s="10" t="s">
        <v>82</v>
      </c>
      <c r="E2314" s="16"/>
      <c r="F2314" s="16" t="s">
        <v>382</v>
      </c>
      <c r="G2314" s="13">
        <f>IFERROR(__xludf.DUMMYFUNCTION("if(counta(filter('Previous Rank'!$A$2:$A2766,'Previous Rank'!$B$2:$B2766=B2314,'Previous Rank'!$C$2:$C2766=C2314))=1,filter('Previous Rank'!$A$2:$A2766,'Previous Rank'!$B$2:$B2766=B2314,'Previous Rank'!$C$2:$C2766=C2314),"""")"),2311.0)</f>
        <v>2311</v>
      </c>
      <c r="H2314" s="8">
        <f t="shared" si="1"/>
        <v>-2</v>
      </c>
    </row>
    <row r="2315">
      <c r="A2315" s="10">
        <v>2314.0</v>
      </c>
      <c r="B2315" s="11" t="s">
        <v>2409</v>
      </c>
      <c r="C2315" s="10" t="s">
        <v>14</v>
      </c>
      <c r="D2315" s="10" t="s">
        <v>27</v>
      </c>
      <c r="E2315" s="15"/>
      <c r="F2315" s="15" t="s">
        <v>382</v>
      </c>
      <c r="G2315" s="13">
        <f>IFERROR(__xludf.DUMMYFUNCTION("if(counta(filter('Previous Rank'!$A$2:$A2766,'Previous Rank'!$B$2:$B2766=B2315,'Previous Rank'!$C$2:$C2766=C2315))=1,filter('Previous Rank'!$A$2:$A2766,'Previous Rank'!$B$2:$B2766=B2315,'Previous Rank'!$C$2:$C2766=C2315),"""")"),2312.0)</f>
        <v>2312</v>
      </c>
      <c r="H2315" s="8">
        <f t="shared" si="1"/>
        <v>-2</v>
      </c>
    </row>
    <row r="2316">
      <c r="A2316" s="10">
        <v>2315.0</v>
      </c>
      <c r="B2316" s="11" t="s">
        <v>2410</v>
      </c>
      <c r="C2316" s="10" t="s">
        <v>48</v>
      </c>
      <c r="D2316" s="10" t="s">
        <v>129</v>
      </c>
      <c r="E2316" s="16"/>
      <c r="F2316" s="16" t="s">
        <v>382</v>
      </c>
      <c r="G2316" s="13">
        <f>IFERROR(__xludf.DUMMYFUNCTION("if(counta(filter('Previous Rank'!$A$2:$A2766,'Previous Rank'!$B$2:$B2766=B2316,'Previous Rank'!$C$2:$C2766=C2316))=1,filter('Previous Rank'!$A$2:$A2766,'Previous Rank'!$B$2:$B2766=B2316,'Previous Rank'!$C$2:$C2766=C2316),"""")"),2313.0)</f>
        <v>2313</v>
      </c>
      <c r="H2316" s="8">
        <f t="shared" si="1"/>
        <v>-2</v>
      </c>
    </row>
    <row r="2317">
      <c r="A2317" s="10">
        <v>2316.0</v>
      </c>
      <c r="B2317" s="11" t="s">
        <v>2411</v>
      </c>
      <c r="C2317" s="10" t="s">
        <v>77</v>
      </c>
      <c r="D2317" s="10" t="s">
        <v>137</v>
      </c>
      <c r="E2317" s="15"/>
      <c r="F2317" s="15" t="s">
        <v>382</v>
      </c>
      <c r="G2317" s="13">
        <f>IFERROR(__xludf.DUMMYFUNCTION("if(counta(filter('Previous Rank'!$A$2:$A2766,'Previous Rank'!$B$2:$B2766=B2317,'Previous Rank'!$C$2:$C2766=C2317))=1,filter('Previous Rank'!$A$2:$A2766,'Previous Rank'!$B$2:$B2766=B2317,'Previous Rank'!$C$2:$C2766=C2317),"""")"),2314.0)</f>
        <v>2314</v>
      </c>
      <c r="H2317" s="8">
        <f t="shared" si="1"/>
        <v>-2</v>
      </c>
    </row>
    <row r="2318">
      <c r="A2318" s="10">
        <v>2317.0</v>
      </c>
      <c r="B2318" s="11" t="s">
        <v>2412</v>
      </c>
      <c r="C2318" s="10" t="s">
        <v>158</v>
      </c>
      <c r="D2318" s="10" t="s">
        <v>9</v>
      </c>
      <c r="E2318" s="16"/>
      <c r="F2318" s="16" t="s">
        <v>382</v>
      </c>
      <c r="G2318" s="13">
        <f>IFERROR(__xludf.DUMMYFUNCTION("if(counta(filter('Previous Rank'!$A$2:$A2766,'Previous Rank'!$B$2:$B2766=B2318,'Previous Rank'!$C$2:$C2766=C2318))=1,filter('Previous Rank'!$A$2:$A2766,'Previous Rank'!$B$2:$B2766=B2318,'Previous Rank'!$C$2:$C2766=C2318),"""")"),2315.0)</f>
        <v>2315</v>
      </c>
      <c r="H2318" s="8">
        <f t="shared" si="1"/>
        <v>-2</v>
      </c>
    </row>
    <row r="2319">
      <c r="A2319" s="10">
        <v>2318.0</v>
      </c>
      <c r="B2319" s="11" t="s">
        <v>2413</v>
      </c>
      <c r="C2319" s="10" t="s">
        <v>8</v>
      </c>
      <c r="D2319" s="10" t="s">
        <v>34</v>
      </c>
      <c r="E2319" s="15"/>
      <c r="F2319" s="15" t="s">
        <v>382</v>
      </c>
      <c r="G2319" s="13">
        <f>IFERROR(__xludf.DUMMYFUNCTION("if(counta(filter('Previous Rank'!$A$2:$A2766,'Previous Rank'!$B$2:$B2766=B2319,'Previous Rank'!$C$2:$C2766=C2319))=1,filter('Previous Rank'!$A$2:$A2766,'Previous Rank'!$B$2:$B2766=B2319,'Previous Rank'!$C$2:$C2766=C2319),"""")"),2316.0)</f>
        <v>2316</v>
      </c>
      <c r="H2319" s="8">
        <f t="shared" si="1"/>
        <v>-2</v>
      </c>
    </row>
    <row r="2320">
      <c r="A2320" s="10">
        <v>2319.0</v>
      </c>
      <c r="B2320" s="11" t="s">
        <v>2414</v>
      </c>
      <c r="C2320" s="10" t="s">
        <v>89</v>
      </c>
      <c r="D2320" s="10" t="s">
        <v>105</v>
      </c>
      <c r="E2320" s="16"/>
      <c r="F2320" s="16" t="s">
        <v>382</v>
      </c>
      <c r="G2320" s="13">
        <f>IFERROR(__xludf.DUMMYFUNCTION("if(counta(filter('Previous Rank'!$A$2:$A2766,'Previous Rank'!$B$2:$B2766=B2320,'Previous Rank'!$C$2:$C2766=C2320))=1,filter('Previous Rank'!$A$2:$A2766,'Previous Rank'!$B$2:$B2766=B2320,'Previous Rank'!$C$2:$C2766=C2320),"""")"),2317.0)</f>
        <v>2317</v>
      </c>
      <c r="H2320" s="8">
        <f t="shared" si="1"/>
        <v>-2</v>
      </c>
    </row>
    <row r="2321">
      <c r="A2321" s="10">
        <v>2320.0</v>
      </c>
      <c r="B2321" s="11" t="s">
        <v>2415</v>
      </c>
      <c r="C2321" s="10" t="s">
        <v>14</v>
      </c>
      <c r="D2321" s="10" t="s">
        <v>73</v>
      </c>
      <c r="E2321" s="15"/>
      <c r="F2321" s="15" t="s">
        <v>382</v>
      </c>
      <c r="G2321" s="13">
        <f>IFERROR(__xludf.DUMMYFUNCTION("if(counta(filter('Previous Rank'!$A$2:$A2766,'Previous Rank'!$B$2:$B2766=B2321,'Previous Rank'!$C$2:$C2766=C2321))=1,filter('Previous Rank'!$A$2:$A2766,'Previous Rank'!$B$2:$B2766=B2321,'Previous Rank'!$C$2:$C2766=C2321),"""")"),2318.0)</f>
        <v>2318</v>
      </c>
      <c r="H2321" s="8">
        <f t="shared" si="1"/>
        <v>-2</v>
      </c>
    </row>
    <row r="2322">
      <c r="A2322" s="10">
        <v>2321.0</v>
      </c>
      <c r="B2322" s="11" t="s">
        <v>2416</v>
      </c>
      <c r="C2322" s="10" t="s">
        <v>346</v>
      </c>
      <c r="D2322" s="10" t="s">
        <v>71</v>
      </c>
      <c r="E2322" s="16"/>
      <c r="F2322" s="16" t="s">
        <v>382</v>
      </c>
      <c r="G2322" s="13">
        <f>IFERROR(__xludf.DUMMYFUNCTION("if(counta(filter('Previous Rank'!$A$2:$A2766,'Previous Rank'!$B$2:$B2766=B2322,'Previous Rank'!$C$2:$C2766=C2322))=1,filter('Previous Rank'!$A$2:$A2766,'Previous Rank'!$B$2:$B2766=B2322,'Previous Rank'!$C$2:$C2766=C2322),"""")"),2319.0)</f>
        <v>2319</v>
      </c>
      <c r="H2322" s="8">
        <f t="shared" si="1"/>
        <v>-2</v>
      </c>
    </row>
    <row r="2323">
      <c r="A2323" s="10">
        <v>2322.0</v>
      </c>
      <c r="B2323" s="11" t="s">
        <v>2417</v>
      </c>
      <c r="C2323" s="10" t="s">
        <v>55</v>
      </c>
      <c r="D2323" s="10" t="s">
        <v>113</v>
      </c>
      <c r="E2323" s="15"/>
      <c r="F2323" s="15" t="s">
        <v>382</v>
      </c>
      <c r="G2323" s="13">
        <f>IFERROR(__xludf.DUMMYFUNCTION("if(counta(filter('Previous Rank'!$A$2:$A2766,'Previous Rank'!$B$2:$B2766=B2323,'Previous Rank'!$C$2:$C2766=C2323))=1,filter('Previous Rank'!$A$2:$A2766,'Previous Rank'!$B$2:$B2766=B2323,'Previous Rank'!$C$2:$C2766=C2323),"""")"),2320.0)</f>
        <v>2320</v>
      </c>
      <c r="H2323" s="8">
        <f t="shared" si="1"/>
        <v>-2</v>
      </c>
    </row>
    <row r="2324">
      <c r="A2324" s="10">
        <v>2323.0</v>
      </c>
      <c r="B2324" s="11" t="s">
        <v>2418</v>
      </c>
      <c r="C2324" s="10" t="s">
        <v>77</v>
      </c>
      <c r="D2324" s="10" t="s">
        <v>137</v>
      </c>
      <c r="E2324" s="16"/>
      <c r="F2324" s="16" t="s">
        <v>382</v>
      </c>
      <c r="G2324" s="13">
        <f>IFERROR(__xludf.DUMMYFUNCTION("if(counta(filter('Previous Rank'!$A$2:$A2766,'Previous Rank'!$B$2:$B2766=B2324,'Previous Rank'!$C$2:$C2766=C2324))=1,filter('Previous Rank'!$A$2:$A2766,'Previous Rank'!$B$2:$B2766=B2324,'Previous Rank'!$C$2:$C2766=C2324),"""")"),2321.0)</f>
        <v>2321</v>
      </c>
      <c r="H2324" s="8">
        <f t="shared" si="1"/>
        <v>-2</v>
      </c>
    </row>
    <row r="2325">
      <c r="A2325" s="10">
        <v>2324.0</v>
      </c>
      <c r="B2325" s="11" t="s">
        <v>2419</v>
      </c>
      <c r="C2325" s="10" t="s">
        <v>14</v>
      </c>
      <c r="D2325" s="10" t="s">
        <v>67</v>
      </c>
      <c r="E2325" s="15"/>
      <c r="F2325" s="15" t="s">
        <v>382</v>
      </c>
      <c r="G2325" s="13">
        <f>IFERROR(__xludf.DUMMYFUNCTION("if(counta(filter('Previous Rank'!$A$2:$A2766,'Previous Rank'!$B$2:$B2766=B2325,'Previous Rank'!$C$2:$C2766=C2325))=1,filter('Previous Rank'!$A$2:$A2766,'Previous Rank'!$B$2:$B2766=B2325,'Previous Rank'!$C$2:$C2766=C2325),"""")"),2322.0)</f>
        <v>2322</v>
      </c>
      <c r="H2325" s="8">
        <f t="shared" si="1"/>
        <v>-2</v>
      </c>
    </row>
    <row r="2326">
      <c r="A2326" s="10">
        <v>2325.0</v>
      </c>
      <c r="B2326" s="11" t="s">
        <v>2420</v>
      </c>
      <c r="C2326" s="10" t="s">
        <v>14</v>
      </c>
      <c r="D2326" s="10" t="s">
        <v>52</v>
      </c>
      <c r="E2326" s="16"/>
      <c r="F2326" s="16" t="s">
        <v>382</v>
      </c>
      <c r="G2326" s="13">
        <f>IFERROR(__xludf.DUMMYFUNCTION("if(counta(filter('Previous Rank'!$A$2:$A2766,'Previous Rank'!$B$2:$B2766=B2326,'Previous Rank'!$C$2:$C2766=C2326))=1,filter('Previous Rank'!$A$2:$A2766,'Previous Rank'!$B$2:$B2766=B2326,'Previous Rank'!$C$2:$C2766=C2326),"""")"),2323.0)</f>
        <v>2323</v>
      </c>
      <c r="H2326" s="8">
        <f t="shared" si="1"/>
        <v>-2</v>
      </c>
    </row>
    <row r="2327">
      <c r="A2327" s="10">
        <v>2326.0</v>
      </c>
      <c r="B2327" s="11" t="s">
        <v>2421</v>
      </c>
      <c r="C2327" s="10" t="s">
        <v>14</v>
      </c>
      <c r="D2327" s="10" t="s">
        <v>140</v>
      </c>
      <c r="E2327" s="15"/>
      <c r="F2327" s="15" t="s">
        <v>382</v>
      </c>
      <c r="G2327" s="13">
        <f>IFERROR(__xludf.DUMMYFUNCTION("if(counta(filter('Previous Rank'!$A$2:$A2766,'Previous Rank'!$B$2:$B2766=B2327,'Previous Rank'!$C$2:$C2766=C2327))=1,filter('Previous Rank'!$A$2:$A2766,'Previous Rank'!$B$2:$B2766=B2327,'Previous Rank'!$C$2:$C2766=C2327),"""")"),2324.0)</f>
        <v>2324</v>
      </c>
      <c r="H2327" s="8">
        <f t="shared" si="1"/>
        <v>-2</v>
      </c>
    </row>
    <row r="2328">
      <c r="A2328" s="10">
        <v>2327.0</v>
      </c>
      <c r="B2328" s="11" t="s">
        <v>2422</v>
      </c>
      <c r="C2328" s="10" t="s">
        <v>20</v>
      </c>
      <c r="D2328" s="10" t="s">
        <v>120</v>
      </c>
      <c r="E2328" s="16"/>
      <c r="F2328" s="16" t="s">
        <v>382</v>
      </c>
      <c r="G2328" s="13">
        <f>IFERROR(__xludf.DUMMYFUNCTION("if(counta(filter('Previous Rank'!$A$2:$A2766,'Previous Rank'!$B$2:$B2766=B2328,'Previous Rank'!$C$2:$C2766=C2328))=1,filter('Previous Rank'!$A$2:$A2766,'Previous Rank'!$B$2:$B2766=B2328,'Previous Rank'!$C$2:$C2766=C2328),"""")"),2325.0)</f>
        <v>2325</v>
      </c>
      <c r="H2328" s="8">
        <f t="shared" si="1"/>
        <v>-2</v>
      </c>
    </row>
    <row r="2329">
      <c r="A2329" s="10">
        <v>2328.0</v>
      </c>
      <c r="B2329" s="11" t="s">
        <v>2423</v>
      </c>
      <c r="C2329" s="10" t="s">
        <v>39</v>
      </c>
      <c r="D2329" s="10" t="s">
        <v>18</v>
      </c>
      <c r="E2329" s="15"/>
      <c r="F2329" s="15" t="s">
        <v>382</v>
      </c>
      <c r="G2329" s="13">
        <f>IFERROR(__xludf.DUMMYFUNCTION("if(counta(filter('Previous Rank'!$A$2:$A2766,'Previous Rank'!$B$2:$B2766=B2329,'Previous Rank'!$C$2:$C2766=C2329))=1,filter('Previous Rank'!$A$2:$A2766,'Previous Rank'!$B$2:$B2766=B2329,'Previous Rank'!$C$2:$C2766=C2329),"""")"),2326.0)</f>
        <v>2326</v>
      </c>
      <c r="H2329" s="8">
        <f t="shared" si="1"/>
        <v>-2</v>
      </c>
    </row>
    <row r="2330">
      <c r="A2330" s="10">
        <v>2329.0</v>
      </c>
      <c r="B2330" s="11" t="s">
        <v>2424</v>
      </c>
      <c r="C2330" s="10" t="s">
        <v>77</v>
      </c>
      <c r="D2330" s="10" t="s">
        <v>120</v>
      </c>
      <c r="E2330" s="16"/>
      <c r="F2330" s="16" t="s">
        <v>382</v>
      </c>
      <c r="G2330" s="13">
        <f>IFERROR(__xludf.DUMMYFUNCTION("if(counta(filter('Previous Rank'!$A$2:$A2766,'Previous Rank'!$B$2:$B2766=B2330,'Previous Rank'!$C$2:$C2766=C2330))=1,filter('Previous Rank'!$A$2:$A2766,'Previous Rank'!$B$2:$B2766=B2330,'Previous Rank'!$C$2:$C2766=C2330),"""")"),2327.0)</f>
        <v>2327</v>
      </c>
      <c r="H2330" s="8">
        <f t="shared" si="1"/>
        <v>-2</v>
      </c>
    </row>
    <row r="2331">
      <c r="A2331" s="10">
        <v>2330.0</v>
      </c>
      <c r="B2331" s="11" t="s">
        <v>2425</v>
      </c>
      <c r="C2331" s="10" t="s">
        <v>17</v>
      </c>
      <c r="D2331" s="10" t="s">
        <v>137</v>
      </c>
      <c r="E2331" s="15"/>
      <c r="F2331" s="15" t="s">
        <v>382</v>
      </c>
      <c r="G2331" s="13">
        <f>IFERROR(__xludf.DUMMYFUNCTION("if(counta(filter('Previous Rank'!$A$2:$A2766,'Previous Rank'!$B$2:$B2766=B2331,'Previous Rank'!$C$2:$C2766=C2331))=1,filter('Previous Rank'!$A$2:$A2766,'Previous Rank'!$B$2:$B2766=B2331,'Previous Rank'!$C$2:$C2766=C2331),"""")"),2328.0)</f>
        <v>2328</v>
      </c>
      <c r="H2331" s="8">
        <f t="shared" si="1"/>
        <v>-2</v>
      </c>
    </row>
    <row r="2332">
      <c r="A2332" s="10">
        <v>2331.0</v>
      </c>
      <c r="B2332" s="11" t="s">
        <v>2426</v>
      </c>
      <c r="C2332" s="10" t="s">
        <v>77</v>
      </c>
      <c r="D2332" s="10" t="s">
        <v>12</v>
      </c>
      <c r="E2332" s="16"/>
      <c r="F2332" s="16" t="s">
        <v>382</v>
      </c>
      <c r="G2332" s="13">
        <f>IFERROR(__xludf.DUMMYFUNCTION("if(counta(filter('Previous Rank'!$A$2:$A2766,'Previous Rank'!$B$2:$B2766=B2332,'Previous Rank'!$C$2:$C2766=C2332))=1,filter('Previous Rank'!$A$2:$A2766,'Previous Rank'!$B$2:$B2766=B2332,'Previous Rank'!$C$2:$C2766=C2332),"""")"),2329.0)</f>
        <v>2329</v>
      </c>
      <c r="H2332" s="8">
        <f t="shared" si="1"/>
        <v>-2</v>
      </c>
    </row>
    <row r="2333">
      <c r="A2333" s="10">
        <v>2332.0</v>
      </c>
      <c r="B2333" s="11" t="s">
        <v>2427</v>
      </c>
      <c r="C2333" s="10" t="s">
        <v>14</v>
      </c>
      <c r="D2333" s="10" t="s">
        <v>73</v>
      </c>
      <c r="E2333" s="15"/>
      <c r="F2333" s="15" t="s">
        <v>382</v>
      </c>
      <c r="G2333" s="13">
        <f>IFERROR(__xludf.DUMMYFUNCTION("if(counta(filter('Previous Rank'!$A$2:$A2766,'Previous Rank'!$B$2:$B2766=B2333,'Previous Rank'!$C$2:$C2766=C2333))=1,filter('Previous Rank'!$A$2:$A2766,'Previous Rank'!$B$2:$B2766=B2333,'Previous Rank'!$C$2:$C2766=C2333),"""")"),2330.0)</f>
        <v>2330</v>
      </c>
      <c r="H2333" s="8">
        <f t="shared" si="1"/>
        <v>-2</v>
      </c>
    </row>
    <row r="2334">
      <c r="A2334" s="10">
        <v>2333.0</v>
      </c>
      <c r="B2334" s="11" t="s">
        <v>2428</v>
      </c>
      <c r="C2334" s="10" t="s">
        <v>14</v>
      </c>
      <c r="D2334" s="10" t="s">
        <v>206</v>
      </c>
      <c r="E2334" s="16"/>
      <c r="F2334" s="16" t="s">
        <v>382</v>
      </c>
      <c r="G2334" s="13">
        <f>IFERROR(__xludf.DUMMYFUNCTION("if(counta(filter('Previous Rank'!$A$2:$A2766,'Previous Rank'!$B$2:$B2766=B2334,'Previous Rank'!$C$2:$C2766=C2334))=1,filter('Previous Rank'!$A$2:$A2766,'Previous Rank'!$B$2:$B2766=B2334,'Previous Rank'!$C$2:$C2766=C2334),"""")"),2331.0)</f>
        <v>2331</v>
      </c>
      <c r="H2334" s="8">
        <f t="shared" si="1"/>
        <v>-2</v>
      </c>
    </row>
    <row r="2335">
      <c r="A2335" s="10">
        <v>2334.0</v>
      </c>
      <c r="B2335" s="11" t="s">
        <v>2429</v>
      </c>
      <c r="C2335" s="10" t="s">
        <v>39</v>
      </c>
      <c r="D2335" s="10" t="s">
        <v>23</v>
      </c>
      <c r="E2335" s="15"/>
      <c r="F2335" s="15" t="s">
        <v>382</v>
      </c>
      <c r="G2335" s="13">
        <f>IFERROR(__xludf.DUMMYFUNCTION("if(counta(filter('Previous Rank'!$A$2:$A2766,'Previous Rank'!$B$2:$B2766=B2335,'Previous Rank'!$C$2:$C2766=C2335))=1,filter('Previous Rank'!$A$2:$A2766,'Previous Rank'!$B$2:$B2766=B2335,'Previous Rank'!$C$2:$C2766=C2335),"""")"),2332.0)</f>
        <v>2332</v>
      </c>
      <c r="H2335" s="8">
        <f t="shared" si="1"/>
        <v>-2</v>
      </c>
    </row>
    <row r="2336">
      <c r="A2336" s="10">
        <v>2335.0</v>
      </c>
      <c r="B2336" s="11" t="s">
        <v>2430</v>
      </c>
      <c r="C2336" s="10" t="s">
        <v>39</v>
      </c>
      <c r="D2336" s="10" t="s">
        <v>71</v>
      </c>
      <c r="E2336" s="16"/>
      <c r="F2336" s="16" t="s">
        <v>382</v>
      </c>
      <c r="G2336" s="13">
        <f>IFERROR(__xludf.DUMMYFUNCTION("if(counta(filter('Previous Rank'!$A$2:$A2766,'Previous Rank'!$B$2:$B2766=B2336,'Previous Rank'!$C$2:$C2766=C2336))=1,filter('Previous Rank'!$A$2:$A2766,'Previous Rank'!$B$2:$B2766=B2336,'Previous Rank'!$C$2:$C2766=C2336),"""")"),2333.0)</f>
        <v>2333</v>
      </c>
      <c r="H2336" s="8">
        <f t="shared" si="1"/>
        <v>-2</v>
      </c>
    </row>
    <row r="2337">
      <c r="A2337" s="10">
        <v>2336.0</v>
      </c>
      <c r="B2337" s="11" t="s">
        <v>2431</v>
      </c>
      <c r="C2337" s="10" t="s">
        <v>11</v>
      </c>
      <c r="D2337" s="10" t="s">
        <v>42</v>
      </c>
      <c r="E2337" s="15"/>
      <c r="F2337" s="15" t="s">
        <v>382</v>
      </c>
      <c r="G2337" s="13">
        <f>IFERROR(__xludf.DUMMYFUNCTION("if(counta(filter('Previous Rank'!$A$2:$A2766,'Previous Rank'!$B$2:$B2766=B2337,'Previous Rank'!$C$2:$C2766=C2337))=1,filter('Previous Rank'!$A$2:$A2766,'Previous Rank'!$B$2:$B2766=B2337,'Previous Rank'!$C$2:$C2766=C2337),"""")"),2334.0)</f>
        <v>2334</v>
      </c>
      <c r="H2337" s="8">
        <f t="shared" si="1"/>
        <v>-2</v>
      </c>
    </row>
    <row r="2338">
      <c r="A2338" s="10">
        <v>2337.0</v>
      </c>
      <c r="B2338" s="11" t="s">
        <v>2432</v>
      </c>
      <c r="C2338" s="10" t="s">
        <v>14</v>
      </c>
      <c r="D2338" s="10" t="s">
        <v>12</v>
      </c>
      <c r="E2338" s="16"/>
      <c r="F2338" s="16" t="s">
        <v>382</v>
      </c>
      <c r="G2338" s="13">
        <f>IFERROR(__xludf.DUMMYFUNCTION("if(counta(filter('Previous Rank'!$A$2:$A2766,'Previous Rank'!$B$2:$B2766=B2338,'Previous Rank'!$C$2:$C2766=C2338))=1,filter('Previous Rank'!$A$2:$A2766,'Previous Rank'!$B$2:$B2766=B2338,'Previous Rank'!$C$2:$C2766=C2338),"""")"),2335.0)</f>
        <v>2335</v>
      </c>
      <c r="H2338" s="8">
        <f t="shared" si="1"/>
        <v>-2</v>
      </c>
    </row>
    <row r="2339">
      <c r="A2339" s="10">
        <v>2338.0</v>
      </c>
      <c r="B2339" s="11" t="s">
        <v>2433</v>
      </c>
      <c r="C2339" s="10" t="s">
        <v>14</v>
      </c>
      <c r="D2339" s="10" t="s">
        <v>52</v>
      </c>
      <c r="E2339" s="15"/>
      <c r="F2339" s="15"/>
      <c r="G2339" s="13">
        <f>IFERROR(__xludf.DUMMYFUNCTION("if(counta(filter('Previous Rank'!$A$2:$A2766,'Previous Rank'!$B$2:$B2766=B2339,'Previous Rank'!$C$2:$C2766=C2339))=1,filter('Previous Rank'!$A$2:$A2766,'Previous Rank'!$B$2:$B2766=B2339,'Previous Rank'!$C$2:$C2766=C2339),"""")"),2336.0)</f>
        <v>2336</v>
      </c>
      <c r="H2339" s="8">
        <f t="shared" si="1"/>
        <v>-2</v>
      </c>
    </row>
    <row r="2340">
      <c r="A2340" s="10">
        <v>2339.0</v>
      </c>
      <c r="B2340" s="11" t="s">
        <v>2434</v>
      </c>
      <c r="C2340" s="10" t="s">
        <v>55</v>
      </c>
      <c r="D2340" s="10" t="s">
        <v>85</v>
      </c>
      <c r="E2340" s="16"/>
      <c r="F2340" s="16" t="s">
        <v>382</v>
      </c>
      <c r="G2340" s="13">
        <f>IFERROR(__xludf.DUMMYFUNCTION("if(counta(filter('Previous Rank'!$A$2:$A2766,'Previous Rank'!$B$2:$B2766=B2340,'Previous Rank'!$C$2:$C2766=C2340))=1,filter('Previous Rank'!$A$2:$A2766,'Previous Rank'!$B$2:$B2766=B2340,'Previous Rank'!$C$2:$C2766=C2340),"""")"),2337.0)</f>
        <v>2337</v>
      </c>
      <c r="H2340" s="8">
        <f t="shared" si="1"/>
        <v>-2</v>
      </c>
    </row>
    <row r="2341">
      <c r="A2341" s="10">
        <v>2340.0</v>
      </c>
      <c r="B2341" s="11" t="s">
        <v>2435</v>
      </c>
      <c r="C2341" s="10" t="s">
        <v>77</v>
      </c>
      <c r="D2341" s="10" t="s">
        <v>105</v>
      </c>
      <c r="E2341" s="15"/>
      <c r="F2341" s="15" t="s">
        <v>382</v>
      </c>
      <c r="G2341" s="13">
        <f>IFERROR(__xludf.DUMMYFUNCTION("if(counta(filter('Previous Rank'!$A$2:$A2766,'Previous Rank'!$B$2:$B2766=B2341,'Previous Rank'!$C$2:$C2766=C2341))=1,filter('Previous Rank'!$A$2:$A2766,'Previous Rank'!$B$2:$B2766=B2341,'Previous Rank'!$C$2:$C2766=C2341),"""")"),2338.0)</f>
        <v>2338</v>
      </c>
      <c r="H2341" s="8">
        <f t="shared" si="1"/>
        <v>-2</v>
      </c>
    </row>
    <row r="2342">
      <c r="A2342" s="10">
        <v>2341.0</v>
      </c>
      <c r="B2342" s="11" t="s">
        <v>2436</v>
      </c>
      <c r="C2342" s="10" t="s">
        <v>55</v>
      </c>
      <c r="D2342" s="10" t="s">
        <v>49</v>
      </c>
      <c r="E2342" s="16"/>
      <c r="F2342" s="16" t="s">
        <v>382</v>
      </c>
      <c r="G2342" s="13">
        <f>IFERROR(__xludf.DUMMYFUNCTION("if(counta(filter('Previous Rank'!$A$2:$A2766,'Previous Rank'!$B$2:$B2766=B2342,'Previous Rank'!$C$2:$C2766=C2342))=1,filter('Previous Rank'!$A$2:$A2766,'Previous Rank'!$B$2:$B2766=B2342,'Previous Rank'!$C$2:$C2766=C2342),"""")"),2339.0)</f>
        <v>2339</v>
      </c>
      <c r="H2342" s="8">
        <f t="shared" si="1"/>
        <v>-2</v>
      </c>
    </row>
    <row r="2343">
      <c r="A2343" s="10">
        <v>2342.0</v>
      </c>
      <c r="B2343" s="11" t="s">
        <v>2437</v>
      </c>
      <c r="C2343" s="10" t="s">
        <v>8</v>
      </c>
      <c r="D2343" s="10" t="s">
        <v>52</v>
      </c>
      <c r="E2343" s="15"/>
      <c r="F2343" s="15" t="s">
        <v>382</v>
      </c>
      <c r="G2343" s="13">
        <f>IFERROR(__xludf.DUMMYFUNCTION("if(counta(filter('Previous Rank'!$A$2:$A2766,'Previous Rank'!$B$2:$B2766=B2343,'Previous Rank'!$C$2:$C2766=C2343))=1,filter('Previous Rank'!$A$2:$A2766,'Previous Rank'!$B$2:$B2766=B2343,'Previous Rank'!$C$2:$C2766=C2343),"""")"),2340.0)</f>
        <v>2340</v>
      </c>
      <c r="H2343" s="8">
        <f t="shared" si="1"/>
        <v>-2</v>
      </c>
    </row>
    <row r="2344">
      <c r="A2344" s="10">
        <v>2343.0</v>
      </c>
      <c r="B2344" s="11" t="s">
        <v>2438</v>
      </c>
      <c r="C2344" s="10" t="s">
        <v>240</v>
      </c>
      <c r="D2344" s="10" t="s">
        <v>46</v>
      </c>
      <c r="E2344" s="16"/>
      <c r="F2344" s="16" t="s">
        <v>382</v>
      </c>
      <c r="G2344" s="13">
        <f>IFERROR(__xludf.DUMMYFUNCTION("if(counta(filter('Previous Rank'!$A$2:$A2766,'Previous Rank'!$B$2:$B2766=B2344,'Previous Rank'!$C$2:$C2766=C2344))=1,filter('Previous Rank'!$A$2:$A2766,'Previous Rank'!$B$2:$B2766=B2344,'Previous Rank'!$C$2:$C2766=C2344),"""")"),2341.0)</f>
        <v>2341</v>
      </c>
      <c r="H2344" s="8">
        <f t="shared" si="1"/>
        <v>-2</v>
      </c>
    </row>
    <row r="2345">
      <c r="A2345" s="10">
        <v>2344.0</v>
      </c>
      <c r="B2345" s="11" t="s">
        <v>2439</v>
      </c>
      <c r="C2345" s="10" t="s">
        <v>77</v>
      </c>
      <c r="D2345" s="10" t="s">
        <v>71</v>
      </c>
      <c r="E2345" s="15"/>
      <c r="F2345" s="15" t="s">
        <v>382</v>
      </c>
      <c r="G2345" s="13">
        <f>IFERROR(__xludf.DUMMYFUNCTION("if(counta(filter('Previous Rank'!$A$2:$A2766,'Previous Rank'!$B$2:$B2766=B2345,'Previous Rank'!$C$2:$C2766=C2345))=1,filter('Previous Rank'!$A$2:$A2766,'Previous Rank'!$B$2:$B2766=B2345,'Previous Rank'!$C$2:$C2766=C2345),"""")"),2342.0)</f>
        <v>2342</v>
      </c>
      <c r="H2345" s="8">
        <f t="shared" si="1"/>
        <v>-2</v>
      </c>
    </row>
    <row r="2346">
      <c r="A2346" s="10">
        <v>2345.0</v>
      </c>
      <c r="B2346" s="11" t="s">
        <v>2440</v>
      </c>
      <c r="C2346" s="10" t="s">
        <v>14</v>
      </c>
      <c r="D2346" s="10" t="s">
        <v>85</v>
      </c>
      <c r="E2346" s="16"/>
      <c r="F2346" s="16" t="s">
        <v>382</v>
      </c>
      <c r="G2346" s="13">
        <f>IFERROR(__xludf.DUMMYFUNCTION("if(counta(filter('Previous Rank'!$A$2:$A2766,'Previous Rank'!$B$2:$B2766=B2346,'Previous Rank'!$C$2:$C2766=C2346))=1,filter('Previous Rank'!$A$2:$A2766,'Previous Rank'!$B$2:$B2766=B2346,'Previous Rank'!$C$2:$C2766=C2346),"""")"),2343.0)</f>
        <v>2343</v>
      </c>
      <c r="H2346" s="8">
        <f t="shared" si="1"/>
        <v>-2</v>
      </c>
    </row>
    <row r="2347">
      <c r="A2347" s="10">
        <v>2346.0</v>
      </c>
      <c r="B2347" s="11" t="s">
        <v>2441</v>
      </c>
      <c r="C2347" s="10" t="s">
        <v>77</v>
      </c>
      <c r="D2347" s="10" t="s">
        <v>140</v>
      </c>
      <c r="E2347" s="15"/>
      <c r="F2347" s="15" t="s">
        <v>382</v>
      </c>
      <c r="G2347" s="13">
        <f>IFERROR(__xludf.DUMMYFUNCTION("if(counta(filter('Previous Rank'!$A$2:$A2766,'Previous Rank'!$B$2:$B2766=B2347,'Previous Rank'!$C$2:$C2766=C2347))=1,filter('Previous Rank'!$A$2:$A2766,'Previous Rank'!$B$2:$B2766=B2347,'Previous Rank'!$C$2:$C2766=C2347),"""")"),2344.0)</f>
        <v>2344</v>
      </c>
      <c r="H2347" s="8">
        <f t="shared" si="1"/>
        <v>-2</v>
      </c>
    </row>
    <row r="2348">
      <c r="A2348" s="10">
        <v>2347.0</v>
      </c>
      <c r="B2348" s="11" t="s">
        <v>2442</v>
      </c>
      <c r="C2348" s="10" t="s">
        <v>14</v>
      </c>
      <c r="D2348" s="10" t="s">
        <v>67</v>
      </c>
      <c r="E2348" s="16"/>
      <c r="F2348" s="16" t="s">
        <v>382</v>
      </c>
      <c r="G2348" s="13">
        <f>IFERROR(__xludf.DUMMYFUNCTION("if(counta(filter('Previous Rank'!$A$2:$A2766,'Previous Rank'!$B$2:$B2766=B2348,'Previous Rank'!$C$2:$C2766=C2348))=1,filter('Previous Rank'!$A$2:$A2766,'Previous Rank'!$B$2:$B2766=B2348,'Previous Rank'!$C$2:$C2766=C2348),"""")"),2345.0)</f>
        <v>2345</v>
      </c>
      <c r="H2348" s="8">
        <f t="shared" si="1"/>
        <v>-2</v>
      </c>
    </row>
    <row r="2349">
      <c r="A2349" s="10">
        <v>2348.0</v>
      </c>
      <c r="B2349" s="11" t="s">
        <v>2443</v>
      </c>
      <c r="C2349" s="10" t="s">
        <v>55</v>
      </c>
      <c r="D2349" s="10" t="s">
        <v>73</v>
      </c>
      <c r="E2349" s="15"/>
      <c r="F2349" s="15" t="s">
        <v>382</v>
      </c>
      <c r="G2349" s="13">
        <f>IFERROR(__xludf.DUMMYFUNCTION("if(counta(filter('Previous Rank'!$A$2:$A2766,'Previous Rank'!$B$2:$B2766=B2349,'Previous Rank'!$C$2:$C2766=C2349))=1,filter('Previous Rank'!$A$2:$A2766,'Previous Rank'!$B$2:$B2766=B2349,'Previous Rank'!$C$2:$C2766=C2349),"""")"),2346.0)</f>
        <v>2346</v>
      </c>
      <c r="H2349" s="8">
        <f t="shared" si="1"/>
        <v>-2</v>
      </c>
    </row>
    <row r="2350">
      <c r="A2350" s="10">
        <v>2349.0</v>
      </c>
      <c r="B2350" s="11" t="s">
        <v>2444</v>
      </c>
      <c r="C2350" s="10" t="s">
        <v>39</v>
      </c>
      <c r="D2350" s="10" t="s">
        <v>140</v>
      </c>
      <c r="E2350" s="16"/>
      <c r="F2350" s="16" t="s">
        <v>382</v>
      </c>
      <c r="G2350" s="13">
        <f>IFERROR(__xludf.DUMMYFUNCTION("if(counta(filter('Previous Rank'!$A$2:$A2766,'Previous Rank'!$B$2:$B2766=B2350,'Previous Rank'!$C$2:$C2766=C2350))=1,filter('Previous Rank'!$A$2:$A2766,'Previous Rank'!$B$2:$B2766=B2350,'Previous Rank'!$C$2:$C2766=C2350),"""")"),2347.0)</f>
        <v>2347</v>
      </c>
      <c r="H2350" s="8">
        <f t="shared" si="1"/>
        <v>-2</v>
      </c>
    </row>
    <row r="2351">
      <c r="A2351" s="10">
        <v>2350.0</v>
      </c>
      <c r="B2351" s="11" t="s">
        <v>2445</v>
      </c>
      <c r="C2351" s="10" t="s">
        <v>17</v>
      </c>
      <c r="D2351" s="10" t="s">
        <v>67</v>
      </c>
      <c r="E2351" s="15"/>
      <c r="F2351" s="15" t="s">
        <v>382</v>
      </c>
      <c r="G2351" s="13">
        <f>IFERROR(__xludf.DUMMYFUNCTION("if(counta(filter('Previous Rank'!$A$2:$A2766,'Previous Rank'!$B$2:$B2766=B2351,'Previous Rank'!$C$2:$C2766=C2351))=1,filter('Previous Rank'!$A$2:$A2766,'Previous Rank'!$B$2:$B2766=B2351,'Previous Rank'!$C$2:$C2766=C2351),"""")"),2348.0)</f>
        <v>2348</v>
      </c>
      <c r="H2351" s="8">
        <f t="shared" si="1"/>
        <v>-2</v>
      </c>
    </row>
    <row r="2352">
      <c r="A2352" s="10">
        <v>2351.0</v>
      </c>
      <c r="B2352" s="11" t="s">
        <v>2446</v>
      </c>
      <c r="C2352" s="10" t="s">
        <v>240</v>
      </c>
      <c r="D2352" s="10" t="s">
        <v>95</v>
      </c>
      <c r="E2352" s="16"/>
      <c r="F2352" s="16" t="s">
        <v>382</v>
      </c>
      <c r="G2352" s="13">
        <f>IFERROR(__xludf.DUMMYFUNCTION("if(counta(filter('Previous Rank'!$A$2:$A2766,'Previous Rank'!$B$2:$B2766=B2352,'Previous Rank'!$C$2:$C2766=C2352))=1,filter('Previous Rank'!$A$2:$A2766,'Previous Rank'!$B$2:$B2766=B2352,'Previous Rank'!$C$2:$C2766=C2352),"""")"),2349.0)</f>
        <v>2349</v>
      </c>
      <c r="H2352" s="8">
        <f t="shared" si="1"/>
        <v>-2</v>
      </c>
    </row>
    <row r="2353">
      <c r="A2353" s="10">
        <v>2352.0</v>
      </c>
      <c r="B2353" s="11" t="s">
        <v>2447</v>
      </c>
      <c r="C2353" s="10" t="s">
        <v>77</v>
      </c>
      <c r="D2353" s="10" t="s">
        <v>25</v>
      </c>
      <c r="E2353" s="15"/>
      <c r="F2353" s="15" t="s">
        <v>382</v>
      </c>
      <c r="G2353" s="13">
        <f>IFERROR(__xludf.DUMMYFUNCTION("if(counta(filter('Previous Rank'!$A$2:$A2766,'Previous Rank'!$B$2:$B2766=B2353,'Previous Rank'!$C$2:$C2766=C2353))=1,filter('Previous Rank'!$A$2:$A2766,'Previous Rank'!$B$2:$B2766=B2353,'Previous Rank'!$C$2:$C2766=C2353),"""")"),2350.0)</f>
        <v>2350</v>
      </c>
      <c r="H2353" s="8">
        <f t="shared" si="1"/>
        <v>-2</v>
      </c>
    </row>
    <row r="2354">
      <c r="A2354" s="10">
        <v>2353.0</v>
      </c>
      <c r="B2354" s="11" t="s">
        <v>2448</v>
      </c>
      <c r="C2354" s="10" t="s">
        <v>39</v>
      </c>
      <c r="D2354" s="10" t="s">
        <v>99</v>
      </c>
      <c r="E2354" s="16"/>
      <c r="F2354" s="16" t="s">
        <v>382</v>
      </c>
      <c r="G2354" s="13">
        <f>IFERROR(__xludf.DUMMYFUNCTION("if(counta(filter('Previous Rank'!$A$2:$A2766,'Previous Rank'!$B$2:$B2766=B2354,'Previous Rank'!$C$2:$C2766=C2354))=1,filter('Previous Rank'!$A$2:$A2766,'Previous Rank'!$B$2:$B2766=B2354,'Previous Rank'!$C$2:$C2766=C2354),"""")"),2351.0)</f>
        <v>2351</v>
      </c>
      <c r="H2354" s="8">
        <f t="shared" si="1"/>
        <v>-2</v>
      </c>
    </row>
    <row r="2355">
      <c r="A2355" s="10">
        <v>2354.0</v>
      </c>
      <c r="B2355" s="11" t="s">
        <v>2449</v>
      </c>
      <c r="C2355" s="10" t="s">
        <v>11</v>
      </c>
      <c r="D2355" s="10" t="s">
        <v>18</v>
      </c>
      <c r="E2355" s="15"/>
      <c r="F2355" s="15" t="s">
        <v>382</v>
      </c>
      <c r="G2355" s="13">
        <f>IFERROR(__xludf.DUMMYFUNCTION("if(counta(filter('Previous Rank'!$A$2:$A2766,'Previous Rank'!$B$2:$B2766=B2355,'Previous Rank'!$C$2:$C2766=C2355))=1,filter('Previous Rank'!$A$2:$A2766,'Previous Rank'!$B$2:$B2766=B2355,'Previous Rank'!$C$2:$C2766=C2355),"""")"),2352.0)</f>
        <v>2352</v>
      </c>
      <c r="H2355" s="8">
        <f t="shared" si="1"/>
        <v>-2</v>
      </c>
    </row>
    <row r="2356">
      <c r="A2356" s="10">
        <v>2355.0</v>
      </c>
      <c r="B2356" s="11" t="s">
        <v>2450</v>
      </c>
      <c r="C2356" s="10" t="s">
        <v>39</v>
      </c>
      <c r="D2356" s="10" t="s">
        <v>113</v>
      </c>
      <c r="E2356" s="16"/>
      <c r="F2356" s="16" t="s">
        <v>382</v>
      </c>
      <c r="G2356" s="13">
        <f>IFERROR(__xludf.DUMMYFUNCTION("if(counta(filter('Previous Rank'!$A$2:$A2766,'Previous Rank'!$B$2:$B2766=B2356,'Previous Rank'!$C$2:$C2766=C2356))=1,filter('Previous Rank'!$A$2:$A2766,'Previous Rank'!$B$2:$B2766=B2356,'Previous Rank'!$C$2:$C2766=C2356),"""")"),2353.0)</f>
        <v>2353</v>
      </c>
      <c r="H2356" s="8">
        <f t="shared" si="1"/>
        <v>-2</v>
      </c>
    </row>
    <row r="2357">
      <c r="A2357" s="10">
        <v>2356.0</v>
      </c>
      <c r="B2357" s="11" t="s">
        <v>2451</v>
      </c>
      <c r="C2357" s="10" t="s">
        <v>39</v>
      </c>
      <c r="D2357" s="10" t="s">
        <v>113</v>
      </c>
      <c r="E2357" s="15"/>
      <c r="F2357" s="15" t="s">
        <v>382</v>
      </c>
      <c r="G2357" s="13">
        <f>IFERROR(__xludf.DUMMYFUNCTION("if(counta(filter('Previous Rank'!$A$2:$A2766,'Previous Rank'!$B$2:$B2766=B2357,'Previous Rank'!$C$2:$C2766=C2357))=1,filter('Previous Rank'!$A$2:$A2766,'Previous Rank'!$B$2:$B2766=B2357,'Previous Rank'!$C$2:$C2766=C2357),"""")"),2354.0)</f>
        <v>2354</v>
      </c>
      <c r="H2357" s="8">
        <f t="shared" si="1"/>
        <v>-2</v>
      </c>
    </row>
    <row r="2358">
      <c r="A2358" s="10">
        <v>2357.0</v>
      </c>
      <c r="B2358" s="11" t="s">
        <v>2452</v>
      </c>
      <c r="C2358" s="10" t="s">
        <v>14</v>
      </c>
      <c r="D2358" s="10" t="s">
        <v>113</v>
      </c>
      <c r="E2358" s="16"/>
      <c r="F2358" s="16" t="s">
        <v>382</v>
      </c>
      <c r="G2358" s="13">
        <f>IFERROR(__xludf.DUMMYFUNCTION("if(counta(filter('Previous Rank'!$A$2:$A2766,'Previous Rank'!$B$2:$B2766=B2358,'Previous Rank'!$C$2:$C2766=C2358))=1,filter('Previous Rank'!$A$2:$A2766,'Previous Rank'!$B$2:$B2766=B2358,'Previous Rank'!$C$2:$C2766=C2358),"""")"),2355.0)</f>
        <v>2355</v>
      </c>
      <c r="H2358" s="8">
        <f t="shared" si="1"/>
        <v>-2</v>
      </c>
    </row>
    <row r="2359">
      <c r="A2359" s="10">
        <v>2358.0</v>
      </c>
      <c r="B2359" s="11" t="s">
        <v>2453</v>
      </c>
      <c r="C2359" s="10" t="s">
        <v>48</v>
      </c>
      <c r="D2359" s="10" t="s">
        <v>71</v>
      </c>
      <c r="E2359" s="15"/>
      <c r="F2359" s="15" t="s">
        <v>382</v>
      </c>
      <c r="G2359" s="13">
        <f>IFERROR(__xludf.DUMMYFUNCTION("if(counta(filter('Previous Rank'!$A$2:$A2766,'Previous Rank'!$B$2:$B2766=B2359,'Previous Rank'!$C$2:$C2766=C2359))=1,filter('Previous Rank'!$A$2:$A2766,'Previous Rank'!$B$2:$B2766=B2359,'Previous Rank'!$C$2:$C2766=C2359),"""")"),2356.0)</f>
        <v>2356</v>
      </c>
      <c r="H2359" s="8">
        <f t="shared" si="1"/>
        <v>-2</v>
      </c>
    </row>
    <row r="2360">
      <c r="A2360" s="10">
        <v>2359.0</v>
      </c>
      <c r="B2360" s="11" t="s">
        <v>2454</v>
      </c>
      <c r="C2360" s="10" t="s">
        <v>77</v>
      </c>
      <c r="D2360" s="10" t="s">
        <v>23</v>
      </c>
      <c r="E2360" s="16"/>
      <c r="F2360" s="16" t="s">
        <v>382</v>
      </c>
      <c r="G2360" s="13">
        <f>IFERROR(__xludf.DUMMYFUNCTION("if(counta(filter('Previous Rank'!$A$2:$A2766,'Previous Rank'!$B$2:$B2766=B2360,'Previous Rank'!$C$2:$C2766=C2360))=1,filter('Previous Rank'!$A$2:$A2766,'Previous Rank'!$B$2:$B2766=B2360,'Previous Rank'!$C$2:$C2766=C2360),"""")"),2357.0)</f>
        <v>2357</v>
      </c>
      <c r="H2360" s="8">
        <f t="shared" si="1"/>
        <v>-2</v>
      </c>
    </row>
    <row r="2361">
      <c r="A2361" s="10">
        <v>2360.0</v>
      </c>
      <c r="B2361" s="11" t="s">
        <v>2455</v>
      </c>
      <c r="C2361" s="10" t="s">
        <v>39</v>
      </c>
      <c r="D2361" s="10" t="s">
        <v>140</v>
      </c>
      <c r="E2361" s="15"/>
      <c r="F2361" s="15" t="s">
        <v>382</v>
      </c>
      <c r="G2361" s="13">
        <f>IFERROR(__xludf.DUMMYFUNCTION("if(counta(filter('Previous Rank'!$A$2:$A2766,'Previous Rank'!$B$2:$B2766=B2361,'Previous Rank'!$C$2:$C2766=C2361))=1,filter('Previous Rank'!$A$2:$A2766,'Previous Rank'!$B$2:$B2766=B2361,'Previous Rank'!$C$2:$C2766=C2361),"""")"),2358.0)</f>
        <v>2358</v>
      </c>
      <c r="H2361" s="8">
        <f t="shared" si="1"/>
        <v>-2</v>
      </c>
    </row>
    <row r="2362">
      <c r="A2362" s="10">
        <v>2361.0</v>
      </c>
      <c r="B2362" s="11" t="s">
        <v>2456</v>
      </c>
      <c r="C2362" s="10" t="s">
        <v>77</v>
      </c>
      <c r="D2362" s="10" t="s">
        <v>95</v>
      </c>
      <c r="E2362" s="16"/>
      <c r="F2362" s="16" t="s">
        <v>382</v>
      </c>
      <c r="G2362" s="13">
        <f>IFERROR(__xludf.DUMMYFUNCTION("if(counta(filter('Previous Rank'!$A$2:$A2766,'Previous Rank'!$B$2:$B2766=B2362,'Previous Rank'!$C$2:$C2766=C2362))=1,filter('Previous Rank'!$A$2:$A2766,'Previous Rank'!$B$2:$B2766=B2362,'Previous Rank'!$C$2:$C2766=C2362),"""")"),2359.0)</f>
        <v>2359</v>
      </c>
      <c r="H2362" s="8">
        <f t="shared" si="1"/>
        <v>-2</v>
      </c>
    </row>
    <row r="2363">
      <c r="A2363" s="10">
        <v>2362.0</v>
      </c>
      <c r="B2363" s="11" t="s">
        <v>2457</v>
      </c>
      <c r="C2363" s="10" t="s">
        <v>39</v>
      </c>
      <c r="D2363" s="10" t="s">
        <v>23</v>
      </c>
      <c r="E2363" s="15"/>
      <c r="F2363" s="15" t="s">
        <v>382</v>
      </c>
      <c r="G2363" s="13">
        <f>IFERROR(__xludf.DUMMYFUNCTION("if(counta(filter('Previous Rank'!$A$2:$A2766,'Previous Rank'!$B$2:$B2766=B2363,'Previous Rank'!$C$2:$C2766=C2363))=1,filter('Previous Rank'!$A$2:$A2766,'Previous Rank'!$B$2:$B2766=B2363,'Previous Rank'!$C$2:$C2766=C2363),"""")"),2360.0)</f>
        <v>2360</v>
      </c>
      <c r="H2363" s="8">
        <f t="shared" si="1"/>
        <v>-2</v>
      </c>
    </row>
    <row r="2364">
      <c r="A2364" s="10">
        <v>2363.0</v>
      </c>
      <c r="B2364" s="11" t="s">
        <v>2458</v>
      </c>
      <c r="C2364" s="10" t="s">
        <v>48</v>
      </c>
      <c r="D2364" s="10" t="s">
        <v>73</v>
      </c>
      <c r="E2364" s="16"/>
      <c r="F2364" s="16" t="s">
        <v>382</v>
      </c>
      <c r="G2364" s="13">
        <f>IFERROR(__xludf.DUMMYFUNCTION("if(counta(filter('Previous Rank'!$A$2:$A2766,'Previous Rank'!$B$2:$B2766=B2364,'Previous Rank'!$C$2:$C2766=C2364))=1,filter('Previous Rank'!$A$2:$A2766,'Previous Rank'!$B$2:$B2766=B2364,'Previous Rank'!$C$2:$C2766=C2364),"""")"),2361.0)</f>
        <v>2361</v>
      </c>
      <c r="H2364" s="8">
        <f t="shared" si="1"/>
        <v>-2</v>
      </c>
    </row>
    <row r="2365">
      <c r="A2365" s="10">
        <v>2364.0</v>
      </c>
      <c r="B2365" s="11" t="s">
        <v>2459</v>
      </c>
      <c r="C2365" s="10" t="s">
        <v>69</v>
      </c>
      <c r="D2365" s="10" t="s">
        <v>18</v>
      </c>
      <c r="E2365" s="15"/>
      <c r="F2365" s="15" t="s">
        <v>382</v>
      </c>
      <c r="G2365" s="13">
        <f>IFERROR(__xludf.DUMMYFUNCTION("if(counta(filter('Previous Rank'!$A$2:$A2766,'Previous Rank'!$B$2:$B2766=B2365,'Previous Rank'!$C$2:$C2766=C2365))=1,filter('Previous Rank'!$A$2:$A2766,'Previous Rank'!$B$2:$B2766=B2365,'Previous Rank'!$C$2:$C2766=C2365),"""")"),2362.0)</f>
        <v>2362</v>
      </c>
      <c r="H2365" s="8">
        <f t="shared" si="1"/>
        <v>-2</v>
      </c>
    </row>
    <row r="2366">
      <c r="A2366" s="10">
        <v>2365.0</v>
      </c>
      <c r="B2366" s="11" t="s">
        <v>2460</v>
      </c>
      <c r="C2366" s="10" t="s">
        <v>11</v>
      </c>
      <c r="D2366" s="10" t="s">
        <v>95</v>
      </c>
      <c r="E2366" s="16"/>
      <c r="F2366" s="16" t="s">
        <v>382</v>
      </c>
      <c r="G2366" s="13">
        <f>IFERROR(__xludf.DUMMYFUNCTION("if(counta(filter('Previous Rank'!$A$2:$A2766,'Previous Rank'!$B$2:$B2766=B2366,'Previous Rank'!$C$2:$C2766=C2366))=1,filter('Previous Rank'!$A$2:$A2766,'Previous Rank'!$B$2:$B2766=B2366,'Previous Rank'!$C$2:$C2766=C2366),"""")"),2363.0)</f>
        <v>2363</v>
      </c>
      <c r="H2366" s="8">
        <f t="shared" si="1"/>
        <v>-2</v>
      </c>
    </row>
    <row r="2367">
      <c r="A2367" s="10">
        <v>2366.0</v>
      </c>
      <c r="B2367" s="11" t="s">
        <v>2461</v>
      </c>
      <c r="C2367" s="10" t="s">
        <v>39</v>
      </c>
      <c r="D2367" s="10" t="s">
        <v>23</v>
      </c>
      <c r="E2367" s="15"/>
      <c r="F2367" s="15" t="s">
        <v>382</v>
      </c>
      <c r="G2367" s="13">
        <f>IFERROR(__xludf.DUMMYFUNCTION("if(counta(filter('Previous Rank'!$A$2:$A2766,'Previous Rank'!$B$2:$B2766=B2367,'Previous Rank'!$C$2:$C2766=C2367))=1,filter('Previous Rank'!$A$2:$A2766,'Previous Rank'!$B$2:$B2766=B2367,'Previous Rank'!$C$2:$C2766=C2367),"""")"),2364.0)</f>
        <v>2364</v>
      </c>
      <c r="H2367" s="8">
        <f t="shared" si="1"/>
        <v>-2</v>
      </c>
    </row>
    <row r="2368">
      <c r="A2368" s="10">
        <v>2367.0</v>
      </c>
      <c r="B2368" s="11" t="s">
        <v>2462</v>
      </c>
      <c r="C2368" s="10" t="s">
        <v>14</v>
      </c>
      <c r="D2368" s="10" t="s">
        <v>122</v>
      </c>
      <c r="E2368" s="16"/>
      <c r="F2368" s="16" t="s">
        <v>382</v>
      </c>
      <c r="G2368" s="13">
        <f>IFERROR(__xludf.DUMMYFUNCTION("if(counta(filter('Previous Rank'!$A$2:$A2766,'Previous Rank'!$B$2:$B2766=B2368,'Previous Rank'!$C$2:$C2766=C2368))=1,filter('Previous Rank'!$A$2:$A2766,'Previous Rank'!$B$2:$B2766=B2368,'Previous Rank'!$C$2:$C2766=C2368),"""")"),2365.0)</f>
        <v>2365</v>
      </c>
      <c r="H2368" s="8">
        <f t="shared" si="1"/>
        <v>-2</v>
      </c>
    </row>
    <row r="2369">
      <c r="A2369" s="10">
        <v>2368.0</v>
      </c>
      <c r="B2369" s="11" t="s">
        <v>2463</v>
      </c>
      <c r="C2369" s="10" t="s">
        <v>77</v>
      </c>
      <c r="D2369" s="10" t="s">
        <v>31</v>
      </c>
      <c r="E2369" s="15"/>
      <c r="F2369" s="15" t="s">
        <v>382</v>
      </c>
      <c r="G2369" s="13">
        <f>IFERROR(__xludf.DUMMYFUNCTION("if(counta(filter('Previous Rank'!$A$2:$A2766,'Previous Rank'!$B$2:$B2766=B2369,'Previous Rank'!$C$2:$C2766=C2369))=1,filter('Previous Rank'!$A$2:$A2766,'Previous Rank'!$B$2:$B2766=B2369,'Previous Rank'!$C$2:$C2766=C2369),"""")"),2366.0)</f>
        <v>2366</v>
      </c>
      <c r="H2369" s="8">
        <f t="shared" si="1"/>
        <v>-2</v>
      </c>
    </row>
    <row r="2370">
      <c r="A2370" s="10">
        <v>2369.0</v>
      </c>
      <c r="B2370" s="11" t="s">
        <v>2464</v>
      </c>
      <c r="C2370" s="10" t="s">
        <v>11</v>
      </c>
      <c r="D2370" s="10" t="s">
        <v>71</v>
      </c>
      <c r="E2370" s="16"/>
      <c r="F2370" s="16" t="s">
        <v>382</v>
      </c>
      <c r="G2370" s="13">
        <f>IFERROR(__xludf.DUMMYFUNCTION("if(counta(filter('Previous Rank'!$A$2:$A2766,'Previous Rank'!$B$2:$B2766=B2370,'Previous Rank'!$C$2:$C2766=C2370))=1,filter('Previous Rank'!$A$2:$A2766,'Previous Rank'!$B$2:$B2766=B2370,'Previous Rank'!$C$2:$C2766=C2370),"""")"),2367.0)</f>
        <v>2367</v>
      </c>
      <c r="H2370" s="8">
        <f t="shared" si="1"/>
        <v>-2</v>
      </c>
    </row>
    <row r="2371">
      <c r="A2371" s="10">
        <v>2370.0</v>
      </c>
      <c r="B2371" s="11" t="s">
        <v>2465</v>
      </c>
      <c r="C2371" s="10" t="s">
        <v>48</v>
      </c>
      <c r="D2371" s="10" t="s">
        <v>25</v>
      </c>
      <c r="E2371" s="15"/>
      <c r="F2371" s="15" t="s">
        <v>382</v>
      </c>
      <c r="G2371" s="13">
        <f>IFERROR(__xludf.DUMMYFUNCTION("if(counta(filter('Previous Rank'!$A$2:$A2766,'Previous Rank'!$B$2:$B2766=B2371,'Previous Rank'!$C$2:$C2766=C2371))=1,filter('Previous Rank'!$A$2:$A2766,'Previous Rank'!$B$2:$B2766=B2371,'Previous Rank'!$C$2:$C2766=C2371),"""")"),2368.0)</f>
        <v>2368</v>
      </c>
      <c r="H2371" s="8">
        <f t="shared" si="1"/>
        <v>-2</v>
      </c>
    </row>
    <row r="2372">
      <c r="A2372" s="10">
        <v>2371.0</v>
      </c>
      <c r="B2372" s="11" t="s">
        <v>2466</v>
      </c>
      <c r="C2372" s="10" t="s">
        <v>48</v>
      </c>
      <c r="D2372" s="10" t="s">
        <v>52</v>
      </c>
      <c r="E2372" s="16"/>
      <c r="F2372" s="16" t="s">
        <v>382</v>
      </c>
      <c r="G2372" s="13">
        <f>IFERROR(__xludf.DUMMYFUNCTION("if(counta(filter('Previous Rank'!$A$2:$A2766,'Previous Rank'!$B$2:$B2766=B2372,'Previous Rank'!$C$2:$C2766=C2372))=1,filter('Previous Rank'!$A$2:$A2766,'Previous Rank'!$B$2:$B2766=B2372,'Previous Rank'!$C$2:$C2766=C2372),"""")"),2369.0)</f>
        <v>2369</v>
      </c>
      <c r="H2372" s="8">
        <f t="shared" si="1"/>
        <v>-2</v>
      </c>
    </row>
    <row r="2373">
      <c r="A2373" s="10">
        <v>2372.0</v>
      </c>
      <c r="B2373" s="11" t="s">
        <v>2467</v>
      </c>
      <c r="C2373" s="10" t="s">
        <v>39</v>
      </c>
      <c r="D2373" s="10" t="s">
        <v>67</v>
      </c>
      <c r="E2373" s="15"/>
      <c r="F2373" s="15" t="s">
        <v>382</v>
      </c>
      <c r="G2373" s="13">
        <f>IFERROR(__xludf.DUMMYFUNCTION("if(counta(filter('Previous Rank'!$A$2:$A2766,'Previous Rank'!$B$2:$B2766=B2373,'Previous Rank'!$C$2:$C2766=C2373))=1,filter('Previous Rank'!$A$2:$A2766,'Previous Rank'!$B$2:$B2766=B2373,'Previous Rank'!$C$2:$C2766=C2373),"""")"),2370.0)</f>
        <v>2370</v>
      </c>
      <c r="H2373" s="8">
        <f t="shared" si="1"/>
        <v>-2</v>
      </c>
    </row>
    <row r="2374">
      <c r="A2374" s="10">
        <v>2373.0</v>
      </c>
      <c r="B2374" s="11" t="s">
        <v>2468</v>
      </c>
      <c r="C2374" s="10" t="s">
        <v>14</v>
      </c>
      <c r="D2374" s="10" t="s">
        <v>25</v>
      </c>
      <c r="E2374" s="16"/>
      <c r="F2374" s="16" t="s">
        <v>382</v>
      </c>
      <c r="G2374" s="13">
        <f>IFERROR(__xludf.DUMMYFUNCTION("if(counta(filter('Previous Rank'!$A$2:$A2766,'Previous Rank'!$B$2:$B2766=B2374,'Previous Rank'!$C$2:$C2766=C2374))=1,filter('Previous Rank'!$A$2:$A2766,'Previous Rank'!$B$2:$B2766=B2374,'Previous Rank'!$C$2:$C2766=C2374),"""")"),2371.0)</f>
        <v>2371</v>
      </c>
      <c r="H2374" s="8">
        <f t="shared" si="1"/>
        <v>-2</v>
      </c>
    </row>
    <row r="2375">
      <c r="A2375" s="10">
        <v>2374.0</v>
      </c>
      <c r="B2375" s="11" t="s">
        <v>2469</v>
      </c>
      <c r="C2375" s="10" t="s">
        <v>14</v>
      </c>
      <c r="D2375" s="10" t="s">
        <v>137</v>
      </c>
      <c r="E2375" s="15"/>
      <c r="F2375" s="15" t="s">
        <v>382</v>
      </c>
      <c r="G2375" s="13">
        <f>IFERROR(__xludf.DUMMYFUNCTION("if(counta(filter('Previous Rank'!$A$2:$A2766,'Previous Rank'!$B$2:$B2766=B2375,'Previous Rank'!$C$2:$C2766=C2375))=1,filter('Previous Rank'!$A$2:$A2766,'Previous Rank'!$B$2:$B2766=B2375,'Previous Rank'!$C$2:$C2766=C2375),"""")"),2372.0)</f>
        <v>2372</v>
      </c>
      <c r="H2375" s="8">
        <f t="shared" si="1"/>
        <v>-2</v>
      </c>
    </row>
    <row r="2376">
      <c r="A2376" s="10">
        <v>2375.0</v>
      </c>
      <c r="B2376" s="11" t="s">
        <v>2470</v>
      </c>
      <c r="C2376" s="10" t="s">
        <v>11</v>
      </c>
      <c r="D2376" s="10" t="s">
        <v>46</v>
      </c>
      <c r="E2376" s="16"/>
      <c r="F2376" s="16" t="s">
        <v>382</v>
      </c>
      <c r="G2376" s="13">
        <f>IFERROR(__xludf.DUMMYFUNCTION("if(counta(filter('Previous Rank'!$A$2:$A2766,'Previous Rank'!$B$2:$B2766=B2376,'Previous Rank'!$C$2:$C2766=C2376))=1,filter('Previous Rank'!$A$2:$A2766,'Previous Rank'!$B$2:$B2766=B2376,'Previous Rank'!$C$2:$C2766=C2376),"""")"),2373.0)</f>
        <v>2373</v>
      </c>
      <c r="H2376" s="8">
        <f t="shared" si="1"/>
        <v>-2</v>
      </c>
    </row>
    <row r="2377">
      <c r="A2377" s="10">
        <v>2376.0</v>
      </c>
      <c r="B2377" s="11" t="s">
        <v>2471</v>
      </c>
      <c r="C2377" s="10" t="s">
        <v>77</v>
      </c>
      <c r="D2377" s="10" t="s">
        <v>129</v>
      </c>
      <c r="E2377" s="15"/>
      <c r="F2377" s="15" t="s">
        <v>382</v>
      </c>
      <c r="G2377" s="13">
        <f>IFERROR(__xludf.DUMMYFUNCTION("if(counta(filter('Previous Rank'!$A$2:$A2766,'Previous Rank'!$B$2:$B2766=B2377,'Previous Rank'!$C$2:$C2766=C2377))=1,filter('Previous Rank'!$A$2:$A2766,'Previous Rank'!$B$2:$B2766=B2377,'Previous Rank'!$C$2:$C2766=C2377),"""")"),2374.0)</f>
        <v>2374</v>
      </c>
      <c r="H2377" s="8">
        <f t="shared" si="1"/>
        <v>-2</v>
      </c>
    </row>
    <row r="2378">
      <c r="A2378" s="10">
        <v>2377.0</v>
      </c>
      <c r="B2378" s="11" t="s">
        <v>2472</v>
      </c>
      <c r="C2378" s="10" t="s">
        <v>8</v>
      </c>
      <c r="D2378" s="10" t="s">
        <v>12</v>
      </c>
      <c r="E2378" s="16"/>
      <c r="F2378" s="16" t="s">
        <v>382</v>
      </c>
      <c r="G2378" s="13">
        <f>IFERROR(__xludf.DUMMYFUNCTION("if(counta(filter('Previous Rank'!$A$2:$A2766,'Previous Rank'!$B$2:$B2766=B2378,'Previous Rank'!$C$2:$C2766=C2378))=1,filter('Previous Rank'!$A$2:$A2766,'Previous Rank'!$B$2:$B2766=B2378,'Previous Rank'!$C$2:$C2766=C2378),"""")"),2375.0)</f>
        <v>2375</v>
      </c>
      <c r="H2378" s="8">
        <f t="shared" si="1"/>
        <v>-2</v>
      </c>
    </row>
    <row r="2379">
      <c r="A2379" s="10">
        <v>2378.0</v>
      </c>
      <c r="B2379" s="11" t="s">
        <v>2473</v>
      </c>
      <c r="C2379" s="10" t="s">
        <v>48</v>
      </c>
      <c r="D2379" s="10" t="s">
        <v>113</v>
      </c>
      <c r="E2379" s="15"/>
      <c r="F2379" s="15" t="s">
        <v>382</v>
      </c>
      <c r="G2379" s="13">
        <f>IFERROR(__xludf.DUMMYFUNCTION("if(counta(filter('Previous Rank'!$A$2:$A2766,'Previous Rank'!$B$2:$B2766=B2379,'Previous Rank'!$C$2:$C2766=C2379))=1,filter('Previous Rank'!$A$2:$A2766,'Previous Rank'!$B$2:$B2766=B2379,'Previous Rank'!$C$2:$C2766=C2379),"""")"),2376.0)</f>
        <v>2376</v>
      </c>
      <c r="H2379" s="8">
        <f t="shared" si="1"/>
        <v>-2</v>
      </c>
    </row>
    <row r="2380">
      <c r="A2380" s="10">
        <v>2379.0</v>
      </c>
      <c r="B2380" s="11" t="s">
        <v>2474</v>
      </c>
      <c r="C2380" s="10" t="s">
        <v>77</v>
      </c>
      <c r="D2380" s="10" t="s">
        <v>18</v>
      </c>
      <c r="E2380" s="16"/>
      <c r="F2380" s="16" t="s">
        <v>382</v>
      </c>
      <c r="G2380" s="13">
        <f>IFERROR(__xludf.DUMMYFUNCTION("if(counta(filter('Previous Rank'!$A$2:$A2766,'Previous Rank'!$B$2:$B2766=B2380,'Previous Rank'!$C$2:$C2766=C2380))=1,filter('Previous Rank'!$A$2:$A2766,'Previous Rank'!$B$2:$B2766=B2380,'Previous Rank'!$C$2:$C2766=C2380),"""")"),2377.0)</f>
        <v>2377</v>
      </c>
      <c r="H2380" s="8">
        <f t="shared" si="1"/>
        <v>-2</v>
      </c>
    </row>
    <row r="2381">
      <c r="A2381" s="10">
        <v>2380.0</v>
      </c>
      <c r="B2381" s="11" t="s">
        <v>2475</v>
      </c>
      <c r="C2381" s="10" t="s">
        <v>55</v>
      </c>
      <c r="D2381" s="10" t="s">
        <v>73</v>
      </c>
      <c r="E2381" s="15"/>
      <c r="F2381" s="15" t="s">
        <v>382</v>
      </c>
      <c r="G2381" s="13">
        <f>IFERROR(__xludf.DUMMYFUNCTION("if(counta(filter('Previous Rank'!$A$2:$A2766,'Previous Rank'!$B$2:$B2766=B2381,'Previous Rank'!$C$2:$C2766=C2381))=1,filter('Previous Rank'!$A$2:$A2766,'Previous Rank'!$B$2:$B2766=B2381,'Previous Rank'!$C$2:$C2766=C2381),"""")"),2378.0)</f>
        <v>2378</v>
      </c>
      <c r="H2381" s="8">
        <f t="shared" si="1"/>
        <v>-2</v>
      </c>
    </row>
    <row r="2382">
      <c r="A2382" s="10">
        <v>2381.0</v>
      </c>
      <c r="B2382" s="11" t="s">
        <v>2476</v>
      </c>
      <c r="C2382" s="10" t="s">
        <v>39</v>
      </c>
      <c r="D2382" s="10" t="s">
        <v>99</v>
      </c>
      <c r="E2382" s="16"/>
      <c r="F2382" s="16" t="s">
        <v>382</v>
      </c>
      <c r="G2382" s="13">
        <f>IFERROR(__xludf.DUMMYFUNCTION("if(counta(filter('Previous Rank'!$A$2:$A2766,'Previous Rank'!$B$2:$B2766=B2382,'Previous Rank'!$C$2:$C2766=C2382))=1,filter('Previous Rank'!$A$2:$A2766,'Previous Rank'!$B$2:$B2766=B2382,'Previous Rank'!$C$2:$C2766=C2382),"""")"),2379.0)</f>
        <v>2379</v>
      </c>
      <c r="H2382" s="8">
        <f t="shared" si="1"/>
        <v>-2</v>
      </c>
    </row>
    <row r="2383">
      <c r="A2383" s="10">
        <v>2382.0</v>
      </c>
      <c r="B2383" s="11" t="s">
        <v>2477</v>
      </c>
      <c r="C2383" s="10" t="s">
        <v>8</v>
      </c>
      <c r="D2383" s="10" t="s">
        <v>122</v>
      </c>
      <c r="E2383" s="15"/>
      <c r="F2383" s="15" t="s">
        <v>382</v>
      </c>
      <c r="G2383" s="13">
        <f>IFERROR(__xludf.DUMMYFUNCTION("if(counta(filter('Previous Rank'!$A$2:$A2766,'Previous Rank'!$B$2:$B2766=B2383,'Previous Rank'!$C$2:$C2766=C2383))=1,filter('Previous Rank'!$A$2:$A2766,'Previous Rank'!$B$2:$B2766=B2383,'Previous Rank'!$C$2:$C2766=C2383),"""")"),2380.0)</f>
        <v>2380</v>
      </c>
      <c r="H2383" s="8">
        <f t="shared" si="1"/>
        <v>-2</v>
      </c>
    </row>
    <row r="2384">
      <c r="A2384" s="10">
        <v>2383.0</v>
      </c>
      <c r="B2384" s="11" t="s">
        <v>2478</v>
      </c>
      <c r="C2384" s="10" t="s">
        <v>14</v>
      </c>
      <c r="D2384" s="10" t="s">
        <v>23</v>
      </c>
      <c r="E2384" s="16"/>
      <c r="F2384" s="16" t="s">
        <v>382</v>
      </c>
      <c r="G2384" s="13">
        <f>IFERROR(__xludf.DUMMYFUNCTION("if(counta(filter('Previous Rank'!$A$2:$A2766,'Previous Rank'!$B$2:$B2766=B2384,'Previous Rank'!$C$2:$C2766=C2384))=1,filter('Previous Rank'!$A$2:$A2766,'Previous Rank'!$B$2:$B2766=B2384,'Previous Rank'!$C$2:$C2766=C2384),"""")"),2381.0)</f>
        <v>2381</v>
      </c>
      <c r="H2384" s="8">
        <f t="shared" si="1"/>
        <v>-2</v>
      </c>
    </row>
    <row r="2385">
      <c r="A2385" s="10">
        <v>2384.0</v>
      </c>
      <c r="B2385" s="11" t="s">
        <v>2479</v>
      </c>
      <c r="C2385" s="10" t="s">
        <v>14</v>
      </c>
      <c r="D2385" s="10" t="s">
        <v>18</v>
      </c>
      <c r="E2385" s="15"/>
      <c r="F2385" s="15" t="s">
        <v>382</v>
      </c>
      <c r="G2385" s="13">
        <f>IFERROR(__xludf.DUMMYFUNCTION("if(counta(filter('Previous Rank'!$A$2:$A2766,'Previous Rank'!$B$2:$B2766=B2385,'Previous Rank'!$C$2:$C2766=C2385))=1,filter('Previous Rank'!$A$2:$A2766,'Previous Rank'!$B$2:$B2766=B2385,'Previous Rank'!$C$2:$C2766=C2385),"""")"),2382.0)</f>
        <v>2382</v>
      </c>
      <c r="H2385" s="8">
        <f t="shared" si="1"/>
        <v>-2</v>
      </c>
    </row>
    <row r="2386">
      <c r="A2386" s="10">
        <v>2385.0</v>
      </c>
      <c r="B2386" s="11" t="s">
        <v>2480</v>
      </c>
      <c r="C2386" s="10" t="s">
        <v>77</v>
      </c>
      <c r="D2386" s="10" t="s">
        <v>49</v>
      </c>
      <c r="E2386" s="16"/>
      <c r="F2386" s="16" t="s">
        <v>382</v>
      </c>
      <c r="G2386" s="13">
        <f>IFERROR(__xludf.DUMMYFUNCTION("if(counta(filter('Previous Rank'!$A$2:$A2766,'Previous Rank'!$B$2:$B2766=B2386,'Previous Rank'!$C$2:$C2766=C2386))=1,filter('Previous Rank'!$A$2:$A2766,'Previous Rank'!$B$2:$B2766=B2386,'Previous Rank'!$C$2:$C2766=C2386),"""")"),2383.0)</f>
        <v>2383</v>
      </c>
      <c r="H2386" s="8">
        <f t="shared" si="1"/>
        <v>-2</v>
      </c>
    </row>
    <row r="2387">
      <c r="A2387" s="10">
        <v>2386.0</v>
      </c>
      <c r="B2387" s="11" t="s">
        <v>2481</v>
      </c>
      <c r="C2387" s="10" t="s">
        <v>20</v>
      </c>
      <c r="D2387" s="10" t="s">
        <v>49</v>
      </c>
      <c r="E2387" s="15"/>
      <c r="F2387" s="15" t="s">
        <v>382</v>
      </c>
      <c r="G2387" s="13">
        <f>IFERROR(__xludf.DUMMYFUNCTION("if(counta(filter('Previous Rank'!$A$2:$A2766,'Previous Rank'!$B$2:$B2766=B2387,'Previous Rank'!$C$2:$C2766=C2387))=1,filter('Previous Rank'!$A$2:$A2766,'Previous Rank'!$B$2:$B2766=B2387,'Previous Rank'!$C$2:$C2766=C2387),"""")"),2384.0)</f>
        <v>2384</v>
      </c>
      <c r="H2387" s="8">
        <f t="shared" si="1"/>
        <v>-2</v>
      </c>
    </row>
    <row r="2388">
      <c r="A2388" s="10">
        <v>2387.0</v>
      </c>
      <c r="B2388" s="11" t="s">
        <v>2482</v>
      </c>
      <c r="C2388" s="10" t="s">
        <v>14</v>
      </c>
      <c r="D2388" s="10" t="s">
        <v>73</v>
      </c>
      <c r="E2388" s="16"/>
      <c r="F2388" s="16" t="s">
        <v>382</v>
      </c>
      <c r="G2388" s="13">
        <f>IFERROR(__xludf.DUMMYFUNCTION("if(counta(filter('Previous Rank'!$A$2:$A2766,'Previous Rank'!$B$2:$B2766=B2388,'Previous Rank'!$C$2:$C2766=C2388))=1,filter('Previous Rank'!$A$2:$A2766,'Previous Rank'!$B$2:$B2766=B2388,'Previous Rank'!$C$2:$C2766=C2388),"""")"),2385.0)</f>
        <v>2385</v>
      </c>
      <c r="H2388" s="8">
        <f t="shared" si="1"/>
        <v>-2</v>
      </c>
    </row>
    <row r="2389">
      <c r="A2389" s="10">
        <v>2388.0</v>
      </c>
      <c r="B2389" s="11" t="s">
        <v>2483</v>
      </c>
      <c r="C2389" s="10" t="s">
        <v>63</v>
      </c>
      <c r="D2389" s="10" t="s">
        <v>18</v>
      </c>
      <c r="E2389" s="15"/>
      <c r="F2389" s="15" t="s">
        <v>382</v>
      </c>
      <c r="G2389" s="13">
        <f>IFERROR(__xludf.DUMMYFUNCTION("if(counta(filter('Previous Rank'!$A$2:$A2766,'Previous Rank'!$B$2:$B2766=B2389,'Previous Rank'!$C$2:$C2766=C2389))=1,filter('Previous Rank'!$A$2:$A2766,'Previous Rank'!$B$2:$B2766=B2389,'Previous Rank'!$C$2:$C2766=C2389),"""")"),2386.0)</f>
        <v>2386</v>
      </c>
      <c r="H2389" s="8">
        <f t="shared" si="1"/>
        <v>-2</v>
      </c>
    </row>
    <row r="2390">
      <c r="A2390" s="10">
        <v>2389.0</v>
      </c>
      <c r="B2390" s="11" t="s">
        <v>2484</v>
      </c>
      <c r="C2390" s="10" t="s">
        <v>39</v>
      </c>
      <c r="D2390" s="10" t="s">
        <v>52</v>
      </c>
      <c r="E2390" s="16"/>
      <c r="F2390" s="16" t="s">
        <v>382</v>
      </c>
      <c r="G2390" s="13">
        <f>IFERROR(__xludf.DUMMYFUNCTION("if(counta(filter('Previous Rank'!$A$2:$A2766,'Previous Rank'!$B$2:$B2766=B2390,'Previous Rank'!$C$2:$C2766=C2390))=1,filter('Previous Rank'!$A$2:$A2766,'Previous Rank'!$B$2:$B2766=B2390,'Previous Rank'!$C$2:$C2766=C2390),"""")"),2387.0)</f>
        <v>2387</v>
      </c>
      <c r="H2390" s="8">
        <f t="shared" si="1"/>
        <v>-2</v>
      </c>
    </row>
    <row r="2391">
      <c r="A2391" s="10">
        <v>2390.0</v>
      </c>
      <c r="B2391" s="11" t="s">
        <v>2485</v>
      </c>
      <c r="C2391" s="10" t="s">
        <v>14</v>
      </c>
      <c r="D2391" s="10" t="s">
        <v>15</v>
      </c>
      <c r="E2391" s="15"/>
      <c r="F2391" s="15" t="s">
        <v>382</v>
      </c>
      <c r="G2391" s="13">
        <f>IFERROR(__xludf.DUMMYFUNCTION("if(counta(filter('Previous Rank'!$A$2:$A2766,'Previous Rank'!$B$2:$B2766=B2391,'Previous Rank'!$C$2:$C2766=C2391))=1,filter('Previous Rank'!$A$2:$A2766,'Previous Rank'!$B$2:$B2766=B2391,'Previous Rank'!$C$2:$C2766=C2391),"""")"),2388.0)</f>
        <v>2388</v>
      </c>
      <c r="H2391" s="8">
        <f t="shared" si="1"/>
        <v>-2</v>
      </c>
    </row>
    <row r="2392">
      <c r="A2392" s="10">
        <v>2391.0</v>
      </c>
      <c r="B2392" s="11" t="s">
        <v>2486</v>
      </c>
      <c r="C2392" s="10" t="s">
        <v>14</v>
      </c>
      <c r="D2392" s="10" t="s">
        <v>31</v>
      </c>
      <c r="E2392" s="16"/>
      <c r="F2392" s="16" t="s">
        <v>382</v>
      </c>
      <c r="G2392" s="13">
        <f>IFERROR(__xludf.DUMMYFUNCTION("if(counta(filter('Previous Rank'!$A$2:$A2766,'Previous Rank'!$B$2:$B2766=B2392,'Previous Rank'!$C$2:$C2766=C2392))=1,filter('Previous Rank'!$A$2:$A2766,'Previous Rank'!$B$2:$B2766=B2392,'Previous Rank'!$C$2:$C2766=C2392),"""")"),2389.0)</f>
        <v>2389</v>
      </c>
      <c r="H2392" s="8">
        <f t="shared" si="1"/>
        <v>-2</v>
      </c>
    </row>
    <row r="2393">
      <c r="A2393" s="10">
        <v>2392.0</v>
      </c>
      <c r="B2393" s="11" t="s">
        <v>2487</v>
      </c>
      <c r="C2393" s="10" t="s">
        <v>11</v>
      </c>
      <c r="D2393" s="10" t="s">
        <v>85</v>
      </c>
      <c r="E2393" s="15"/>
      <c r="F2393" s="15" t="s">
        <v>382</v>
      </c>
      <c r="G2393" s="13">
        <f>IFERROR(__xludf.DUMMYFUNCTION("if(counta(filter('Previous Rank'!$A$2:$A2766,'Previous Rank'!$B$2:$B2766=B2393,'Previous Rank'!$C$2:$C2766=C2393))=1,filter('Previous Rank'!$A$2:$A2766,'Previous Rank'!$B$2:$B2766=B2393,'Previous Rank'!$C$2:$C2766=C2393),"""")"),2390.0)</f>
        <v>2390</v>
      </c>
      <c r="H2393" s="8">
        <f t="shared" si="1"/>
        <v>-2</v>
      </c>
    </row>
    <row r="2394">
      <c r="A2394" s="10">
        <v>2393.0</v>
      </c>
      <c r="B2394" s="11" t="s">
        <v>2488</v>
      </c>
      <c r="C2394" s="10" t="s">
        <v>39</v>
      </c>
      <c r="D2394" s="10" t="s">
        <v>34</v>
      </c>
      <c r="E2394" s="16"/>
      <c r="F2394" s="16" t="s">
        <v>382</v>
      </c>
      <c r="G2394" s="13">
        <f>IFERROR(__xludf.DUMMYFUNCTION("if(counta(filter('Previous Rank'!$A$2:$A2766,'Previous Rank'!$B$2:$B2766=B2394,'Previous Rank'!$C$2:$C2766=C2394))=1,filter('Previous Rank'!$A$2:$A2766,'Previous Rank'!$B$2:$B2766=B2394,'Previous Rank'!$C$2:$C2766=C2394),"""")"),2391.0)</f>
        <v>2391</v>
      </c>
      <c r="H2394" s="8">
        <f t="shared" si="1"/>
        <v>-2</v>
      </c>
    </row>
    <row r="2395">
      <c r="A2395" s="10">
        <v>2394.0</v>
      </c>
      <c r="B2395" s="11" t="s">
        <v>2489</v>
      </c>
      <c r="C2395" s="10" t="s">
        <v>77</v>
      </c>
      <c r="D2395" s="10" t="s">
        <v>140</v>
      </c>
      <c r="E2395" s="15"/>
      <c r="F2395" s="15" t="s">
        <v>382</v>
      </c>
      <c r="G2395" s="13">
        <f>IFERROR(__xludf.DUMMYFUNCTION("if(counta(filter('Previous Rank'!$A$2:$A2766,'Previous Rank'!$B$2:$B2766=B2395,'Previous Rank'!$C$2:$C2766=C2395))=1,filter('Previous Rank'!$A$2:$A2766,'Previous Rank'!$B$2:$B2766=B2395,'Previous Rank'!$C$2:$C2766=C2395),"""")"),2392.0)</f>
        <v>2392</v>
      </c>
      <c r="H2395" s="8">
        <f t="shared" si="1"/>
        <v>-2</v>
      </c>
    </row>
    <row r="2396">
      <c r="A2396" s="10">
        <v>2395.0</v>
      </c>
      <c r="B2396" s="11" t="s">
        <v>2490</v>
      </c>
      <c r="C2396" s="10" t="s">
        <v>14</v>
      </c>
      <c r="D2396" s="10" t="s">
        <v>25</v>
      </c>
      <c r="E2396" s="16"/>
      <c r="F2396" s="16" t="s">
        <v>382</v>
      </c>
      <c r="G2396" s="13">
        <f>IFERROR(__xludf.DUMMYFUNCTION("if(counta(filter('Previous Rank'!$A$2:$A2766,'Previous Rank'!$B$2:$B2766=B2396,'Previous Rank'!$C$2:$C2766=C2396))=1,filter('Previous Rank'!$A$2:$A2766,'Previous Rank'!$B$2:$B2766=B2396,'Previous Rank'!$C$2:$C2766=C2396),"""")"),2393.0)</f>
        <v>2393</v>
      </c>
      <c r="H2396" s="8">
        <f t="shared" si="1"/>
        <v>-2</v>
      </c>
    </row>
    <row r="2397">
      <c r="A2397" s="10">
        <v>2396.0</v>
      </c>
      <c r="B2397" s="11" t="s">
        <v>2491</v>
      </c>
      <c r="C2397" s="10" t="s">
        <v>39</v>
      </c>
      <c r="D2397" s="10" t="s">
        <v>82</v>
      </c>
      <c r="E2397" s="15"/>
      <c r="F2397" s="15" t="s">
        <v>382</v>
      </c>
      <c r="G2397" s="13">
        <f>IFERROR(__xludf.DUMMYFUNCTION("if(counta(filter('Previous Rank'!$A$2:$A2766,'Previous Rank'!$B$2:$B2766=B2397,'Previous Rank'!$C$2:$C2766=C2397))=1,filter('Previous Rank'!$A$2:$A2766,'Previous Rank'!$B$2:$B2766=B2397,'Previous Rank'!$C$2:$C2766=C2397),"""")"),2394.0)</f>
        <v>2394</v>
      </c>
      <c r="H2397" s="8">
        <f t="shared" si="1"/>
        <v>-2</v>
      </c>
    </row>
    <row r="2398">
      <c r="A2398" s="10">
        <v>2397.0</v>
      </c>
      <c r="B2398" s="11" t="s">
        <v>2492</v>
      </c>
      <c r="C2398" s="10" t="s">
        <v>17</v>
      </c>
      <c r="D2398" s="10" t="s">
        <v>122</v>
      </c>
      <c r="E2398" s="16"/>
      <c r="F2398" s="16" t="s">
        <v>382</v>
      </c>
      <c r="G2398" s="13">
        <f>IFERROR(__xludf.DUMMYFUNCTION("if(counta(filter('Previous Rank'!$A$2:$A2766,'Previous Rank'!$B$2:$B2766=B2398,'Previous Rank'!$C$2:$C2766=C2398))=1,filter('Previous Rank'!$A$2:$A2766,'Previous Rank'!$B$2:$B2766=B2398,'Previous Rank'!$C$2:$C2766=C2398),"""")"),2395.0)</f>
        <v>2395</v>
      </c>
      <c r="H2398" s="8">
        <f t="shared" si="1"/>
        <v>-2</v>
      </c>
    </row>
    <row r="2399">
      <c r="A2399" s="10">
        <v>2398.0</v>
      </c>
      <c r="B2399" s="11" t="s">
        <v>2493</v>
      </c>
      <c r="C2399" s="10" t="s">
        <v>39</v>
      </c>
      <c r="D2399" s="10" t="s">
        <v>71</v>
      </c>
      <c r="E2399" s="15"/>
      <c r="F2399" s="15" t="s">
        <v>382</v>
      </c>
      <c r="G2399" s="13">
        <f>IFERROR(__xludf.DUMMYFUNCTION("if(counta(filter('Previous Rank'!$A$2:$A2766,'Previous Rank'!$B$2:$B2766=B2399,'Previous Rank'!$C$2:$C2766=C2399))=1,filter('Previous Rank'!$A$2:$A2766,'Previous Rank'!$B$2:$B2766=B2399,'Previous Rank'!$C$2:$C2766=C2399),"""")"),2396.0)</f>
        <v>2396</v>
      </c>
      <c r="H2399" s="8">
        <f t="shared" si="1"/>
        <v>-2</v>
      </c>
    </row>
    <row r="2400">
      <c r="A2400" s="10">
        <v>2399.0</v>
      </c>
      <c r="B2400" s="11" t="s">
        <v>2494</v>
      </c>
      <c r="C2400" s="10" t="s">
        <v>14</v>
      </c>
      <c r="D2400" s="10" t="s">
        <v>46</v>
      </c>
      <c r="E2400" s="16"/>
      <c r="F2400" s="16" t="s">
        <v>382</v>
      </c>
      <c r="G2400" s="13">
        <f>IFERROR(__xludf.DUMMYFUNCTION("if(counta(filter('Previous Rank'!$A$2:$A2766,'Previous Rank'!$B$2:$B2766=B2400,'Previous Rank'!$C$2:$C2766=C2400))=1,filter('Previous Rank'!$A$2:$A2766,'Previous Rank'!$B$2:$B2766=B2400,'Previous Rank'!$C$2:$C2766=C2400),"""")"),2397.0)</f>
        <v>2397</v>
      </c>
      <c r="H2400" s="8">
        <f t="shared" si="1"/>
        <v>-2</v>
      </c>
    </row>
    <row r="2401">
      <c r="A2401" s="10">
        <v>2400.0</v>
      </c>
      <c r="B2401" s="11" t="s">
        <v>2495</v>
      </c>
      <c r="C2401" s="10" t="s">
        <v>39</v>
      </c>
      <c r="D2401" s="10" t="s">
        <v>140</v>
      </c>
      <c r="E2401" s="15"/>
      <c r="F2401" s="15" t="s">
        <v>382</v>
      </c>
      <c r="G2401" s="13">
        <f>IFERROR(__xludf.DUMMYFUNCTION("if(counta(filter('Previous Rank'!$A$2:$A2766,'Previous Rank'!$B$2:$B2766=B2401,'Previous Rank'!$C$2:$C2766=C2401))=1,filter('Previous Rank'!$A$2:$A2766,'Previous Rank'!$B$2:$B2766=B2401,'Previous Rank'!$C$2:$C2766=C2401),"""")"),2398.0)</f>
        <v>2398</v>
      </c>
      <c r="H2401" s="8">
        <f t="shared" si="1"/>
        <v>-2</v>
      </c>
    </row>
    <row r="2402">
      <c r="A2402" s="10">
        <v>2401.0</v>
      </c>
      <c r="B2402" s="11" t="s">
        <v>2496</v>
      </c>
      <c r="C2402" s="10" t="s">
        <v>39</v>
      </c>
      <c r="D2402" s="10" t="s">
        <v>9</v>
      </c>
      <c r="E2402" s="16"/>
      <c r="F2402" s="16" t="s">
        <v>382</v>
      </c>
      <c r="G2402" s="13">
        <f>IFERROR(__xludf.DUMMYFUNCTION("if(counta(filter('Previous Rank'!$A$2:$A2766,'Previous Rank'!$B$2:$B2766=B2402,'Previous Rank'!$C$2:$C2766=C2402))=1,filter('Previous Rank'!$A$2:$A2766,'Previous Rank'!$B$2:$B2766=B2402,'Previous Rank'!$C$2:$C2766=C2402),"""")"),2399.0)</f>
        <v>2399</v>
      </c>
      <c r="H2402" s="8">
        <f t="shared" si="1"/>
        <v>-2</v>
      </c>
    </row>
    <row r="2403">
      <c r="A2403" s="10">
        <v>2402.0</v>
      </c>
      <c r="B2403" s="11" t="s">
        <v>2497</v>
      </c>
      <c r="C2403" s="10" t="s">
        <v>14</v>
      </c>
      <c r="D2403" s="10" t="s">
        <v>27</v>
      </c>
      <c r="E2403" s="15"/>
      <c r="F2403" s="15" t="s">
        <v>382</v>
      </c>
      <c r="G2403" s="13">
        <f>IFERROR(__xludf.DUMMYFUNCTION("if(counta(filter('Previous Rank'!$A$2:$A2766,'Previous Rank'!$B$2:$B2766=B2403,'Previous Rank'!$C$2:$C2766=C2403))=1,filter('Previous Rank'!$A$2:$A2766,'Previous Rank'!$B$2:$B2766=B2403,'Previous Rank'!$C$2:$C2766=C2403),"""")"),2400.0)</f>
        <v>2400</v>
      </c>
      <c r="H2403" s="8">
        <f t="shared" si="1"/>
        <v>-2</v>
      </c>
    </row>
    <row r="2404">
      <c r="A2404" s="10">
        <v>2403.0</v>
      </c>
      <c r="B2404" s="11" t="s">
        <v>2498</v>
      </c>
      <c r="C2404" s="10" t="s">
        <v>77</v>
      </c>
      <c r="D2404" s="10" t="s">
        <v>122</v>
      </c>
      <c r="E2404" s="16"/>
      <c r="F2404" s="16" t="s">
        <v>382</v>
      </c>
      <c r="G2404" s="13">
        <f>IFERROR(__xludf.DUMMYFUNCTION("if(counta(filter('Previous Rank'!$A$2:$A2766,'Previous Rank'!$B$2:$B2766=B2404,'Previous Rank'!$C$2:$C2766=C2404))=1,filter('Previous Rank'!$A$2:$A2766,'Previous Rank'!$B$2:$B2766=B2404,'Previous Rank'!$C$2:$C2766=C2404),"""")"),2401.0)</f>
        <v>2401</v>
      </c>
      <c r="H2404" s="8">
        <f t="shared" si="1"/>
        <v>-2</v>
      </c>
    </row>
    <row r="2405">
      <c r="A2405" s="10">
        <v>2404.0</v>
      </c>
      <c r="B2405" s="11" t="s">
        <v>2499</v>
      </c>
      <c r="C2405" s="10" t="s">
        <v>1857</v>
      </c>
      <c r="D2405" s="10" t="s">
        <v>12</v>
      </c>
      <c r="E2405" s="15"/>
      <c r="F2405" s="15" t="s">
        <v>382</v>
      </c>
      <c r="G2405" s="13">
        <f>IFERROR(__xludf.DUMMYFUNCTION("if(counta(filter('Previous Rank'!$A$2:$A2766,'Previous Rank'!$B$2:$B2766=B2405,'Previous Rank'!$C$2:$C2766=C2405))=1,filter('Previous Rank'!$A$2:$A2766,'Previous Rank'!$B$2:$B2766=B2405,'Previous Rank'!$C$2:$C2766=C2405),"""")"),2402.0)</f>
        <v>2402</v>
      </c>
      <c r="H2405" s="8">
        <f t="shared" si="1"/>
        <v>-2</v>
      </c>
    </row>
    <row r="2406">
      <c r="A2406" s="10">
        <v>2405.0</v>
      </c>
      <c r="B2406" s="11" t="s">
        <v>2500</v>
      </c>
      <c r="C2406" s="10" t="s">
        <v>14</v>
      </c>
      <c r="D2406" s="10" t="s">
        <v>15</v>
      </c>
      <c r="E2406" s="16"/>
      <c r="F2406" s="16" t="s">
        <v>382</v>
      </c>
      <c r="G2406" s="13">
        <f>IFERROR(__xludf.DUMMYFUNCTION("if(counta(filter('Previous Rank'!$A$2:$A2766,'Previous Rank'!$B$2:$B2766=B2406,'Previous Rank'!$C$2:$C2766=C2406))=1,filter('Previous Rank'!$A$2:$A2766,'Previous Rank'!$B$2:$B2766=B2406,'Previous Rank'!$C$2:$C2766=C2406),"""")"),2403.0)</f>
        <v>2403</v>
      </c>
      <c r="H2406" s="8">
        <f t="shared" si="1"/>
        <v>-2</v>
      </c>
    </row>
    <row r="2407">
      <c r="A2407" s="10">
        <v>2406.0</v>
      </c>
      <c r="B2407" s="11" t="s">
        <v>2501</v>
      </c>
      <c r="C2407" s="10" t="s">
        <v>14</v>
      </c>
      <c r="D2407" s="10" t="s">
        <v>9</v>
      </c>
      <c r="E2407" s="15"/>
      <c r="F2407" s="15" t="s">
        <v>382</v>
      </c>
      <c r="G2407" s="13">
        <f>IFERROR(__xludf.DUMMYFUNCTION("if(counta(filter('Previous Rank'!$A$2:$A2766,'Previous Rank'!$B$2:$B2766=B2407,'Previous Rank'!$C$2:$C2766=C2407))=1,filter('Previous Rank'!$A$2:$A2766,'Previous Rank'!$B$2:$B2766=B2407,'Previous Rank'!$C$2:$C2766=C2407),"""")"),2404.0)</f>
        <v>2404</v>
      </c>
      <c r="H2407" s="8">
        <f t="shared" si="1"/>
        <v>-2</v>
      </c>
    </row>
    <row r="2408">
      <c r="A2408" s="10">
        <v>2407.0</v>
      </c>
      <c r="B2408" s="11" t="s">
        <v>2502</v>
      </c>
      <c r="C2408" s="10" t="s">
        <v>14</v>
      </c>
      <c r="D2408" s="10" t="s">
        <v>52</v>
      </c>
      <c r="E2408" s="16"/>
      <c r="F2408" s="16" t="s">
        <v>382</v>
      </c>
      <c r="G2408" s="13">
        <f>IFERROR(__xludf.DUMMYFUNCTION("if(counta(filter('Previous Rank'!$A$2:$A2766,'Previous Rank'!$B$2:$B2766=B2408,'Previous Rank'!$C$2:$C2766=C2408))=1,filter('Previous Rank'!$A$2:$A2766,'Previous Rank'!$B$2:$B2766=B2408,'Previous Rank'!$C$2:$C2766=C2408),"""")"),2405.0)</f>
        <v>2405</v>
      </c>
      <c r="H2408" s="8">
        <f t="shared" si="1"/>
        <v>-2</v>
      </c>
    </row>
    <row r="2409">
      <c r="A2409" s="10">
        <v>2408.0</v>
      </c>
      <c r="B2409" s="11" t="s">
        <v>2503</v>
      </c>
      <c r="C2409" s="10" t="s">
        <v>77</v>
      </c>
      <c r="D2409" s="10" t="s">
        <v>27</v>
      </c>
      <c r="E2409" s="15"/>
      <c r="F2409" s="15" t="s">
        <v>382</v>
      </c>
      <c r="G2409" s="13">
        <f>IFERROR(__xludf.DUMMYFUNCTION("if(counta(filter('Previous Rank'!$A$2:$A2766,'Previous Rank'!$B$2:$B2766=B2409,'Previous Rank'!$C$2:$C2766=C2409))=1,filter('Previous Rank'!$A$2:$A2766,'Previous Rank'!$B$2:$B2766=B2409,'Previous Rank'!$C$2:$C2766=C2409),"""")"),2406.0)</f>
        <v>2406</v>
      </c>
      <c r="H2409" s="8">
        <f t="shared" si="1"/>
        <v>-2</v>
      </c>
    </row>
    <row r="2410">
      <c r="A2410" s="10">
        <v>2409.0</v>
      </c>
      <c r="B2410" s="11" t="s">
        <v>2504</v>
      </c>
      <c r="C2410" s="10" t="s">
        <v>39</v>
      </c>
      <c r="D2410" s="10" t="s">
        <v>12</v>
      </c>
      <c r="E2410" s="16"/>
      <c r="F2410" s="16" t="s">
        <v>382</v>
      </c>
      <c r="G2410" s="13">
        <f>IFERROR(__xludf.DUMMYFUNCTION("if(counta(filter('Previous Rank'!$A$2:$A2766,'Previous Rank'!$B$2:$B2766=B2410,'Previous Rank'!$C$2:$C2766=C2410))=1,filter('Previous Rank'!$A$2:$A2766,'Previous Rank'!$B$2:$B2766=B2410,'Previous Rank'!$C$2:$C2766=C2410),"""")"),2407.0)</f>
        <v>2407</v>
      </c>
      <c r="H2410" s="8">
        <f t="shared" si="1"/>
        <v>-2</v>
      </c>
    </row>
    <row r="2411">
      <c r="A2411" s="10">
        <v>2410.0</v>
      </c>
      <c r="B2411" s="11" t="s">
        <v>2505</v>
      </c>
      <c r="C2411" s="10" t="s">
        <v>77</v>
      </c>
      <c r="D2411" s="10" t="s">
        <v>23</v>
      </c>
      <c r="E2411" s="15"/>
      <c r="F2411" s="15" t="s">
        <v>382</v>
      </c>
      <c r="G2411" s="13">
        <f>IFERROR(__xludf.DUMMYFUNCTION("if(counta(filter('Previous Rank'!$A$2:$A2766,'Previous Rank'!$B$2:$B2766=B2411,'Previous Rank'!$C$2:$C2766=C2411))=1,filter('Previous Rank'!$A$2:$A2766,'Previous Rank'!$B$2:$B2766=B2411,'Previous Rank'!$C$2:$C2766=C2411),"""")"),2408.0)</f>
        <v>2408</v>
      </c>
      <c r="H2411" s="8">
        <f t="shared" si="1"/>
        <v>-2</v>
      </c>
    </row>
    <row r="2412">
      <c r="A2412" s="10">
        <v>2411.0</v>
      </c>
      <c r="B2412" s="11" t="s">
        <v>2506</v>
      </c>
      <c r="C2412" s="10" t="s">
        <v>39</v>
      </c>
      <c r="D2412" s="10" t="s">
        <v>71</v>
      </c>
      <c r="E2412" s="16"/>
      <c r="F2412" s="16" t="s">
        <v>382</v>
      </c>
      <c r="G2412" s="13">
        <f>IFERROR(__xludf.DUMMYFUNCTION("if(counta(filter('Previous Rank'!$A$2:$A2766,'Previous Rank'!$B$2:$B2766=B2412,'Previous Rank'!$C$2:$C2766=C2412))=1,filter('Previous Rank'!$A$2:$A2766,'Previous Rank'!$B$2:$B2766=B2412,'Previous Rank'!$C$2:$C2766=C2412),"""")"),2409.0)</f>
        <v>2409</v>
      </c>
      <c r="H2412" s="8">
        <f t="shared" si="1"/>
        <v>-2</v>
      </c>
    </row>
    <row r="2413">
      <c r="A2413" s="10">
        <v>2412.0</v>
      </c>
      <c r="B2413" s="11" t="s">
        <v>2507</v>
      </c>
      <c r="C2413" s="10" t="s">
        <v>77</v>
      </c>
      <c r="D2413" s="10" t="s">
        <v>120</v>
      </c>
      <c r="E2413" s="15"/>
      <c r="F2413" s="15" t="s">
        <v>382</v>
      </c>
      <c r="G2413" s="13">
        <f>IFERROR(__xludf.DUMMYFUNCTION("if(counta(filter('Previous Rank'!$A$2:$A2766,'Previous Rank'!$B$2:$B2766=B2413,'Previous Rank'!$C$2:$C2766=C2413))=1,filter('Previous Rank'!$A$2:$A2766,'Previous Rank'!$B$2:$B2766=B2413,'Previous Rank'!$C$2:$C2766=C2413),"""")"),2410.0)</f>
        <v>2410</v>
      </c>
      <c r="H2413" s="8">
        <f t="shared" si="1"/>
        <v>-2</v>
      </c>
    </row>
    <row r="2414">
      <c r="A2414" s="10">
        <v>2413.0</v>
      </c>
      <c r="B2414" s="11" t="s">
        <v>2508</v>
      </c>
      <c r="C2414" s="10" t="s">
        <v>14</v>
      </c>
      <c r="D2414" s="10" t="s">
        <v>12</v>
      </c>
      <c r="E2414" s="16"/>
      <c r="F2414" s="16" t="s">
        <v>382</v>
      </c>
      <c r="G2414" s="13">
        <f>IFERROR(__xludf.DUMMYFUNCTION("if(counta(filter('Previous Rank'!$A$2:$A2766,'Previous Rank'!$B$2:$B2766=B2414,'Previous Rank'!$C$2:$C2766=C2414))=1,filter('Previous Rank'!$A$2:$A2766,'Previous Rank'!$B$2:$B2766=B2414,'Previous Rank'!$C$2:$C2766=C2414),"""")"),2411.0)</f>
        <v>2411</v>
      </c>
      <c r="H2414" s="8">
        <f t="shared" si="1"/>
        <v>-2</v>
      </c>
    </row>
    <row r="2415">
      <c r="A2415" s="10">
        <v>2414.0</v>
      </c>
      <c r="B2415" s="11" t="s">
        <v>2509</v>
      </c>
      <c r="C2415" s="10" t="s">
        <v>77</v>
      </c>
      <c r="D2415" s="10" t="s">
        <v>31</v>
      </c>
      <c r="E2415" s="15"/>
      <c r="F2415" s="15" t="s">
        <v>382</v>
      </c>
      <c r="G2415" s="13">
        <f>IFERROR(__xludf.DUMMYFUNCTION("if(counta(filter('Previous Rank'!$A$2:$A2766,'Previous Rank'!$B$2:$B2766=B2415,'Previous Rank'!$C$2:$C2766=C2415))=1,filter('Previous Rank'!$A$2:$A2766,'Previous Rank'!$B$2:$B2766=B2415,'Previous Rank'!$C$2:$C2766=C2415),"""")"),2412.0)</f>
        <v>2412</v>
      </c>
      <c r="H2415" s="8">
        <f t="shared" si="1"/>
        <v>-2</v>
      </c>
    </row>
    <row r="2416">
      <c r="A2416" s="10">
        <v>2415.0</v>
      </c>
      <c r="B2416" s="11" t="s">
        <v>2510</v>
      </c>
      <c r="C2416" s="10" t="s">
        <v>17</v>
      </c>
      <c r="D2416" s="10" t="s">
        <v>36</v>
      </c>
      <c r="E2416" s="16"/>
      <c r="F2416" s="16" t="s">
        <v>382</v>
      </c>
      <c r="G2416" s="13">
        <f>IFERROR(__xludf.DUMMYFUNCTION("if(counta(filter('Previous Rank'!$A$2:$A2766,'Previous Rank'!$B$2:$B2766=B2416,'Previous Rank'!$C$2:$C2766=C2416))=1,filter('Previous Rank'!$A$2:$A2766,'Previous Rank'!$B$2:$B2766=B2416,'Previous Rank'!$C$2:$C2766=C2416),"""")"),2413.0)</f>
        <v>2413</v>
      </c>
      <c r="H2416" s="8">
        <f t="shared" si="1"/>
        <v>-2</v>
      </c>
    </row>
    <row r="2417">
      <c r="A2417" s="10">
        <v>2416.0</v>
      </c>
      <c r="B2417" s="11" t="s">
        <v>2511</v>
      </c>
      <c r="C2417" s="10" t="s">
        <v>20</v>
      </c>
      <c r="D2417" s="10" t="s">
        <v>82</v>
      </c>
      <c r="E2417" s="15"/>
      <c r="F2417" s="15" t="s">
        <v>382</v>
      </c>
      <c r="G2417" s="13">
        <f>IFERROR(__xludf.DUMMYFUNCTION("if(counta(filter('Previous Rank'!$A$2:$A2766,'Previous Rank'!$B$2:$B2766=B2417,'Previous Rank'!$C$2:$C2766=C2417))=1,filter('Previous Rank'!$A$2:$A2766,'Previous Rank'!$B$2:$B2766=B2417,'Previous Rank'!$C$2:$C2766=C2417),"""")"),2414.0)</f>
        <v>2414</v>
      </c>
      <c r="H2417" s="8">
        <f t="shared" si="1"/>
        <v>-2</v>
      </c>
    </row>
    <row r="2418">
      <c r="A2418" s="10">
        <v>2417.0</v>
      </c>
      <c r="B2418" s="11" t="s">
        <v>2512</v>
      </c>
      <c r="C2418" s="10" t="s">
        <v>77</v>
      </c>
      <c r="D2418" s="10" t="s">
        <v>140</v>
      </c>
      <c r="E2418" s="16"/>
      <c r="F2418" s="16" t="s">
        <v>382</v>
      </c>
      <c r="G2418" s="13">
        <f>IFERROR(__xludf.DUMMYFUNCTION("if(counta(filter('Previous Rank'!$A$2:$A2766,'Previous Rank'!$B$2:$B2766=B2418,'Previous Rank'!$C$2:$C2766=C2418))=1,filter('Previous Rank'!$A$2:$A2766,'Previous Rank'!$B$2:$B2766=B2418,'Previous Rank'!$C$2:$C2766=C2418),"""")"),2415.0)</f>
        <v>2415</v>
      </c>
      <c r="H2418" s="8">
        <f t="shared" si="1"/>
        <v>-2</v>
      </c>
    </row>
    <row r="2419">
      <c r="A2419" s="10">
        <v>2418.0</v>
      </c>
      <c r="B2419" s="11" t="s">
        <v>2513</v>
      </c>
      <c r="C2419" s="10" t="s">
        <v>14</v>
      </c>
      <c r="D2419" s="10" t="s">
        <v>42</v>
      </c>
      <c r="E2419" s="15"/>
      <c r="F2419" s="15" t="s">
        <v>382</v>
      </c>
      <c r="G2419" s="13">
        <f>IFERROR(__xludf.DUMMYFUNCTION("if(counta(filter('Previous Rank'!$A$2:$A2766,'Previous Rank'!$B$2:$B2766=B2419,'Previous Rank'!$C$2:$C2766=C2419))=1,filter('Previous Rank'!$A$2:$A2766,'Previous Rank'!$B$2:$B2766=B2419,'Previous Rank'!$C$2:$C2766=C2419),"""")"),2416.0)</f>
        <v>2416</v>
      </c>
      <c r="H2419" s="8">
        <f t="shared" si="1"/>
        <v>-2</v>
      </c>
    </row>
    <row r="2420">
      <c r="A2420" s="10">
        <v>2419.0</v>
      </c>
      <c r="B2420" s="11" t="s">
        <v>2514</v>
      </c>
      <c r="C2420" s="10" t="s">
        <v>39</v>
      </c>
      <c r="D2420" s="10" t="s">
        <v>25</v>
      </c>
      <c r="E2420" s="16"/>
      <c r="F2420" s="16" t="s">
        <v>382</v>
      </c>
      <c r="G2420" s="13">
        <f>IFERROR(__xludf.DUMMYFUNCTION("if(counta(filter('Previous Rank'!$A$2:$A2766,'Previous Rank'!$B$2:$B2766=B2420,'Previous Rank'!$C$2:$C2766=C2420))=1,filter('Previous Rank'!$A$2:$A2766,'Previous Rank'!$B$2:$B2766=B2420,'Previous Rank'!$C$2:$C2766=C2420),"""")"),2417.0)</f>
        <v>2417</v>
      </c>
      <c r="H2420" s="8">
        <f t="shared" si="1"/>
        <v>-2</v>
      </c>
    </row>
    <row r="2421">
      <c r="A2421" s="10">
        <v>2420.0</v>
      </c>
      <c r="B2421" s="11" t="s">
        <v>2515</v>
      </c>
      <c r="C2421" s="10" t="s">
        <v>48</v>
      </c>
      <c r="D2421" s="10" t="s">
        <v>95</v>
      </c>
      <c r="E2421" s="15"/>
      <c r="F2421" s="15" t="s">
        <v>382</v>
      </c>
      <c r="G2421" s="13">
        <f>IFERROR(__xludf.DUMMYFUNCTION("if(counta(filter('Previous Rank'!$A$2:$A2766,'Previous Rank'!$B$2:$B2766=B2421,'Previous Rank'!$C$2:$C2766=C2421))=1,filter('Previous Rank'!$A$2:$A2766,'Previous Rank'!$B$2:$B2766=B2421,'Previous Rank'!$C$2:$C2766=C2421),"""")"),2418.0)</f>
        <v>2418</v>
      </c>
      <c r="H2421" s="8">
        <f t="shared" si="1"/>
        <v>-2</v>
      </c>
    </row>
    <row r="2422">
      <c r="A2422" s="10">
        <v>2421.0</v>
      </c>
      <c r="B2422" s="11" t="s">
        <v>2516</v>
      </c>
      <c r="C2422" s="10" t="s">
        <v>14</v>
      </c>
      <c r="D2422" s="10" t="s">
        <v>113</v>
      </c>
      <c r="E2422" s="16"/>
      <c r="F2422" s="16" t="s">
        <v>382</v>
      </c>
      <c r="G2422" s="13">
        <f>IFERROR(__xludf.DUMMYFUNCTION("if(counta(filter('Previous Rank'!$A$2:$A2766,'Previous Rank'!$B$2:$B2766=B2422,'Previous Rank'!$C$2:$C2766=C2422))=1,filter('Previous Rank'!$A$2:$A2766,'Previous Rank'!$B$2:$B2766=B2422,'Previous Rank'!$C$2:$C2766=C2422),"""")"),2419.0)</f>
        <v>2419</v>
      </c>
      <c r="H2422" s="8">
        <f t="shared" si="1"/>
        <v>-2</v>
      </c>
    </row>
    <row r="2423">
      <c r="A2423" s="10">
        <v>2422.0</v>
      </c>
      <c r="B2423" s="11" t="s">
        <v>2517</v>
      </c>
      <c r="C2423" s="10" t="s">
        <v>55</v>
      </c>
      <c r="D2423" s="10" t="s">
        <v>25</v>
      </c>
      <c r="E2423" s="15"/>
      <c r="F2423" s="15" t="s">
        <v>382</v>
      </c>
      <c r="G2423" s="13">
        <f>IFERROR(__xludf.DUMMYFUNCTION("if(counta(filter('Previous Rank'!$A$2:$A2766,'Previous Rank'!$B$2:$B2766=B2423,'Previous Rank'!$C$2:$C2766=C2423))=1,filter('Previous Rank'!$A$2:$A2766,'Previous Rank'!$B$2:$B2766=B2423,'Previous Rank'!$C$2:$C2766=C2423),"""")"),2420.0)</f>
        <v>2420</v>
      </c>
      <c r="H2423" s="8">
        <f t="shared" si="1"/>
        <v>-2</v>
      </c>
    </row>
    <row r="2424">
      <c r="A2424" s="10">
        <v>2423.0</v>
      </c>
      <c r="B2424" s="11" t="s">
        <v>2518</v>
      </c>
      <c r="C2424" s="10" t="s">
        <v>17</v>
      </c>
      <c r="D2424" s="10" t="s">
        <v>23</v>
      </c>
      <c r="E2424" s="16"/>
      <c r="F2424" s="16" t="s">
        <v>382</v>
      </c>
      <c r="G2424" s="13">
        <f>IFERROR(__xludf.DUMMYFUNCTION("if(counta(filter('Previous Rank'!$A$2:$A2766,'Previous Rank'!$B$2:$B2766=B2424,'Previous Rank'!$C$2:$C2766=C2424))=1,filter('Previous Rank'!$A$2:$A2766,'Previous Rank'!$B$2:$B2766=B2424,'Previous Rank'!$C$2:$C2766=C2424),"""")"),2421.0)</f>
        <v>2421</v>
      </c>
      <c r="H2424" s="8">
        <f t="shared" si="1"/>
        <v>-2</v>
      </c>
    </row>
    <row r="2425">
      <c r="A2425" s="10">
        <v>2424.0</v>
      </c>
      <c r="B2425" s="11" t="s">
        <v>2519</v>
      </c>
      <c r="C2425" s="10" t="s">
        <v>2520</v>
      </c>
      <c r="D2425" s="10" t="s">
        <v>18</v>
      </c>
      <c r="E2425" s="15"/>
      <c r="F2425" s="15" t="s">
        <v>382</v>
      </c>
      <c r="G2425" s="13">
        <f>IFERROR(__xludf.DUMMYFUNCTION("if(counta(filter('Previous Rank'!$A$2:$A2766,'Previous Rank'!$B$2:$B2766=B2425,'Previous Rank'!$C$2:$C2766=C2425))=1,filter('Previous Rank'!$A$2:$A2766,'Previous Rank'!$B$2:$B2766=B2425,'Previous Rank'!$C$2:$C2766=C2425),"""")"),2422.0)</f>
        <v>2422</v>
      </c>
      <c r="H2425" s="8">
        <f t="shared" si="1"/>
        <v>-2</v>
      </c>
    </row>
    <row r="2426">
      <c r="A2426" s="10">
        <v>2425.0</v>
      </c>
      <c r="B2426" s="11" t="s">
        <v>2521</v>
      </c>
      <c r="C2426" s="10" t="s">
        <v>77</v>
      </c>
      <c r="D2426" s="10" t="s">
        <v>85</v>
      </c>
      <c r="E2426" s="16"/>
      <c r="F2426" s="16" t="s">
        <v>382</v>
      </c>
      <c r="G2426" s="13">
        <f>IFERROR(__xludf.DUMMYFUNCTION("if(counta(filter('Previous Rank'!$A$2:$A2766,'Previous Rank'!$B$2:$B2766=B2426,'Previous Rank'!$C$2:$C2766=C2426))=1,filter('Previous Rank'!$A$2:$A2766,'Previous Rank'!$B$2:$B2766=B2426,'Previous Rank'!$C$2:$C2766=C2426),"""")"),2423.0)</f>
        <v>2423</v>
      </c>
      <c r="H2426" s="8">
        <f t="shared" si="1"/>
        <v>-2</v>
      </c>
    </row>
    <row r="2427">
      <c r="A2427" s="10">
        <v>2426.0</v>
      </c>
      <c r="B2427" s="11" t="s">
        <v>2522</v>
      </c>
      <c r="C2427" s="10" t="s">
        <v>240</v>
      </c>
      <c r="D2427" s="10" t="s">
        <v>31</v>
      </c>
      <c r="E2427" s="15"/>
      <c r="F2427" s="15" t="s">
        <v>382</v>
      </c>
      <c r="G2427" s="13">
        <f>IFERROR(__xludf.DUMMYFUNCTION("if(counta(filter('Previous Rank'!$A$2:$A2766,'Previous Rank'!$B$2:$B2766=B2427,'Previous Rank'!$C$2:$C2766=C2427))=1,filter('Previous Rank'!$A$2:$A2766,'Previous Rank'!$B$2:$B2766=B2427,'Previous Rank'!$C$2:$C2766=C2427),"""")"),2424.0)</f>
        <v>2424</v>
      </c>
      <c r="H2427" s="8">
        <f t="shared" si="1"/>
        <v>-2</v>
      </c>
    </row>
    <row r="2428">
      <c r="A2428" s="10">
        <v>2427.0</v>
      </c>
      <c r="B2428" s="11" t="s">
        <v>2523</v>
      </c>
      <c r="C2428" s="10" t="s">
        <v>55</v>
      </c>
      <c r="D2428" s="10" t="s">
        <v>137</v>
      </c>
      <c r="E2428" s="16"/>
      <c r="F2428" s="16" t="s">
        <v>382</v>
      </c>
      <c r="G2428" s="13">
        <f>IFERROR(__xludf.DUMMYFUNCTION("if(counta(filter('Previous Rank'!$A$2:$A2766,'Previous Rank'!$B$2:$B2766=B2428,'Previous Rank'!$C$2:$C2766=C2428))=1,filter('Previous Rank'!$A$2:$A2766,'Previous Rank'!$B$2:$B2766=B2428,'Previous Rank'!$C$2:$C2766=C2428),"""")"),2425.0)</f>
        <v>2425</v>
      </c>
      <c r="H2428" s="8">
        <f t="shared" si="1"/>
        <v>-2</v>
      </c>
    </row>
    <row r="2429">
      <c r="A2429" s="10">
        <v>2428.0</v>
      </c>
      <c r="B2429" s="11" t="s">
        <v>2524</v>
      </c>
      <c r="C2429" s="10" t="s">
        <v>14</v>
      </c>
      <c r="D2429" s="10" t="s">
        <v>27</v>
      </c>
      <c r="E2429" s="15"/>
      <c r="F2429" s="15" t="s">
        <v>382</v>
      </c>
      <c r="G2429" s="13">
        <f>IFERROR(__xludf.DUMMYFUNCTION("if(counta(filter('Previous Rank'!$A$2:$A2766,'Previous Rank'!$B$2:$B2766=B2429,'Previous Rank'!$C$2:$C2766=C2429))=1,filter('Previous Rank'!$A$2:$A2766,'Previous Rank'!$B$2:$B2766=B2429,'Previous Rank'!$C$2:$C2766=C2429),"""")"),2426.0)</f>
        <v>2426</v>
      </c>
      <c r="H2429" s="8">
        <f t="shared" si="1"/>
        <v>-2</v>
      </c>
    </row>
    <row r="2430">
      <c r="A2430" s="10">
        <v>2429.0</v>
      </c>
      <c r="B2430" s="11" t="s">
        <v>2525</v>
      </c>
      <c r="C2430" s="10" t="s">
        <v>39</v>
      </c>
      <c r="D2430" s="10" t="s">
        <v>27</v>
      </c>
      <c r="E2430" s="16"/>
      <c r="F2430" s="16" t="s">
        <v>382</v>
      </c>
      <c r="G2430" s="13">
        <f>IFERROR(__xludf.DUMMYFUNCTION("if(counta(filter('Previous Rank'!$A$2:$A2766,'Previous Rank'!$B$2:$B2766=B2430,'Previous Rank'!$C$2:$C2766=C2430))=1,filter('Previous Rank'!$A$2:$A2766,'Previous Rank'!$B$2:$B2766=B2430,'Previous Rank'!$C$2:$C2766=C2430),"""")"),2427.0)</f>
        <v>2427</v>
      </c>
      <c r="H2430" s="8">
        <f t="shared" si="1"/>
        <v>-2</v>
      </c>
    </row>
    <row r="2431">
      <c r="A2431" s="10">
        <v>2430.0</v>
      </c>
      <c r="B2431" s="11" t="s">
        <v>2526</v>
      </c>
      <c r="C2431" s="10" t="s">
        <v>150</v>
      </c>
      <c r="D2431" s="10" t="s">
        <v>25</v>
      </c>
      <c r="E2431" s="15"/>
      <c r="F2431" s="15" t="s">
        <v>382</v>
      </c>
      <c r="G2431" s="13">
        <f>IFERROR(__xludf.DUMMYFUNCTION("if(counta(filter('Previous Rank'!$A$2:$A2766,'Previous Rank'!$B$2:$B2766=B2431,'Previous Rank'!$C$2:$C2766=C2431))=1,filter('Previous Rank'!$A$2:$A2766,'Previous Rank'!$B$2:$B2766=B2431,'Previous Rank'!$C$2:$C2766=C2431),"""")"),2428.0)</f>
        <v>2428</v>
      </c>
      <c r="H2431" s="8">
        <f t="shared" si="1"/>
        <v>-2</v>
      </c>
    </row>
    <row r="2432">
      <c r="A2432" s="10">
        <v>2431.0</v>
      </c>
      <c r="B2432" s="11" t="s">
        <v>2527</v>
      </c>
      <c r="C2432" s="10" t="s">
        <v>17</v>
      </c>
      <c r="D2432" s="10" t="s">
        <v>82</v>
      </c>
      <c r="E2432" s="16"/>
      <c r="F2432" s="16" t="s">
        <v>382</v>
      </c>
      <c r="G2432" s="13">
        <f>IFERROR(__xludf.DUMMYFUNCTION("if(counta(filter('Previous Rank'!$A$2:$A2766,'Previous Rank'!$B$2:$B2766=B2432,'Previous Rank'!$C$2:$C2766=C2432))=1,filter('Previous Rank'!$A$2:$A2766,'Previous Rank'!$B$2:$B2766=B2432,'Previous Rank'!$C$2:$C2766=C2432),"""")"),2429.0)</f>
        <v>2429</v>
      </c>
      <c r="H2432" s="8">
        <f t="shared" si="1"/>
        <v>-2</v>
      </c>
    </row>
    <row r="2433">
      <c r="A2433" s="10">
        <v>2432.0</v>
      </c>
      <c r="B2433" s="11" t="s">
        <v>2528</v>
      </c>
      <c r="C2433" s="10" t="s">
        <v>20</v>
      </c>
      <c r="D2433" s="10" t="s">
        <v>34</v>
      </c>
      <c r="E2433" s="15"/>
      <c r="F2433" s="15" t="s">
        <v>382</v>
      </c>
      <c r="G2433" s="13">
        <f>IFERROR(__xludf.DUMMYFUNCTION("if(counta(filter('Previous Rank'!$A$2:$A2766,'Previous Rank'!$B$2:$B2766=B2433,'Previous Rank'!$C$2:$C2766=C2433))=1,filter('Previous Rank'!$A$2:$A2766,'Previous Rank'!$B$2:$B2766=B2433,'Previous Rank'!$C$2:$C2766=C2433),"""")"),2430.0)</f>
        <v>2430</v>
      </c>
      <c r="H2433" s="8">
        <f t="shared" si="1"/>
        <v>-2</v>
      </c>
    </row>
    <row r="2434">
      <c r="A2434" s="10">
        <v>2433.0</v>
      </c>
      <c r="B2434" s="11" t="s">
        <v>2529</v>
      </c>
      <c r="C2434" s="10" t="s">
        <v>39</v>
      </c>
      <c r="D2434" s="10" t="s">
        <v>12</v>
      </c>
      <c r="E2434" s="16"/>
      <c r="F2434" s="16" t="s">
        <v>382</v>
      </c>
      <c r="G2434" s="13">
        <f>IFERROR(__xludf.DUMMYFUNCTION("if(counta(filter('Previous Rank'!$A$2:$A2766,'Previous Rank'!$B$2:$B2766=B2434,'Previous Rank'!$C$2:$C2766=C2434))=1,filter('Previous Rank'!$A$2:$A2766,'Previous Rank'!$B$2:$B2766=B2434,'Previous Rank'!$C$2:$C2766=C2434),"""")"),2431.0)</f>
        <v>2431</v>
      </c>
      <c r="H2434" s="8">
        <f t="shared" si="1"/>
        <v>-2</v>
      </c>
    </row>
    <row r="2435">
      <c r="A2435" s="10">
        <v>2434.0</v>
      </c>
      <c r="B2435" s="11" t="s">
        <v>2530</v>
      </c>
      <c r="C2435" s="10" t="s">
        <v>77</v>
      </c>
      <c r="D2435" s="10" t="s">
        <v>9</v>
      </c>
      <c r="E2435" s="15"/>
      <c r="F2435" s="15" t="s">
        <v>382</v>
      </c>
      <c r="G2435" s="13">
        <f>IFERROR(__xludf.DUMMYFUNCTION("if(counta(filter('Previous Rank'!$A$2:$A2766,'Previous Rank'!$B$2:$B2766=B2435,'Previous Rank'!$C$2:$C2766=C2435))=1,filter('Previous Rank'!$A$2:$A2766,'Previous Rank'!$B$2:$B2766=B2435,'Previous Rank'!$C$2:$C2766=C2435),"""")"),2432.0)</f>
        <v>2432</v>
      </c>
      <c r="H2435" s="8">
        <f t="shared" si="1"/>
        <v>-2</v>
      </c>
    </row>
    <row r="2436">
      <c r="A2436" s="10">
        <v>2435.0</v>
      </c>
      <c r="B2436" s="11" t="s">
        <v>2531</v>
      </c>
      <c r="C2436" s="10" t="s">
        <v>89</v>
      </c>
      <c r="D2436" s="10" t="s">
        <v>36</v>
      </c>
      <c r="E2436" s="16"/>
      <c r="F2436" s="16" t="s">
        <v>382</v>
      </c>
      <c r="G2436" s="13">
        <f>IFERROR(__xludf.DUMMYFUNCTION("if(counta(filter('Previous Rank'!$A$2:$A2766,'Previous Rank'!$B$2:$B2766=B2436,'Previous Rank'!$C$2:$C2766=C2436))=1,filter('Previous Rank'!$A$2:$A2766,'Previous Rank'!$B$2:$B2766=B2436,'Previous Rank'!$C$2:$C2766=C2436),"""")"),2433.0)</f>
        <v>2433</v>
      </c>
      <c r="H2436" s="8">
        <f t="shared" si="1"/>
        <v>-2</v>
      </c>
    </row>
    <row r="2437">
      <c r="A2437" s="10">
        <v>2436.0</v>
      </c>
      <c r="B2437" s="11" t="s">
        <v>2532</v>
      </c>
      <c r="C2437" s="10" t="s">
        <v>14</v>
      </c>
      <c r="D2437" s="10" t="s">
        <v>120</v>
      </c>
      <c r="E2437" s="15"/>
      <c r="F2437" s="15" t="s">
        <v>382</v>
      </c>
      <c r="G2437" s="13">
        <f>IFERROR(__xludf.DUMMYFUNCTION("if(counta(filter('Previous Rank'!$A$2:$A2766,'Previous Rank'!$B$2:$B2766=B2437,'Previous Rank'!$C$2:$C2766=C2437))=1,filter('Previous Rank'!$A$2:$A2766,'Previous Rank'!$B$2:$B2766=B2437,'Previous Rank'!$C$2:$C2766=C2437),"""")"),2434.0)</f>
        <v>2434</v>
      </c>
      <c r="H2437" s="8">
        <f t="shared" si="1"/>
        <v>-2</v>
      </c>
    </row>
    <row r="2438">
      <c r="A2438" s="10">
        <v>2437.0</v>
      </c>
      <c r="B2438" s="11" t="s">
        <v>2533</v>
      </c>
      <c r="C2438" s="10" t="s">
        <v>48</v>
      </c>
      <c r="D2438" s="10" t="s">
        <v>206</v>
      </c>
      <c r="E2438" s="16"/>
      <c r="F2438" s="16" t="s">
        <v>382</v>
      </c>
      <c r="G2438" s="13">
        <f>IFERROR(__xludf.DUMMYFUNCTION("if(counta(filter('Previous Rank'!$A$2:$A2766,'Previous Rank'!$B$2:$B2766=B2438,'Previous Rank'!$C$2:$C2766=C2438))=1,filter('Previous Rank'!$A$2:$A2766,'Previous Rank'!$B$2:$B2766=B2438,'Previous Rank'!$C$2:$C2766=C2438),"""")"),2435.0)</f>
        <v>2435</v>
      </c>
      <c r="H2438" s="8">
        <f t="shared" si="1"/>
        <v>-2</v>
      </c>
    </row>
    <row r="2439">
      <c r="A2439" s="10">
        <v>2438.0</v>
      </c>
      <c r="B2439" s="11" t="s">
        <v>2534</v>
      </c>
      <c r="C2439" s="10" t="s">
        <v>11</v>
      </c>
      <c r="D2439" s="10" t="s">
        <v>12</v>
      </c>
      <c r="E2439" s="15"/>
      <c r="F2439" s="15" t="s">
        <v>382</v>
      </c>
      <c r="G2439" s="13">
        <f>IFERROR(__xludf.DUMMYFUNCTION("if(counta(filter('Previous Rank'!$A$2:$A2766,'Previous Rank'!$B$2:$B2766=B2439,'Previous Rank'!$C$2:$C2766=C2439))=1,filter('Previous Rank'!$A$2:$A2766,'Previous Rank'!$B$2:$B2766=B2439,'Previous Rank'!$C$2:$C2766=C2439),"""")"),2436.0)</f>
        <v>2436</v>
      </c>
      <c r="H2439" s="8">
        <f t="shared" si="1"/>
        <v>-2</v>
      </c>
    </row>
    <row r="2440">
      <c r="A2440" s="10">
        <v>2439.0</v>
      </c>
      <c r="B2440" s="11" t="s">
        <v>2535</v>
      </c>
      <c r="C2440" s="10" t="s">
        <v>11</v>
      </c>
      <c r="D2440" s="10" t="s">
        <v>23</v>
      </c>
      <c r="E2440" s="16"/>
      <c r="F2440" s="16" t="s">
        <v>382</v>
      </c>
      <c r="G2440" s="13">
        <f>IFERROR(__xludf.DUMMYFUNCTION("if(counta(filter('Previous Rank'!$A$2:$A2766,'Previous Rank'!$B$2:$B2766=B2440,'Previous Rank'!$C$2:$C2766=C2440))=1,filter('Previous Rank'!$A$2:$A2766,'Previous Rank'!$B$2:$B2766=B2440,'Previous Rank'!$C$2:$C2766=C2440),"""")"),2437.0)</f>
        <v>2437</v>
      </c>
      <c r="H2440" s="8">
        <f t="shared" si="1"/>
        <v>-2</v>
      </c>
    </row>
    <row r="2441">
      <c r="A2441" s="10">
        <v>2440.0</v>
      </c>
      <c r="B2441" s="11" t="s">
        <v>2536</v>
      </c>
      <c r="C2441" s="10" t="s">
        <v>39</v>
      </c>
      <c r="D2441" s="10" t="s">
        <v>73</v>
      </c>
      <c r="E2441" s="15"/>
      <c r="F2441" s="15" t="s">
        <v>382</v>
      </c>
      <c r="G2441" s="13">
        <f>IFERROR(__xludf.DUMMYFUNCTION("if(counta(filter('Previous Rank'!$A$2:$A2766,'Previous Rank'!$B$2:$B2766=B2441,'Previous Rank'!$C$2:$C2766=C2441))=1,filter('Previous Rank'!$A$2:$A2766,'Previous Rank'!$B$2:$B2766=B2441,'Previous Rank'!$C$2:$C2766=C2441),"""")"),2438.0)</f>
        <v>2438</v>
      </c>
      <c r="H2441" s="8">
        <f t="shared" si="1"/>
        <v>-2</v>
      </c>
    </row>
    <row r="2442">
      <c r="A2442" s="10">
        <v>2441.0</v>
      </c>
      <c r="B2442" s="11" t="s">
        <v>2537</v>
      </c>
      <c r="C2442" s="10" t="s">
        <v>39</v>
      </c>
      <c r="D2442" s="10" t="s">
        <v>27</v>
      </c>
      <c r="E2442" s="16"/>
      <c r="F2442" s="16" t="s">
        <v>382</v>
      </c>
      <c r="G2442" s="13">
        <f>IFERROR(__xludf.DUMMYFUNCTION("if(counta(filter('Previous Rank'!$A$2:$A2766,'Previous Rank'!$B$2:$B2766=B2442,'Previous Rank'!$C$2:$C2766=C2442))=1,filter('Previous Rank'!$A$2:$A2766,'Previous Rank'!$B$2:$B2766=B2442,'Previous Rank'!$C$2:$C2766=C2442),"""")"),2439.0)</f>
        <v>2439</v>
      </c>
      <c r="H2442" s="8">
        <f t="shared" si="1"/>
        <v>-2</v>
      </c>
    </row>
    <row r="2443">
      <c r="A2443" s="10">
        <v>2442.0</v>
      </c>
      <c r="B2443" s="11" t="s">
        <v>2538</v>
      </c>
      <c r="C2443" s="10" t="s">
        <v>17</v>
      </c>
      <c r="D2443" s="10" t="s">
        <v>31</v>
      </c>
      <c r="E2443" s="15"/>
      <c r="F2443" s="15" t="s">
        <v>382</v>
      </c>
      <c r="G2443" s="13">
        <f>IFERROR(__xludf.DUMMYFUNCTION("if(counta(filter('Previous Rank'!$A$2:$A2766,'Previous Rank'!$B$2:$B2766=B2443,'Previous Rank'!$C$2:$C2766=C2443))=1,filter('Previous Rank'!$A$2:$A2766,'Previous Rank'!$B$2:$B2766=B2443,'Previous Rank'!$C$2:$C2766=C2443),"""")"),2440.0)</f>
        <v>2440</v>
      </c>
      <c r="H2443" s="8">
        <f t="shared" si="1"/>
        <v>-2</v>
      </c>
    </row>
    <row r="2444">
      <c r="A2444" s="10">
        <v>2443.0</v>
      </c>
      <c r="B2444" s="11" t="s">
        <v>2539</v>
      </c>
      <c r="C2444" s="10" t="s">
        <v>77</v>
      </c>
      <c r="D2444" s="10" t="s">
        <v>15</v>
      </c>
      <c r="E2444" s="16"/>
      <c r="F2444" s="16" t="s">
        <v>382</v>
      </c>
      <c r="G2444" s="13">
        <f>IFERROR(__xludf.DUMMYFUNCTION("if(counta(filter('Previous Rank'!$A$2:$A2766,'Previous Rank'!$B$2:$B2766=B2444,'Previous Rank'!$C$2:$C2766=C2444))=1,filter('Previous Rank'!$A$2:$A2766,'Previous Rank'!$B$2:$B2766=B2444,'Previous Rank'!$C$2:$C2766=C2444),"""")"),2441.0)</f>
        <v>2441</v>
      </c>
      <c r="H2444" s="8">
        <f t="shared" si="1"/>
        <v>-2</v>
      </c>
    </row>
    <row r="2445">
      <c r="A2445" s="10">
        <v>2444.0</v>
      </c>
      <c r="B2445" s="11" t="s">
        <v>2540</v>
      </c>
      <c r="C2445" s="10" t="s">
        <v>39</v>
      </c>
      <c r="D2445" s="10" t="s">
        <v>23</v>
      </c>
      <c r="E2445" s="12"/>
      <c r="F2445" s="12" t="s">
        <v>382</v>
      </c>
      <c r="G2445" s="13">
        <f>IFERROR(__xludf.DUMMYFUNCTION("if(counta(filter('Previous Rank'!$A$2:$A2766,'Previous Rank'!$B$2:$B2766=B2445,'Previous Rank'!$C$2:$C2766=C2445))=1,filter('Previous Rank'!$A$2:$A2766,'Previous Rank'!$B$2:$B2766=B2445,'Previous Rank'!$C$2:$C2766=C2445),"""")"),2442.0)</f>
        <v>2442</v>
      </c>
      <c r="H2445" s="8">
        <f t="shared" si="1"/>
        <v>-2</v>
      </c>
    </row>
    <row r="2446">
      <c r="A2446" s="10">
        <v>2445.0</v>
      </c>
      <c r="B2446" s="11" t="s">
        <v>2541</v>
      </c>
      <c r="C2446" s="10" t="s">
        <v>39</v>
      </c>
      <c r="D2446" s="10" t="s">
        <v>90</v>
      </c>
      <c r="E2446" s="16"/>
      <c r="F2446" s="16" t="s">
        <v>382</v>
      </c>
      <c r="G2446" s="13">
        <f>IFERROR(__xludf.DUMMYFUNCTION("if(counta(filter('Previous Rank'!$A$2:$A2766,'Previous Rank'!$B$2:$B2766=B2446,'Previous Rank'!$C$2:$C2766=C2446))=1,filter('Previous Rank'!$A$2:$A2766,'Previous Rank'!$B$2:$B2766=B2446,'Previous Rank'!$C$2:$C2766=C2446),"""")"),2443.0)</f>
        <v>2443</v>
      </c>
      <c r="H2446" s="8">
        <f t="shared" si="1"/>
        <v>-2</v>
      </c>
    </row>
    <row r="2447">
      <c r="A2447" s="10">
        <v>2446.0</v>
      </c>
      <c r="B2447" s="11" t="s">
        <v>2542</v>
      </c>
      <c r="C2447" s="10" t="s">
        <v>39</v>
      </c>
      <c r="D2447" s="10" t="s">
        <v>90</v>
      </c>
      <c r="E2447" s="15"/>
      <c r="F2447" s="15" t="s">
        <v>382</v>
      </c>
      <c r="G2447" s="13">
        <f>IFERROR(__xludf.DUMMYFUNCTION("if(counta(filter('Previous Rank'!$A$2:$A2766,'Previous Rank'!$B$2:$B2766=B2447,'Previous Rank'!$C$2:$C2766=C2447))=1,filter('Previous Rank'!$A$2:$A2766,'Previous Rank'!$B$2:$B2766=B2447,'Previous Rank'!$C$2:$C2766=C2447),"""")"),2444.0)</f>
        <v>2444</v>
      </c>
      <c r="H2447" s="8">
        <f t="shared" si="1"/>
        <v>-2</v>
      </c>
    </row>
    <row r="2448">
      <c r="A2448" s="10">
        <v>2447.0</v>
      </c>
      <c r="B2448" s="11" t="s">
        <v>2543</v>
      </c>
      <c r="C2448" s="10" t="s">
        <v>14</v>
      </c>
      <c r="D2448" s="10" t="s">
        <v>105</v>
      </c>
      <c r="E2448" s="16"/>
      <c r="F2448" s="16" t="s">
        <v>382</v>
      </c>
      <c r="G2448" s="13">
        <f>IFERROR(__xludf.DUMMYFUNCTION("if(counta(filter('Previous Rank'!$A$2:$A2766,'Previous Rank'!$B$2:$B2766=B2448,'Previous Rank'!$C$2:$C2766=C2448))=1,filter('Previous Rank'!$A$2:$A2766,'Previous Rank'!$B$2:$B2766=B2448,'Previous Rank'!$C$2:$C2766=C2448),"""")"),2445.0)</f>
        <v>2445</v>
      </c>
      <c r="H2448" s="8">
        <f t="shared" si="1"/>
        <v>-2</v>
      </c>
    </row>
    <row r="2449">
      <c r="A2449" s="10">
        <v>2448.0</v>
      </c>
      <c r="B2449" s="11" t="s">
        <v>2544</v>
      </c>
      <c r="C2449" s="10" t="s">
        <v>55</v>
      </c>
      <c r="D2449" s="10" t="s">
        <v>52</v>
      </c>
      <c r="E2449" s="15"/>
      <c r="F2449" s="15" t="s">
        <v>382</v>
      </c>
      <c r="G2449" s="13">
        <f>IFERROR(__xludf.DUMMYFUNCTION("if(counta(filter('Previous Rank'!$A$2:$A2766,'Previous Rank'!$B$2:$B2766=B2449,'Previous Rank'!$C$2:$C2766=C2449))=1,filter('Previous Rank'!$A$2:$A2766,'Previous Rank'!$B$2:$B2766=B2449,'Previous Rank'!$C$2:$C2766=C2449),"""")"),2446.0)</f>
        <v>2446</v>
      </c>
      <c r="H2449" s="8">
        <f t="shared" si="1"/>
        <v>-2</v>
      </c>
    </row>
    <row r="2450">
      <c r="A2450" s="10">
        <v>2449.0</v>
      </c>
      <c r="B2450" s="11" t="s">
        <v>2545</v>
      </c>
      <c r="C2450" s="10" t="s">
        <v>39</v>
      </c>
      <c r="D2450" s="10" t="s">
        <v>95</v>
      </c>
      <c r="E2450" s="16"/>
      <c r="F2450" s="16" t="s">
        <v>382</v>
      </c>
      <c r="G2450" s="13">
        <f>IFERROR(__xludf.DUMMYFUNCTION("if(counta(filter('Previous Rank'!$A$2:$A2766,'Previous Rank'!$B$2:$B2766=B2450,'Previous Rank'!$C$2:$C2766=C2450))=1,filter('Previous Rank'!$A$2:$A2766,'Previous Rank'!$B$2:$B2766=B2450,'Previous Rank'!$C$2:$C2766=C2450),"""")"),2447.0)</f>
        <v>2447</v>
      </c>
      <c r="H2450" s="8">
        <f t="shared" si="1"/>
        <v>-2</v>
      </c>
    </row>
    <row r="2451">
      <c r="A2451" s="10">
        <v>2450.0</v>
      </c>
      <c r="B2451" s="11" t="s">
        <v>2546</v>
      </c>
      <c r="C2451" s="10" t="s">
        <v>39</v>
      </c>
      <c r="D2451" s="10" t="s">
        <v>27</v>
      </c>
      <c r="E2451" s="15"/>
      <c r="F2451" s="15" t="s">
        <v>382</v>
      </c>
      <c r="G2451" s="13">
        <f>IFERROR(__xludf.DUMMYFUNCTION("if(counta(filter('Previous Rank'!$A$2:$A2766,'Previous Rank'!$B$2:$B2766=B2451,'Previous Rank'!$C$2:$C2766=C2451))=1,filter('Previous Rank'!$A$2:$A2766,'Previous Rank'!$B$2:$B2766=B2451,'Previous Rank'!$C$2:$C2766=C2451),"""")"),2448.0)</f>
        <v>2448</v>
      </c>
      <c r="H2451" s="8">
        <f t="shared" si="1"/>
        <v>-2</v>
      </c>
    </row>
    <row r="2452">
      <c r="A2452" s="10">
        <v>2451.0</v>
      </c>
      <c r="B2452" s="11" t="s">
        <v>2547</v>
      </c>
      <c r="C2452" s="10" t="s">
        <v>39</v>
      </c>
      <c r="D2452" s="10" t="s">
        <v>140</v>
      </c>
      <c r="E2452" s="16"/>
      <c r="F2452" s="16" t="s">
        <v>382</v>
      </c>
      <c r="G2452" s="13">
        <f>IFERROR(__xludf.DUMMYFUNCTION("if(counta(filter('Previous Rank'!$A$2:$A2766,'Previous Rank'!$B$2:$B2766=B2452,'Previous Rank'!$C$2:$C2766=C2452))=1,filter('Previous Rank'!$A$2:$A2766,'Previous Rank'!$B$2:$B2766=B2452,'Previous Rank'!$C$2:$C2766=C2452),"""")"),2449.0)</f>
        <v>2449</v>
      </c>
      <c r="H2452" s="8">
        <f t="shared" si="1"/>
        <v>-2</v>
      </c>
    </row>
    <row r="2453">
      <c r="A2453" s="10">
        <v>2452.0</v>
      </c>
      <c r="B2453" s="11" t="s">
        <v>2548</v>
      </c>
      <c r="C2453" s="10" t="s">
        <v>39</v>
      </c>
      <c r="D2453" s="10" t="s">
        <v>71</v>
      </c>
      <c r="E2453" s="15"/>
      <c r="F2453" s="15" t="s">
        <v>382</v>
      </c>
      <c r="G2453" s="13">
        <f>IFERROR(__xludf.DUMMYFUNCTION("if(counta(filter('Previous Rank'!$A$2:$A2766,'Previous Rank'!$B$2:$B2766=B2453,'Previous Rank'!$C$2:$C2766=C2453))=1,filter('Previous Rank'!$A$2:$A2766,'Previous Rank'!$B$2:$B2766=B2453,'Previous Rank'!$C$2:$C2766=C2453),"""")"),2450.0)</f>
        <v>2450</v>
      </c>
      <c r="H2453" s="8">
        <f t="shared" si="1"/>
        <v>-2</v>
      </c>
    </row>
    <row r="2454">
      <c r="A2454" s="10">
        <v>2453.0</v>
      </c>
      <c r="B2454" s="11" t="s">
        <v>2549</v>
      </c>
      <c r="C2454" s="10" t="s">
        <v>39</v>
      </c>
      <c r="D2454" s="10" t="s">
        <v>46</v>
      </c>
      <c r="E2454" s="16"/>
      <c r="F2454" s="16" t="s">
        <v>382</v>
      </c>
      <c r="G2454" s="13">
        <f>IFERROR(__xludf.DUMMYFUNCTION("if(counta(filter('Previous Rank'!$A$2:$A2766,'Previous Rank'!$B$2:$B2766=B2454,'Previous Rank'!$C$2:$C2766=C2454))=1,filter('Previous Rank'!$A$2:$A2766,'Previous Rank'!$B$2:$B2766=B2454,'Previous Rank'!$C$2:$C2766=C2454),"""")"),2451.0)</f>
        <v>2451</v>
      </c>
      <c r="H2454" s="8">
        <f t="shared" si="1"/>
        <v>-2</v>
      </c>
    </row>
    <row r="2455">
      <c r="A2455" s="10">
        <v>2454.0</v>
      </c>
      <c r="B2455" s="11" t="s">
        <v>2550</v>
      </c>
      <c r="C2455" s="10" t="s">
        <v>77</v>
      </c>
      <c r="D2455" s="10" t="s">
        <v>129</v>
      </c>
      <c r="E2455" s="15"/>
      <c r="F2455" s="15" t="s">
        <v>382</v>
      </c>
      <c r="G2455" s="13">
        <f>IFERROR(__xludf.DUMMYFUNCTION("if(counta(filter('Previous Rank'!$A$2:$A2766,'Previous Rank'!$B$2:$B2766=B2455,'Previous Rank'!$C$2:$C2766=C2455))=1,filter('Previous Rank'!$A$2:$A2766,'Previous Rank'!$B$2:$B2766=B2455,'Previous Rank'!$C$2:$C2766=C2455),"""")"),2452.0)</f>
        <v>2452</v>
      </c>
      <c r="H2455" s="8">
        <f t="shared" si="1"/>
        <v>-2</v>
      </c>
    </row>
    <row r="2456">
      <c r="A2456" s="10">
        <v>2455.0</v>
      </c>
      <c r="B2456" s="11" t="s">
        <v>2551</v>
      </c>
      <c r="C2456" s="10" t="s">
        <v>14</v>
      </c>
      <c r="D2456" s="10" t="s">
        <v>105</v>
      </c>
      <c r="E2456" s="16"/>
      <c r="F2456" s="16" t="s">
        <v>382</v>
      </c>
      <c r="G2456" s="13">
        <f>IFERROR(__xludf.DUMMYFUNCTION("if(counta(filter('Previous Rank'!$A$2:$A2766,'Previous Rank'!$B$2:$B2766=B2456,'Previous Rank'!$C$2:$C2766=C2456))=1,filter('Previous Rank'!$A$2:$A2766,'Previous Rank'!$B$2:$B2766=B2456,'Previous Rank'!$C$2:$C2766=C2456),"""")"),2453.0)</f>
        <v>2453</v>
      </c>
      <c r="H2456" s="8">
        <f t="shared" si="1"/>
        <v>-2</v>
      </c>
    </row>
    <row r="2457">
      <c r="A2457" s="10">
        <v>2456.0</v>
      </c>
      <c r="B2457" s="11" t="s">
        <v>2552</v>
      </c>
      <c r="C2457" s="10" t="s">
        <v>77</v>
      </c>
      <c r="D2457" s="10" t="s">
        <v>122</v>
      </c>
      <c r="E2457" s="15"/>
      <c r="F2457" s="15" t="s">
        <v>382</v>
      </c>
      <c r="G2457" s="13">
        <f>IFERROR(__xludf.DUMMYFUNCTION("if(counta(filter('Previous Rank'!$A$2:$A2766,'Previous Rank'!$B$2:$B2766=B2457,'Previous Rank'!$C$2:$C2766=C2457))=1,filter('Previous Rank'!$A$2:$A2766,'Previous Rank'!$B$2:$B2766=B2457,'Previous Rank'!$C$2:$C2766=C2457),"""")"),2454.0)</f>
        <v>2454</v>
      </c>
      <c r="H2457" s="8">
        <f t="shared" si="1"/>
        <v>-2</v>
      </c>
    </row>
    <row r="2458">
      <c r="A2458" s="10">
        <v>2457.0</v>
      </c>
      <c r="B2458" s="11" t="s">
        <v>2553</v>
      </c>
      <c r="C2458" s="10" t="s">
        <v>14</v>
      </c>
      <c r="D2458" s="10" t="s">
        <v>67</v>
      </c>
      <c r="E2458" s="16"/>
      <c r="F2458" s="16" t="s">
        <v>382</v>
      </c>
      <c r="G2458" s="13">
        <f>IFERROR(__xludf.DUMMYFUNCTION("if(counta(filter('Previous Rank'!$A$2:$A2766,'Previous Rank'!$B$2:$B2766=B2458,'Previous Rank'!$C$2:$C2766=C2458))=1,filter('Previous Rank'!$A$2:$A2766,'Previous Rank'!$B$2:$B2766=B2458,'Previous Rank'!$C$2:$C2766=C2458),"""")"),2455.0)</f>
        <v>2455</v>
      </c>
      <c r="H2458" s="8">
        <f t="shared" si="1"/>
        <v>-2</v>
      </c>
    </row>
    <row r="2459">
      <c r="A2459" s="10">
        <v>2458.0</v>
      </c>
      <c r="B2459" s="11" t="s">
        <v>2554</v>
      </c>
      <c r="C2459" s="10" t="s">
        <v>14</v>
      </c>
      <c r="D2459" s="10" t="s">
        <v>18</v>
      </c>
      <c r="E2459" s="15"/>
      <c r="F2459" s="15" t="s">
        <v>382</v>
      </c>
      <c r="G2459" s="13">
        <f>IFERROR(__xludf.DUMMYFUNCTION("if(counta(filter('Previous Rank'!$A$2:$A2766,'Previous Rank'!$B$2:$B2766=B2459,'Previous Rank'!$C$2:$C2766=C2459))=1,filter('Previous Rank'!$A$2:$A2766,'Previous Rank'!$B$2:$B2766=B2459,'Previous Rank'!$C$2:$C2766=C2459),"""")"),2456.0)</f>
        <v>2456</v>
      </c>
      <c r="H2459" s="8">
        <f t="shared" si="1"/>
        <v>-2</v>
      </c>
    </row>
    <row r="2460">
      <c r="A2460" s="10">
        <v>2459.0</v>
      </c>
      <c r="B2460" s="11" t="s">
        <v>2555</v>
      </c>
      <c r="C2460" s="10" t="s">
        <v>11</v>
      </c>
      <c r="D2460" s="10" t="s">
        <v>95</v>
      </c>
      <c r="E2460" s="16"/>
      <c r="F2460" s="16" t="s">
        <v>382</v>
      </c>
      <c r="G2460" s="13">
        <f>IFERROR(__xludf.DUMMYFUNCTION("if(counta(filter('Previous Rank'!$A$2:$A2766,'Previous Rank'!$B$2:$B2766=B2460,'Previous Rank'!$C$2:$C2766=C2460))=1,filter('Previous Rank'!$A$2:$A2766,'Previous Rank'!$B$2:$B2766=B2460,'Previous Rank'!$C$2:$C2766=C2460),"""")"),2457.0)</f>
        <v>2457</v>
      </c>
      <c r="H2460" s="8">
        <f t="shared" si="1"/>
        <v>-2</v>
      </c>
    </row>
    <row r="2461">
      <c r="A2461" s="10">
        <v>2460.0</v>
      </c>
      <c r="B2461" s="11" t="s">
        <v>2556</v>
      </c>
      <c r="C2461" s="10" t="s">
        <v>39</v>
      </c>
      <c r="D2461" s="10" t="s">
        <v>120</v>
      </c>
      <c r="E2461" s="15"/>
      <c r="F2461" s="15" t="s">
        <v>382</v>
      </c>
      <c r="G2461" s="13">
        <f>IFERROR(__xludf.DUMMYFUNCTION("if(counta(filter('Previous Rank'!$A$2:$A2766,'Previous Rank'!$B$2:$B2766=B2461,'Previous Rank'!$C$2:$C2766=C2461))=1,filter('Previous Rank'!$A$2:$A2766,'Previous Rank'!$B$2:$B2766=B2461,'Previous Rank'!$C$2:$C2766=C2461),"""")"),2458.0)</f>
        <v>2458</v>
      </c>
      <c r="H2461" s="8">
        <f t="shared" si="1"/>
        <v>-2</v>
      </c>
    </row>
    <row r="2462">
      <c r="A2462" s="10">
        <v>2461.0</v>
      </c>
      <c r="B2462" s="11" t="s">
        <v>2557</v>
      </c>
      <c r="C2462" s="10" t="s">
        <v>89</v>
      </c>
      <c r="D2462" s="10" t="s">
        <v>85</v>
      </c>
      <c r="E2462" s="16"/>
      <c r="F2462" s="16" t="s">
        <v>382</v>
      </c>
      <c r="G2462" s="13">
        <f>IFERROR(__xludf.DUMMYFUNCTION("if(counta(filter('Previous Rank'!$A$2:$A2766,'Previous Rank'!$B$2:$B2766=B2462,'Previous Rank'!$C$2:$C2766=C2462))=1,filter('Previous Rank'!$A$2:$A2766,'Previous Rank'!$B$2:$B2766=B2462,'Previous Rank'!$C$2:$C2766=C2462),"""")"),2459.0)</f>
        <v>2459</v>
      </c>
      <c r="H2462" s="8">
        <f t="shared" si="1"/>
        <v>-2</v>
      </c>
    </row>
    <row r="2463">
      <c r="A2463" s="10">
        <v>2462.0</v>
      </c>
      <c r="B2463" s="11" t="s">
        <v>2558</v>
      </c>
      <c r="C2463" s="10" t="s">
        <v>69</v>
      </c>
      <c r="D2463" s="10" t="s">
        <v>36</v>
      </c>
      <c r="E2463" s="15"/>
      <c r="F2463" s="15" t="s">
        <v>382</v>
      </c>
      <c r="G2463" s="13">
        <f>IFERROR(__xludf.DUMMYFUNCTION("if(counta(filter('Previous Rank'!$A$2:$A2766,'Previous Rank'!$B$2:$B2766=B2463,'Previous Rank'!$C$2:$C2766=C2463))=1,filter('Previous Rank'!$A$2:$A2766,'Previous Rank'!$B$2:$B2766=B2463,'Previous Rank'!$C$2:$C2766=C2463),"""")"),2460.0)</f>
        <v>2460</v>
      </c>
      <c r="H2463" s="8">
        <f t="shared" si="1"/>
        <v>-2</v>
      </c>
    </row>
    <row r="2464">
      <c r="A2464" s="10">
        <v>2463.0</v>
      </c>
      <c r="B2464" s="11" t="s">
        <v>2559</v>
      </c>
      <c r="C2464" s="10" t="s">
        <v>39</v>
      </c>
      <c r="D2464" s="10" t="s">
        <v>129</v>
      </c>
      <c r="E2464" s="16"/>
      <c r="F2464" s="16" t="s">
        <v>382</v>
      </c>
      <c r="G2464" s="13">
        <f>IFERROR(__xludf.DUMMYFUNCTION("if(counta(filter('Previous Rank'!$A$2:$A2766,'Previous Rank'!$B$2:$B2766=B2464,'Previous Rank'!$C$2:$C2766=C2464))=1,filter('Previous Rank'!$A$2:$A2766,'Previous Rank'!$B$2:$B2766=B2464,'Previous Rank'!$C$2:$C2766=C2464),"""")"),2461.0)</f>
        <v>2461</v>
      </c>
      <c r="H2464" s="8">
        <f t="shared" si="1"/>
        <v>-2</v>
      </c>
    </row>
    <row r="2465">
      <c r="A2465" s="10">
        <v>2464.0</v>
      </c>
      <c r="B2465" s="11" t="s">
        <v>2560</v>
      </c>
      <c r="C2465" s="10" t="s">
        <v>20</v>
      </c>
      <c r="D2465" s="10" t="s">
        <v>25</v>
      </c>
      <c r="E2465" s="15"/>
      <c r="F2465" s="15" t="s">
        <v>382</v>
      </c>
      <c r="G2465" s="13">
        <f>IFERROR(__xludf.DUMMYFUNCTION("if(counta(filter('Previous Rank'!$A$2:$A2766,'Previous Rank'!$B$2:$B2766=B2465,'Previous Rank'!$C$2:$C2766=C2465))=1,filter('Previous Rank'!$A$2:$A2766,'Previous Rank'!$B$2:$B2766=B2465,'Previous Rank'!$C$2:$C2766=C2465),"""")"),2462.0)</f>
        <v>2462</v>
      </c>
      <c r="H2465" s="8">
        <f t="shared" si="1"/>
        <v>-2</v>
      </c>
    </row>
    <row r="2466">
      <c r="A2466" s="10">
        <v>2465.0</v>
      </c>
      <c r="B2466" s="11" t="s">
        <v>2561</v>
      </c>
      <c r="C2466" s="10" t="s">
        <v>14</v>
      </c>
      <c r="D2466" s="10" t="s">
        <v>49</v>
      </c>
      <c r="E2466" s="16"/>
      <c r="F2466" s="16" t="s">
        <v>382</v>
      </c>
      <c r="G2466" s="13">
        <f>IFERROR(__xludf.DUMMYFUNCTION("if(counta(filter('Previous Rank'!$A$2:$A2766,'Previous Rank'!$B$2:$B2766=B2466,'Previous Rank'!$C$2:$C2766=C2466))=1,filter('Previous Rank'!$A$2:$A2766,'Previous Rank'!$B$2:$B2766=B2466,'Previous Rank'!$C$2:$C2766=C2466),"""")"),2463.0)</f>
        <v>2463</v>
      </c>
      <c r="H2466" s="8">
        <f t="shared" si="1"/>
        <v>-2</v>
      </c>
    </row>
    <row r="2467">
      <c r="A2467" s="10">
        <v>2466.0</v>
      </c>
      <c r="B2467" s="11" t="s">
        <v>2562</v>
      </c>
      <c r="C2467" s="10" t="s">
        <v>69</v>
      </c>
      <c r="D2467" s="10" t="s">
        <v>140</v>
      </c>
      <c r="E2467" s="15"/>
      <c r="F2467" s="15" t="s">
        <v>382</v>
      </c>
      <c r="G2467" s="13">
        <f>IFERROR(__xludf.DUMMYFUNCTION("if(counta(filter('Previous Rank'!$A$2:$A2766,'Previous Rank'!$B$2:$B2766=B2467,'Previous Rank'!$C$2:$C2766=C2467))=1,filter('Previous Rank'!$A$2:$A2766,'Previous Rank'!$B$2:$B2766=B2467,'Previous Rank'!$C$2:$C2766=C2467),"""")"),2464.0)</f>
        <v>2464</v>
      </c>
      <c r="H2467" s="8">
        <f t="shared" si="1"/>
        <v>-2</v>
      </c>
    </row>
    <row r="2468">
      <c r="A2468" s="10">
        <v>2467.0</v>
      </c>
      <c r="B2468" s="11" t="s">
        <v>2563</v>
      </c>
      <c r="C2468" s="10" t="s">
        <v>48</v>
      </c>
      <c r="D2468" s="10" t="s">
        <v>31</v>
      </c>
      <c r="E2468" s="16"/>
      <c r="F2468" s="16" t="s">
        <v>382</v>
      </c>
      <c r="G2468" s="13">
        <f>IFERROR(__xludf.DUMMYFUNCTION("if(counta(filter('Previous Rank'!$A$2:$A2766,'Previous Rank'!$B$2:$B2766=B2468,'Previous Rank'!$C$2:$C2766=C2468))=1,filter('Previous Rank'!$A$2:$A2766,'Previous Rank'!$B$2:$B2766=B2468,'Previous Rank'!$C$2:$C2766=C2468),"""")"),2465.0)</f>
        <v>2465</v>
      </c>
      <c r="H2468" s="8">
        <f t="shared" si="1"/>
        <v>-2</v>
      </c>
    </row>
    <row r="2469">
      <c r="A2469" s="10">
        <v>2468.0</v>
      </c>
      <c r="B2469" s="11" t="s">
        <v>2564</v>
      </c>
      <c r="C2469" s="10" t="s">
        <v>48</v>
      </c>
      <c r="D2469" s="10" t="s">
        <v>120</v>
      </c>
      <c r="E2469" s="15"/>
      <c r="F2469" s="15" t="s">
        <v>382</v>
      </c>
      <c r="G2469" s="13">
        <f>IFERROR(__xludf.DUMMYFUNCTION("if(counta(filter('Previous Rank'!$A$2:$A2766,'Previous Rank'!$B$2:$B2766=B2469,'Previous Rank'!$C$2:$C2766=C2469))=1,filter('Previous Rank'!$A$2:$A2766,'Previous Rank'!$B$2:$B2766=B2469,'Previous Rank'!$C$2:$C2766=C2469),"""")"),2466.0)</f>
        <v>2466</v>
      </c>
      <c r="H2469" s="8">
        <f t="shared" si="1"/>
        <v>-2</v>
      </c>
    </row>
    <row r="2470">
      <c r="A2470" s="10">
        <v>2469.0</v>
      </c>
      <c r="B2470" s="11" t="s">
        <v>2565</v>
      </c>
      <c r="C2470" s="10" t="s">
        <v>17</v>
      </c>
      <c r="D2470" s="10" t="s">
        <v>206</v>
      </c>
      <c r="E2470" s="16"/>
      <c r="F2470" s="16" t="s">
        <v>382</v>
      </c>
      <c r="G2470" s="13">
        <f>IFERROR(__xludf.DUMMYFUNCTION("if(counta(filter('Previous Rank'!$A$2:$A2766,'Previous Rank'!$B$2:$B2766=B2470,'Previous Rank'!$C$2:$C2766=C2470))=1,filter('Previous Rank'!$A$2:$A2766,'Previous Rank'!$B$2:$B2766=B2470,'Previous Rank'!$C$2:$C2766=C2470),"""")"),2467.0)</f>
        <v>2467</v>
      </c>
      <c r="H2470" s="8">
        <f t="shared" si="1"/>
        <v>-2</v>
      </c>
    </row>
    <row r="2471">
      <c r="A2471" s="10">
        <v>2470.0</v>
      </c>
      <c r="B2471" s="11" t="s">
        <v>2566</v>
      </c>
      <c r="C2471" s="10" t="s">
        <v>20</v>
      </c>
      <c r="D2471" s="10" t="s">
        <v>99</v>
      </c>
      <c r="E2471" s="15"/>
      <c r="F2471" s="15" t="s">
        <v>382</v>
      </c>
      <c r="G2471" s="13">
        <f>IFERROR(__xludf.DUMMYFUNCTION("if(counta(filter('Previous Rank'!$A$2:$A2766,'Previous Rank'!$B$2:$B2766=B2471,'Previous Rank'!$C$2:$C2766=C2471))=1,filter('Previous Rank'!$A$2:$A2766,'Previous Rank'!$B$2:$B2766=B2471,'Previous Rank'!$C$2:$C2766=C2471),"""")"),2468.0)</f>
        <v>2468</v>
      </c>
      <c r="H2471" s="8">
        <f t="shared" si="1"/>
        <v>-2</v>
      </c>
    </row>
    <row r="2472">
      <c r="A2472" s="10">
        <v>2471.0</v>
      </c>
      <c r="B2472" s="11" t="s">
        <v>2567</v>
      </c>
      <c r="C2472" s="10" t="s">
        <v>11</v>
      </c>
      <c r="D2472" s="10" t="s">
        <v>140</v>
      </c>
      <c r="E2472" s="16"/>
      <c r="F2472" s="16" t="s">
        <v>382</v>
      </c>
      <c r="G2472" s="13">
        <f>IFERROR(__xludf.DUMMYFUNCTION("if(counta(filter('Previous Rank'!$A$2:$A2766,'Previous Rank'!$B$2:$B2766=B2472,'Previous Rank'!$C$2:$C2766=C2472))=1,filter('Previous Rank'!$A$2:$A2766,'Previous Rank'!$B$2:$B2766=B2472,'Previous Rank'!$C$2:$C2766=C2472),"""")"),2469.0)</f>
        <v>2469</v>
      </c>
      <c r="H2472" s="8">
        <f t="shared" si="1"/>
        <v>-2</v>
      </c>
    </row>
    <row r="2473">
      <c r="A2473" s="10">
        <v>2472.0</v>
      </c>
      <c r="B2473" s="11" t="s">
        <v>2568</v>
      </c>
      <c r="C2473" s="10" t="s">
        <v>14</v>
      </c>
      <c r="D2473" s="10" t="s">
        <v>206</v>
      </c>
      <c r="E2473" s="15"/>
      <c r="F2473" s="15" t="s">
        <v>382</v>
      </c>
      <c r="G2473" s="13">
        <f>IFERROR(__xludf.DUMMYFUNCTION("if(counta(filter('Previous Rank'!$A$2:$A2766,'Previous Rank'!$B$2:$B2766=B2473,'Previous Rank'!$C$2:$C2766=C2473))=1,filter('Previous Rank'!$A$2:$A2766,'Previous Rank'!$B$2:$B2766=B2473,'Previous Rank'!$C$2:$C2766=C2473),"""")"),2470.0)</f>
        <v>2470</v>
      </c>
      <c r="H2473" s="8">
        <f t="shared" si="1"/>
        <v>-2</v>
      </c>
    </row>
    <row r="2474">
      <c r="A2474" s="10">
        <v>2473.0</v>
      </c>
      <c r="B2474" s="11" t="s">
        <v>2569</v>
      </c>
      <c r="C2474" s="10" t="s">
        <v>14</v>
      </c>
      <c r="D2474" s="10" t="s">
        <v>52</v>
      </c>
      <c r="E2474" s="16"/>
      <c r="F2474" s="16" t="s">
        <v>382</v>
      </c>
      <c r="G2474" s="13">
        <f>IFERROR(__xludf.DUMMYFUNCTION("if(counta(filter('Previous Rank'!$A$2:$A2766,'Previous Rank'!$B$2:$B2766=B2474,'Previous Rank'!$C$2:$C2766=C2474))=1,filter('Previous Rank'!$A$2:$A2766,'Previous Rank'!$B$2:$B2766=B2474,'Previous Rank'!$C$2:$C2766=C2474),"""")"),2471.0)</f>
        <v>2471</v>
      </c>
      <c r="H2474" s="8">
        <f t="shared" si="1"/>
        <v>-2</v>
      </c>
    </row>
    <row r="2475">
      <c r="A2475" s="10">
        <v>2474.0</v>
      </c>
      <c r="B2475" s="11" t="s">
        <v>2570</v>
      </c>
      <c r="C2475" s="10" t="s">
        <v>39</v>
      </c>
      <c r="D2475" s="10" t="s">
        <v>140</v>
      </c>
      <c r="E2475" s="15"/>
      <c r="F2475" s="15" t="s">
        <v>382</v>
      </c>
      <c r="G2475" s="13">
        <f>IFERROR(__xludf.DUMMYFUNCTION("if(counta(filter('Previous Rank'!$A$2:$A2766,'Previous Rank'!$B$2:$B2766=B2475,'Previous Rank'!$C$2:$C2766=C2475))=1,filter('Previous Rank'!$A$2:$A2766,'Previous Rank'!$B$2:$B2766=B2475,'Previous Rank'!$C$2:$C2766=C2475),"""")"),2472.0)</f>
        <v>2472</v>
      </c>
      <c r="H2475" s="8">
        <f t="shared" si="1"/>
        <v>-2</v>
      </c>
    </row>
    <row r="2476">
      <c r="A2476" s="10">
        <v>2475.0</v>
      </c>
      <c r="B2476" s="11" t="s">
        <v>2571</v>
      </c>
      <c r="C2476" s="10" t="s">
        <v>150</v>
      </c>
      <c r="D2476" s="10" t="s">
        <v>137</v>
      </c>
      <c r="E2476" s="16"/>
      <c r="F2476" s="16" t="s">
        <v>382</v>
      </c>
      <c r="G2476" s="13">
        <f>IFERROR(__xludf.DUMMYFUNCTION("if(counta(filter('Previous Rank'!$A$2:$A2766,'Previous Rank'!$B$2:$B2766=B2476,'Previous Rank'!$C$2:$C2766=C2476))=1,filter('Previous Rank'!$A$2:$A2766,'Previous Rank'!$B$2:$B2766=B2476,'Previous Rank'!$C$2:$C2766=C2476),"""")"),2473.0)</f>
        <v>2473</v>
      </c>
      <c r="H2476" s="8">
        <f t="shared" si="1"/>
        <v>-2</v>
      </c>
    </row>
    <row r="2477">
      <c r="A2477" s="10">
        <v>2476.0</v>
      </c>
      <c r="B2477" s="11" t="s">
        <v>2572</v>
      </c>
      <c r="C2477" s="10" t="s">
        <v>39</v>
      </c>
      <c r="D2477" s="10" t="s">
        <v>42</v>
      </c>
      <c r="E2477" s="15"/>
      <c r="F2477" s="15" t="s">
        <v>382</v>
      </c>
      <c r="G2477" s="13">
        <f>IFERROR(__xludf.DUMMYFUNCTION("if(counta(filter('Previous Rank'!$A$2:$A2766,'Previous Rank'!$B$2:$B2766=B2477,'Previous Rank'!$C$2:$C2766=C2477))=1,filter('Previous Rank'!$A$2:$A2766,'Previous Rank'!$B$2:$B2766=B2477,'Previous Rank'!$C$2:$C2766=C2477),"""")"),2474.0)</f>
        <v>2474</v>
      </c>
      <c r="H2477" s="8">
        <f t="shared" si="1"/>
        <v>-2</v>
      </c>
    </row>
    <row r="2478">
      <c r="A2478" s="10">
        <v>2477.0</v>
      </c>
      <c r="B2478" s="11" t="s">
        <v>2573</v>
      </c>
      <c r="C2478" s="10" t="s">
        <v>14</v>
      </c>
      <c r="D2478" s="10" t="s">
        <v>73</v>
      </c>
      <c r="E2478" s="16"/>
      <c r="F2478" s="16" t="s">
        <v>382</v>
      </c>
      <c r="G2478" s="13">
        <f>IFERROR(__xludf.DUMMYFUNCTION("if(counta(filter('Previous Rank'!$A$2:$A2766,'Previous Rank'!$B$2:$B2766=B2478,'Previous Rank'!$C$2:$C2766=C2478))=1,filter('Previous Rank'!$A$2:$A2766,'Previous Rank'!$B$2:$B2766=B2478,'Previous Rank'!$C$2:$C2766=C2478),"""")"),2475.0)</f>
        <v>2475</v>
      </c>
      <c r="H2478" s="8">
        <f t="shared" si="1"/>
        <v>-2</v>
      </c>
    </row>
    <row r="2479">
      <c r="A2479" s="10">
        <v>2478.0</v>
      </c>
      <c r="B2479" s="11" t="s">
        <v>2574</v>
      </c>
      <c r="C2479" s="10" t="s">
        <v>77</v>
      </c>
      <c r="D2479" s="10" t="s">
        <v>36</v>
      </c>
      <c r="E2479" s="15"/>
      <c r="F2479" s="15" t="s">
        <v>382</v>
      </c>
      <c r="G2479" s="13">
        <f>IFERROR(__xludf.DUMMYFUNCTION("if(counta(filter('Previous Rank'!$A$2:$A2766,'Previous Rank'!$B$2:$B2766=B2479,'Previous Rank'!$C$2:$C2766=C2479))=1,filter('Previous Rank'!$A$2:$A2766,'Previous Rank'!$B$2:$B2766=B2479,'Previous Rank'!$C$2:$C2766=C2479),"""")"),2476.0)</f>
        <v>2476</v>
      </c>
      <c r="H2479" s="8">
        <f t="shared" si="1"/>
        <v>-2</v>
      </c>
    </row>
    <row r="2480">
      <c r="A2480" s="10">
        <v>2479.0</v>
      </c>
      <c r="B2480" s="11" t="s">
        <v>2575</v>
      </c>
      <c r="C2480" s="10" t="s">
        <v>346</v>
      </c>
      <c r="D2480" s="10" t="s">
        <v>99</v>
      </c>
      <c r="E2480" s="16"/>
      <c r="F2480" s="16" t="s">
        <v>382</v>
      </c>
      <c r="G2480" s="13">
        <f>IFERROR(__xludf.DUMMYFUNCTION("if(counta(filter('Previous Rank'!$A$2:$A2766,'Previous Rank'!$B$2:$B2766=B2480,'Previous Rank'!$C$2:$C2766=C2480))=1,filter('Previous Rank'!$A$2:$A2766,'Previous Rank'!$B$2:$B2766=B2480,'Previous Rank'!$C$2:$C2766=C2480),"""")"),2477.0)</f>
        <v>2477</v>
      </c>
      <c r="H2480" s="8">
        <f t="shared" si="1"/>
        <v>-2</v>
      </c>
    </row>
    <row r="2481">
      <c r="A2481" s="10">
        <v>2480.0</v>
      </c>
      <c r="B2481" s="11" t="s">
        <v>2576</v>
      </c>
      <c r="C2481" s="10" t="s">
        <v>77</v>
      </c>
      <c r="D2481" s="10" t="s">
        <v>105</v>
      </c>
      <c r="E2481" s="15"/>
      <c r="F2481" s="15" t="s">
        <v>382</v>
      </c>
      <c r="G2481" s="13">
        <f>IFERROR(__xludf.DUMMYFUNCTION("if(counta(filter('Previous Rank'!$A$2:$A2766,'Previous Rank'!$B$2:$B2766=B2481,'Previous Rank'!$C$2:$C2766=C2481))=1,filter('Previous Rank'!$A$2:$A2766,'Previous Rank'!$B$2:$B2766=B2481,'Previous Rank'!$C$2:$C2766=C2481),"""")"),2478.0)</f>
        <v>2478</v>
      </c>
      <c r="H2481" s="8">
        <f t="shared" si="1"/>
        <v>-2</v>
      </c>
    </row>
    <row r="2482">
      <c r="A2482" s="10">
        <v>2481.0</v>
      </c>
      <c r="B2482" s="11" t="s">
        <v>2577</v>
      </c>
      <c r="C2482" s="10" t="s">
        <v>77</v>
      </c>
      <c r="D2482" s="10" t="s">
        <v>9</v>
      </c>
      <c r="E2482" s="16"/>
      <c r="F2482" s="16" t="s">
        <v>382</v>
      </c>
      <c r="G2482" s="13">
        <f>IFERROR(__xludf.DUMMYFUNCTION("if(counta(filter('Previous Rank'!$A$2:$A2766,'Previous Rank'!$B$2:$B2766=B2482,'Previous Rank'!$C$2:$C2766=C2482))=1,filter('Previous Rank'!$A$2:$A2766,'Previous Rank'!$B$2:$B2766=B2482,'Previous Rank'!$C$2:$C2766=C2482),"""")"),2479.0)</f>
        <v>2479</v>
      </c>
      <c r="H2482" s="8">
        <f t="shared" si="1"/>
        <v>-2</v>
      </c>
    </row>
    <row r="2483">
      <c r="A2483" s="10">
        <v>2482.0</v>
      </c>
      <c r="B2483" s="11" t="s">
        <v>2578</v>
      </c>
      <c r="C2483" s="10" t="s">
        <v>77</v>
      </c>
      <c r="D2483" s="10" t="s">
        <v>129</v>
      </c>
      <c r="E2483" s="15"/>
      <c r="F2483" s="15" t="s">
        <v>382</v>
      </c>
      <c r="G2483" s="13">
        <f>IFERROR(__xludf.DUMMYFUNCTION("if(counta(filter('Previous Rank'!$A$2:$A2766,'Previous Rank'!$B$2:$B2766=B2483,'Previous Rank'!$C$2:$C2766=C2483))=1,filter('Previous Rank'!$A$2:$A2766,'Previous Rank'!$B$2:$B2766=B2483,'Previous Rank'!$C$2:$C2766=C2483),"""")"),2480.0)</f>
        <v>2480</v>
      </c>
      <c r="H2483" s="8">
        <f t="shared" si="1"/>
        <v>-2</v>
      </c>
    </row>
    <row r="2484">
      <c r="A2484" s="10">
        <v>2483.0</v>
      </c>
      <c r="B2484" s="11" t="s">
        <v>2579</v>
      </c>
      <c r="C2484" s="10" t="s">
        <v>48</v>
      </c>
      <c r="D2484" s="10" t="s">
        <v>9</v>
      </c>
      <c r="E2484" s="16"/>
      <c r="F2484" s="16" t="s">
        <v>382</v>
      </c>
      <c r="G2484" s="13">
        <f>IFERROR(__xludf.DUMMYFUNCTION("if(counta(filter('Previous Rank'!$A$2:$A2766,'Previous Rank'!$B$2:$B2766=B2484,'Previous Rank'!$C$2:$C2766=C2484))=1,filter('Previous Rank'!$A$2:$A2766,'Previous Rank'!$B$2:$B2766=B2484,'Previous Rank'!$C$2:$C2766=C2484),"""")"),2482.0)</f>
        <v>2482</v>
      </c>
      <c r="H2484" s="8">
        <f t="shared" si="1"/>
        <v>-1</v>
      </c>
    </row>
    <row r="2485">
      <c r="A2485" s="10">
        <v>2484.0</v>
      </c>
      <c r="B2485" s="11" t="s">
        <v>2580</v>
      </c>
      <c r="C2485" s="10" t="s">
        <v>14</v>
      </c>
      <c r="D2485" s="10" t="s">
        <v>15</v>
      </c>
      <c r="E2485" s="15"/>
      <c r="F2485" s="15" t="s">
        <v>382</v>
      </c>
      <c r="G2485" s="13">
        <f>IFERROR(__xludf.DUMMYFUNCTION("if(counta(filter('Previous Rank'!$A$2:$A2766,'Previous Rank'!$B$2:$B2766=B2485,'Previous Rank'!$C$2:$C2766=C2485))=1,filter('Previous Rank'!$A$2:$A2766,'Previous Rank'!$B$2:$B2766=B2485,'Previous Rank'!$C$2:$C2766=C2485),"""")"),2483.0)</f>
        <v>2483</v>
      </c>
      <c r="H2485" s="8">
        <f t="shared" si="1"/>
        <v>-1</v>
      </c>
    </row>
    <row r="2486">
      <c r="A2486" s="10">
        <v>2485.0</v>
      </c>
      <c r="B2486" s="11" t="s">
        <v>2581</v>
      </c>
      <c r="C2486" s="10" t="s">
        <v>14</v>
      </c>
      <c r="D2486" s="10" t="s">
        <v>99</v>
      </c>
      <c r="E2486" s="16"/>
      <c r="F2486" s="16" t="s">
        <v>382</v>
      </c>
      <c r="G2486" s="13">
        <f>IFERROR(__xludf.DUMMYFUNCTION("if(counta(filter('Previous Rank'!$A$2:$A2766,'Previous Rank'!$B$2:$B2766=B2486,'Previous Rank'!$C$2:$C2766=C2486))=1,filter('Previous Rank'!$A$2:$A2766,'Previous Rank'!$B$2:$B2766=B2486,'Previous Rank'!$C$2:$C2766=C2486),"""")"),2484.0)</f>
        <v>2484</v>
      </c>
      <c r="H2486" s="8">
        <f t="shared" si="1"/>
        <v>-1</v>
      </c>
    </row>
    <row r="2487">
      <c r="A2487" s="10">
        <v>2486.0</v>
      </c>
      <c r="B2487" s="11" t="s">
        <v>2582</v>
      </c>
      <c r="C2487" s="10" t="s">
        <v>14</v>
      </c>
      <c r="D2487" s="10" t="s">
        <v>82</v>
      </c>
      <c r="E2487" s="15"/>
      <c r="F2487" s="15" t="s">
        <v>382</v>
      </c>
      <c r="G2487" s="13">
        <f>IFERROR(__xludf.DUMMYFUNCTION("if(counta(filter('Previous Rank'!$A$2:$A2766,'Previous Rank'!$B$2:$B2766=B2487,'Previous Rank'!$C$2:$C2766=C2487))=1,filter('Previous Rank'!$A$2:$A2766,'Previous Rank'!$B$2:$B2766=B2487,'Previous Rank'!$C$2:$C2766=C2487),"""")"),2485.0)</f>
        <v>2485</v>
      </c>
      <c r="H2487" s="8">
        <f t="shared" si="1"/>
        <v>-1</v>
      </c>
    </row>
    <row r="2488">
      <c r="A2488" s="10">
        <v>2487.0</v>
      </c>
      <c r="B2488" s="11" t="s">
        <v>2583</v>
      </c>
      <c r="C2488" s="10" t="s">
        <v>87</v>
      </c>
      <c r="D2488" s="10" t="s">
        <v>82</v>
      </c>
      <c r="E2488" s="16"/>
      <c r="F2488" s="16" t="s">
        <v>382</v>
      </c>
      <c r="G2488" s="13">
        <f>IFERROR(__xludf.DUMMYFUNCTION("if(counta(filter('Previous Rank'!$A$2:$A2766,'Previous Rank'!$B$2:$B2766=B2488,'Previous Rank'!$C$2:$C2766=C2488))=1,filter('Previous Rank'!$A$2:$A2766,'Previous Rank'!$B$2:$B2766=B2488,'Previous Rank'!$C$2:$C2766=C2488),"""")"),2486.0)</f>
        <v>2486</v>
      </c>
      <c r="H2488" s="8">
        <f t="shared" si="1"/>
        <v>-1</v>
      </c>
    </row>
    <row r="2489">
      <c r="A2489" s="10">
        <v>2488.0</v>
      </c>
      <c r="B2489" s="11" t="s">
        <v>2584</v>
      </c>
      <c r="C2489" s="10" t="s">
        <v>11</v>
      </c>
      <c r="D2489" s="10" t="s">
        <v>73</v>
      </c>
      <c r="E2489" s="15"/>
      <c r="F2489" s="15"/>
      <c r="G2489" s="13">
        <f>IFERROR(__xludf.DUMMYFUNCTION("if(counta(filter('Previous Rank'!$A$2:$A2766,'Previous Rank'!$B$2:$B2766=B2489,'Previous Rank'!$C$2:$C2766=C2489))=1,filter('Previous Rank'!$A$2:$A2766,'Previous Rank'!$B$2:$B2766=B2489,'Previous Rank'!$C$2:$C2766=C2489),"""")"),2487.0)</f>
        <v>2487</v>
      </c>
      <c r="H2489" s="8">
        <f t="shared" si="1"/>
        <v>-1</v>
      </c>
    </row>
    <row r="2490">
      <c r="A2490" s="10">
        <v>2489.0</v>
      </c>
      <c r="B2490" s="11" t="s">
        <v>2585</v>
      </c>
      <c r="C2490" s="10" t="s">
        <v>14</v>
      </c>
      <c r="D2490" s="10" t="s">
        <v>42</v>
      </c>
      <c r="E2490" s="16"/>
      <c r="F2490" s="16" t="s">
        <v>382</v>
      </c>
      <c r="G2490" s="13">
        <f>IFERROR(__xludf.DUMMYFUNCTION("if(counta(filter('Previous Rank'!$A$2:$A2766,'Previous Rank'!$B$2:$B2766=B2490,'Previous Rank'!$C$2:$C2766=C2490))=1,filter('Previous Rank'!$A$2:$A2766,'Previous Rank'!$B$2:$B2766=B2490,'Previous Rank'!$C$2:$C2766=C2490),"""")"),2488.0)</f>
        <v>2488</v>
      </c>
      <c r="H2490" s="8">
        <f t="shared" si="1"/>
        <v>-1</v>
      </c>
    </row>
    <row r="2491">
      <c r="A2491" s="10">
        <v>2490.0</v>
      </c>
      <c r="B2491" s="11" t="s">
        <v>2586</v>
      </c>
      <c r="C2491" s="10" t="s">
        <v>11</v>
      </c>
      <c r="D2491" s="10" t="s">
        <v>9</v>
      </c>
      <c r="E2491" s="15"/>
      <c r="F2491" s="15" t="s">
        <v>382</v>
      </c>
      <c r="G2491" s="13">
        <f>IFERROR(__xludf.DUMMYFUNCTION("if(counta(filter('Previous Rank'!$A$2:$A2766,'Previous Rank'!$B$2:$B2766=B2491,'Previous Rank'!$C$2:$C2766=C2491))=1,filter('Previous Rank'!$A$2:$A2766,'Previous Rank'!$B$2:$B2766=B2491,'Previous Rank'!$C$2:$C2766=C2491),"""")"),2489.0)</f>
        <v>2489</v>
      </c>
      <c r="H2491" s="8">
        <f t="shared" si="1"/>
        <v>-1</v>
      </c>
    </row>
    <row r="2492">
      <c r="A2492" s="10">
        <v>2491.0</v>
      </c>
      <c r="B2492" s="11" t="s">
        <v>2587</v>
      </c>
      <c r="C2492" s="10" t="s">
        <v>77</v>
      </c>
      <c r="D2492" s="10" t="s">
        <v>67</v>
      </c>
      <c r="E2492" s="16"/>
      <c r="F2492" s="16" t="s">
        <v>382</v>
      </c>
      <c r="G2492" s="13">
        <f>IFERROR(__xludf.DUMMYFUNCTION("if(counta(filter('Previous Rank'!$A$2:$A2766,'Previous Rank'!$B$2:$B2766=B2492,'Previous Rank'!$C$2:$C2766=C2492))=1,filter('Previous Rank'!$A$2:$A2766,'Previous Rank'!$B$2:$B2766=B2492,'Previous Rank'!$C$2:$C2766=C2492),"""")"),2490.0)</f>
        <v>2490</v>
      </c>
      <c r="H2492" s="8">
        <f t="shared" si="1"/>
        <v>-1</v>
      </c>
    </row>
    <row r="2493">
      <c r="A2493" s="10">
        <v>2492.0</v>
      </c>
      <c r="B2493" s="11" t="s">
        <v>2588</v>
      </c>
      <c r="C2493" s="10" t="s">
        <v>39</v>
      </c>
      <c r="D2493" s="10" t="s">
        <v>34</v>
      </c>
      <c r="E2493" s="15"/>
      <c r="F2493" s="15" t="s">
        <v>382</v>
      </c>
      <c r="G2493" s="13">
        <f>IFERROR(__xludf.DUMMYFUNCTION("if(counta(filter('Previous Rank'!$A$2:$A2766,'Previous Rank'!$B$2:$B2766=B2493,'Previous Rank'!$C$2:$C2766=C2493))=1,filter('Previous Rank'!$A$2:$A2766,'Previous Rank'!$B$2:$B2766=B2493,'Previous Rank'!$C$2:$C2766=C2493),"""")"),2491.0)</f>
        <v>2491</v>
      </c>
      <c r="H2493" s="8">
        <f t="shared" si="1"/>
        <v>-1</v>
      </c>
    </row>
    <row r="2494">
      <c r="A2494" s="10">
        <v>2493.0</v>
      </c>
      <c r="B2494" s="11" t="s">
        <v>2589</v>
      </c>
      <c r="C2494" s="10" t="s">
        <v>77</v>
      </c>
      <c r="D2494" s="10" t="s">
        <v>95</v>
      </c>
      <c r="E2494" s="16"/>
      <c r="F2494" s="16" t="s">
        <v>382</v>
      </c>
      <c r="G2494" s="13">
        <f>IFERROR(__xludf.DUMMYFUNCTION("if(counta(filter('Previous Rank'!$A$2:$A2766,'Previous Rank'!$B$2:$B2766=B2494,'Previous Rank'!$C$2:$C2766=C2494))=1,filter('Previous Rank'!$A$2:$A2766,'Previous Rank'!$B$2:$B2766=B2494,'Previous Rank'!$C$2:$C2766=C2494),"""")"),2492.0)</f>
        <v>2492</v>
      </c>
      <c r="H2494" s="8">
        <f t="shared" si="1"/>
        <v>-1</v>
      </c>
    </row>
    <row r="2495">
      <c r="A2495" s="10">
        <v>2494.0</v>
      </c>
      <c r="B2495" s="11" t="s">
        <v>2590</v>
      </c>
      <c r="C2495" s="10" t="s">
        <v>39</v>
      </c>
      <c r="D2495" s="10" t="s">
        <v>129</v>
      </c>
      <c r="E2495" s="15"/>
      <c r="F2495" s="15" t="s">
        <v>382</v>
      </c>
      <c r="G2495" s="13">
        <f>IFERROR(__xludf.DUMMYFUNCTION("if(counta(filter('Previous Rank'!$A$2:$A2766,'Previous Rank'!$B$2:$B2766=B2495,'Previous Rank'!$C$2:$C2766=C2495))=1,filter('Previous Rank'!$A$2:$A2766,'Previous Rank'!$B$2:$B2766=B2495,'Previous Rank'!$C$2:$C2766=C2495),"""")"),2493.0)</f>
        <v>2493</v>
      </c>
      <c r="H2495" s="8">
        <f t="shared" si="1"/>
        <v>-1</v>
      </c>
    </row>
    <row r="2496">
      <c r="A2496" s="10">
        <v>2495.0</v>
      </c>
      <c r="B2496" s="11" t="s">
        <v>2591</v>
      </c>
      <c r="C2496" s="10" t="s">
        <v>48</v>
      </c>
      <c r="D2496" s="10" t="s">
        <v>67</v>
      </c>
      <c r="E2496" s="16"/>
      <c r="F2496" s="16" t="s">
        <v>382</v>
      </c>
      <c r="G2496" s="13">
        <f>IFERROR(__xludf.DUMMYFUNCTION("if(counta(filter('Previous Rank'!$A$2:$A2766,'Previous Rank'!$B$2:$B2766=B2496,'Previous Rank'!$C$2:$C2766=C2496))=1,filter('Previous Rank'!$A$2:$A2766,'Previous Rank'!$B$2:$B2766=B2496,'Previous Rank'!$C$2:$C2766=C2496),"""")"),2494.0)</f>
        <v>2494</v>
      </c>
      <c r="H2496" s="8">
        <f t="shared" si="1"/>
        <v>-1</v>
      </c>
    </row>
    <row r="2497">
      <c r="A2497" s="10">
        <v>2496.0</v>
      </c>
      <c r="B2497" s="11" t="s">
        <v>2592</v>
      </c>
      <c r="C2497" s="10" t="s">
        <v>39</v>
      </c>
      <c r="D2497" s="10" t="s">
        <v>31</v>
      </c>
      <c r="E2497" s="15"/>
      <c r="F2497" s="15" t="s">
        <v>382</v>
      </c>
      <c r="G2497" s="13">
        <f>IFERROR(__xludf.DUMMYFUNCTION("if(counta(filter('Previous Rank'!$A$2:$A2766,'Previous Rank'!$B$2:$B2766=B2497,'Previous Rank'!$C$2:$C2766=C2497))=1,filter('Previous Rank'!$A$2:$A2766,'Previous Rank'!$B$2:$B2766=B2497,'Previous Rank'!$C$2:$C2766=C2497),"""")"),2495.0)</f>
        <v>2495</v>
      </c>
      <c r="H2497" s="8">
        <f t="shared" si="1"/>
        <v>-1</v>
      </c>
    </row>
    <row r="2498">
      <c r="A2498" s="10">
        <v>2497.0</v>
      </c>
      <c r="B2498" s="11" t="s">
        <v>2593</v>
      </c>
      <c r="C2498" s="10" t="s">
        <v>77</v>
      </c>
      <c r="D2498" s="10" t="s">
        <v>206</v>
      </c>
      <c r="E2498" s="16"/>
      <c r="F2498" s="16" t="s">
        <v>382</v>
      </c>
      <c r="G2498" s="13">
        <f>IFERROR(__xludf.DUMMYFUNCTION("if(counta(filter('Previous Rank'!$A$2:$A2766,'Previous Rank'!$B$2:$B2766=B2498,'Previous Rank'!$C$2:$C2766=C2498))=1,filter('Previous Rank'!$A$2:$A2766,'Previous Rank'!$B$2:$B2766=B2498,'Previous Rank'!$C$2:$C2766=C2498),"""")"),2496.0)</f>
        <v>2496</v>
      </c>
      <c r="H2498" s="8">
        <f t="shared" si="1"/>
        <v>-1</v>
      </c>
    </row>
    <row r="2499">
      <c r="A2499" s="10">
        <v>2498.0</v>
      </c>
      <c r="B2499" s="11" t="s">
        <v>2594</v>
      </c>
      <c r="C2499" s="10" t="s">
        <v>14</v>
      </c>
      <c r="D2499" s="10" t="s">
        <v>34</v>
      </c>
      <c r="E2499" s="15"/>
      <c r="F2499" s="15" t="s">
        <v>382</v>
      </c>
      <c r="G2499" s="13">
        <f>IFERROR(__xludf.DUMMYFUNCTION("if(counta(filter('Previous Rank'!$A$2:$A2766,'Previous Rank'!$B$2:$B2766=B2499,'Previous Rank'!$C$2:$C2766=C2499))=1,filter('Previous Rank'!$A$2:$A2766,'Previous Rank'!$B$2:$B2766=B2499,'Previous Rank'!$C$2:$C2766=C2499),"""")"),2497.0)</f>
        <v>2497</v>
      </c>
      <c r="H2499" s="8">
        <f t="shared" si="1"/>
        <v>-1</v>
      </c>
    </row>
    <row r="2500">
      <c r="A2500" s="10">
        <v>2499.0</v>
      </c>
      <c r="B2500" s="11" t="s">
        <v>2595</v>
      </c>
      <c r="C2500" s="10" t="s">
        <v>48</v>
      </c>
      <c r="D2500" s="10" t="s">
        <v>85</v>
      </c>
      <c r="E2500" s="16"/>
      <c r="F2500" s="16" t="s">
        <v>382</v>
      </c>
      <c r="G2500" s="13">
        <f>IFERROR(__xludf.DUMMYFUNCTION("if(counta(filter('Previous Rank'!$A$2:$A2766,'Previous Rank'!$B$2:$B2766=B2500,'Previous Rank'!$C$2:$C2766=C2500))=1,filter('Previous Rank'!$A$2:$A2766,'Previous Rank'!$B$2:$B2766=B2500,'Previous Rank'!$C$2:$C2766=C2500),"""")"),2498.0)</f>
        <v>2498</v>
      </c>
      <c r="H2500" s="8">
        <f t="shared" si="1"/>
        <v>-1</v>
      </c>
    </row>
    <row r="2501">
      <c r="A2501" s="10">
        <v>2500.0</v>
      </c>
      <c r="B2501" s="11" t="s">
        <v>2596</v>
      </c>
      <c r="C2501" s="10" t="s">
        <v>17</v>
      </c>
      <c r="D2501" s="10" t="s">
        <v>113</v>
      </c>
      <c r="E2501" s="15"/>
      <c r="F2501" s="15" t="s">
        <v>382</v>
      </c>
      <c r="G2501" s="13">
        <f>IFERROR(__xludf.DUMMYFUNCTION("if(counta(filter('Previous Rank'!$A$2:$A2766,'Previous Rank'!$B$2:$B2766=B2501,'Previous Rank'!$C$2:$C2766=C2501))=1,filter('Previous Rank'!$A$2:$A2766,'Previous Rank'!$B$2:$B2766=B2501,'Previous Rank'!$C$2:$C2766=C2501),"""")"),2499.0)</f>
        <v>2499</v>
      </c>
      <c r="H2501" s="8">
        <f t="shared" si="1"/>
        <v>-1</v>
      </c>
    </row>
    <row r="2502">
      <c r="A2502" s="10">
        <v>2501.0</v>
      </c>
      <c r="B2502" s="11" t="s">
        <v>2597</v>
      </c>
      <c r="C2502" s="10" t="s">
        <v>48</v>
      </c>
      <c r="D2502" s="10" t="s">
        <v>95</v>
      </c>
      <c r="E2502" s="16"/>
      <c r="F2502" s="16" t="s">
        <v>382</v>
      </c>
      <c r="G2502" s="13">
        <f>IFERROR(__xludf.DUMMYFUNCTION("if(counta(filter('Previous Rank'!$A$2:$A2766,'Previous Rank'!$B$2:$B2766=B2502,'Previous Rank'!$C$2:$C2766=C2502))=1,filter('Previous Rank'!$A$2:$A2766,'Previous Rank'!$B$2:$B2766=B2502,'Previous Rank'!$C$2:$C2766=C2502),"""")"),2500.0)</f>
        <v>2500</v>
      </c>
      <c r="H2502" s="8">
        <f t="shared" si="1"/>
        <v>-1</v>
      </c>
    </row>
    <row r="2503">
      <c r="A2503" s="10">
        <v>2502.0</v>
      </c>
      <c r="B2503" s="11" t="s">
        <v>2598</v>
      </c>
      <c r="C2503" s="10" t="s">
        <v>11</v>
      </c>
      <c r="D2503" s="10" t="s">
        <v>122</v>
      </c>
      <c r="E2503" s="15"/>
      <c r="F2503" s="15" t="s">
        <v>382</v>
      </c>
      <c r="G2503" s="13">
        <f>IFERROR(__xludf.DUMMYFUNCTION("if(counta(filter('Previous Rank'!$A$2:$A2766,'Previous Rank'!$B$2:$B2766=B2503,'Previous Rank'!$C$2:$C2766=C2503))=1,filter('Previous Rank'!$A$2:$A2766,'Previous Rank'!$B$2:$B2766=B2503,'Previous Rank'!$C$2:$C2766=C2503),"""")"),2501.0)</f>
        <v>2501</v>
      </c>
      <c r="H2503" s="8">
        <f t="shared" si="1"/>
        <v>-1</v>
      </c>
    </row>
    <row r="2504">
      <c r="A2504" s="10">
        <v>2503.0</v>
      </c>
      <c r="B2504" s="11" t="s">
        <v>2599</v>
      </c>
      <c r="C2504" s="10" t="s">
        <v>39</v>
      </c>
      <c r="D2504" s="10" t="s">
        <v>120</v>
      </c>
      <c r="E2504" s="16"/>
      <c r="F2504" s="16" t="s">
        <v>382</v>
      </c>
      <c r="G2504" s="13">
        <f>IFERROR(__xludf.DUMMYFUNCTION("if(counta(filter('Previous Rank'!$A$2:$A2766,'Previous Rank'!$B$2:$B2766=B2504,'Previous Rank'!$C$2:$C2766=C2504))=1,filter('Previous Rank'!$A$2:$A2766,'Previous Rank'!$B$2:$B2766=B2504,'Previous Rank'!$C$2:$C2766=C2504),"""")"),2502.0)</f>
        <v>2502</v>
      </c>
      <c r="H2504" s="8">
        <f t="shared" si="1"/>
        <v>-1</v>
      </c>
    </row>
    <row r="2505">
      <c r="A2505" s="10">
        <v>2504.0</v>
      </c>
      <c r="B2505" s="11" t="s">
        <v>2600</v>
      </c>
      <c r="C2505" s="10" t="s">
        <v>11</v>
      </c>
      <c r="D2505" s="10" t="s">
        <v>95</v>
      </c>
      <c r="E2505" s="15"/>
      <c r="F2505" s="15" t="s">
        <v>382</v>
      </c>
      <c r="G2505" s="13">
        <f>IFERROR(__xludf.DUMMYFUNCTION("if(counta(filter('Previous Rank'!$A$2:$A2766,'Previous Rank'!$B$2:$B2766=B2505,'Previous Rank'!$C$2:$C2766=C2505))=1,filter('Previous Rank'!$A$2:$A2766,'Previous Rank'!$B$2:$B2766=B2505,'Previous Rank'!$C$2:$C2766=C2505),"""")"),2503.0)</f>
        <v>2503</v>
      </c>
      <c r="H2505" s="8">
        <f t="shared" si="1"/>
        <v>-1</v>
      </c>
    </row>
    <row r="2506">
      <c r="A2506" s="10">
        <v>2505.0</v>
      </c>
      <c r="B2506" s="11" t="s">
        <v>2601</v>
      </c>
      <c r="C2506" s="10" t="s">
        <v>8</v>
      </c>
      <c r="D2506" s="10" t="s">
        <v>9</v>
      </c>
      <c r="E2506" s="16"/>
      <c r="F2506" s="16" t="s">
        <v>382</v>
      </c>
      <c r="G2506" s="13">
        <f>IFERROR(__xludf.DUMMYFUNCTION("if(counta(filter('Previous Rank'!$A$2:$A2766,'Previous Rank'!$B$2:$B2766=B2506,'Previous Rank'!$C$2:$C2766=C2506))=1,filter('Previous Rank'!$A$2:$A2766,'Previous Rank'!$B$2:$B2766=B2506,'Previous Rank'!$C$2:$C2766=C2506),"""")"),2504.0)</f>
        <v>2504</v>
      </c>
      <c r="H2506" s="8">
        <f t="shared" si="1"/>
        <v>-1</v>
      </c>
    </row>
    <row r="2507">
      <c r="A2507" s="10">
        <v>2506.0</v>
      </c>
      <c r="B2507" s="11" t="s">
        <v>2602</v>
      </c>
      <c r="C2507" s="10" t="s">
        <v>77</v>
      </c>
      <c r="D2507" s="10" t="s">
        <v>25</v>
      </c>
      <c r="E2507" s="15"/>
      <c r="F2507" s="15" t="s">
        <v>382</v>
      </c>
      <c r="G2507" s="13">
        <f>IFERROR(__xludf.DUMMYFUNCTION("if(counta(filter('Previous Rank'!$A$2:$A2766,'Previous Rank'!$B$2:$B2766=B2507,'Previous Rank'!$C$2:$C2766=C2507))=1,filter('Previous Rank'!$A$2:$A2766,'Previous Rank'!$B$2:$B2766=B2507,'Previous Rank'!$C$2:$C2766=C2507),"""")"),2505.0)</f>
        <v>2505</v>
      </c>
      <c r="H2507" s="8">
        <f t="shared" si="1"/>
        <v>-1</v>
      </c>
    </row>
    <row r="2508">
      <c r="A2508" s="10">
        <v>2507.0</v>
      </c>
      <c r="B2508" s="11" t="s">
        <v>2603</v>
      </c>
      <c r="C2508" s="10" t="s">
        <v>11</v>
      </c>
      <c r="D2508" s="10" t="s">
        <v>99</v>
      </c>
      <c r="E2508" s="16"/>
      <c r="F2508" s="16" t="s">
        <v>382</v>
      </c>
      <c r="G2508" s="13">
        <f>IFERROR(__xludf.DUMMYFUNCTION("if(counta(filter('Previous Rank'!$A$2:$A2766,'Previous Rank'!$B$2:$B2766=B2508,'Previous Rank'!$C$2:$C2766=C2508))=1,filter('Previous Rank'!$A$2:$A2766,'Previous Rank'!$B$2:$B2766=B2508,'Previous Rank'!$C$2:$C2766=C2508),"""")"),2506.0)</f>
        <v>2506</v>
      </c>
      <c r="H2508" s="8">
        <f t="shared" si="1"/>
        <v>-1</v>
      </c>
    </row>
    <row r="2509">
      <c r="A2509" s="10">
        <v>2508.0</v>
      </c>
      <c r="B2509" s="11" t="s">
        <v>2604</v>
      </c>
      <c r="C2509" s="10" t="s">
        <v>14</v>
      </c>
      <c r="D2509" s="10" t="s">
        <v>12</v>
      </c>
      <c r="E2509" s="15"/>
      <c r="F2509" s="15" t="s">
        <v>382</v>
      </c>
      <c r="G2509" s="13">
        <f>IFERROR(__xludf.DUMMYFUNCTION("if(counta(filter('Previous Rank'!$A$2:$A2766,'Previous Rank'!$B$2:$B2766=B2509,'Previous Rank'!$C$2:$C2766=C2509))=1,filter('Previous Rank'!$A$2:$A2766,'Previous Rank'!$B$2:$B2766=B2509,'Previous Rank'!$C$2:$C2766=C2509),"""")"),2507.0)</f>
        <v>2507</v>
      </c>
      <c r="H2509" s="8">
        <f t="shared" si="1"/>
        <v>-1</v>
      </c>
    </row>
    <row r="2510">
      <c r="A2510" s="10">
        <v>2509.0</v>
      </c>
      <c r="B2510" s="11" t="s">
        <v>2605</v>
      </c>
      <c r="C2510" s="10" t="s">
        <v>240</v>
      </c>
      <c r="D2510" s="10" t="s">
        <v>129</v>
      </c>
      <c r="E2510" s="16"/>
      <c r="F2510" s="16" t="s">
        <v>382</v>
      </c>
      <c r="G2510" s="13">
        <f>IFERROR(__xludf.DUMMYFUNCTION("if(counta(filter('Previous Rank'!$A$2:$A2766,'Previous Rank'!$B$2:$B2766=B2510,'Previous Rank'!$C$2:$C2766=C2510))=1,filter('Previous Rank'!$A$2:$A2766,'Previous Rank'!$B$2:$B2766=B2510,'Previous Rank'!$C$2:$C2766=C2510),"""")"),2508.0)</f>
        <v>2508</v>
      </c>
      <c r="H2510" s="8">
        <f t="shared" si="1"/>
        <v>-1</v>
      </c>
    </row>
    <row r="2511">
      <c r="A2511" s="10">
        <v>2510.0</v>
      </c>
      <c r="B2511" s="11" t="s">
        <v>2606</v>
      </c>
      <c r="C2511" s="10" t="s">
        <v>77</v>
      </c>
      <c r="D2511" s="10" t="s">
        <v>113</v>
      </c>
      <c r="E2511" s="15"/>
      <c r="F2511" s="15" t="s">
        <v>382</v>
      </c>
      <c r="G2511" s="13">
        <f>IFERROR(__xludf.DUMMYFUNCTION("if(counta(filter('Previous Rank'!$A$2:$A2766,'Previous Rank'!$B$2:$B2766=B2511,'Previous Rank'!$C$2:$C2766=C2511))=1,filter('Previous Rank'!$A$2:$A2766,'Previous Rank'!$B$2:$B2766=B2511,'Previous Rank'!$C$2:$C2766=C2511),"""")"),2509.0)</f>
        <v>2509</v>
      </c>
      <c r="H2511" s="8">
        <f t="shared" si="1"/>
        <v>-1</v>
      </c>
    </row>
    <row r="2512">
      <c r="A2512" s="10">
        <v>2511.0</v>
      </c>
      <c r="B2512" s="11" t="s">
        <v>2607</v>
      </c>
      <c r="C2512" s="10" t="s">
        <v>20</v>
      </c>
      <c r="D2512" s="10" t="s">
        <v>113</v>
      </c>
      <c r="E2512" s="16"/>
      <c r="F2512" s="16" t="s">
        <v>382</v>
      </c>
      <c r="G2512" s="13">
        <f>IFERROR(__xludf.DUMMYFUNCTION("if(counta(filter('Previous Rank'!$A$2:$A2766,'Previous Rank'!$B$2:$B2766=B2512,'Previous Rank'!$C$2:$C2766=C2512))=1,filter('Previous Rank'!$A$2:$A2766,'Previous Rank'!$B$2:$B2766=B2512,'Previous Rank'!$C$2:$C2766=C2512),"""")"),2510.0)</f>
        <v>2510</v>
      </c>
      <c r="H2512" s="8">
        <f t="shared" si="1"/>
        <v>-1</v>
      </c>
    </row>
    <row r="2513">
      <c r="A2513" s="10">
        <v>2512.0</v>
      </c>
      <c r="B2513" s="11" t="s">
        <v>2608</v>
      </c>
      <c r="C2513" s="10" t="s">
        <v>69</v>
      </c>
      <c r="D2513" s="10" t="s">
        <v>36</v>
      </c>
      <c r="E2513" s="15"/>
      <c r="F2513" s="15" t="s">
        <v>382</v>
      </c>
      <c r="G2513" s="13">
        <f>IFERROR(__xludf.DUMMYFUNCTION("if(counta(filter('Previous Rank'!$A$2:$A2766,'Previous Rank'!$B$2:$B2766=B2513,'Previous Rank'!$C$2:$C2766=C2513))=1,filter('Previous Rank'!$A$2:$A2766,'Previous Rank'!$B$2:$B2766=B2513,'Previous Rank'!$C$2:$C2766=C2513),"""")"),2511.0)</f>
        <v>2511</v>
      </c>
      <c r="H2513" s="8">
        <f t="shared" si="1"/>
        <v>-1</v>
      </c>
    </row>
    <row r="2514">
      <c r="A2514" s="10">
        <v>2513.0</v>
      </c>
      <c r="B2514" s="11" t="s">
        <v>2609</v>
      </c>
      <c r="C2514" s="10" t="s">
        <v>39</v>
      </c>
      <c r="D2514" s="10" t="s">
        <v>42</v>
      </c>
      <c r="E2514" s="16"/>
      <c r="F2514" s="16" t="s">
        <v>382</v>
      </c>
      <c r="G2514" s="13">
        <f>IFERROR(__xludf.DUMMYFUNCTION("if(counta(filter('Previous Rank'!$A$2:$A2766,'Previous Rank'!$B$2:$B2766=B2514,'Previous Rank'!$C$2:$C2766=C2514))=1,filter('Previous Rank'!$A$2:$A2766,'Previous Rank'!$B$2:$B2766=B2514,'Previous Rank'!$C$2:$C2766=C2514),"""")"),2512.0)</f>
        <v>2512</v>
      </c>
      <c r="H2514" s="8">
        <f t="shared" si="1"/>
        <v>-1</v>
      </c>
    </row>
    <row r="2515">
      <c r="A2515" s="10">
        <v>2514.0</v>
      </c>
      <c r="B2515" s="11" t="s">
        <v>2610</v>
      </c>
      <c r="C2515" s="10" t="s">
        <v>17</v>
      </c>
      <c r="D2515" s="10" t="s">
        <v>206</v>
      </c>
      <c r="E2515" s="15"/>
      <c r="F2515" s="15" t="s">
        <v>382</v>
      </c>
      <c r="G2515" s="13">
        <f>IFERROR(__xludf.DUMMYFUNCTION("if(counta(filter('Previous Rank'!$A$2:$A2766,'Previous Rank'!$B$2:$B2766=B2515,'Previous Rank'!$C$2:$C2766=C2515))=1,filter('Previous Rank'!$A$2:$A2766,'Previous Rank'!$B$2:$B2766=B2515,'Previous Rank'!$C$2:$C2766=C2515),"""")"),2513.0)</f>
        <v>2513</v>
      </c>
      <c r="H2515" s="8">
        <f t="shared" si="1"/>
        <v>-1</v>
      </c>
    </row>
    <row r="2516">
      <c r="A2516" s="10">
        <v>2515.0</v>
      </c>
      <c r="B2516" s="11" t="s">
        <v>2611</v>
      </c>
      <c r="C2516" s="10" t="s">
        <v>39</v>
      </c>
      <c r="D2516" s="10" t="s">
        <v>122</v>
      </c>
      <c r="E2516" s="16"/>
      <c r="F2516" s="16" t="s">
        <v>382</v>
      </c>
      <c r="G2516" s="13">
        <f>IFERROR(__xludf.DUMMYFUNCTION("if(counta(filter('Previous Rank'!$A$2:$A2766,'Previous Rank'!$B$2:$B2766=B2516,'Previous Rank'!$C$2:$C2766=C2516))=1,filter('Previous Rank'!$A$2:$A2766,'Previous Rank'!$B$2:$B2766=B2516,'Previous Rank'!$C$2:$C2766=C2516),"""")"),2514.0)</f>
        <v>2514</v>
      </c>
      <c r="H2516" s="8">
        <f t="shared" si="1"/>
        <v>-1</v>
      </c>
    </row>
    <row r="2517">
      <c r="A2517" s="10">
        <v>2516.0</v>
      </c>
      <c r="B2517" s="11" t="s">
        <v>2612</v>
      </c>
      <c r="C2517" s="10" t="s">
        <v>14</v>
      </c>
      <c r="D2517" s="10" t="s">
        <v>23</v>
      </c>
      <c r="E2517" s="15"/>
      <c r="F2517" s="15" t="s">
        <v>382</v>
      </c>
      <c r="G2517" s="13">
        <f>IFERROR(__xludf.DUMMYFUNCTION("if(counta(filter('Previous Rank'!$A$2:$A2766,'Previous Rank'!$B$2:$B2766=B2517,'Previous Rank'!$C$2:$C2766=C2517))=1,filter('Previous Rank'!$A$2:$A2766,'Previous Rank'!$B$2:$B2766=B2517,'Previous Rank'!$C$2:$C2766=C2517),"""")"),2515.0)</f>
        <v>2515</v>
      </c>
      <c r="H2517" s="8">
        <f t="shared" si="1"/>
        <v>-1</v>
      </c>
    </row>
    <row r="2518">
      <c r="A2518" s="10">
        <v>2517.0</v>
      </c>
      <c r="B2518" s="11" t="s">
        <v>2613</v>
      </c>
      <c r="C2518" s="10" t="s">
        <v>11</v>
      </c>
      <c r="D2518" s="10" t="s">
        <v>71</v>
      </c>
      <c r="E2518" s="16"/>
      <c r="F2518" s="16" t="s">
        <v>382</v>
      </c>
      <c r="G2518" s="13">
        <f>IFERROR(__xludf.DUMMYFUNCTION("if(counta(filter('Previous Rank'!$A$2:$A2766,'Previous Rank'!$B$2:$B2766=B2518,'Previous Rank'!$C$2:$C2766=C2518))=1,filter('Previous Rank'!$A$2:$A2766,'Previous Rank'!$B$2:$B2766=B2518,'Previous Rank'!$C$2:$C2766=C2518),"""")"),2516.0)</f>
        <v>2516</v>
      </c>
      <c r="H2518" s="8">
        <f t="shared" si="1"/>
        <v>-1</v>
      </c>
    </row>
    <row r="2519">
      <c r="A2519" s="10">
        <v>2518.0</v>
      </c>
      <c r="B2519" s="11" t="s">
        <v>2614</v>
      </c>
      <c r="C2519" s="10" t="s">
        <v>39</v>
      </c>
      <c r="D2519" s="10" t="s">
        <v>34</v>
      </c>
      <c r="E2519" s="15"/>
      <c r="F2519" s="15" t="s">
        <v>382</v>
      </c>
      <c r="G2519" s="13">
        <f>IFERROR(__xludf.DUMMYFUNCTION("if(counta(filter('Previous Rank'!$A$2:$A2766,'Previous Rank'!$B$2:$B2766=B2519,'Previous Rank'!$C$2:$C2766=C2519))=1,filter('Previous Rank'!$A$2:$A2766,'Previous Rank'!$B$2:$B2766=B2519,'Previous Rank'!$C$2:$C2766=C2519),"""")"),2517.0)</f>
        <v>2517</v>
      </c>
      <c r="H2519" s="8">
        <f t="shared" si="1"/>
        <v>-1</v>
      </c>
    </row>
    <row r="2520">
      <c r="A2520" s="10">
        <v>2519.0</v>
      </c>
      <c r="B2520" s="11" t="s">
        <v>2615</v>
      </c>
      <c r="C2520" s="10" t="s">
        <v>89</v>
      </c>
      <c r="D2520" s="10" t="s">
        <v>129</v>
      </c>
      <c r="E2520" s="16"/>
      <c r="F2520" s="16" t="s">
        <v>382</v>
      </c>
      <c r="G2520" s="13">
        <f>IFERROR(__xludf.DUMMYFUNCTION("if(counta(filter('Previous Rank'!$A$2:$A2766,'Previous Rank'!$B$2:$B2766=B2520,'Previous Rank'!$C$2:$C2766=C2520))=1,filter('Previous Rank'!$A$2:$A2766,'Previous Rank'!$B$2:$B2766=B2520,'Previous Rank'!$C$2:$C2766=C2520),"""")"),2518.0)</f>
        <v>2518</v>
      </c>
      <c r="H2520" s="8">
        <f t="shared" si="1"/>
        <v>-1</v>
      </c>
    </row>
    <row r="2521">
      <c r="A2521" s="10">
        <v>2520.0</v>
      </c>
      <c r="B2521" s="11" t="s">
        <v>2616</v>
      </c>
      <c r="C2521" s="10" t="s">
        <v>11</v>
      </c>
      <c r="D2521" s="10" t="s">
        <v>42</v>
      </c>
      <c r="E2521" s="15"/>
      <c r="F2521" s="15" t="s">
        <v>382</v>
      </c>
      <c r="G2521" s="13">
        <f>IFERROR(__xludf.DUMMYFUNCTION("if(counta(filter('Previous Rank'!$A$2:$A2766,'Previous Rank'!$B$2:$B2766=B2521,'Previous Rank'!$C$2:$C2766=C2521))=1,filter('Previous Rank'!$A$2:$A2766,'Previous Rank'!$B$2:$B2766=B2521,'Previous Rank'!$C$2:$C2766=C2521),"""")"),2519.0)</f>
        <v>2519</v>
      </c>
      <c r="H2521" s="8">
        <f t="shared" si="1"/>
        <v>-1</v>
      </c>
    </row>
    <row r="2522">
      <c r="A2522" s="10">
        <v>2521.0</v>
      </c>
      <c r="B2522" s="11" t="s">
        <v>2617</v>
      </c>
      <c r="C2522" s="10" t="s">
        <v>63</v>
      </c>
      <c r="D2522" s="10" t="s">
        <v>206</v>
      </c>
      <c r="E2522" s="16"/>
      <c r="F2522" s="16" t="s">
        <v>382</v>
      </c>
      <c r="G2522" s="13">
        <f>IFERROR(__xludf.DUMMYFUNCTION("if(counta(filter('Previous Rank'!$A$2:$A2766,'Previous Rank'!$B$2:$B2766=B2522,'Previous Rank'!$C$2:$C2766=C2522))=1,filter('Previous Rank'!$A$2:$A2766,'Previous Rank'!$B$2:$B2766=B2522,'Previous Rank'!$C$2:$C2766=C2522),"""")"),2520.0)</f>
        <v>2520</v>
      </c>
      <c r="H2522" s="8">
        <f t="shared" si="1"/>
        <v>-1</v>
      </c>
    </row>
    <row r="2523">
      <c r="A2523" s="10">
        <v>2522.0</v>
      </c>
      <c r="B2523" s="11" t="s">
        <v>2618</v>
      </c>
      <c r="C2523" s="10" t="s">
        <v>55</v>
      </c>
      <c r="D2523" s="10" t="s">
        <v>206</v>
      </c>
      <c r="E2523" s="15"/>
      <c r="F2523" s="15" t="s">
        <v>382</v>
      </c>
      <c r="G2523" s="13">
        <f>IFERROR(__xludf.DUMMYFUNCTION("if(counta(filter('Previous Rank'!$A$2:$A2766,'Previous Rank'!$B$2:$B2766=B2523,'Previous Rank'!$C$2:$C2766=C2523))=1,filter('Previous Rank'!$A$2:$A2766,'Previous Rank'!$B$2:$B2766=B2523,'Previous Rank'!$C$2:$C2766=C2523),"""")"),2521.0)</f>
        <v>2521</v>
      </c>
      <c r="H2523" s="8">
        <f t="shared" si="1"/>
        <v>-1</v>
      </c>
    </row>
    <row r="2524">
      <c r="A2524" s="10">
        <v>2523.0</v>
      </c>
      <c r="B2524" s="11" t="s">
        <v>2619</v>
      </c>
      <c r="C2524" s="10" t="s">
        <v>14</v>
      </c>
      <c r="D2524" s="10" t="s">
        <v>90</v>
      </c>
      <c r="E2524" s="16"/>
      <c r="F2524" s="16" t="s">
        <v>382</v>
      </c>
      <c r="G2524" s="13">
        <f>IFERROR(__xludf.DUMMYFUNCTION("if(counta(filter('Previous Rank'!$A$2:$A2766,'Previous Rank'!$B$2:$B2766=B2524,'Previous Rank'!$C$2:$C2766=C2524))=1,filter('Previous Rank'!$A$2:$A2766,'Previous Rank'!$B$2:$B2766=B2524,'Previous Rank'!$C$2:$C2766=C2524),"""")"),2522.0)</f>
        <v>2522</v>
      </c>
      <c r="H2524" s="8">
        <f t="shared" si="1"/>
        <v>-1</v>
      </c>
    </row>
    <row r="2525">
      <c r="A2525" s="10">
        <v>2524.0</v>
      </c>
      <c r="B2525" s="11" t="s">
        <v>2620</v>
      </c>
      <c r="C2525" s="10" t="s">
        <v>39</v>
      </c>
      <c r="D2525" s="10" t="s">
        <v>99</v>
      </c>
      <c r="E2525" s="15"/>
      <c r="F2525" s="15" t="s">
        <v>382</v>
      </c>
      <c r="G2525" s="13">
        <f>IFERROR(__xludf.DUMMYFUNCTION("if(counta(filter('Previous Rank'!$A$2:$A2766,'Previous Rank'!$B$2:$B2766=B2525,'Previous Rank'!$C$2:$C2766=C2525))=1,filter('Previous Rank'!$A$2:$A2766,'Previous Rank'!$B$2:$B2766=B2525,'Previous Rank'!$C$2:$C2766=C2525),"""")"),2523.0)</f>
        <v>2523</v>
      </c>
      <c r="H2525" s="8">
        <f t="shared" si="1"/>
        <v>-1</v>
      </c>
    </row>
    <row r="2526">
      <c r="A2526" s="10">
        <v>2525.0</v>
      </c>
      <c r="B2526" s="11" t="s">
        <v>2621</v>
      </c>
      <c r="C2526" s="10" t="s">
        <v>20</v>
      </c>
      <c r="D2526" s="10" t="s">
        <v>18</v>
      </c>
      <c r="E2526" s="16"/>
      <c r="F2526" s="16" t="s">
        <v>382</v>
      </c>
      <c r="G2526" s="13">
        <f>IFERROR(__xludf.DUMMYFUNCTION("if(counta(filter('Previous Rank'!$A$2:$A2766,'Previous Rank'!$B$2:$B2766=B2526,'Previous Rank'!$C$2:$C2766=C2526))=1,filter('Previous Rank'!$A$2:$A2766,'Previous Rank'!$B$2:$B2766=B2526,'Previous Rank'!$C$2:$C2766=C2526),"""")"),2524.0)</f>
        <v>2524</v>
      </c>
      <c r="H2526" s="8">
        <f t="shared" si="1"/>
        <v>-1</v>
      </c>
    </row>
    <row r="2527">
      <c r="A2527" s="10">
        <v>2526.0</v>
      </c>
      <c r="B2527" s="11" t="s">
        <v>2622</v>
      </c>
      <c r="C2527" s="10" t="s">
        <v>48</v>
      </c>
      <c r="D2527" s="10" t="s">
        <v>122</v>
      </c>
      <c r="E2527" s="15"/>
      <c r="F2527" s="15" t="s">
        <v>382</v>
      </c>
      <c r="G2527" s="13">
        <f>IFERROR(__xludf.DUMMYFUNCTION("if(counta(filter('Previous Rank'!$A$2:$A2766,'Previous Rank'!$B$2:$B2766=B2527,'Previous Rank'!$C$2:$C2766=C2527))=1,filter('Previous Rank'!$A$2:$A2766,'Previous Rank'!$B$2:$B2766=B2527,'Previous Rank'!$C$2:$C2766=C2527),"""")"),2525.0)</f>
        <v>2525</v>
      </c>
      <c r="H2527" s="8">
        <f t="shared" si="1"/>
        <v>-1</v>
      </c>
    </row>
    <row r="2528">
      <c r="A2528" s="10">
        <v>2527.0</v>
      </c>
      <c r="B2528" s="11" t="s">
        <v>2623</v>
      </c>
      <c r="C2528" s="10" t="s">
        <v>17</v>
      </c>
      <c r="D2528" s="10" t="s">
        <v>105</v>
      </c>
      <c r="E2528" s="16"/>
      <c r="F2528" s="16" t="s">
        <v>382</v>
      </c>
      <c r="G2528" s="13">
        <f>IFERROR(__xludf.DUMMYFUNCTION("if(counta(filter('Previous Rank'!$A$2:$A2766,'Previous Rank'!$B$2:$B2766=B2528,'Previous Rank'!$C$2:$C2766=C2528))=1,filter('Previous Rank'!$A$2:$A2766,'Previous Rank'!$B$2:$B2766=B2528,'Previous Rank'!$C$2:$C2766=C2528),"""")"),2526.0)</f>
        <v>2526</v>
      </c>
      <c r="H2528" s="8">
        <f t="shared" si="1"/>
        <v>-1</v>
      </c>
    </row>
    <row r="2529">
      <c r="A2529" s="10">
        <v>2528.0</v>
      </c>
      <c r="B2529" s="11" t="s">
        <v>2624</v>
      </c>
      <c r="C2529" s="10" t="s">
        <v>240</v>
      </c>
      <c r="D2529" s="10" t="s">
        <v>137</v>
      </c>
      <c r="E2529" s="15"/>
      <c r="F2529" s="15" t="s">
        <v>382</v>
      </c>
      <c r="G2529" s="13">
        <f>IFERROR(__xludf.DUMMYFUNCTION("if(counta(filter('Previous Rank'!$A$2:$A2766,'Previous Rank'!$B$2:$B2766=B2529,'Previous Rank'!$C$2:$C2766=C2529))=1,filter('Previous Rank'!$A$2:$A2766,'Previous Rank'!$B$2:$B2766=B2529,'Previous Rank'!$C$2:$C2766=C2529),"""")"),2527.0)</f>
        <v>2527</v>
      </c>
      <c r="H2529" s="8">
        <f t="shared" si="1"/>
        <v>-1</v>
      </c>
    </row>
    <row r="2530">
      <c r="A2530" s="10">
        <v>2529.0</v>
      </c>
      <c r="B2530" s="11" t="s">
        <v>2625</v>
      </c>
      <c r="C2530" s="10" t="s">
        <v>14</v>
      </c>
      <c r="D2530" s="10" t="s">
        <v>34</v>
      </c>
      <c r="E2530" s="16"/>
      <c r="F2530" s="16" t="s">
        <v>382</v>
      </c>
      <c r="G2530" s="13">
        <f>IFERROR(__xludf.DUMMYFUNCTION("if(counta(filter('Previous Rank'!$A$2:$A2766,'Previous Rank'!$B$2:$B2766=B2530,'Previous Rank'!$C$2:$C2766=C2530))=1,filter('Previous Rank'!$A$2:$A2766,'Previous Rank'!$B$2:$B2766=B2530,'Previous Rank'!$C$2:$C2766=C2530),"""")"),2528.0)</f>
        <v>2528</v>
      </c>
      <c r="H2530" s="8">
        <f t="shared" si="1"/>
        <v>-1</v>
      </c>
    </row>
    <row r="2531">
      <c r="A2531" s="10">
        <v>2530.0</v>
      </c>
      <c r="B2531" s="11" t="s">
        <v>2626</v>
      </c>
      <c r="C2531" s="10" t="s">
        <v>11</v>
      </c>
      <c r="D2531" s="10" t="s">
        <v>99</v>
      </c>
      <c r="E2531" s="15"/>
      <c r="F2531" s="15" t="s">
        <v>382</v>
      </c>
      <c r="G2531" s="13">
        <f>IFERROR(__xludf.DUMMYFUNCTION("if(counta(filter('Previous Rank'!$A$2:$A2766,'Previous Rank'!$B$2:$B2766=B2531,'Previous Rank'!$C$2:$C2766=C2531))=1,filter('Previous Rank'!$A$2:$A2766,'Previous Rank'!$B$2:$B2766=B2531,'Previous Rank'!$C$2:$C2766=C2531),"""")"),2529.0)</f>
        <v>2529</v>
      </c>
      <c r="H2531" s="8">
        <f t="shared" si="1"/>
        <v>-1</v>
      </c>
    </row>
    <row r="2532">
      <c r="A2532" s="10">
        <v>2531.0</v>
      </c>
      <c r="B2532" s="11" t="s">
        <v>2627</v>
      </c>
      <c r="C2532" s="10" t="s">
        <v>55</v>
      </c>
      <c r="D2532" s="10" t="s">
        <v>122</v>
      </c>
      <c r="E2532" s="16"/>
      <c r="F2532" s="16" t="s">
        <v>382</v>
      </c>
      <c r="G2532" s="13">
        <f>IFERROR(__xludf.DUMMYFUNCTION("if(counta(filter('Previous Rank'!$A$2:$A2766,'Previous Rank'!$B$2:$B2766=B2532,'Previous Rank'!$C$2:$C2766=C2532))=1,filter('Previous Rank'!$A$2:$A2766,'Previous Rank'!$B$2:$B2766=B2532,'Previous Rank'!$C$2:$C2766=C2532),"""")"),2530.0)</f>
        <v>2530</v>
      </c>
      <c r="H2532" s="8">
        <f t="shared" si="1"/>
        <v>-1</v>
      </c>
    </row>
    <row r="2533">
      <c r="A2533" s="10">
        <v>2532.0</v>
      </c>
      <c r="B2533" s="11" t="s">
        <v>2628</v>
      </c>
      <c r="C2533" s="10" t="s">
        <v>39</v>
      </c>
      <c r="D2533" s="10" t="s">
        <v>71</v>
      </c>
      <c r="E2533" s="15"/>
      <c r="F2533" s="15" t="s">
        <v>382</v>
      </c>
      <c r="G2533" s="13">
        <f>IFERROR(__xludf.DUMMYFUNCTION("if(counta(filter('Previous Rank'!$A$2:$A2766,'Previous Rank'!$B$2:$B2766=B2533,'Previous Rank'!$C$2:$C2766=C2533))=1,filter('Previous Rank'!$A$2:$A2766,'Previous Rank'!$B$2:$B2766=B2533,'Previous Rank'!$C$2:$C2766=C2533),"""")"),2531.0)</f>
        <v>2531</v>
      </c>
      <c r="H2533" s="8">
        <f t="shared" si="1"/>
        <v>-1</v>
      </c>
    </row>
    <row r="2534">
      <c r="A2534" s="10">
        <v>2533.0</v>
      </c>
      <c r="B2534" s="11" t="s">
        <v>2629</v>
      </c>
      <c r="C2534" s="10" t="s">
        <v>55</v>
      </c>
      <c r="D2534" s="10" t="s">
        <v>27</v>
      </c>
      <c r="E2534" s="16"/>
      <c r="F2534" s="16" t="s">
        <v>382</v>
      </c>
      <c r="G2534" s="13">
        <f>IFERROR(__xludf.DUMMYFUNCTION("if(counta(filter('Previous Rank'!$A$2:$A2766,'Previous Rank'!$B$2:$B2766=B2534,'Previous Rank'!$C$2:$C2766=C2534))=1,filter('Previous Rank'!$A$2:$A2766,'Previous Rank'!$B$2:$B2766=B2534,'Previous Rank'!$C$2:$C2766=C2534),"""")"),2532.0)</f>
        <v>2532</v>
      </c>
      <c r="H2534" s="8">
        <f t="shared" si="1"/>
        <v>-1</v>
      </c>
    </row>
    <row r="2535">
      <c r="A2535" s="10">
        <v>2534.0</v>
      </c>
      <c r="B2535" s="11" t="s">
        <v>2630</v>
      </c>
      <c r="C2535" s="10" t="s">
        <v>39</v>
      </c>
      <c r="D2535" s="10" t="s">
        <v>137</v>
      </c>
      <c r="E2535" s="15"/>
      <c r="F2535" s="15" t="s">
        <v>382</v>
      </c>
      <c r="G2535" s="13">
        <f>IFERROR(__xludf.DUMMYFUNCTION("if(counta(filter('Previous Rank'!$A$2:$A2766,'Previous Rank'!$B$2:$B2766=B2535,'Previous Rank'!$C$2:$C2766=C2535))=1,filter('Previous Rank'!$A$2:$A2766,'Previous Rank'!$B$2:$B2766=B2535,'Previous Rank'!$C$2:$C2766=C2535),"""")"),2533.0)</f>
        <v>2533</v>
      </c>
      <c r="H2535" s="8">
        <f t="shared" si="1"/>
        <v>-1</v>
      </c>
    </row>
    <row r="2536">
      <c r="A2536" s="10">
        <v>2535.0</v>
      </c>
      <c r="B2536" s="11" t="s">
        <v>2631</v>
      </c>
      <c r="C2536" s="10" t="s">
        <v>14</v>
      </c>
      <c r="D2536" s="10" t="s">
        <v>25</v>
      </c>
      <c r="E2536" s="16"/>
      <c r="F2536" s="16" t="s">
        <v>382</v>
      </c>
      <c r="G2536" s="13">
        <f>IFERROR(__xludf.DUMMYFUNCTION("if(counta(filter('Previous Rank'!$A$2:$A2766,'Previous Rank'!$B$2:$B2766=B2536,'Previous Rank'!$C$2:$C2766=C2536))=1,filter('Previous Rank'!$A$2:$A2766,'Previous Rank'!$B$2:$B2766=B2536,'Previous Rank'!$C$2:$C2766=C2536),"""")"),2534.0)</f>
        <v>2534</v>
      </c>
      <c r="H2536" s="8">
        <f t="shared" si="1"/>
        <v>-1</v>
      </c>
    </row>
    <row r="2537">
      <c r="A2537" s="10">
        <v>2536.0</v>
      </c>
      <c r="B2537" s="11" t="s">
        <v>2632</v>
      </c>
      <c r="C2537" s="10" t="s">
        <v>8</v>
      </c>
      <c r="D2537" s="10" t="s">
        <v>25</v>
      </c>
      <c r="E2537" s="15"/>
      <c r="F2537" s="15" t="s">
        <v>382</v>
      </c>
      <c r="G2537" s="13">
        <f>IFERROR(__xludf.DUMMYFUNCTION("if(counta(filter('Previous Rank'!$A$2:$A2766,'Previous Rank'!$B$2:$B2766=B2537,'Previous Rank'!$C$2:$C2766=C2537))=1,filter('Previous Rank'!$A$2:$A2766,'Previous Rank'!$B$2:$B2766=B2537,'Previous Rank'!$C$2:$C2766=C2537),"""")"),2535.0)</f>
        <v>2535</v>
      </c>
      <c r="H2537" s="8">
        <f t="shared" si="1"/>
        <v>-1</v>
      </c>
    </row>
    <row r="2538">
      <c r="A2538" s="10">
        <v>2537.0</v>
      </c>
      <c r="B2538" s="11" t="s">
        <v>2633</v>
      </c>
      <c r="C2538" s="10" t="s">
        <v>20</v>
      </c>
      <c r="D2538" s="10" t="s">
        <v>25</v>
      </c>
      <c r="E2538" s="16"/>
      <c r="F2538" s="16" t="s">
        <v>382</v>
      </c>
      <c r="G2538" s="13">
        <f>IFERROR(__xludf.DUMMYFUNCTION("if(counta(filter('Previous Rank'!$A$2:$A2766,'Previous Rank'!$B$2:$B2766=B2538,'Previous Rank'!$C$2:$C2766=C2538))=1,filter('Previous Rank'!$A$2:$A2766,'Previous Rank'!$B$2:$B2766=B2538,'Previous Rank'!$C$2:$C2766=C2538),"""")"),2536.0)</f>
        <v>2536</v>
      </c>
      <c r="H2538" s="8">
        <f t="shared" si="1"/>
        <v>-1</v>
      </c>
    </row>
    <row r="2539">
      <c r="A2539" s="10">
        <v>2538.0</v>
      </c>
      <c r="B2539" s="11" t="s">
        <v>2634</v>
      </c>
      <c r="C2539" s="10" t="s">
        <v>55</v>
      </c>
      <c r="D2539" s="10" t="s">
        <v>82</v>
      </c>
      <c r="E2539" s="15"/>
      <c r="F2539" s="15" t="s">
        <v>382</v>
      </c>
      <c r="G2539" s="13">
        <f>IFERROR(__xludf.DUMMYFUNCTION("if(counta(filter('Previous Rank'!$A$2:$A2766,'Previous Rank'!$B$2:$B2766=B2539,'Previous Rank'!$C$2:$C2766=C2539))=1,filter('Previous Rank'!$A$2:$A2766,'Previous Rank'!$B$2:$B2766=B2539,'Previous Rank'!$C$2:$C2766=C2539),"""")"),2537.0)</f>
        <v>2537</v>
      </c>
      <c r="H2539" s="8">
        <f t="shared" si="1"/>
        <v>-1</v>
      </c>
    </row>
    <row r="2540">
      <c r="A2540" s="10">
        <v>2539.0</v>
      </c>
      <c r="B2540" s="11" t="s">
        <v>2635</v>
      </c>
      <c r="C2540" s="10" t="s">
        <v>14</v>
      </c>
      <c r="D2540" s="10" t="s">
        <v>137</v>
      </c>
      <c r="E2540" s="16"/>
      <c r="F2540" s="16" t="s">
        <v>382</v>
      </c>
      <c r="G2540" s="13">
        <f>IFERROR(__xludf.DUMMYFUNCTION("if(counta(filter('Previous Rank'!$A$2:$A2766,'Previous Rank'!$B$2:$B2766=B2540,'Previous Rank'!$C$2:$C2766=C2540))=1,filter('Previous Rank'!$A$2:$A2766,'Previous Rank'!$B$2:$B2766=B2540,'Previous Rank'!$C$2:$C2766=C2540),"""")"),2538.0)</f>
        <v>2538</v>
      </c>
      <c r="H2540" s="8">
        <f t="shared" si="1"/>
        <v>-1</v>
      </c>
    </row>
    <row r="2541">
      <c r="A2541" s="10">
        <v>2540.0</v>
      </c>
      <c r="B2541" s="11" t="s">
        <v>2636</v>
      </c>
      <c r="C2541" s="10" t="s">
        <v>89</v>
      </c>
      <c r="D2541" s="10" t="s">
        <v>140</v>
      </c>
      <c r="E2541" s="15"/>
      <c r="F2541" s="15" t="s">
        <v>382</v>
      </c>
      <c r="G2541" s="13">
        <f>IFERROR(__xludf.DUMMYFUNCTION("if(counta(filter('Previous Rank'!$A$2:$A2766,'Previous Rank'!$B$2:$B2766=B2541,'Previous Rank'!$C$2:$C2766=C2541))=1,filter('Previous Rank'!$A$2:$A2766,'Previous Rank'!$B$2:$B2766=B2541,'Previous Rank'!$C$2:$C2766=C2541),"""")"),2539.0)</f>
        <v>2539</v>
      </c>
      <c r="H2541" s="8">
        <f t="shared" si="1"/>
        <v>-1</v>
      </c>
    </row>
    <row r="2542">
      <c r="A2542" s="10">
        <v>2541.0</v>
      </c>
      <c r="B2542" s="11" t="s">
        <v>2637</v>
      </c>
      <c r="C2542" s="10" t="s">
        <v>14</v>
      </c>
      <c r="D2542" s="10" t="s">
        <v>12</v>
      </c>
      <c r="E2542" s="16"/>
      <c r="F2542" s="16" t="s">
        <v>382</v>
      </c>
      <c r="G2542" s="13">
        <f>IFERROR(__xludf.DUMMYFUNCTION("if(counta(filter('Previous Rank'!$A$2:$A2766,'Previous Rank'!$B$2:$B2766=B2542,'Previous Rank'!$C$2:$C2766=C2542))=1,filter('Previous Rank'!$A$2:$A2766,'Previous Rank'!$B$2:$B2766=B2542,'Previous Rank'!$C$2:$C2766=C2542),"""")"),2540.0)</f>
        <v>2540</v>
      </c>
      <c r="H2542" s="8">
        <f t="shared" si="1"/>
        <v>-1</v>
      </c>
    </row>
    <row r="2543">
      <c r="A2543" s="10">
        <v>2542.0</v>
      </c>
      <c r="B2543" s="11" t="s">
        <v>2638</v>
      </c>
      <c r="C2543" s="10" t="s">
        <v>39</v>
      </c>
      <c r="D2543" s="10" t="s">
        <v>49</v>
      </c>
      <c r="E2543" s="15"/>
      <c r="F2543" s="15" t="s">
        <v>382</v>
      </c>
      <c r="G2543" s="13">
        <f>IFERROR(__xludf.DUMMYFUNCTION("if(counta(filter('Previous Rank'!$A$2:$A2766,'Previous Rank'!$B$2:$B2766=B2543,'Previous Rank'!$C$2:$C2766=C2543))=1,filter('Previous Rank'!$A$2:$A2766,'Previous Rank'!$B$2:$B2766=B2543,'Previous Rank'!$C$2:$C2766=C2543),"""")"),2541.0)</f>
        <v>2541</v>
      </c>
      <c r="H2543" s="8">
        <f t="shared" si="1"/>
        <v>-1</v>
      </c>
    </row>
    <row r="2544">
      <c r="A2544" s="10">
        <v>2543.0</v>
      </c>
      <c r="B2544" s="11" t="s">
        <v>2639</v>
      </c>
      <c r="C2544" s="10" t="s">
        <v>77</v>
      </c>
      <c r="D2544" s="10" t="s">
        <v>23</v>
      </c>
      <c r="E2544" s="16"/>
      <c r="F2544" s="16" t="s">
        <v>382</v>
      </c>
      <c r="G2544" s="13">
        <f>IFERROR(__xludf.DUMMYFUNCTION("if(counta(filter('Previous Rank'!$A$2:$A2766,'Previous Rank'!$B$2:$B2766=B2544,'Previous Rank'!$C$2:$C2766=C2544))=1,filter('Previous Rank'!$A$2:$A2766,'Previous Rank'!$B$2:$B2766=B2544,'Previous Rank'!$C$2:$C2766=C2544),"""")"),2542.0)</f>
        <v>2542</v>
      </c>
      <c r="H2544" s="8">
        <f t="shared" si="1"/>
        <v>-1</v>
      </c>
    </row>
    <row r="2545">
      <c r="A2545" s="10">
        <v>2544.0</v>
      </c>
      <c r="B2545" s="11" t="s">
        <v>2640</v>
      </c>
      <c r="C2545" s="10" t="s">
        <v>17</v>
      </c>
      <c r="D2545" s="10" t="s">
        <v>137</v>
      </c>
      <c r="E2545" s="15"/>
      <c r="F2545" s="15" t="s">
        <v>382</v>
      </c>
      <c r="G2545" s="13">
        <f>IFERROR(__xludf.DUMMYFUNCTION("if(counta(filter('Previous Rank'!$A$2:$A2766,'Previous Rank'!$B$2:$B2766=B2545,'Previous Rank'!$C$2:$C2766=C2545))=1,filter('Previous Rank'!$A$2:$A2766,'Previous Rank'!$B$2:$B2766=B2545,'Previous Rank'!$C$2:$C2766=C2545),"""")"),2543.0)</f>
        <v>2543</v>
      </c>
      <c r="H2545" s="8">
        <f t="shared" si="1"/>
        <v>-1</v>
      </c>
    </row>
    <row r="2546">
      <c r="A2546" s="10">
        <v>2545.0</v>
      </c>
      <c r="B2546" s="11" t="s">
        <v>2641</v>
      </c>
      <c r="C2546" s="10" t="s">
        <v>2642</v>
      </c>
      <c r="D2546" s="10" t="s">
        <v>25</v>
      </c>
      <c r="E2546" s="16"/>
      <c r="F2546" s="16" t="s">
        <v>382</v>
      </c>
      <c r="G2546" s="13">
        <f>IFERROR(__xludf.DUMMYFUNCTION("if(counta(filter('Previous Rank'!$A$2:$A2766,'Previous Rank'!$B$2:$B2766=B2546,'Previous Rank'!$C$2:$C2766=C2546))=1,filter('Previous Rank'!$A$2:$A2766,'Previous Rank'!$B$2:$B2766=B2546,'Previous Rank'!$C$2:$C2766=C2546),"""")"),2544.0)</f>
        <v>2544</v>
      </c>
      <c r="H2546" s="8">
        <f t="shared" si="1"/>
        <v>-1</v>
      </c>
    </row>
    <row r="2547">
      <c r="A2547" s="10">
        <v>2546.0</v>
      </c>
      <c r="B2547" s="11" t="s">
        <v>2643</v>
      </c>
      <c r="C2547" s="10" t="s">
        <v>20</v>
      </c>
      <c r="D2547" s="10" t="s">
        <v>42</v>
      </c>
      <c r="E2547" s="15"/>
      <c r="F2547" s="15" t="s">
        <v>382</v>
      </c>
      <c r="G2547" s="13">
        <f>IFERROR(__xludf.DUMMYFUNCTION("if(counta(filter('Previous Rank'!$A$2:$A2766,'Previous Rank'!$B$2:$B2766=B2547,'Previous Rank'!$C$2:$C2766=C2547))=1,filter('Previous Rank'!$A$2:$A2766,'Previous Rank'!$B$2:$B2766=B2547,'Previous Rank'!$C$2:$C2766=C2547),"""")"),2545.0)</f>
        <v>2545</v>
      </c>
      <c r="H2547" s="8">
        <f t="shared" si="1"/>
        <v>-1</v>
      </c>
    </row>
    <row r="2548">
      <c r="A2548" s="10">
        <v>2547.0</v>
      </c>
      <c r="B2548" s="11" t="s">
        <v>2644</v>
      </c>
      <c r="C2548" s="10" t="s">
        <v>150</v>
      </c>
      <c r="D2548" s="10" t="s">
        <v>95</v>
      </c>
      <c r="E2548" s="16"/>
      <c r="F2548" s="16" t="s">
        <v>382</v>
      </c>
      <c r="G2548" s="13">
        <f>IFERROR(__xludf.DUMMYFUNCTION("if(counta(filter('Previous Rank'!$A$2:$A2766,'Previous Rank'!$B$2:$B2766=B2548,'Previous Rank'!$C$2:$C2766=C2548))=1,filter('Previous Rank'!$A$2:$A2766,'Previous Rank'!$B$2:$B2766=B2548,'Previous Rank'!$C$2:$C2766=C2548),"""")"),2546.0)</f>
        <v>2546</v>
      </c>
      <c r="H2548" s="8">
        <f t="shared" si="1"/>
        <v>-1</v>
      </c>
    </row>
    <row r="2549">
      <c r="A2549" s="10">
        <v>2548.0</v>
      </c>
      <c r="B2549" s="11" t="s">
        <v>2645</v>
      </c>
      <c r="C2549" s="10" t="s">
        <v>55</v>
      </c>
      <c r="D2549" s="10" t="s">
        <v>49</v>
      </c>
      <c r="E2549" s="15"/>
      <c r="F2549" s="15" t="s">
        <v>382</v>
      </c>
      <c r="G2549" s="13">
        <f>IFERROR(__xludf.DUMMYFUNCTION("if(counta(filter('Previous Rank'!$A$2:$A2766,'Previous Rank'!$B$2:$B2766=B2549,'Previous Rank'!$C$2:$C2766=C2549))=1,filter('Previous Rank'!$A$2:$A2766,'Previous Rank'!$B$2:$B2766=B2549,'Previous Rank'!$C$2:$C2766=C2549),"""")"),2547.0)</f>
        <v>2547</v>
      </c>
      <c r="H2549" s="8">
        <f t="shared" si="1"/>
        <v>-1</v>
      </c>
    </row>
    <row r="2550">
      <c r="A2550" s="10">
        <v>2549.0</v>
      </c>
      <c r="B2550" s="11" t="s">
        <v>2646</v>
      </c>
      <c r="C2550" s="10" t="s">
        <v>39</v>
      </c>
      <c r="D2550" s="10" t="s">
        <v>12</v>
      </c>
      <c r="E2550" s="16"/>
      <c r="F2550" s="16" t="s">
        <v>382</v>
      </c>
      <c r="G2550" s="13">
        <f>IFERROR(__xludf.DUMMYFUNCTION("if(counta(filter('Previous Rank'!$A$2:$A2766,'Previous Rank'!$B$2:$B2766=B2550,'Previous Rank'!$C$2:$C2766=C2550))=1,filter('Previous Rank'!$A$2:$A2766,'Previous Rank'!$B$2:$B2766=B2550,'Previous Rank'!$C$2:$C2766=C2550),"""")"),2548.0)</f>
        <v>2548</v>
      </c>
      <c r="H2550" s="8">
        <f t="shared" si="1"/>
        <v>-1</v>
      </c>
    </row>
    <row r="2551">
      <c r="A2551" s="10">
        <v>2550.0</v>
      </c>
      <c r="B2551" s="11" t="s">
        <v>2647</v>
      </c>
      <c r="C2551" s="10" t="s">
        <v>39</v>
      </c>
      <c r="D2551" s="10" t="s">
        <v>73</v>
      </c>
      <c r="E2551" s="15"/>
      <c r="F2551" s="15" t="s">
        <v>382</v>
      </c>
      <c r="G2551" s="13">
        <f>IFERROR(__xludf.DUMMYFUNCTION("if(counta(filter('Previous Rank'!$A$2:$A2766,'Previous Rank'!$B$2:$B2766=B2551,'Previous Rank'!$C$2:$C2766=C2551))=1,filter('Previous Rank'!$A$2:$A2766,'Previous Rank'!$B$2:$B2766=B2551,'Previous Rank'!$C$2:$C2766=C2551),"""")"),2549.0)</f>
        <v>2549</v>
      </c>
      <c r="H2551" s="8">
        <f t="shared" si="1"/>
        <v>-1</v>
      </c>
    </row>
    <row r="2552">
      <c r="A2552" s="10">
        <v>2551.0</v>
      </c>
      <c r="B2552" s="11" t="s">
        <v>2648</v>
      </c>
      <c r="C2552" s="10" t="s">
        <v>14</v>
      </c>
      <c r="D2552" s="10" t="s">
        <v>85</v>
      </c>
      <c r="E2552" s="16"/>
      <c r="F2552" s="16" t="s">
        <v>382</v>
      </c>
      <c r="G2552" s="13">
        <f>IFERROR(__xludf.DUMMYFUNCTION("if(counta(filter('Previous Rank'!$A$2:$A2766,'Previous Rank'!$B$2:$B2766=B2552,'Previous Rank'!$C$2:$C2766=C2552))=1,filter('Previous Rank'!$A$2:$A2766,'Previous Rank'!$B$2:$B2766=B2552,'Previous Rank'!$C$2:$C2766=C2552),"""")"),2550.0)</f>
        <v>2550</v>
      </c>
      <c r="H2552" s="8">
        <f t="shared" si="1"/>
        <v>-1</v>
      </c>
    </row>
    <row r="2553">
      <c r="A2553" s="10">
        <v>2552.0</v>
      </c>
      <c r="B2553" s="11" t="s">
        <v>2649</v>
      </c>
      <c r="C2553" s="10" t="s">
        <v>14</v>
      </c>
      <c r="D2553" s="10" t="s">
        <v>90</v>
      </c>
      <c r="E2553" s="15"/>
      <c r="F2553" s="15" t="s">
        <v>382</v>
      </c>
      <c r="G2553" s="13">
        <f>IFERROR(__xludf.DUMMYFUNCTION("if(counta(filter('Previous Rank'!$A$2:$A2766,'Previous Rank'!$B$2:$B2766=B2553,'Previous Rank'!$C$2:$C2766=C2553))=1,filter('Previous Rank'!$A$2:$A2766,'Previous Rank'!$B$2:$B2766=B2553,'Previous Rank'!$C$2:$C2766=C2553),"""")"),2551.0)</f>
        <v>2551</v>
      </c>
      <c r="H2553" s="8">
        <f t="shared" si="1"/>
        <v>-1</v>
      </c>
    </row>
    <row r="2554">
      <c r="A2554" s="10">
        <v>2553.0</v>
      </c>
      <c r="B2554" s="11" t="s">
        <v>2650</v>
      </c>
      <c r="C2554" s="10" t="s">
        <v>77</v>
      </c>
      <c r="D2554" s="10" t="s">
        <v>9</v>
      </c>
      <c r="E2554" s="16"/>
      <c r="F2554" s="16" t="s">
        <v>382</v>
      </c>
      <c r="G2554" s="13">
        <f>IFERROR(__xludf.DUMMYFUNCTION("if(counta(filter('Previous Rank'!$A$2:$A2766,'Previous Rank'!$B$2:$B2766=B2554,'Previous Rank'!$C$2:$C2766=C2554))=1,filter('Previous Rank'!$A$2:$A2766,'Previous Rank'!$B$2:$B2766=B2554,'Previous Rank'!$C$2:$C2766=C2554),"""")"),2552.0)</f>
        <v>2552</v>
      </c>
      <c r="H2554" s="8">
        <f t="shared" si="1"/>
        <v>-1</v>
      </c>
    </row>
    <row r="2555">
      <c r="A2555" s="10">
        <v>2554.0</v>
      </c>
      <c r="B2555" s="11" t="s">
        <v>2651</v>
      </c>
      <c r="C2555" s="10" t="s">
        <v>55</v>
      </c>
      <c r="D2555" s="10" t="s">
        <v>25</v>
      </c>
      <c r="E2555" s="15"/>
      <c r="F2555" s="15"/>
      <c r="G2555" s="13">
        <f>IFERROR(__xludf.DUMMYFUNCTION("if(counta(filter('Previous Rank'!$A$2:$A2766,'Previous Rank'!$B$2:$B2766=B2555,'Previous Rank'!$C$2:$C2766=C2555))=1,filter('Previous Rank'!$A$2:$A2766,'Previous Rank'!$B$2:$B2766=B2555,'Previous Rank'!$C$2:$C2766=C2555),"""")"),2553.0)</f>
        <v>2553</v>
      </c>
      <c r="H2555" s="8">
        <f t="shared" si="1"/>
        <v>-1</v>
      </c>
    </row>
    <row r="2556">
      <c r="A2556" s="10">
        <v>2555.0</v>
      </c>
      <c r="B2556" s="11" t="s">
        <v>2652</v>
      </c>
      <c r="C2556" s="10" t="s">
        <v>14</v>
      </c>
      <c r="D2556" s="10" t="s">
        <v>71</v>
      </c>
      <c r="E2556" s="16"/>
      <c r="F2556" s="16" t="s">
        <v>382</v>
      </c>
      <c r="G2556" s="13">
        <f>IFERROR(__xludf.DUMMYFUNCTION("if(counta(filter('Previous Rank'!$A$2:$A2766,'Previous Rank'!$B$2:$B2766=B2556,'Previous Rank'!$C$2:$C2766=C2556))=1,filter('Previous Rank'!$A$2:$A2766,'Previous Rank'!$B$2:$B2766=B2556,'Previous Rank'!$C$2:$C2766=C2556),"""")"),2554.0)</f>
        <v>2554</v>
      </c>
      <c r="H2556" s="8">
        <f t="shared" si="1"/>
        <v>-1</v>
      </c>
    </row>
    <row r="2557">
      <c r="A2557" s="10">
        <v>2556.0</v>
      </c>
      <c r="B2557" s="11" t="s">
        <v>2653</v>
      </c>
      <c r="C2557" s="10" t="s">
        <v>77</v>
      </c>
      <c r="D2557" s="10" t="s">
        <v>9</v>
      </c>
      <c r="E2557" s="15"/>
      <c r="F2557" s="15" t="s">
        <v>382</v>
      </c>
      <c r="G2557" s="13">
        <f>IFERROR(__xludf.DUMMYFUNCTION("if(counta(filter('Previous Rank'!$A$2:$A2766,'Previous Rank'!$B$2:$B2766=B2557,'Previous Rank'!$C$2:$C2766=C2557))=1,filter('Previous Rank'!$A$2:$A2766,'Previous Rank'!$B$2:$B2766=B2557,'Previous Rank'!$C$2:$C2766=C2557),"""")"),2555.0)</f>
        <v>2555</v>
      </c>
      <c r="H2557" s="8">
        <f t="shared" si="1"/>
        <v>-1</v>
      </c>
    </row>
    <row r="2558">
      <c r="A2558" s="10">
        <v>2557.0</v>
      </c>
      <c r="B2558" s="11" t="s">
        <v>2654</v>
      </c>
      <c r="C2558" s="10" t="s">
        <v>39</v>
      </c>
      <c r="D2558" s="10" t="s">
        <v>36</v>
      </c>
      <c r="E2558" s="16"/>
      <c r="F2558" s="16" t="s">
        <v>382</v>
      </c>
      <c r="G2558" s="13">
        <f>IFERROR(__xludf.DUMMYFUNCTION("if(counta(filter('Previous Rank'!$A$2:$A2766,'Previous Rank'!$B$2:$B2766=B2558,'Previous Rank'!$C$2:$C2766=C2558))=1,filter('Previous Rank'!$A$2:$A2766,'Previous Rank'!$B$2:$B2766=B2558,'Previous Rank'!$C$2:$C2766=C2558),"""")"),2556.0)</f>
        <v>2556</v>
      </c>
      <c r="H2558" s="8">
        <f t="shared" si="1"/>
        <v>-1</v>
      </c>
    </row>
    <row r="2559">
      <c r="A2559" s="10">
        <v>2558.0</v>
      </c>
      <c r="B2559" s="11" t="s">
        <v>2655</v>
      </c>
      <c r="C2559" s="10" t="s">
        <v>77</v>
      </c>
      <c r="D2559" s="10" t="s">
        <v>34</v>
      </c>
      <c r="E2559" s="15"/>
      <c r="F2559" s="15" t="s">
        <v>382</v>
      </c>
      <c r="G2559" s="13">
        <f>IFERROR(__xludf.DUMMYFUNCTION("if(counta(filter('Previous Rank'!$A$2:$A2766,'Previous Rank'!$B$2:$B2766=B2559,'Previous Rank'!$C$2:$C2766=C2559))=1,filter('Previous Rank'!$A$2:$A2766,'Previous Rank'!$B$2:$B2766=B2559,'Previous Rank'!$C$2:$C2766=C2559),"""")"),2557.0)</f>
        <v>2557</v>
      </c>
      <c r="H2559" s="8">
        <f t="shared" si="1"/>
        <v>-1</v>
      </c>
    </row>
    <row r="2560">
      <c r="A2560" s="10">
        <v>2559.0</v>
      </c>
      <c r="B2560" s="11" t="s">
        <v>2656</v>
      </c>
      <c r="C2560" s="10" t="s">
        <v>8</v>
      </c>
      <c r="D2560" s="10" t="s">
        <v>25</v>
      </c>
      <c r="E2560" s="16"/>
      <c r="F2560" s="16" t="s">
        <v>382</v>
      </c>
      <c r="G2560" s="13">
        <f>IFERROR(__xludf.DUMMYFUNCTION("if(counta(filter('Previous Rank'!$A$2:$A2766,'Previous Rank'!$B$2:$B2766=B2560,'Previous Rank'!$C$2:$C2766=C2560))=1,filter('Previous Rank'!$A$2:$A2766,'Previous Rank'!$B$2:$B2766=B2560,'Previous Rank'!$C$2:$C2766=C2560),"""")"),2558.0)</f>
        <v>2558</v>
      </c>
      <c r="H2560" s="8">
        <f t="shared" si="1"/>
        <v>-1</v>
      </c>
    </row>
    <row r="2561">
      <c r="A2561" s="10">
        <v>2560.0</v>
      </c>
      <c r="B2561" s="11" t="s">
        <v>2657</v>
      </c>
      <c r="C2561" s="10" t="s">
        <v>11</v>
      </c>
      <c r="D2561" s="10" t="s">
        <v>12</v>
      </c>
      <c r="E2561" s="15"/>
      <c r="F2561" s="15" t="s">
        <v>382</v>
      </c>
      <c r="G2561" s="13">
        <f>IFERROR(__xludf.DUMMYFUNCTION("if(counta(filter('Previous Rank'!$A$2:$A2766,'Previous Rank'!$B$2:$B2766=B2561,'Previous Rank'!$C$2:$C2766=C2561))=1,filter('Previous Rank'!$A$2:$A2766,'Previous Rank'!$B$2:$B2766=B2561,'Previous Rank'!$C$2:$C2766=C2561),"""")"),2559.0)</f>
        <v>2559</v>
      </c>
      <c r="H2561" s="8">
        <f t="shared" si="1"/>
        <v>-1</v>
      </c>
    </row>
    <row r="2562">
      <c r="A2562" s="10">
        <v>2561.0</v>
      </c>
      <c r="B2562" s="11" t="s">
        <v>2658</v>
      </c>
      <c r="C2562" s="10" t="s">
        <v>77</v>
      </c>
      <c r="D2562" s="10" t="s">
        <v>105</v>
      </c>
      <c r="E2562" s="16"/>
      <c r="F2562" s="16" t="s">
        <v>382</v>
      </c>
      <c r="G2562" s="13">
        <f>IFERROR(__xludf.DUMMYFUNCTION("if(counta(filter('Previous Rank'!$A$2:$A2766,'Previous Rank'!$B$2:$B2766=B2562,'Previous Rank'!$C$2:$C2766=C2562))=1,filter('Previous Rank'!$A$2:$A2766,'Previous Rank'!$B$2:$B2766=B2562,'Previous Rank'!$C$2:$C2766=C2562),"""")"),2560.0)</f>
        <v>2560</v>
      </c>
      <c r="H2562" s="8">
        <f t="shared" si="1"/>
        <v>-1</v>
      </c>
    </row>
    <row r="2563">
      <c r="A2563" s="10">
        <v>2562.0</v>
      </c>
      <c r="B2563" s="11" t="s">
        <v>2659</v>
      </c>
      <c r="C2563" s="10" t="s">
        <v>17</v>
      </c>
      <c r="D2563" s="10" t="s">
        <v>46</v>
      </c>
      <c r="E2563" s="12"/>
      <c r="F2563" s="12" t="s">
        <v>382</v>
      </c>
      <c r="G2563" s="13">
        <f>IFERROR(__xludf.DUMMYFUNCTION("if(counta(filter('Previous Rank'!$A$2:$A2766,'Previous Rank'!$B$2:$B2766=B2563,'Previous Rank'!$C$2:$C2766=C2563))=1,filter('Previous Rank'!$A$2:$A2766,'Previous Rank'!$B$2:$B2766=B2563,'Previous Rank'!$C$2:$C2766=C2563),"""")"),2561.0)</f>
        <v>2561</v>
      </c>
      <c r="H2563" s="8">
        <f t="shared" si="1"/>
        <v>-1</v>
      </c>
    </row>
    <row r="2564">
      <c r="A2564" s="10">
        <v>2563.0</v>
      </c>
      <c r="B2564" s="11" t="s">
        <v>2660</v>
      </c>
      <c r="C2564" s="10" t="s">
        <v>39</v>
      </c>
      <c r="D2564" s="10" t="s">
        <v>95</v>
      </c>
      <c r="E2564" s="16"/>
      <c r="F2564" s="16" t="s">
        <v>382</v>
      </c>
      <c r="G2564" s="13">
        <f>IFERROR(__xludf.DUMMYFUNCTION("if(counta(filter('Previous Rank'!$A$2:$A2766,'Previous Rank'!$B$2:$B2766=B2564,'Previous Rank'!$C$2:$C2766=C2564))=1,filter('Previous Rank'!$A$2:$A2766,'Previous Rank'!$B$2:$B2766=B2564,'Previous Rank'!$C$2:$C2766=C2564),"""")"),2562.0)</f>
        <v>2562</v>
      </c>
      <c r="H2564" s="8">
        <f t="shared" si="1"/>
        <v>-1</v>
      </c>
    </row>
    <row r="2565">
      <c r="A2565" s="10">
        <v>2564.0</v>
      </c>
      <c r="B2565" s="11" t="s">
        <v>2661</v>
      </c>
      <c r="C2565" s="10" t="s">
        <v>14</v>
      </c>
      <c r="D2565" s="10" t="s">
        <v>71</v>
      </c>
      <c r="E2565" s="15"/>
      <c r="F2565" s="15"/>
      <c r="G2565" s="13">
        <f>IFERROR(__xludf.DUMMYFUNCTION("if(counta(filter('Previous Rank'!$A$2:$A2766,'Previous Rank'!$B$2:$B2766=B2565,'Previous Rank'!$C$2:$C2766=C2565))=1,filter('Previous Rank'!$A$2:$A2766,'Previous Rank'!$B$2:$B2766=B2565,'Previous Rank'!$C$2:$C2766=C2565),"""")"),2563.0)</f>
        <v>2563</v>
      </c>
      <c r="H2565" s="8">
        <f t="shared" si="1"/>
        <v>-1</v>
      </c>
    </row>
    <row r="2566">
      <c r="A2566" s="10">
        <v>2565.0</v>
      </c>
      <c r="B2566" s="11" t="s">
        <v>2662</v>
      </c>
      <c r="C2566" s="10" t="s">
        <v>39</v>
      </c>
      <c r="D2566" s="10" t="s">
        <v>206</v>
      </c>
      <c r="E2566" s="16"/>
      <c r="F2566" s="16" t="s">
        <v>382</v>
      </c>
      <c r="G2566" s="13">
        <f>IFERROR(__xludf.DUMMYFUNCTION("if(counta(filter('Previous Rank'!$A$2:$A2766,'Previous Rank'!$B$2:$B2766=B2566,'Previous Rank'!$C$2:$C2766=C2566))=1,filter('Previous Rank'!$A$2:$A2766,'Previous Rank'!$B$2:$B2766=B2566,'Previous Rank'!$C$2:$C2766=C2566),"""")"),2564.0)</f>
        <v>2564</v>
      </c>
      <c r="H2566" s="8">
        <f t="shared" si="1"/>
        <v>-1</v>
      </c>
    </row>
    <row r="2567">
      <c r="A2567" s="10">
        <v>2566.0</v>
      </c>
      <c r="B2567" s="11" t="s">
        <v>2663</v>
      </c>
      <c r="C2567" s="10" t="s">
        <v>77</v>
      </c>
      <c r="D2567" s="10" t="s">
        <v>85</v>
      </c>
      <c r="E2567" s="15"/>
      <c r="F2567" s="15" t="s">
        <v>382</v>
      </c>
      <c r="G2567" s="13">
        <f>IFERROR(__xludf.DUMMYFUNCTION("if(counta(filter('Previous Rank'!$A$2:$A2766,'Previous Rank'!$B$2:$B2766=B2567,'Previous Rank'!$C$2:$C2766=C2567))=1,filter('Previous Rank'!$A$2:$A2766,'Previous Rank'!$B$2:$B2766=B2567,'Previous Rank'!$C$2:$C2766=C2567),"""")"),2565.0)</f>
        <v>2565</v>
      </c>
      <c r="H2567" s="8">
        <f t="shared" si="1"/>
        <v>-1</v>
      </c>
    </row>
    <row r="2568">
      <c r="A2568" s="10">
        <v>2567.0</v>
      </c>
      <c r="B2568" s="11" t="s">
        <v>2664</v>
      </c>
      <c r="C2568" s="10" t="s">
        <v>39</v>
      </c>
      <c r="D2568" s="10" t="s">
        <v>46</v>
      </c>
      <c r="E2568" s="16"/>
      <c r="F2568" s="16" t="s">
        <v>382</v>
      </c>
      <c r="G2568" s="13">
        <f>IFERROR(__xludf.DUMMYFUNCTION("if(counta(filter('Previous Rank'!$A$2:$A2766,'Previous Rank'!$B$2:$B2766=B2568,'Previous Rank'!$C$2:$C2766=C2568))=1,filter('Previous Rank'!$A$2:$A2766,'Previous Rank'!$B$2:$B2766=B2568,'Previous Rank'!$C$2:$C2766=C2568),"""")"),2566.0)</f>
        <v>2566</v>
      </c>
      <c r="H2568" s="8">
        <f t="shared" si="1"/>
        <v>-1</v>
      </c>
    </row>
    <row r="2569">
      <c r="A2569" s="10">
        <v>2568.0</v>
      </c>
      <c r="B2569" s="11" t="s">
        <v>2665</v>
      </c>
      <c r="C2569" s="10" t="s">
        <v>14</v>
      </c>
      <c r="D2569" s="10" t="s">
        <v>31</v>
      </c>
      <c r="E2569" s="15"/>
      <c r="F2569" s="15" t="s">
        <v>382</v>
      </c>
      <c r="G2569" s="13">
        <f>IFERROR(__xludf.DUMMYFUNCTION("if(counta(filter('Previous Rank'!$A$2:$A2766,'Previous Rank'!$B$2:$B2766=B2569,'Previous Rank'!$C$2:$C2766=C2569))=1,filter('Previous Rank'!$A$2:$A2766,'Previous Rank'!$B$2:$B2766=B2569,'Previous Rank'!$C$2:$C2766=C2569),"""")"),2567.0)</f>
        <v>2567</v>
      </c>
      <c r="H2569" s="8">
        <f t="shared" si="1"/>
        <v>-1</v>
      </c>
    </row>
    <row r="2570">
      <c r="A2570" s="10">
        <v>2569.0</v>
      </c>
      <c r="B2570" s="11" t="s">
        <v>2666</v>
      </c>
      <c r="C2570" s="10" t="s">
        <v>8</v>
      </c>
      <c r="D2570" s="10" t="s">
        <v>15</v>
      </c>
      <c r="E2570" s="16"/>
      <c r="F2570" s="16" t="s">
        <v>382</v>
      </c>
      <c r="G2570" s="13">
        <f>IFERROR(__xludf.DUMMYFUNCTION("if(counta(filter('Previous Rank'!$A$2:$A2766,'Previous Rank'!$B$2:$B2766=B2570,'Previous Rank'!$C$2:$C2766=C2570))=1,filter('Previous Rank'!$A$2:$A2766,'Previous Rank'!$B$2:$B2766=B2570,'Previous Rank'!$C$2:$C2766=C2570),"""")"),2568.0)</f>
        <v>2568</v>
      </c>
      <c r="H2570" s="8">
        <f t="shared" si="1"/>
        <v>-1</v>
      </c>
    </row>
    <row r="2571">
      <c r="A2571" s="10">
        <v>2570.0</v>
      </c>
      <c r="B2571" s="11" t="s">
        <v>2667</v>
      </c>
      <c r="C2571" s="10" t="s">
        <v>20</v>
      </c>
      <c r="D2571" s="10" t="s">
        <v>67</v>
      </c>
      <c r="E2571" s="15"/>
      <c r="F2571" s="15" t="s">
        <v>382</v>
      </c>
      <c r="G2571" s="13">
        <f>IFERROR(__xludf.DUMMYFUNCTION("if(counta(filter('Previous Rank'!$A$2:$A2766,'Previous Rank'!$B$2:$B2766=B2571,'Previous Rank'!$C$2:$C2766=C2571))=1,filter('Previous Rank'!$A$2:$A2766,'Previous Rank'!$B$2:$B2766=B2571,'Previous Rank'!$C$2:$C2766=C2571),"""")"),2569.0)</f>
        <v>2569</v>
      </c>
      <c r="H2571" s="8">
        <f t="shared" si="1"/>
        <v>-1</v>
      </c>
    </row>
    <row r="2572">
      <c r="A2572" s="10">
        <v>2571.0</v>
      </c>
      <c r="B2572" s="11" t="s">
        <v>2668</v>
      </c>
      <c r="C2572" s="10" t="s">
        <v>11</v>
      </c>
      <c r="D2572" s="10" t="s">
        <v>15</v>
      </c>
      <c r="E2572" s="16"/>
      <c r="F2572" s="16" t="s">
        <v>382</v>
      </c>
      <c r="G2572" s="13">
        <f>IFERROR(__xludf.DUMMYFUNCTION("if(counta(filter('Previous Rank'!$A$2:$A2766,'Previous Rank'!$B$2:$B2766=B2572,'Previous Rank'!$C$2:$C2766=C2572))=1,filter('Previous Rank'!$A$2:$A2766,'Previous Rank'!$B$2:$B2766=B2572,'Previous Rank'!$C$2:$C2766=C2572),"""")"),2570.0)</f>
        <v>2570</v>
      </c>
      <c r="H2572" s="8">
        <f t="shared" si="1"/>
        <v>-1</v>
      </c>
    </row>
    <row r="2573">
      <c r="A2573" s="10">
        <v>2572.0</v>
      </c>
      <c r="B2573" s="11" t="s">
        <v>2669</v>
      </c>
      <c r="C2573" s="10" t="s">
        <v>14</v>
      </c>
      <c r="D2573" s="10" t="s">
        <v>31</v>
      </c>
      <c r="E2573" s="15"/>
      <c r="F2573" s="15" t="s">
        <v>382</v>
      </c>
      <c r="G2573" s="13">
        <f>IFERROR(__xludf.DUMMYFUNCTION("if(counta(filter('Previous Rank'!$A$2:$A2766,'Previous Rank'!$B$2:$B2766=B2573,'Previous Rank'!$C$2:$C2766=C2573))=1,filter('Previous Rank'!$A$2:$A2766,'Previous Rank'!$B$2:$B2766=B2573,'Previous Rank'!$C$2:$C2766=C2573),"""")"),2571.0)</f>
        <v>2571</v>
      </c>
      <c r="H2573" s="8">
        <f t="shared" si="1"/>
        <v>-1</v>
      </c>
    </row>
    <row r="2574">
      <c r="A2574" s="10">
        <v>2573.0</v>
      </c>
      <c r="B2574" s="11" t="s">
        <v>2670</v>
      </c>
      <c r="C2574" s="10" t="s">
        <v>17</v>
      </c>
      <c r="D2574" s="10" t="s">
        <v>120</v>
      </c>
      <c r="E2574" s="16"/>
      <c r="F2574" s="16" t="s">
        <v>382</v>
      </c>
      <c r="G2574" s="13">
        <f>IFERROR(__xludf.DUMMYFUNCTION("if(counta(filter('Previous Rank'!$A$2:$A2766,'Previous Rank'!$B$2:$B2766=B2574,'Previous Rank'!$C$2:$C2766=C2574))=1,filter('Previous Rank'!$A$2:$A2766,'Previous Rank'!$B$2:$B2766=B2574,'Previous Rank'!$C$2:$C2766=C2574),"""")"),2572.0)</f>
        <v>2572</v>
      </c>
      <c r="H2574" s="8">
        <f t="shared" si="1"/>
        <v>-1</v>
      </c>
    </row>
    <row r="2575">
      <c r="A2575" s="10">
        <v>2574.0</v>
      </c>
      <c r="B2575" s="11" t="s">
        <v>2671</v>
      </c>
      <c r="C2575" s="10" t="s">
        <v>11</v>
      </c>
      <c r="D2575" s="10" t="s">
        <v>122</v>
      </c>
      <c r="E2575" s="15"/>
      <c r="F2575" s="15" t="s">
        <v>382</v>
      </c>
      <c r="G2575" s="13">
        <f>IFERROR(__xludf.DUMMYFUNCTION("if(counta(filter('Previous Rank'!$A$2:$A2766,'Previous Rank'!$B$2:$B2766=B2575,'Previous Rank'!$C$2:$C2766=C2575))=1,filter('Previous Rank'!$A$2:$A2766,'Previous Rank'!$B$2:$B2766=B2575,'Previous Rank'!$C$2:$C2766=C2575),"""")"),2573.0)</f>
        <v>2573</v>
      </c>
      <c r="H2575" s="8">
        <f t="shared" si="1"/>
        <v>-1</v>
      </c>
    </row>
    <row r="2576">
      <c r="A2576" s="10">
        <v>2575.0</v>
      </c>
      <c r="B2576" s="11" t="s">
        <v>2672</v>
      </c>
      <c r="C2576" s="10" t="s">
        <v>39</v>
      </c>
      <c r="D2576" s="10" t="s">
        <v>23</v>
      </c>
      <c r="E2576" s="16"/>
      <c r="F2576" s="16" t="s">
        <v>382</v>
      </c>
      <c r="G2576" s="13">
        <f>IFERROR(__xludf.DUMMYFUNCTION("if(counta(filter('Previous Rank'!$A$2:$A2766,'Previous Rank'!$B$2:$B2766=B2576,'Previous Rank'!$C$2:$C2766=C2576))=1,filter('Previous Rank'!$A$2:$A2766,'Previous Rank'!$B$2:$B2766=B2576,'Previous Rank'!$C$2:$C2766=C2576),"""")"),2574.0)</f>
        <v>2574</v>
      </c>
      <c r="H2576" s="8">
        <f t="shared" si="1"/>
        <v>-1</v>
      </c>
    </row>
    <row r="2577">
      <c r="A2577" s="10">
        <v>2576.0</v>
      </c>
      <c r="B2577" s="11" t="s">
        <v>2673</v>
      </c>
      <c r="C2577" s="10" t="s">
        <v>14</v>
      </c>
      <c r="D2577" s="10" t="s">
        <v>67</v>
      </c>
      <c r="E2577" s="15"/>
      <c r="F2577" s="15" t="s">
        <v>382</v>
      </c>
      <c r="G2577" s="13">
        <f>IFERROR(__xludf.DUMMYFUNCTION("if(counta(filter('Previous Rank'!$A$2:$A2766,'Previous Rank'!$B$2:$B2766=B2577,'Previous Rank'!$C$2:$C2766=C2577))=1,filter('Previous Rank'!$A$2:$A2766,'Previous Rank'!$B$2:$B2766=B2577,'Previous Rank'!$C$2:$C2766=C2577),"""")"),2575.0)</f>
        <v>2575</v>
      </c>
      <c r="H2577" s="8">
        <f t="shared" si="1"/>
        <v>-1</v>
      </c>
    </row>
    <row r="2578">
      <c r="A2578" s="10">
        <v>2577.0</v>
      </c>
      <c r="B2578" s="11" t="s">
        <v>2674</v>
      </c>
      <c r="C2578" s="10" t="s">
        <v>39</v>
      </c>
      <c r="D2578" s="10" t="s">
        <v>137</v>
      </c>
      <c r="E2578" s="16"/>
      <c r="F2578" s="16" t="s">
        <v>382</v>
      </c>
      <c r="G2578" s="13">
        <f>IFERROR(__xludf.DUMMYFUNCTION("if(counta(filter('Previous Rank'!$A$2:$A2766,'Previous Rank'!$B$2:$B2766=B2578,'Previous Rank'!$C$2:$C2766=C2578))=1,filter('Previous Rank'!$A$2:$A2766,'Previous Rank'!$B$2:$B2766=B2578,'Previous Rank'!$C$2:$C2766=C2578),"""")"),2576.0)</f>
        <v>2576</v>
      </c>
      <c r="H2578" s="8">
        <f t="shared" si="1"/>
        <v>-1</v>
      </c>
    </row>
    <row r="2579">
      <c r="A2579" s="10">
        <v>2578.0</v>
      </c>
      <c r="B2579" s="11" t="s">
        <v>2675</v>
      </c>
      <c r="C2579" s="10" t="s">
        <v>14</v>
      </c>
      <c r="D2579" s="10" t="s">
        <v>12</v>
      </c>
      <c r="E2579" s="15"/>
      <c r="F2579" s="15" t="s">
        <v>382</v>
      </c>
      <c r="G2579" s="13">
        <f>IFERROR(__xludf.DUMMYFUNCTION("if(counta(filter('Previous Rank'!$A$2:$A2766,'Previous Rank'!$B$2:$B2766=B2579,'Previous Rank'!$C$2:$C2766=C2579))=1,filter('Previous Rank'!$A$2:$A2766,'Previous Rank'!$B$2:$B2766=B2579,'Previous Rank'!$C$2:$C2766=C2579),"""")"),2577.0)</f>
        <v>2577</v>
      </c>
      <c r="H2579" s="8">
        <f t="shared" si="1"/>
        <v>-1</v>
      </c>
    </row>
    <row r="2580">
      <c r="A2580" s="10">
        <v>2579.0</v>
      </c>
      <c r="B2580" s="11" t="s">
        <v>2676</v>
      </c>
      <c r="C2580" s="10" t="s">
        <v>14</v>
      </c>
      <c r="D2580" s="10" t="s">
        <v>12</v>
      </c>
      <c r="E2580" s="16"/>
      <c r="F2580" s="16" t="s">
        <v>382</v>
      </c>
      <c r="G2580" s="13">
        <f>IFERROR(__xludf.DUMMYFUNCTION("if(counta(filter('Previous Rank'!$A$2:$A2766,'Previous Rank'!$B$2:$B2766=B2580,'Previous Rank'!$C$2:$C2766=C2580))=1,filter('Previous Rank'!$A$2:$A2766,'Previous Rank'!$B$2:$B2766=B2580,'Previous Rank'!$C$2:$C2766=C2580),"""")"),2578.0)</f>
        <v>2578</v>
      </c>
      <c r="H2580" s="8">
        <f t="shared" si="1"/>
        <v>-1</v>
      </c>
    </row>
    <row r="2581">
      <c r="A2581" s="10">
        <v>2580.0</v>
      </c>
      <c r="B2581" s="11" t="s">
        <v>2677</v>
      </c>
      <c r="C2581" s="10" t="s">
        <v>39</v>
      </c>
      <c r="D2581" s="10" t="s">
        <v>129</v>
      </c>
      <c r="E2581" s="15"/>
      <c r="F2581" s="15" t="s">
        <v>382</v>
      </c>
      <c r="G2581" s="13">
        <f>IFERROR(__xludf.DUMMYFUNCTION("if(counta(filter('Previous Rank'!$A$2:$A2766,'Previous Rank'!$B$2:$B2766=B2581,'Previous Rank'!$C$2:$C2766=C2581))=1,filter('Previous Rank'!$A$2:$A2766,'Previous Rank'!$B$2:$B2766=B2581,'Previous Rank'!$C$2:$C2766=C2581),"""")"),2580.0)</f>
        <v>2580</v>
      </c>
      <c r="H2581" s="8">
        <f t="shared" si="1"/>
        <v>0</v>
      </c>
    </row>
    <row r="2582">
      <c r="A2582" s="10">
        <v>2581.0</v>
      </c>
      <c r="B2582" s="11" t="s">
        <v>2678</v>
      </c>
      <c r="C2582" s="10" t="s">
        <v>8</v>
      </c>
      <c r="D2582" s="10" t="s">
        <v>137</v>
      </c>
      <c r="E2582" s="16"/>
      <c r="F2582" s="16" t="s">
        <v>382</v>
      </c>
      <c r="G2582" s="13">
        <f>IFERROR(__xludf.DUMMYFUNCTION("if(counta(filter('Previous Rank'!$A$2:$A2766,'Previous Rank'!$B$2:$B2766=B2582,'Previous Rank'!$C$2:$C2766=C2582))=1,filter('Previous Rank'!$A$2:$A2766,'Previous Rank'!$B$2:$B2766=B2582,'Previous Rank'!$C$2:$C2766=C2582),"""")"),2581.0)</f>
        <v>2581</v>
      </c>
      <c r="H2582" s="8">
        <f t="shared" si="1"/>
        <v>0</v>
      </c>
    </row>
    <row r="2583">
      <c r="A2583" s="10">
        <v>2582.0</v>
      </c>
      <c r="B2583" s="11" t="s">
        <v>2679</v>
      </c>
      <c r="C2583" s="10" t="s">
        <v>48</v>
      </c>
      <c r="D2583" s="10" t="s">
        <v>90</v>
      </c>
      <c r="E2583" s="15"/>
      <c r="F2583" s="15" t="s">
        <v>382</v>
      </c>
      <c r="G2583" s="13">
        <f>IFERROR(__xludf.DUMMYFUNCTION("if(counta(filter('Previous Rank'!$A$2:$A2766,'Previous Rank'!$B$2:$B2766=B2583,'Previous Rank'!$C$2:$C2766=C2583))=1,filter('Previous Rank'!$A$2:$A2766,'Previous Rank'!$B$2:$B2766=B2583,'Previous Rank'!$C$2:$C2766=C2583),"""")"),2582.0)</f>
        <v>2582</v>
      </c>
      <c r="H2583" s="8">
        <f t="shared" si="1"/>
        <v>0</v>
      </c>
    </row>
    <row r="2584">
      <c r="A2584" s="10">
        <v>2583.0</v>
      </c>
      <c r="B2584" s="11" t="s">
        <v>2680</v>
      </c>
      <c r="C2584" s="10" t="s">
        <v>17</v>
      </c>
      <c r="D2584" s="10" t="s">
        <v>25</v>
      </c>
      <c r="E2584" s="16"/>
      <c r="F2584" s="16" t="s">
        <v>382</v>
      </c>
      <c r="G2584" s="13">
        <f>IFERROR(__xludf.DUMMYFUNCTION("if(counta(filter('Previous Rank'!$A$2:$A2766,'Previous Rank'!$B$2:$B2766=B2584,'Previous Rank'!$C$2:$C2766=C2584))=1,filter('Previous Rank'!$A$2:$A2766,'Previous Rank'!$B$2:$B2766=B2584,'Previous Rank'!$C$2:$C2766=C2584),"""")"),2583.0)</f>
        <v>2583</v>
      </c>
      <c r="H2584" s="8">
        <f t="shared" si="1"/>
        <v>0</v>
      </c>
    </row>
    <row r="2585">
      <c r="A2585" s="10">
        <v>2584.0</v>
      </c>
      <c r="B2585" s="11" t="s">
        <v>2681</v>
      </c>
      <c r="C2585" s="10" t="s">
        <v>11</v>
      </c>
      <c r="D2585" s="10" t="s">
        <v>36</v>
      </c>
      <c r="E2585" s="15"/>
      <c r="F2585" s="15" t="s">
        <v>382</v>
      </c>
      <c r="G2585" s="13">
        <f>IFERROR(__xludf.DUMMYFUNCTION("if(counta(filter('Previous Rank'!$A$2:$A2766,'Previous Rank'!$B$2:$B2766=B2585,'Previous Rank'!$C$2:$C2766=C2585))=1,filter('Previous Rank'!$A$2:$A2766,'Previous Rank'!$B$2:$B2766=B2585,'Previous Rank'!$C$2:$C2766=C2585),"""")"),2584.0)</f>
        <v>2584</v>
      </c>
      <c r="H2585" s="8">
        <f t="shared" si="1"/>
        <v>0</v>
      </c>
    </row>
    <row r="2586">
      <c r="A2586" s="10">
        <v>2585.0</v>
      </c>
      <c r="B2586" s="11" t="s">
        <v>2682</v>
      </c>
      <c r="C2586" s="10" t="s">
        <v>11</v>
      </c>
      <c r="D2586" s="10" t="s">
        <v>82</v>
      </c>
      <c r="E2586" s="16"/>
      <c r="F2586" s="16" t="s">
        <v>382</v>
      </c>
      <c r="G2586" s="13">
        <f>IFERROR(__xludf.DUMMYFUNCTION("if(counta(filter('Previous Rank'!$A$2:$A2766,'Previous Rank'!$B$2:$B2766=B2586,'Previous Rank'!$C$2:$C2766=C2586))=1,filter('Previous Rank'!$A$2:$A2766,'Previous Rank'!$B$2:$B2766=B2586,'Previous Rank'!$C$2:$C2766=C2586),"""")"),2585.0)</f>
        <v>2585</v>
      </c>
      <c r="H2586" s="8">
        <f t="shared" si="1"/>
        <v>0</v>
      </c>
    </row>
    <row r="2587">
      <c r="A2587" s="10">
        <v>2586.0</v>
      </c>
      <c r="B2587" s="11" t="s">
        <v>2683</v>
      </c>
      <c r="C2587" s="10" t="s">
        <v>55</v>
      </c>
      <c r="D2587" s="10" t="s">
        <v>140</v>
      </c>
      <c r="E2587" s="15"/>
      <c r="F2587" s="15" t="s">
        <v>382</v>
      </c>
      <c r="G2587" s="13">
        <f>IFERROR(__xludf.DUMMYFUNCTION("if(counta(filter('Previous Rank'!$A$2:$A2766,'Previous Rank'!$B$2:$B2766=B2587,'Previous Rank'!$C$2:$C2766=C2587))=1,filter('Previous Rank'!$A$2:$A2766,'Previous Rank'!$B$2:$B2766=B2587,'Previous Rank'!$C$2:$C2766=C2587),"""")"),2586.0)</f>
        <v>2586</v>
      </c>
      <c r="H2587" s="8">
        <f t="shared" si="1"/>
        <v>0</v>
      </c>
    </row>
    <row r="2588">
      <c r="A2588" s="10">
        <v>2587.0</v>
      </c>
      <c r="B2588" s="11" t="s">
        <v>2684</v>
      </c>
      <c r="C2588" s="10" t="s">
        <v>17</v>
      </c>
      <c r="D2588" s="10" t="s">
        <v>71</v>
      </c>
      <c r="E2588" s="16"/>
      <c r="F2588" s="16" t="s">
        <v>382</v>
      </c>
      <c r="G2588" s="13">
        <f>IFERROR(__xludf.DUMMYFUNCTION("if(counta(filter('Previous Rank'!$A$2:$A2766,'Previous Rank'!$B$2:$B2766=B2588,'Previous Rank'!$C$2:$C2766=C2588))=1,filter('Previous Rank'!$A$2:$A2766,'Previous Rank'!$B$2:$B2766=B2588,'Previous Rank'!$C$2:$C2766=C2588),"""")"),2587.0)</f>
        <v>2587</v>
      </c>
      <c r="H2588" s="8">
        <f t="shared" si="1"/>
        <v>0</v>
      </c>
    </row>
    <row r="2589">
      <c r="A2589" s="10">
        <v>2588.0</v>
      </c>
      <c r="B2589" s="11" t="s">
        <v>2685</v>
      </c>
      <c r="C2589" s="10" t="s">
        <v>55</v>
      </c>
      <c r="D2589" s="10" t="s">
        <v>25</v>
      </c>
      <c r="E2589" s="15"/>
      <c r="F2589" s="15" t="s">
        <v>382</v>
      </c>
      <c r="G2589" s="13">
        <f>IFERROR(__xludf.DUMMYFUNCTION("if(counta(filter('Previous Rank'!$A$2:$A2766,'Previous Rank'!$B$2:$B2766=B2589,'Previous Rank'!$C$2:$C2766=C2589))=1,filter('Previous Rank'!$A$2:$A2766,'Previous Rank'!$B$2:$B2766=B2589,'Previous Rank'!$C$2:$C2766=C2589),"""")"),2588.0)</f>
        <v>2588</v>
      </c>
      <c r="H2589" s="8">
        <f t="shared" si="1"/>
        <v>0</v>
      </c>
    </row>
    <row r="2590">
      <c r="A2590" s="10">
        <v>2589.0</v>
      </c>
      <c r="B2590" s="11" t="s">
        <v>2686</v>
      </c>
      <c r="C2590" s="10" t="s">
        <v>77</v>
      </c>
      <c r="D2590" s="10" t="s">
        <v>113</v>
      </c>
      <c r="E2590" s="16"/>
      <c r="F2590" s="16" t="s">
        <v>382</v>
      </c>
      <c r="G2590" s="13">
        <f>IFERROR(__xludf.DUMMYFUNCTION("if(counta(filter('Previous Rank'!$A$2:$A2766,'Previous Rank'!$B$2:$B2766=B2590,'Previous Rank'!$C$2:$C2766=C2590))=1,filter('Previous Rank'!$A$2:$A2766,'Previous Rank'!$B$2:$B2766=B2590,'Previous Rank'!$C$2:$C2766=C2590),"""")"),2589.0)</f>
        <v>2589</v>
      </c>
      <c r="H2590" s="8">
        <f t="shared" si="1"/>
        <v>0</v>
      </c>
    </row>
    <row r="2591">
      <c r="A2591" s="10">
        <v>2590.0</v>
      </c>
      <c r="B2591" s="11" t="s">
        <v>409</v>
      </c>
      <c r="C2591" s="10" t="s">
        <v>240</v>
      </c>
      <c r="D2591" s="10" t="s">
        <v>137</v>
      </c>
      <c r="E2591" s="15"/>
      <c r="F2591" s="15" t="s">
        <v>382</v>
      </c>
      <c r="G2591" s="13">
        <f>IFERROR(__xludf.DUMMYFUNCTION("if(counta(filter('Previous Rank'!$A$2:$A2766,'Previous Rank'!$B$2:$B2766=B2591,'Previous Rank'!$C$2:$C2766=C2591))=1,filter('Previous Rank'!$A$2:$A2766,'Previous Rank'!$B$2:$B2766=B2591,'Previous Rank'!$C$2:$C2766=C2591),"""")"),2590.0)</f>
        <v>2590</v>
      </c>
      <c r="H2591" s="8">
        <f t="shared" si="1"/>
        <v>0</v>
      </c>
    </row>
    <row r="2592">
      <c r="A2592" s="10">
        <v>2591.0</v>
      </c>
      <c r="B2592" s="11" t="s">
        <v>2687</v>
      </c>
      <c r="C2592" s="10" t="s">
        <v>39</v>
      </c>
      <c r="D2592" s="10" t="s">
        <v>9</v>
      </c>
      <c r="E2592" s="16"/>
      <c r="F2592" s="16" t="s">
        <v>382</v>
      </c>
      <c r="G2592" s="13">
        <f>IFERROR(__xludf.DUMMYFUNCTION("if(counta(filter('Previous Rank'!$A$2:$A2766,'Previous Rank'!$B$2:$B2766=B2592,'Previous Rank'!$C$2:$C2766=C2592))=1,filter('Previous Rank'!$A$2:$A2766,'Previous Rank'!$B$2:$B2766=B2592,'Previous Rank'!$C$2:$C2766=C2592),"""")"),2591.0)</f>
        <v>2591</v>
      </c>
      <c r="H2592" s="8">
        <f t="shared" si="1"/>
        <v>0</v>
      </c>
    </row>
    <row r="2593">
      <c r="A2593" s="10">
        <v>2592.0</v>
      </c>
      <c r="B2593" s="11" t="s">
        <v>2688</v>
      </c>
      <c r="C2593" s="10" t="s">
        <v>77</v>
      </c>
      <c r="D2593" s="10" t="s">
        <v>52</v>
      </c>
      <c r="E2593" s="15"/>
      <c r="F2593" s="15" t="s">
        <v>382</v>
      </c>
      <c r="G2593" s="13">
        <f>IFERROR(__xludf.DUMMYFUNCTION("if(counta(filter('Previous Rank'!$A$2:$A2766,'Previous Rank'!$B$2:$B2766=B2593,'Previous Rank'!$C$2:$C2766=C2593))=1,filter('Previous Rank'!$A$2:$A2766,'Previous Rank'!$B$2:$B2766=B2593,'Previous Rank'!$C$2:$C2766=C2593),"""")"),2592.0)</f>
        <v>2592</v>
      </c>
      <c r="H2593" s="8">
        <f t="shared" si="1"/>
        <v>0</v>
      </c>
    </row>
    <row r="2594">
      <c r="A2594" s="10">
        <v>2593.0</v>
      </c>
      <c r="B2594" s="11" t="s">
        <v>2689</v>
      </c>
      <c r="C2594" s="10" t="s">
        <v>11</v>
      </c>
      <c r="D2594" s="10" t="s">
        <v>15</v>
      </c>
      <c r="E2594" s="16"/>
      <c r="F2594" s="16" t="s">
        <v>382</v>
      </c>
      <c r="G2594" s="13">
        <f>IFERROR(__xludf.DUMMYFUNCTION("if(counta(filter('Previous Rank'!$A$2:$A2766,'Previous Rank'!$B$2:$B2766=B2594,'Previous Rank'!$C$2:$C2766=C2594))=1,filter('Previous Rank'!$A$2:$A2766,'Previous Rank'!$B$2:$B2766=B2594,'Previous Rank'!$C$2:$C2766=C2594),"""")"),2593.0)</f>
        <v>2593</v>
      </c>
      <c r="H2594" s="8">
        <f t="shared" si="1"/>
        <v>0</v>
      </c>
    </row>
    <row r="2595">
      <c r="A2595" s="10">
        <v>2594.0</v>
      </c>
      <c r="B2595" s="11" t="s">
        <v>2690</v>
      </c>
      <c r="C2595" s="10" t="s">
        <v>14</v>
      </c>
      <c r="D2595" s="10" t="s">
        <v>42</v>
      </c>
      <c r="E2595" s="15"/>
      <c r="F2595" s="15" t="s">
        <v>382</v>
      </c>
      <c r="G2595" s="13">
        <f>IFERROR(__xludf.DUMMYFUNCTION("if(counta(filter('Previous Rank'!$A$2:$A2766,'Previous Rank'!$B$2:$B2766=B2595,'Previous Rank'!$C$2:$C2766=C2595))=1,filter('Previous Rank'!$A$2:$A2766,'Previous Rank'!$B$2:$B2766=B2595,'Previous Rank'!$C$2:$C2766=C2595),"""")"),2594.0)</f>
        <v>2594</v>
      </c>
      <c r="H2595" s="8">
        <f t="shared" si="1"/>
        <v>0</v>
      </c>
    </row>
    <row r="2596">
      <c r="A2596" s="10">
        <v>2595.0</v>
      </c>
      <c r="B2596" s="11" t="s">
        <v>2691</v>
      </c>
      <c r="C2596" s="10" t="s">
        <v>14</v>
      </c>
      <c r="D2596" s="10" t="s">
        <v>23</v>
      </c>
      <c r="E2596" s="16"/>
      <c r="F2596" s="16" t="s">
        <v>382</v>
      </c>
      <c r="G2596" s="13">
        <f>IFERROR(__xludf.DUMMYFUNCTION("if(counta(filter('Previous Rank'!$A$2:$A2766,'Previous Rank'!$B$2:$B2766=B2596,'Previous Rank'!$C$2:$C2766=C2596))=1,filter('Previous Rank'!$A$2:$A2766,'Previous Rank'!$B$2:$B2766=B2596,'Previous Rank'!$C$2:$C2766=C2596),"""")"),2595.0)</f>
        <v>2595</v>
      </c>
      <c r="H2596" s="8">
        <f t="shared" si="1"/>
        <v>0</v>
      </c>
    </row>
    <row r="2597">
      <c r="A2597" s="10">
        <v>2596.0</v>
      </c>
      <c r="B2597" s="11" t="s">
        <v>2692</v>
      </c>
      <c r="C2597" s="10" t="s">
        <v>39</v>
      </c>
      <c r="D2597" s="10" t="s">
        <v>95</v>
      </c>
      <c r="E2597" s="15"/>
      <c r="F2597" s="15" t="s">
        <v>382</v>
      </c>
      <c r="G2597" s="13">
        <f>IFERROR(__xludf.DUMMYFUNCTION("if(counta(filter('Previous Rank'!$A$2:$A2766,'Previous Rank'!$B$2:$B2766=B2597,'Previous Rank'!$C$2:$C2766=C2597))=1,filter('Previous Rank'!$A$2:$A2766,'Previous Rank'!$B$2:$B2766=B2597,'Previous Rank'!$C$2:$C2766=C2597),"""")"),2596.0)</f>
        <v>2596</v>
      </c>
      <c r="H2597" s="8">
        <f t="shared" si="1"/>
        <v>0</v>
      </c>
    </row>
    <row r="2598">
      <c r="A2598" s="10">
        <v>2597.0</v>
      </c>
      <c r="B2598" s="11" t="s">
        <v>2693</v>
      </c>
      <c r="C2598" s="10" t="s">
        <v>87</v>
      </c>
      <c r="D2598" s="10" t="s">
        <v>120</v>
      </c>
      <c r="E2598" s="16"/>
      <c r="F2598" s="16" t="s">
        <v>382</v>
      </c>
      <c r="G2598" s="13">
        <f>IFERROR(__xludf.DUMMYFUNCTION("if(counta(filter('Previous Rank'!$A$2:$A2766,'Previous Rank'!$B$2:$B2766=B2598,'Previous Rank'!$C$2:$C2766=C2598))=1,filter('Previous Rank'!$A$2:$A2766,'Previous Rank'!$B$2:$B2766=B2598,'Previous Rank'!$C$2:$C2766=C2598),"""")"),2597.0)</f>
        <v>2597</v>
      </c>
      <c r="H2598" s="8">
        <f t="shared" si="1"/>
        <v>0</v>
      </c>
    </row>
    <row r="2599">
      <c r="A2599" s="10">
        <v>2598.0</v>
      </c>
      <c r="B2599" s="11" t="s">
        <v>2694</v>
      </c>
      <c r="C2599" s="10" t="s">
        <v>55</v>
      </c>
      <c r="D2599" s="10" t="s">
        <v>27</v>
      </c>
      <c r="E2599" s="15"/>
      <c r="F2599" s="15" t="s">
        <v>382</v>
      </c>
      <c r="G2599" s="13">
        <f>IFERROR(__xludf.DUMMYFUNCTION("if(counta(filter('Previous Rank'!$A$2:$A2766,'Previous Rank'!$B$2:$B2766=B2599,'Previous Rank'!$C$2:$C2766=C2599))=1,filter('Previous Rank'!$A$2:$A2766,'Previous Rank'!$B$2:$B2766=B2599,'Previous Rank'!$C$2:$C2766=C2599),"""")"),2598.0)</f>
        <v>2598</v>
      </c>
      <c r="H2599" s="8">
        <f t="shared" si="1"/>
        <v>0</v>
      </c>
    </row>
    <row r="2600">
      <c r="A2600" s="10">
        <v>2599.0</v>
      </c>
      <c r="B2600" s="11" t="s">
        <v>2695</v>
      </c>
      <c r="C2600" s="10" t="s">
        <v>14</v>
      </c>
      <c r="D2600" s="10" t="s">
        <v>85</v>
      </c>
      <c r="E2600" s="16"/>
      <c r="F2600" s="16" t="s">
        <v>382</v>
      </c>
      <c r="G2600" s="13">
        <f>IFERROR(__xludf.DUMMYFUNCTION("if(counta(filter('Previous Rank'!$A$2:$A2766,'Previous Rank'!$B$2:$B2766=B2600,'Previous Rank'!$C$2:$C2766=C2600))=1,filter('Previous Rank'!$A$2:$A2766,'Previous Rank'!$B$2:$B2766=B2600,'Previous Rank'!$C$2:$C2766=C2600),"""")"),2599.0)</f>
        <v>2599</v>
      </c>
      <c r="H2600" s="8">
        <f t="shared" si="1"/>
        <v>0</v>
      </c>
    </row>
    <row r="2601">
      <c r="A2601" s="10">
        <v>2600.0</v>
      </c>
      <c r="B2601" s="11" t="s">
        <v>2696</v>
      </c>
      <c r="C2601" s="10" t="s">
        <v>39</v>
      </c>
      <c r="D2601" s="10" t="s">
        <v>99</v>
      </c>
      <c r="E2601" s="15"/>
      <c r="F2601" s="15" t="s">
        <v>382</v>
      </c>
      <c r="G2601" s="13">
        <f>IFERROR(__xludf.DUMMYFUNCTION("if(counta(filter('Previous Rank'!$A$2:$A2766,'Previous Rank'!$B$2:$B2766=B2601,'Previous Rank'!$C$2:$C2766=C2601))=1,filter('Previous Rank'!$A$2:$A2766,'Previous Rank'!$B$2:$B2766=B2601,'Previous Rank'!$C$2:$C2766=C2601),"""")"),2600.0)</f>
        <v>2600</v>
      </c>
      <c r="H2601" s="8">
        <f t="shared" si="1"/>
        <v>0</v>
      </c>
    </row>
    <row r="2602">
      <c r="A2602" s="10">
        <v>2601.0</v>
      </c>
      <c r="B2602" s="11" t="s">
        <v>2697</v>
      </c>
      <c r="C2602" s="10" t="s">
        <v>136</v>
      </c>
      <c r="D2602" s="10" t="s">
        <v>140</v>
      </c>
      <c r="E2602" s="16"/>
      <c r="F2602" s="16" t="s">
        <v>382</v>
      </c>
      <c r="G2602" s="13">
        <f>IFERROR(__xludf.DUMMYFUNCTION("if(counta(filter('Previous Rank'!$A$2:$A2766,'Previous Rank'!$B$2:$B2766=B2602,'Previous Rank'!$C$2:$C2766=C2602))=1,filter('Previous Rank'!$A$2:$A2766,'Previous Rank'!$B$2:$B2766=B2602,'Previous Rank'!$C$2:$C2766=C2602),"""")"),2601.0)</f>
        <v>2601</v>
      </c>
      <c r="H2602" s="8">
        <f t="shared" si="1"/>
        <v>0</v>
      </c>
    </row>
    <row r="2603">
      <c r="A2603" s="10">
        <v>2602.0</v>
      </c>
      <c r="B2603" s="11" t="s">
        <v>2698</v>
      </c>
      <c r="C2603" s="10" t="s">
        <v>39</v>
      </c>
      <c r="D2603" s="10" t="s">
        <v>206</v>
      </c>
      <c r="E2603" s="15"/>
      <c r="F2603" s="15" t="s">
        <v>382</v>
      </c>
      <c r="G2603" s="13">
        <f>IFERROR(__xludf.DUMMYFUNCTION("if(counta(filter('Previous Rank'!$A$2:$A2766,'Previous Rank'!$B$2:$B2766=B2603,'Previous Rank'!$C$2:$C2766=C2603))=1,filter('Previous Rank'!$A$2:$A2766,'Previous Rank'!$B$2:$B2766=B2603,'Previous Rank'!$C$2:$C2766=C2603),"""")"),2602.0)</f>
        <v>2602</v>
      </c>
      <c r="H2603" s="8">
        <f t="shared" si="1"/>
        <v>0</v>
      </c>
    </row>
    <row r="2604">
      <c r="A2604" s="10">
        <v>2603.0</v>
      </c>
      <c r="B2604" s="11" t="s">
        <v>2699</v>
      </c>
      <c r="C2604" s="10" t="s">
        <v>39</v>
      </c>
      <c r="D2604" s="10" t="s">
        <v>18</v>
      </c>
      <c r="E2604" s="16"/>
      <c r="F2604" s="16" t="s">
        <v>382</v>
      </c>
      <c r="G2604" s="13">
        <f>IFERROR(__xludf.DUMMYFUNCTION("if(counta(filter('Previous Rank'!$A$2:$A2766,'Previous Rank'!$B$2:$B2766=B2604,'Previous Rank'!$C$2:$C2766=C2604))=1,filter('Previous Rank'!$A$2:$A2766,'Previous Rank'!$B$2:$B2766=B2604,'Previous Rank'!$C$2:$C2766=C2604),"""")"),2603.0)</f>
        <v>2603</v>
      </c>
      <c r="H2604" s="8">
        <f t="shared" si="1"/>
        <v>0</v>
      </c>
    </row>
    <row r="2605">
      <c r="A2605" s="10">
        <v>2604.0</v>
      </c>
      <c r="B2605" s="11" t="s">
        <v>2700</v>
      </c>
      <c r="C2605" s="10" t="s">
        <v>20</v>
      </c>
      <c r="D2605" s="10" t="s">
        <v>105</v>
      </c>
      <c r="E2605" s="15"/>
      <c r="F2605" s="15" t="s">
        <v>382</v>
      </c>
      <c r="G2605" s="13">
        <f>IFERROR(__xludf.DUMMYFUNCTION("if(counta(filter('Previous Rank'!$A$2:$A2766,'Previous Rank'!$B$2:$B2766=B2605,'Previous Rank'!$C$2:$C2766=C2605))=1,filter('Previous Rank'!$A$2:$A2766,'Previous Rank'!$B$2:$B2766=B2605,'Previous Rank'!$C$2:$C2766=C2605),"""")"),2604.0)</f>
        <v>2604</v>
      </c>
      <c r="H2605" s="8">
        <f t="shared" si="1"/>
        <v>0</v>
      </c>
    </row>
    <row r="2606">
      <c r="A2606" s="10">
        <v>2605.0</v>
      </c>
      <c r="B2606" s="11" t="s">
        <v>2701</v>
      </c>
      <c r="C2606" s="10" t="s">
        <v>39</v>
      </c>
      <c r="D2606" s="10" t="s">
        <v>42</v>
      </c>
      <c r="E2606" s="16"/>
      <c r="F2606" s="16" t="s">
        <v>382</v>
      </c>
      <c r="G2606" s="13">
        <f>IFERROR(__xludf.DUMMYFUNCTION("if(counta(filter('Previous Rank'!$A$2:$A2766,'Previous Rank'!$B$2:$B2766=B2606,'Previous Rank'!$C$2:$C2766=C2606))=1,filter('Previous Rank'!$A$2:$A2766,'Previous Rank'!$B$2:$B2766=B2606,'Previous Rank'!$C$2:$C2766=C2606),"""")"),2605.0)</f>
        <v>2605</v>
      </c>
      <c r="H2606" s="8">
        <f t="shared" si="1"/>
        <v>0</v>
      </c>
    </row>
    <row r="2607">
      <c r="A2607" s="10">
        <v>2606.0</v>
      </c>
      <c r="B2607" s="11" t="s">
        <v>2702</v>
      </c>
      <c r="C2607" s="10" t="s">
        <v>14</v>
      </c>
      <c r="D2607" s="10" t="s">
        <v>67</v>
      </c>
      <c r="E2607" s="15"/>
      <c r="F2607" s="15" t="s">
        <v>382</v>
      </c>
      <c r="G2607" s="13">
        <f>IFERROR(__xludf.DUMMYFUNCTION("if(counta(filter('Previous Rank'!$A$2:$A2766,'Previous Rank'!$B$2:$B2766=B2607,'Previous Rank'!$C$2:$C2766=C2607))=1,filter('Previous Rank'!$A$2:$A2766,'Previous Rank'!$B$2:$B2766=B2607,'Previous Rank'!$C$2:$C2766=C2607),"""")"),2606.0)</f>
        <v>2606</v>
      </c>
      <c r="H2607" s="8">
        <f t="shared" si="1"/>
        <v>0</v>
      </c>
    </row>
    <row r="2608">
      <c r="A2608" s="10">
        <v>2607.0</v>
      </c>
      <c r="B2608" s="11" t="s">
        <v>2703</v>
      </c>
      <c r="C2608" s="10" t="s">
        <v>14</v>
      </c>
      <c r="D2608" s="10" t="s">
        <v>12</v>
      </c>
      <c r="E2608" s="16"/>
      <c r="F2608" s="16" t="s">
        <v>382</v>
      </c>
      <c r="G2608" s="13">
        <f>IFERROR(__xludf.DUMMYFUNCTION("if(counta(filter('Previous Rank'!$A$2:$A2766,'Previous Rank'!$B$2:$B2766=B2608,'Previous Rank'!$C$2:$C2766=C2608))=1,filter('Previous Rank'!$A$2:$A2766,'Previous Rank'!$B$2:$B2766=B2608,'Previous Rank'!$C$2:$C2766=C2608),"""")"),2607.0)</f>
        <v>2607</v>
      </c>
      <c r="H2608" s="8">
        <f t="shared" si="1"/>
        <v>0</v>
      </c>
    </row>
    <row r="2609">
      <c r="A2609" s="10">
        <v>2608.0</v>
      </c>
      <c r="B2609" s="11" t="s">
        <v>2704</v>
      </c>
      <c r="C2609" s="10" t="s">
        <v>14</v>
      </c>
      <c r="D2609" s="10" t="s">
        <v>42</v>
      </c>
      <c r="E2609" s="15"/>
      <c r="F2609" s="15" t="s">
        <v>382</v>
      </c>
      <c r="G2609" s="13">
        <f>IFERROR(__xludf.DUMMYFUNCTION("if(counta(filter('Previous Rank'!$A$2:$A2766,'Previous Rank'!$B$2:$B2766=B2609,'Previous Rank'!$C$2:$C2766=C2609))=1,filter('Previous Rank'!$A$2:$A2766,'Previous Rank'!$B$2:$B2766=B2609,'Previous Rank'!$C$2:$C2766=C2609),"""")"),2608.0)</f>
        <v>2608</v>
      </c>
      <c r="H2609" s="8">
        <f t="shared" si="1"/>
        <v>0</v>
      </c>
    </row>
    <row r="2610">
      <c r="A2610" s="10">
        <v>2609.0</v>
      </c>
      <c r="B2610" s="11" t="s">
        <v>2705</v>
      </c>
      <c r="C2610" s="10" t="s">
        <v>17</v>
      </c>
      <c r="D2610" s="10" t="s">
        <v>129</v>
      </c>
      <c r="E2610" s="16"/>
      <c r="F2610" s="16" t="s">
        <v>382</v>
      </c>
      <c r="G2610" s="13">
        <f>IFERROR(__xludf.DUMMYFUNCTION("if(counta(filter('Previous Rank'!$A$2:$A2766,'Previous Rank'!$B$2:$B2766=B2610,'Previous Rank'!$C$2:$C2766=C2610))=1,filter('Previous Rank'!$A$2:$A2766,'Previous Rank'!$B$2:$B2766=B2610,'Previous Rank'!$C$2:$C2766=C2610),"""")"),2609.0)</f>
        <v>2609</v>
      </c>
      <c r="H2610" s="8">
        <f t="shared" si="1"/>
        <v>0</v>
      </c>
    </row>
    <row r="2611">
      <c r="A2611" s="10">
        <v>2610.0</v>
      </c>
      <c r="B2611" s="11" t="s">
        <v>2706</v>
      </c>
      <c r="C2611" s="10" t="s">
        <v>240</v>
      </c>
      <c r="D2611" s="10" t="s">
        <v>206</v>
      </c>
      <c r="E2611" s="15"/>
      <c r="F2611" s="15" t="s">
        <v>382</v>
      </c>
      <c r="G2611" s="13">
        <f>IFERROR(__xludf.DUMMYFUNCTION("if(counta(filter('Previous Rank'!$A$2:$A2766,'Previous Rank'!$B$2:$B2766=B2611,'Previous Rank'!$C$2:$C2766=C2611))=1,filter('Previous Rank'!$A$2:$A2766,'Previous Rank'!$B$2:$B2766=B2611,'Previous Rank'!$C$2:$C2766=C2611),"""")"),2610.0)</f>
        <v>2610</v>
      </c>
      <c r="H2611" s="8">
        <f t="shared" si="1"/>
        <v>0</v>
      </c>
    </row>
    <row r="2612">
      <c r="A2612" s="10">
        <v>2611.0</v>
      </c>
      <c r="B2612" s="11" t="s">
        <v>2707</v>
      </c>
      <c r="C2612" s="10" t="s">
        <v>17</v>
      </c>
      <c r="D2612" s="10" t="s">
        <v>9</v>
      </c>
      <c r="E2612" s="16"/>
      <c r="F2612" s="16" t="s">
        <v>382</v>
      </c>
      <c r="G2612" s="13">
        <f>IFERROR(__xludf.DUMMYFUNCTION("if(counta(filter('Previous Rank'!$A$2:$A2766,'Previous Rank'!$B$2:$B2766=B2612,'Previous Rank'!$C$2:$C2766=C2612))=1,filter('Previous Rank'!$A$2:$A2766,'Previous Rank'!$B$2:$B2766=B2612,'Previous Rank'!$C$2:$C2766=C2612),"""")"),2611.0)</f>
        <v>2611</v>
      </c>
      <c r="H2612" s="8">
        <f t="shared" si="1"/>
        <v>0</v>
      </c>
    </row>
    <row r="2613">
      <c r="A2613" s="10">
        <v>2612.0</v>
      </c>
      <c r="B2613" s="11" t="s">
        <v>2708</v>
      </c>
      <c r="C2613" s="10" t="s">
        <v>17</v>
      </c>
      <c r="D2613" s="10" t="s">
        <v>85</v>
      </c>
      <c r="E2613" s="15"/>
      <c r="F2613" s="15"/>
      <c r="G2613" s="13">
        <f>IFERROR(__xludf.DUMMYFUNCTION("if(counta(filter('Previous Rank'!$A$2:$A2766,'Previous Rank'!$B$2:$B2766=B2613,'Previous Rank'!$C$2:$C2766=C2613))=1,filter('Previous Rank'!$A$2:$A2766,'Previous Rank'!$B$2:$B2766=B2613,'Previous Rank'!$C$2:$C2766=C2613),"""")"),2612.0)</f>
        <v>2612</v>
      </c>
      <c r="H2613" s="8">
        <f t="shared" si="1"/>
        <v>0</v>
      </c>
    </row>
    <row r="2614">
      <c r="A2614" s="10">
        <v>2613.0</v>
      </c>
      <c r="B2614" s="11" t="s">
        <v>2709</v>
      </c>
      <c r="C2614" s="10" t="s">
        <v>77</v>
      </c>
      <c r="D2614" s="10" t="s">
        <v>140</v>
      </c>
      <c r="E2614" s="16"/>
      <c r="F2614" s="16" t="s">
        <v>382</v>
      </c>
      <c r="G2614" s="13">
        <f>IFERROR(__xludf.DUMMYFUNCTION("if(counta(filter('Previous Rank'!$A$2:$A2766,'Previous Rank'!$B$2:$B2766=B2614,'Previous Rank'!$C$2:$C2766=C2614))=1,filter('Previous Rank'!$A$2:$A2766,'Previous Rank'!$B$2:$B2766=B2614,'Previous Rank'!$C$2:$C2766=C2614),"""")"),2613.0)</f>
        <v>2613</v>
      </c>
      <c r="H2614" s="8">
        <f t="shared" si="1"/>
        <v>0</v>
      </c>
    </row>
    <row r="2615">
      <c r="A2615" s="10">
        <v>2614.0</v>
      </c>
      <c r="B2615" s="11" t="s">
        <v>2710</v>
      </c>
      <c r="C2615" s="10" t="s">
        <v>77</v>
      </c>
      <c r="D2615" s="10" t="s">
        <v>120</v>
      </c>
      <c r="E2615" s="15"/>
      <c r="F2615" s="15" t="s">
        <v>382</v>
      </c>
      <c r="G2615" s="13">
        <f>IFERROR(__xludf.DUMMYFUNCTION("if(counta(filter('Previous Rank'!$A$2:$A2766,'Previous Rank'!$B$2:$B2766=B2615,'Previous Rank'!$C$2:$C2766=C2615))=1,filter('Previous Rank'!$A$2:$A2766,'Previous Rank'!$B$2:$B2766=B2615,'Previous Rank'!$C$2:$C2766=C2615),"""")"),2614.0)</f>
        <v>2614</v>
      </c>
      <c r="H2615" s="8">
        <f t="shared" si="1"/>
        <v>0</v>
      </c>
    </row>
    <row r="2616">
      <c r="A2616" s="10">
        <v>2615.0</v>
      </c>
      <c r="B2616" s="11" t="s">
        <v>2711</v>
      </c>
      <c r="C2616" s="10" t="s">
        <v>55</v>
      </c>
      <c r="D2616" s="10" t="s">
        <v>113</v>
      </c>
      <c r="E2616" s="16"/>
      <c r="F2616" s="16" t="s">
        <v>382</v>
      </c>
      <c r="G2616" s="13">
        <f>IFERROR(__xludf.DUMMYFUNCTION("if(counta(filter('Previous Rank'!$A$2:$A2766,'Previous Rank'!$B$2:$B2766=B2616,'Previous Rank'!$C$2:$C2766=C2616))=1,filter('Previous Rank'!$A$2:$A2766,'Previous Rank'!$B$2:$B2766=B2616,'Previous Rank'!$C$2:$C2766=C2616),"""")"),2615.0)</f>
        <v>2615</v>
      </c>
      <c r="H2616" s="8">
        <f t="shared" si="1"/>
        <v>0</v>
      </c>
    </row>
    <row r="2617">
      <c r="A2617" s="10">
        <v>2616.0</v>
      </c>
      <c r="B2617" s="11" t="s">
        <v>2712</v>
      </c>
      <c r="C2617" s="10" t="s">
        <v>14</v>
      </c>
      <c r="D2617" s="10" t="s">
        <v>73</v>
      </c>
      <c r="E2617" s="15"/>
      <c r="F2617" s="15" t="s">
        <v>382</v>
      </c>
      <c r="G2617" s="13">
        <f>IFERROR(__xludf.DUMMYFUNCTION("if(counta(filter('Previous Rank'!$A$2:$A2766,'Previous Rank'!$B$2:$B2766=B2617,'Previous Rank'!$C$2:$C2766=C2617))=1,filter('Previous Rank'!$A$2:$A2766,'Previous Rank'!$B$2:$B2766=B2617,'Previous Rank'!$C$2:$C2766=C2617),"""")"),2616.0)</f>
        <v>2616</v>
      </c>
      <c r="H2617" s="8">
        <f t="shared" si="1"/>
        <v>0</v>
      </c>
    </row>
    <row r="2618">
      <c r="A2618" s="10">
        <v>2617.0</v>
      </c>
      <c r="B2618" s="11" t="s">
        <v>2713</v>
      </c>
      <c r="C2618" s="10" t="s">
        <v>11</v>
      </c>
      <c r="D2618" s="10" t="s">
        <v>73</v>
      </c>
      <c r="E2618" s="16"/>
      <c r="F2618" s="16" t="s">
        <v>382</v>
      </c>
      <c r="G2618" s="13">
        <f>IFERROR(__xludf.DUMMYFUNCTION("if(counta(filter('Previous Rank'!$A$2:$A2766,'Previous Rank'!$B$2:$B2766=B2618,'Previous Rank'!$C$2:$C2766=C2618))=1,filter('Previous Rank'!$A$2:$A2766,'Previous Rank'!$B$2:$B2766=B2618,'Previous Rank'!$C$2:$C2766=C2618),"""")"),2617.0)</f>
        <v>2617</v>
      </c>
      <c r="H2618" s="8">
        <f t="shared" si="1"/>
        <v>0</v>
      </c>
    </row>
    <row r="2619">
      <c r="A2619" s="10">
        <v>2618.0</v>
      </c>
      <c r="B2619" s="11" t="s">
        <v>2714</v>
      </c>
      <c r="C2619" s="10" t="s">
        <v>39</v>
      </c>
      <c r="D2619" s="10" t="s">
        <v>52</v>
      </c>
      <c r="E2619" s="15"/>
      <c r="F2619" s="15" t="s">
        <v>382</v>
      </c>
      <c r="G2619" s="13">
        <f>IFERROR(__xludf.DUMMYFUNCTION("if(counta(filter('Previous Rank'!$A$2:$A2766,'Previous Rank'!$B$2:$B2766=B2619,'Previous Rank'!$C$2:$C2766=C2619))=1,filter('Previous Rank'!$A$2:$A2766,'Previous Rank'!$B$2:$B2766=B2619,'Previous Rank'!$C$2:$C2766=C2619),"""")"),2618.0)</f>
        <v>2618</v>
      </c>
      <c r="H2619" s="8">
        <f t="shared" si="1"/>
        <v>0</v>
      </c>
    </row>
    <row r="2620">
      <c r="A2620" s="10">
        <v>2619.0</v>
      </c>
      <c r="B2620" s="11" t="s">
        <v>2715</v>
      </c>
      <c r="C2620" s="10" t="s">
        <v>48</v>
      </c>
      <c r="D2620" s="10" t="s">
        <v>12</v>
      </c>
      <c r="E2620" s="16"/>
      <c r="F2620" s="16" t="s">
        <v>382</v>
      </c>
      <c r="G2620" s="13">
        <f>IFERROR(__xludf.DUMMYFUNCTION("if(counta(filter('Previous Rank'!$A$2:$A2766,'Previous Rank'!$B$2:$B2766=B2620,'Previous Rank'!$C$2:$C2766=C2620))=1,filter('Previous Rank'!$A$2:$A2766,'Previous Rank'!$B$2:$B2766=B2620,'Previous Rank'!$C$2:$C2766=C2620),"""")"),2619.0)</f>
        <v>2619</v>
      </c>
      <c r="H2620" s="8">
        <f t="shared" si="1"/>
        <v>0</v>
      </c>
    </row>
    <row r="2621">
      <c r="A2621" s="10">
        <v>2620.0</v>
      </c>
      <c r="B2621" s="11" t="s">
        <v>2716</v>
      </c>
      <c r="C2621" s="10" t="s">
        <v>2717</v>
      </c>
      <c r="D2621" s="10" t="s">
        <v>122</v>
      </c>
      <c r="E2621" s="15"/>
      <c r="F2621" s="15" t="s">
        <v>382</v>
      </c>
      <c r="G2621" s="13">
        <f>IFERROR(__xludf.DUMMYFUNCTION("if(counta(filter('Previous Rank'!$A$2:$A2766,'Previous Rank'!$B$2:$B2766=B2621,'Previous Rank'!$C$2:$C2766=C2621))=1,filter('Previous Rank'!$A$2:$A2766,'Previous Rank'!$B$2:$B2766=B2621,'Previous Rank'!$C$2:$C2766=C2621),"""")"),2620.0)</f>
        <v>2620</v>
      </c>
      <c r="H2621" s="8">
        <f t="shared" si="1"/>
        <v>0</v>
      </c>
    </row>
    <row r="2622">
      <c r="A2622" s="10">
        <v>2621.0</v>
      </c>
      <c r="B2622" s="11" t="s">
        <v>2718</v>
      </c>
      <c r="C2622" s="10" t="s">
        <v>14</v>
      </c>
      <c r="D2622" s="10" t="s">
        <v>120</v>
      </c>
      <c r="E2622" s="16"/>
      <c r="F2622" s="16" t="s">
        <v>382</v>
      </c>
      <c r="G2622" s="13">
        <f>IFERROR(__xludf.DUMMYFUNCTION("if(counta(filter('Previous Rank'!$A$2:$A2766,'Previous Rank'!$B$2:$B2766=B2622,'Previous Rank'!$C$2:$C2766=C2622))=1,filter('Previous Rank'!$A$2:$A2766,'Previous Rank'!$B$2:$B2766=B2622,'Previous Rank'!$C$2:$C2766=C2622),"""")"),2621.0)</f>
        <v>2621</v>
      </c>
      <c r="H2622" s="8">
        <f t="shared" si="1"/>
        <v>0</v>
      </c>
    </row>
    <row r="2623">
      <c r="A2623" s="10">
        <v>2622.0</v>
      </c>
      <c r="B2623" s="11" t="s">
        <v>2719</v>
      </c>
      <c r="C2623" s="10" t="s">
        <v>77</v>
      </c>
      <c r="D2623" s="10" t="s">
        <v>27</v>
      </c>
      <c r="E2623" s="15"/>
      <c r="F2623" s="15" t="s">
        <v>382</v>
      </c>
      <c r="G2623" s="13">
        <f>IFERROR(__xludf.DUMMYFUNCTION("if(counta(filter('Previous Rank'!$A$2:$A2766,'Previous Rank'!$B$2:$B2766=B2623,'Previous Rank'!$C$2:$C2766=C2623))=1,filter('Previous Rank'!$A$2:$A2766,'Previous Rank'!$B$2:$B2766=B2623,'Previous Rank'!$C$2:$C2766=C2623),"""")"),2622.0)</f>
        <v>2622</v>
      </c>
      <c r="H2623" s="8">
        <f t="shared" si="1"/>
        <v>0</v>
      </c>
    </row>
    <row r="2624">
      <c r="A2624" s="10">
        <v>2623.0</v>
      </c>
      <c r="B2624" s="11" t="s">
        <v>2720</v>
      </c>
      <c r="C2624" s="10" t="s">
        <v>48</v>
      </c>
      <c r="D2624" s="10" t="s">
        <v>99</v>
      </c>
      <c r="E2624" s="16"/>
      <c r="F2624" s="16" t="s">
        <v>382</v>
      </c>
      <c r="G2624" s="13">
        <f>IFERROR(__xludf.DUMMYFUNCTION("if(counta(filter('Previous Rank'!$A$2:$A2766,'Previous Rank'!$B$2:$B2766=B2624,'Previous Rank'!$C$2:$C2766=C2624))=1,filter('Previous Rank'!$A$2:$A2766,'Previous Rank'!$B$2:$B2766=B2624,'Previous Rank'!$C$2:$C2766=C2624),"""")"),2623.0)</f>
        <v>2623</v>
      </c>
      <c r="H2624" s="8">
        <f t="shared" si="1"/>
        <v>0</v>
      </c>
    </row>
    <row r="2625">
      <c r="A2625" s="10">
        <v>2624.0</v>
      </c>
      <c r="B2625" s="11" t="s">
        <v>2721</v>
      </c>
      <c r="C2625" s="10" t="s">
        <v>14</v>
      </c>
      <c r="D2625" s="10" t="s">
        <v>120</v>
      </c>
      <c r="E2625" s="15"/>
      <c r="F2625" s="15" t="s">
        <v>382</v>
      </c>
      <c r="G2625" s="13">
        <f>IFERROR(__xludf.DUMMYFUNCTION("if(counta(filter('Previous Rank'!$A$2:$A2766,'Previous Rank'!$B$2:$B2766=B2625,'Previous Rank'!$C$2:$C2766=C2625))=1,filter('Previous Rank'!$A$2:$A2766,'Previous Rank'!$B$2:$B2766=B2625,'Previous Rank'!$C$2:$C2766=C2625),"""")"),2624.0)</f>
        <v>2624</v>
      </c>
      <c r="H2625" s="8">
        <f t="shared" si="1"/>
        <v>0</v>
      </c>
    </row>
    <row r="2626">
      <c r="A2626" s="10">
        <v>2625.0</v>
      </c>
      <c r="B2626" s="11" t="s">
        <v>2722</v>
      </c>
      <c r="C2626" s="10" t="s">
        <v>20</v>
      </c>
      <c r="D2626" s="10" t="s">
        <v>206</v>
      </c>
      <c r="E2626" s="16"/>
      <c r="F2626" s="16" t="s">
        <v>382</v>
      </c>
      <c r="G2626" s="13">
        <f>IFERROR(__xludf.DUMMYFUNCTION("if(counta(filter('Previous Rank'!$A$2:$A2766,'Previous Rank'!$B$2:$B2766=B2626,'Previous Rank'!$C$2:$C2766=C2626))=1,filter('Previous Rank'!$A$2:$A2766,'Previous Rank'!$B$2:$B2766=B2626,'Previous Rank'!$C$2:$C2766=C2626),"""")"),2625.0)</f>
        <v>2625</v>
      </c>
      <c r="H2626" s="8">
        <f t="shared" si="1"/>
        <v>0</v>
      </c>
    </row>
    <row r="2627">
      <c r="A2627" s="10">
        <v>2626.0</v>
      </c>
      <c r="B2627" s="11" t="s">
        <v>2723</v>
      </c>
      <c r="C2627" s="10" t="s">
        <v>14</v>
      </c>
      <c r="D2627" s="10" t="s">
        <v>18</v>
      </c>
      <c r="E2627" s="15"/>
      <c r="F2627" s="15" t="s">
        <v>382</v>
      </c>
      <c r="G2627" s="13">
        <f>IFERROR(__xludf.DUMMYFUNCTION("if(counta(filter('Previous Rank'!$A$2:$A2766,'Previous Rank'!$B$2:$B2766=B2627,'Previous Rank'!$C$2:$C2766=C2627))=1,filter('Previous Rank'!$A$2:$A2766,'Previous Rank'!$B$2:$B2766=B2627,'Previous Rank'!$C$2:$C2766=C2627),"""")"),2626.0)</f>
        <v>2626</v>
      </c>
      <c r="H2627" s="8">
        <f t="shared" si="1"/>
        <v>0</v>
      </c>
    </row>
    <row r="2628">
      <c r="A2628" s="10">
        <v>2627.0</v>
      </c>
      <c r="B2628" s="11" t="s">
        <v>2724</v>
      </c>
      <c r="C2628" s="10" t="s">
        <v>77</v>
      </c>
      <c r="D2628" s="10" t="s">
        <v>99</v>
      </c>
      <c r="E2628" s="16"/>
      <c r="F2628" s="16" t="s">
        <v>382</v>
      </c>
      <c r="G2628" s="13">
        <f>IFERROR(__xludf.DUMMYFUNCTION("if(counta(filter('Previous Rank'!$A$2:$A2766,'Previous Rank'!$B$2:$B2766=B2628,'Previous Rank'!$C$2:$C2766=C2628))=1,filter('Previous Rank'!$A$2:$A2766,'Previous Rank'!$B$2:$B2766=B2628,'Previous Rank'!$C$2:$C2766=C2628),"""")"),2627.0)</f>
        <v>2627</v>
      </c>
      <c r="H2628" s="8">
        <f t="shared" si="1"/>
        <v>0</v>
      </c>
    </row>
    <row r="2629">
      <c r="A2629" s="10">
        <v>2628.0</v>
      </c>
      <c r="B2629" s="11" t="s">
        <v>2725</v>
      </c>
      <c r="C2629" s="10" t="s">
        <v>17</v>
      </c>
      <c r="D2629" s="10" t="s">
        <v>52</v>
      </c>
      <c r="E2629" s="15"/>
      <c r="F2629" s="15" t="s">
        <v>382</v>
      </c>
      <c r="G2629" s="13">
        <f>IFERROR(__xludf.DUMMYFUNCTION("if(counta(filter('Previous Rank'!$A$2:$A2766,'Previous Rank'!$B$2:$B2766=B2629,'Previous Rank'!$C$2:$C2766=C2629))=1,filter('Previous Rank'!$A$2:$A2766,'Previous Rank'!$B$2:$B2766=B2629,'Previous Rank'!$C$2:$C2766=C2629),"""")"),2628.0)</f>
        <v>2628</v>
      </c>
      <c r="H2629" s="8">
        <f t="shared" si="1"/>
        <v>0</v>
      </c>
    </row>
    <row r="2630">
      <c r="A2630" s="10">
        <v>2629.0</v>
      </c>
      <c r="B2630" s="11" t="s">
        <v>2726</v>
      </c>
      <c r="C2630" s="10" t="s">
        <v>39</v>
      </c>
      <c r="D2630" s="10" t="s">
        <v>9</v>
      </c>
      <c r="E2630" s="16"/>
      <c r="F2630" s="16" t="s">
        <v>382</v>
      </c>
      <c r="G2630" s="13">
        <f>IFERROR(__xludf.DUMMYFUNCTION("if(counta(filter('Previous Rank'!$A$2:$A2766,'Previous Rank'!$B$2:$B2766=B2630,'Previous Rank'!$C$2:$C2766=C2630))=1,filter('Previous Rank'!$A$2:$A2766,'Previous Rank'!$B$2:$B2766=B2630,'Previous Rank'!$C$2:$C2766=C2630),"""")"),2629.0)</f>
        <v>2629</v>
      </c>
      <c r="H2630" s="8">
        <f t="shared" si="1"/>
        <v>0</v>
      </c>
    </row>
    <row r="2631">
      <c r="A2631" s="10">
        <v>2630.0</v>
      </c>
      <c r="B2631" s="11" t="s">
        <v>2727</v>
      </c>
      <c r="C2631" s="10" t="s">
        <v>77</v>
      </c>
      <c r="D2631" s="10" t="s">
        <v>90</v>
      </c>
      <c r="E2631" s="15"/>
      <c r="F2631" s="15" t="s">
        <v>382</v>
      </c>
      <c r="G2631" s="13">
        <f>IFERROR(__xludf.DUMMYFUNCTION("if(counta(filter('Previous Rank'!$A$2:$A2766,'Previous Rank'!$B$2:$B2766=B2631,'Previous Rank'!$C$2:$C2766=C2631))=1,filter('Previous Rank'!$A$2:$A2766,'Previous Rank'!$B$2:$B2766=B2631,'Previous Rank'!$C$2:$C2766=C2631),"""")"),2630.0)</f>
        <v>2630</v>
      </c>
      <c r="H2631" s="8">
        <f t="shared" si="1"/>
        <v>0</v>
      </c>
    </row>
    <row r="2632">
      <c r="A2632" s="10">
        <v>2631.0</v>
      </c>
      <c r="B2632" s="11" t="s">
        <v>2728</v>
      </c>
      <c r="C2632" s="10" t="s">
        <v>20</v>
      </c>
      <c r="D2632" s="10" t="s">
        <v>67</v>
      </c>
      <c r="E2632" s="16"/>
      <c r="F2632" s="16" t="s">
        <v>382</v>
      </c>
      <c r="G2632" s="13">
        <f>IFERROR(__xludf.DUMMYFUNCTION("if(counta(filter('Previous Rank'!$A$2:$A2766,'Previous Rank'!$B$2:$B2766=B2632,'Previous Rank'!$C$2:$C2766=C2632))=1,filter('Previous Rank'!$A$2:$A2766,'Previous Rank'!$B$2:$B2766=B2632,'Previous Rank'!$C$2:$C2766=C2632),"""")"),2631.0)</f>
        <v>2631</v>
      </c>
      <c r="H2632" s="8">
        <f t="shared" si="1"/>
        <v>0</v>
      </c>
    </row>
    <row r="2633">
      <c r="A2633" s="10">
        <v>2632.0</v>
      </c>
      <c r="B2633" s="11" t="s">
        <v>2729</v>
      </c>
      <c r="C2633" s="10" t="s">
        <v>14</v>
      </c>
      <c r="D2633" s="10" t="s">
        <v>46</v>
      </c>
      <c r="E2633" s="15"/>
      <c r="F2633" s="15" t="s">
        <v>382</v>
      </c>
      <c r="G2633" s="13">
        <f>IFERROR(__xludf.DUMMYFUNCTION("if(counta(filter('Previous Rank'!$A$2:$A2766,'Previous Rank'!$B$2:$B2766=B2633,'Previous Rank'!$C$2:$C2766=C2633))=1,filter('Previous Rank'!$A$2:$A2766,'Previous Rank'!$B$2:$B2766=B2633,'Previous Rank'!$C$2:$C2766=C2633),"""")"),2632.0)</f>
        <v>2632</v>
      </c>
      <c r="H2633" s="8">
        <f t="shared" si="1"/>
        <v>0</v>
      </c>
    </row>
    <row r="2634">
      <c r="A2634" s="10">
        <v>2633.0</v>
      </c>
      <c r="B2634" s="11" t="s">
        <v>2730</v>
      </c>
      <c r="C2634" s="10" t="s">
        <v>39</v>
      </c>
      <c r="D2634" s="10" t="s">
        <v>9</v>
      </c>
      <c r="E2634" s="16"/>
      <c r="F2634" s="16" t="s">
        <v>382</v>
      </c>
      <c r="G2634" s="13">
        <f>IFERROR(__xludf.DUMMYFUNCTION("if(counta(filter('Previous Rank'!$A$2:$A2766,'Previous Rank'!$B$2:$B2766=B2634,'Previous Rank'!$C$2:$C2766=C2634))=1,filter('Previous Rank'!$A$2:$A2766,'Previous Rank'!$B$2:$B2766=B2634,'Previous Rank'!$C$2:$C2766=C2634),"""")"),2633.0)</f>
        <v>2633</v>
      </c>
      <c r="H2634" s="8">
        <f t="shared" si="1"/>
        <v>0</v>
      </c>
    </row>
    <row r="2635">
      <c r="A2635" s="10">
        <v>2634.0</v>
      </c>
      <c r="B2635" s="11" t="s">
        <v>2731</v>
      </c>
      <c r="C2635" s="10" t="s">
        <v>470</v>
      </c>
      <c r="D2635" s="10" t="s">
        <v>18</v>
      </c>
      <c r="E2635" s="15"/>
      <c r="F2635" s="15" t="s">
        <v>382</v>
      </c>
      <c r="G2635" s="13">
        <f>IFERROR(__xludf.DUMMYFUNCTION("if(counta(filter('Previous Rank'!$A$2:$A2766,'Previous Rank'!$B$2:$B2766=B2635,'Previous Rank'!$C$2:$C2766=C2635))=1,filter('Previous Rank'!$A$2:$A2766,'Previous Rank'!$B$2:$B2766=B2635,'Previous Rank'!$C$2:$C2766=C2635),"""")"),2634.0)</f>
        <v>2634</v>
      </c>
      <c r="H2635" s="8">
        <f t="shared" si="1"/>
        <v>0</v>
      </c>
    </row>
    <row r="2636">
      <c r="A2636" s="10">
        <v>2635.0</v>
      </c>
      <c r="B2636" s="11" t="s">
        <v>2732</v>
      </c>
      <c r="C2636" s="10" t="s">
        <v>48</v>
      </c>
      <c r="D2636" s="10" t="s">
        <v>9</v>
      </c>
      <c r="E2636" s="16"/>
      <c r="F2636" s="16" t="s">
        <v>382</v>
      </c>
      <c r="G2636" s="13">
        <f>IFERROR(__xludf.DUMMYFUNCTION("if(counta(filter('Previous Rank'!$A$2:$A2766,'Previous Rank'!$B$2:$B2766=B2636,'Previous Rank'!$C$2:$C2766=C2636))=1,filter('Previous Rank'!$A$2:$A2766,'Previous Rank'!$B$2:$B2766=B2636,'Previous Rank'!$C$2:$C2766=C2636),"""")"),2635.0)</f>
        <v>2635</v>
      </c>
      <c r="H2636" s="8">
        <f t="shared" si="1"/>
        <v>0</v>
      </c>
    </row>
    <row r="2637">
      <c r="A2637" s="10">
        <v>2636.0</v>
      </c>
      <c r="B2637" s="11" t="s">
        <v>2733</v>
      </c>
      <c r="C2637" s="10" t="s">
        <v>14</v>
      </c>
      <c r="D2637" s="10" t="s">
        <v>85</v>
      </c>
      <c r="E2637" s="15"/>
      <c r="F2637" s="15" t="s">
        <v>382</v>
      </c>
      <c r="G2637" s="13">
        <f>IFERROR(__xludf.DUMMYFUNCTION("if(counta(filter('Previous Rank'!$A$2:$A2766,'Previous Rank'!$B$2:$B2766=B2637,'Previous Rank'!$C$2:$C2766=C2637))=1,filter('Previous Rank'!$A$2:$A2766,'Previous Rank'!$B$2:$B2766=B2637,'Previous Rank'!$C$2:$C2766=C2637),"""")"),2636.0)</f>
        <v>2636</v>
      </c>
      <c r="H2637" s="8">
        <f t="shared" si="1"/>
        <v>0</v>
      </c>
    </row>
    <row r="2638">
      <c r="A2638" s="10">
        <v>2637.0</v>
      </c>
      <c r="B2638" s="11" t="s">
        <v>2734</v>
      </c>
      <c r="C2638" s="10" t="s">
        <v>11</v>
      </c>
      <c r="D2638" s="10" t="s">
        <v>27</v>
      </c>
      <c r="E2638" s="16"/>
      <c r="F2638" s="16" t="s">
        <v>382</v>
      </c>
      <c r="G2638" s="13">
        <f>IFERROR(__xludf.DUMMYFUNCTION("if(counta(filter('Previous Rank'!$A$2:$A2766,'Previous Rank'!$B$2:$B2766=B2638,'Previous Rank'!$C$2:$C2766=C2638))=1,filter('Previous Rank'!$A$2:$A2766,'Previous Rank'!$B$2:$B2766=B2638,'Previous Rank'!$C$2:$C2766=C2638),"""")"),2637.0)</f>
        <v>2637</v>
      </c>
      <c r="H2638" s="8">
        <f t="shared" si="1"/>
        <v>0</v>
      </c>
    </row>
    <row r="2639">
      <c r="A2639" s="10">
        <v>2638.0</v>
      </c>
      <c r="B2639" s="11" t="s">
        <v>2735</v>
      </c>
      <c r="C2639" s="10" t="s">
        <v>14</v>
      </c>
      <c r="D2639" s="10" t="s">
        <v>15</v>
      </c>
      <c r="E2639" s="15"/>
      <c r="F2639" s="15" t="s">
        <v>382</v>
      </c>
      <c r="G2639" s="13">
        <f>IFERROR(__xludf.DUMMYFUNCTION("if(counta(filter('Previous Rank'!$A$2:$A2766,'Previous Rank'!$B$2:$B2766=B2639,'Previous Rank'!$C$2:$C2766=C2639))=1,filter('Previous Rank'!$A$2:$A2766,'Previous Rank'!$B$2:$B2766=B2639,'Previous Rank'!$C$2:$C2766=C2639),"""")"),2638.0)</f>
        <v>2638</v>
      </c>
      <c r="H2639" s="8">
        <f t="shared" si="1"/>
        <v>0</v>
      </c>
    </row>
    <row r="2640">
      <c r="A2640" s="10">
        <v>2639.0</v>
      </c>
      <c r="B2640" s="11" t="s">
        <v>2736</v>
      </c>
      <c r="C2640" s="10" t="s">
        <v>11</v>
      </c>
      <c r="D2640" s="10" t="s">
        <v>120</v>
      </c>
      <c r="E2640" s="16"/>
      <c r="F2640" s="16" t="s">
        <v>382</v>
      </c>
      <c r="G2640" s="13">
        <f>IFERROR(__xludf.DUMMYFUNCTION("if(counta(filter('Previous Rank'!$A$2:$A2766,'Previous Rank'!$B$2:$B2766=B2640,'Previous Rank'!$C$2:$C2766=C2640))=1,filter('Previous Rank'!$A$2:$A2766,'Previous Rank'!$B$2:$B2766=B2640,'Previous Rank'!$C$2:$C2766=C2640),"""")"),2639.0)</f>
        <v>2639</v>
      </c>
      <c r="H2640" s="8">
        <f t="shared" si="1"/>
        <v>0</v>
      </c>
    </row>
    <row r="2641">
      <c r="A2641" s="10">
        <v>2640.0</v>
      </c>
      <c r="B2641" s="11" t="s">
        <v>2737</v>
      </c>
      <c r="C2641" s="10" t="s">
        <v>14</v>
      </c>
      <c r="D2641" s="10" t="s">
        <v>113</v>
      </c>
      <c r="E2641" s="15"/>
      <c r="F2641" s="15" t="s">
        <v>382</v>
      </c>
      <c r="G2641" s="13">
        <f>IFERROR(__xludf.DUMMYFUNCTION("if(counta(filter('Previous Rank'!$A$2:$A2766,'Previous Rank'!$B$2:$B2766=B2641,'Previous Rank'!$C$2:$C2766=C2641))=1,filter('Previous Rank'!$A$2:$A2766,'Previous Rank'!$B$2:$B2766=B2641,'Previous Rank'!$C$2:$C2766=C2641),"""")"),2640.0)</f>
        <v>2640</v>
      </c>
      <c r="H2641" s="8">
        <f t="shared" si="1"/>
        <v>0</v>
      </c>
    </row>
    <row r="2642">
      <c r="A2642" s="10">
        <v>2641.0</v>
      </c>
      <c r="B2642" s="11" t="s">
        <v>2738</v>
      </c>
      <c r="C2642" s="10" t="s">
        <v>17</v>
      </c>
      <c r="D2642" s="10" t="s">
        <v>27</v>
      </c>
      <c r="E2642" s="16"/>
      <c r="F2642" s="16" t="s">
        <v>382</v>
      </c>
      <c r="G2642" s="13">
        <f>IFERROR(__xludf.DUMMYFUNCTION("if(counta(filter('Previous Rank'!$A$2:$A2766,'Previous Rank'!$B$2:$B2766=B2642,'Previous Rank'!$C$2:$C2766=C2642))=1,filter('Previous Rank'!$A$2:$A2766,'Previous Rank'!$B$2:$B2766=B2642,'Previous Rank'!$C$2:$C2766=C2642),"""")"),2641.0)</f>
        <v>2641</v>
      </c>
      <c r="H2642" s="8">
        <f t="shared" si="1"/>
        <v>0</v>
      </c>
    </row>
    <row r="2643">
      <c r="A2643" s="10">
        <v>2642.0</v>
      </c>
      <c r="B2643" s="11" t="s">
        <v>2739</v>
      </c>
      <c r="C2643" s="10" t="s">
        <v>77</v>
      </c>
      <c r="D2643" s="10" t="s">
        <v>206</v>
      </c>
      <c r="E2643" s="15"/>
      <c r="F2643" s="15" t="s">
        <v>382</v>
      </c>
      <c r="G2643" s="13">
        <f>IFERROR(__xludf.DUMMYFUNCTION("if(counta(filter('Previous Rank'!$A$2:$A2766,'Previous Rank'!$B$2:$B2766=B2643,'Previous Rank'!$C$2:$C2766=C2643))=1,filter('Previous Rank'!$A$2:$A2766,'Previous Rank'!$B$2:$B2766=B2643,'Previous Rank'!$C$2:$C2766=C2643),"""")"),2642.0)</f>
        <v>2642</v>
      </c>
      <c r="H2643" s="8">
        <f t="shared" si="1"/>
        <v>0</v>
      </c>
    </row>
    <row r="2644">
      <c r="A2644" s="10">
        <v>2643.0</v>
      </c>
      <c r="B2644" s="11" t="s">
        <v>2740</v>
      </c>
      <c r="C2644" s="10" t="s">
        <v>39</v>
      </c>
      <c r="D2644" s="10" t="s">
        <v>46</v>
      </c>
      <c r="E2644" s="16"/>
      <c r="F2644" s="16" t="s">
        <v>382</v>
      </c>
      <c r="G2644" s="13">
        <f>IFERROR(__xludf.DUMMYFUNCTION("if(counta(filter('Previous Rank'!$A$2:$A2766,'Previous Rank'!$B$2:$B2766=B2644,'Previous Rank'!$C$2:$C2766=C2644))=1,filter('Previous Rank'!$A$2:$A2766,'Previous Rank'!$B$2:$B2766=B2644,'Previous Rank'!$C$2:$C2766=C2644),"""")"),2643.0)</f>
        <v>2643</v>
      </c>
      <c r="H2644" s="8">
        <f t="shared" si="1"/>
        <v>0</v>
      </c>
    </row>
    <row r="2645">
      <c r="A2645" s="10">
        <v>2644.0</v>
      </c>
      <c r="B2645" s="11" t="s">
        <v>2741</v>
      </c>
      <c r="C2645" s="10" t="s">
        <v>48</v>
      </c>
      <c r="D2645" s="10" t="s">
        <v>42</v>
      </c>
      <c r="E2645" s="15"/>
      <c r="F2645" s="15" t="s">
        <v>382</v>
      </c>
      <c r="G2645" s="13">
        <f>IFERROR(__xludf.DUMMYFUNCTION("if(counta(filter('Previous Rank'!$A$2:$A2766,'Previous Rank'!$B$2:$B2766=B2645,'Previous Rank'!$C$2:$C2766=C2645))=1,filter('Previous Rank'!$A$2:$A2766,'Previous Rank'!$B$2:$B2766=B2645,'Previous Rank'!$C$2:$C2766=C2645),"""")"),2644.0)</f>
        <v>2644</v>
      </c>
      <c r="H2645" s="8">
        <f t="shared" si="1"/>
        <v>0</v>
      </c>
    </row>
    <row r="2646">
      <c r="A2646" s="10">
        <v>2645.0</v>
      </c>
      <c r="B2646" s="11" t="s">
        <v>2742</v>
      </c>
      <c r="C2646" s="10" t="s">
        <v>77</v>
      </c>
      <c r="D2646" s="10" t="s">
        <v>113</v>
      </c>
      <c r="E2646" s="16"/>
      <c r="F2646" s="16" t="s">
        <v>382</v>
      </c>
      <c r="G2646" s="13">
        <f>IFERROR(__xludf.DUMMYFUNCTION("if(counta(filter('Previous Rank'!$A$2:$A2766,'Previous Rank'!$B$2:$B2766=B2646,'Previous Rank'!$C$2:$C2766=C2646))=1,filter('Previous Rank'!$A$2:$A2766,'Previous Rank'!$B$2:$B2766=B2646,'Previous Rank'!$C$2:$C2766=C2646),"""")"),2645.0)</f>
        <v>2645</v>
      </c>
      <c r="H2646" s="8">
        <f t="shared" si="1"/>
        <v>0</v>
      </c>
    </row>
    <row r="2647">
      <c r="A2647" s="10">
        <v>2646.0</v>
      </c>
      <c r="B2647" s="11" t="s">
        <v>2337</v>
      </c>
      <c r="C2647" s="10" t="s">
        <v>39</v>
      </c>
      <c r="D2647" s="10" t="s">
        <v>36</v>
      </c>
      <c r="E2647" s="15"/>
      <c r="F2647" s="15" t="s">
        <v>382</v>
      </c>
      <c r="G2647" s="13">
        <f>IFERROR(__xludf.DUMMYFUNCTION("if(counta(filter('Previous Rank'!$A$2:$A2766,'Previous Rank'!$B$2:$B2766=B2647,'Previous Rank'!$C$2:$C2766=C2647))=1,filter('Previous Rank'!$A$2:$A2766,'Previous Rank'!$B$2:$B2766=B2647,'Previous Rank'!$C$2:$C2766=C2647),"""")"),2646.0)</f>
        <v>2646</v>
      </c>
      <c r="H2647" s="8">
        <f t="shared" si="1"/>
        <v>0</v>
      </c>
    </row>
    <row r="2648">
      <c r="A2648" s="10">
        <v>2647.0</v>
      </c>
      <c r="B2648" s="11" t="s">
        <v>2743</v>
      </c>
      <c r="C2648" s="10" t="s">
        <v>77</v>
      </c>
      <c r="D2648" s="10" t="s">
        <v>129</v>
      </c>
      <c r="E2648" s="16"/>
      <c r="F2648" s="16" t="s">
        <v>382</v>
      </c>
      <c r="G2648" s="13">
        <f>IFERROR(__xludf.DUMMYFUNCTION("if(counta(filter('Previous Rank'!$A$2:$A2766,'Previous Rank'!$B$2:$B2766=B2648,'Previous Rank'!$C$2:$C2766=C2648))=1,filter('Previous Rank'!$A$2:$A2766,'Previous Rank'!$B$2:$B2766=B2648,'Previous Rank'!$C$2:$C2766=C2648),"""")"),2647.0)</f>
        <v>2647</v>
      </c>
      <c r="H2648" s="8">
        <f t="shared" si="1"/>
        <v>0</v>
      </c>
    </row>
    <row r="2649">
      <c r="A2649" s="10">
        <v>2648.0</v>
      </c>
      <c r="B2649" s="11" t="s">
        <v>2744</v>
      </c>
      <c r="C2649" s="10" t="s">
        <v>14</v>
      </c>
      <c r="D2649" s="10" t="s">
        <v>206</v>
      </c>
      <c r="E2649" s="15"/>
      <c r="F2649" s="15" t="s">
        <v>382</v>
      </c>
      <c r="G2649" s="13">
        <f>IFERROR(__xludf.DUMMYFUNCTION("if(counta(filter('Previous Rank'!$A$2:$A2766,'Previous Rank'!$B$2:$B2766=B2649,'Previous Rank'!$C$2:$C2766=C2649))=1,filter('Previous Rank'!$A$2:$A2766,'Previous Rank'!$B$2:$B2766=B2649,'Previous Rank'!$C$2:$C2766=C2649),"""")"),2648.0)</f>
        <v>2648</v>
      </c>
      <c r="H2649" s="8">
        <f t="shared" si="1"/>
        <v>0</v>
      </c>
    </row>
    <row r="2650">
      <c r="A2650" s="10">
        <v>2649.0</v>
      </c>
      <c r="B2650" s="11" t="s">
        <v>2745</v>
      </c>
      <c r="C2650" s="10" t="s">
        <v>77</v>
      </c>
      <c r="D2650" s="10" t="s">
        <v>85</v>
      </c>
      <c r="E2650" s="16"/>
      <c r="F2650" s="16" t="s">
        <v>382</v>
      </c>
      <c r="G2650" s="13">
        <f>IFERROR(__xludf.DUMMYFUNCTION("if(counta(filter('Previous Rank'!$A$2:$A2766,'Previous Rank'!$B$2:$B2766=B2650,'Previous Rank'!$C$2:$C2766=C2650))=1,filter('Previous Rank'!$A$2:$A2766,'Previous Rank'!$B$2:$B2766=B2650,'Previous Rank'!$C$2:$C2766=C2650),"""")"),2649.0)</f>
        <v>2649</v>
      </c>
      <c r="H2650" s="8">
        <f t="shared" si="1"/>
        <v>0</v>
      </c>
    </row>
    <row r="2651">
      <c r="A2651" s="10">
        <v>2650.0</v>
      </c>
      <c r="B2651" s="11" t="s">
        <v>2746</v>
      </c>
      <c r="C2651" s="10" t="s">
        <v>14</v>
      </c>
      <c r="D2651" s="10" t="s">
        <v>90</v>
      </c>
      <c r="E2651" s="15"/>
      <c r="F2651" s="15" t="s">
        <v>382</v>
      </c>
      <c r="G2651" s="13">
        <f>IFERROR(__xludf.DUMMYFUNCTION("if(counta(filter('Previous Rank'!$A$2:$A2766,'Previous Rank'!$B$2:$B2766=B2651,'Previous Rank'!$C$2:$C2766=C2651))=1,filter('Previous Rank'!$A$2:$A2766,'Previous Rank'!$B$2:$B2766=B2651,'Previous Rank'!$C$2:$C2766=C2651),"""")"),2650.0)</f>
        <v>2650</v>
      </c>
      <c r="H2651" s="8">
        <f t="shared" si="1"/>
        <v>0</v>
      </c>
    </row>
    <row r="2652">
      <c r="A2652" s="10">
        <v>2651.0</v>
      </c>
      <c r="B2652" s="11" t="s">
        <v>2747</v>
      </c>
      <c r="C2652" s="10" t="s">
        <v>240</v>
      </c>
      <c r="D2652" s="10" t="s">
        <v>46</v>
      </c>
      <c r="E2652" s="16"/>
      <c r="F2652" s="16" t="s">
        <v>382</v>
      </c>
      <c r="G2652" s="13">
        <f>IFERROR(__xludf.DUMMYFUNCTION("if(counta(filter('Previous Rank'!$A$2:$A2766,'Previous Rank'!$B$2:$B2766=B2652,'Previous Rank'!$C$2:$C2766=C2652))=1,filter('Previous Rank'!$A$2:$A2766,'Previous Rank'!$B$2:$B2766=B2652,'Previous Rank'!$C$2:$C2766=C2652),"""")"),2651.0)</f>
        <v>2651</v>
      </c>
      <c r="H2652" s="8">
        <f t="shared" si="1"/>
        <v>0</v>
      </c>
    </row>
    <row r="2653">
      <c r="A2653" s="10">
        <v>2652.0</v>
      </c>
      <c r="B2653" s="11" t="s">
        <v>2748</v>
      </c>
      <c r="C2653" s="10" t="s">
        <v>11</v>
      </c>
      <c r="D2653" s="10" t="s">
        <v>46</v>
      </c>
      <c r="E2653" s="15"/>
      <c r="F2653" s="15" t="s">
        <v>382</v>
      </c>
      <c r="G2653" s="13">
        <f>IFERROR(__xludf.DUMMYFUNCTION("if(counta(filter('Previous Rank'!$A$2:$A2766,'Previous Rank'!$B$2:$B2766=B2653,'Previous Rank'!$C$2:$C2766=C2653))=1,filter('Previous Rank'!$A$2:$A2766,'Previous Rank'!$B$2:$B2766=B2653,'Previous Rank'!$C$2:$C2766=C2653),"""")"),2652.0)</f>
        <v>2652</v>
      </c>
      <c r="H2653" s="8">
        <f t="shared" si="1"/>
        <v>0</v>
      </c>
    </row>
    <row r="2654">
      <c r="A2654" s="10">
        <v>2653.0</v>
      </c>
      <c r="B2654" s="11" t="s">
        <v>2749</v>
      </c>
      <c r="C2654" s="10" t="s">
        <v>346</v>
      </c>
      <c r="D2654" s="10" t="s">
        <v>15</v>
      </c>
      <c r="E2654" s="16"/>
      <c r="F2654" s="16" t="s">
        <v>382</v>
      </c>
      <c r="G2654" s="13">
        <f>IFERROR(__xludf.DUMMYFUNCTION("if(counta(filter('Previous Rank'!$A$2:$A2766,'Previous Rank'!$B$2:$B2766=B2654,'Previous Rank'!$C$2:$C2766=C2654))=1,filter('Previous Rank'!$A$2:$A2766,'Previous Rank'!$B$2:$B2766=B2654,'Previous Rank'!$C$2:$C2766=C2654),"""")"),2653.0)</f>
        <v>2653</v>
      </c>
      <c r="H2654" s="8">
        <f t="shared" si="1"/>
        <v>0</v>
      </c>
    </row>
    <row r="2655">
      <c r="A2655" s="10">
        <v>2654.0</v>
      </c>
      <c r="B2655" s="11" t="s">
        <v>2750</v>
      </c>
      <c r="C2655" s="10" t="s">
        <v>136</v>
      </c>
      <c r="D2655" s="10" t="s">
        <v>82</v>
      </c>
      <c r="E2655" s="15"/>
      <c r="F2655" s="15" t="s">
        <v>382</v>
      </c>
      <c r="G2655" s="13">
        <f>IFERROR(__xludf.DUMMYFUNCTION("if(counta(filter('Previous Rank'!$A$2:$A2766,'Previous Rank'!$B$2:$B2766=B2655,'Previous Rank'!$C$2:$C2766=C2655))=1,filter('Previous Rank'!$A$2:$A2766,'Previous Rank'!$B$2:$B2766=B2655,'Previous Rank'!$C$2:$C2766=C2655),"""")"),2654.0)</f>
        <v>2654</v>
      </c>
      <c r="H2655" s="8">
        <f t="shared" si="1"/>
        <v>0</v>
      </c>
    </row>
    <row r="2656">
      <c r="A2656" s="10">
        <v>2655.0</v>
      </c>
      <c r="B2656" s="11" t="s">
        <v>2751</v>
      </c>
      <c r="C2656" s="10" t="s">
        <v>14</v>
      </c>
      <c r="D2656" s="10" t="s">
        <v>99</v>
      </c>
      <c r="E2656" s="16"/>
      <c r="F2656" s="16" t="s">
        <v>382</v>
      </c>
      <c r="G2656" s="13">
        <f>IFERROR(__xludf.DUMMYFUNCTION("if(counta(filter('Previous Rank'!$A$2:$A2766,'Previous Rank'!$B$2:$B2766=B2656,'Previous Rank'!$C$2:$C2766=C2656))=1,filter('Previous Rank'!$A$2:$A2766,'Previous Rank'!$B$2:$B2766=B2656,'Previous Rank'!$C$2:$C2766=C2656),"""")"),2655.0)</f>
        <v>2655</v>
      </c>
      <c r="H2656" s="8">
        <f t="shared" si="1"/>
        <v>0</v>
      </c>
    </row>
    <row r="2657">
      <c r="A2657" s="10">
        <v>2656.0</v>
      </c>
      <c r="B2657" s="11" t="s">
        <v>2752</v>
      </c>
      <c r="C2657" s="10" t="s">
        <v>20</v>
      </c>
      <c r="D2657" s="10" t="s">
        <v>122</v>
      </c>
      <c r="E2657" s="15"/>
      <c r="F2657" s="15" t="s">
        <v>382</v>
      </c>
      <c r="G2657" s="13">
        <f>IFERROR(__xludf.DUMMYFUNCTION("if(counta(filter('Previous Rank'!$A$2:$A2766,'Previous Rank'!$B$2:$B2766=B2657,'Previous Rank'!$C$2:$C2766=C2657))=1,filter('Previous Rank'!$A$2:$A2766,'Previous Rank'!$B$2:$B2766=B2657,'Previous Rank'!$C$2:$C2766=C2657),"""")"),2656.0)</f>
        <v>2656</v>
      </c>
      <c r="H2657" s="8">
        <f t="shared" si="1"/>
        <v>0</v>
      </c>
    </row>
    <row r="2658">
      <c r="A2658" s="10">
        <v>2657.0</v>
      </c>
      <c r="B2658" s="11" t="s">
        <v>2753</v>
      </c>
      <c r="C2658" s="10" t="s">
        <v>11</v>
      </c>
      <c r="D2658" s="10" t="s">
        <v>9</v>
      </c>
      <c r="E2658" s="16"/>
      <c r="F2658" s="16" t="s">
        <v>382</v>
      </c>
      <c r="G2658" s="13">
        <f>IFERROR(__xludf.DUMMYFUNCTION("if(counta(filter('Previous Rank'!$A$2:$A2766,'Previous Rank'!$B$2:$B2766=B2658,'Previous Rank'!$C$2:$C2766=C2658))=1,filter('Previous Rank'!$A$2:$A2766,'Previous Rank'!$B$2:$B2766=B2658,'Previous Rank'!$C$2:$C2766=C2658),"""")"),2657.0)</f>
        <v>2657</v>
      </c>
      <c r="H2658" s="8">
        <f t="shared" si="1"/>
        <v>0</v>
      </c>
    </row>
    <row r="2659">
      <c r="A2659" s="10">
        <v>2658.0</v>
      </c>
      <c r="B2659" s="11" t="s">
        <v>2754</v>
      </c>
      <c r="C2659" s="10" t="s">
        <v>48</v>
      </c>
      <c r="D2659" s="10" t="s">
        <v>9</v>
      </c>
      <c r="E2659" s="15"/>
      <c r="F2659" s="15" t="s">
        <v>382</v>
      </c>
      <c r="G2659" s="13">
        <f>IFERROR(__xludf.DUMMYFUNCTION("if(counta(filter('Previous Rank'!$A$2:$A2766,'Previous Rank'!$B$2:$B2766=B2659,'Previous Rank'!$C$2:$C2766=C2659))=1,filter('Previous Rank'!$A$2:$A2766,'Previous Rank'!$B$2:$B2766=B2659,'Previous Rank'!$C$2:$C2766=C2659),"""")"),2658.0)</f>
        <v>2658</v>
      </c>
      <c r="H2659" s="8">
        <f t="shared" si="1"/>
        <v>0</v>
      </c>
    </row>
    <row r="2660">
      <c r="A2660" s="10">
        <v>2659.0</v>
      </c>
      <c r="B2660" s="11" t="s">
        <v>2755</v>
      </c>
      <c r="C2660" s="10" t="s">
        <v>77</v>
      </c>
      <c r="D2660" s="10" t="s">
        <v>12</v>
      </c>
      <c r="E2660" s="16"/>
      <c r="F2660" s="16" t="s">
        <v>382</v>
      </c>
      <c r="G2660" s="13">
        <f>IFERROR(__xludf.DUMMYFUNCTION("if(counta(filter('Previous Rank'!$A$2:$A2766,'Previous Rank'!$B$2:$B2766=B2660,'Previous Rank'!$C$2:$C2766=C2660))=1,filter('Previous Rank'!$A$2:$A2766,'Previous Rank'!$B$2:$B2766=B2660,'Previous Rank'!$C$2:$C2766=C2660),"""")"),2659.0)</f>
        <v>2659</v>
      </c>
      <c r="H2660" s="8">
        <f t="shared" si="1"/>
        <v>0</v>
      </c>
    </row>
    <row r="2661">
      <c r="A2661" s="10">
        <v>2660.0</v>
      </c>
      <c r="B2661" s="11" t="s">
        <v>2756</v>
      </c>
      <c r="C2661" s="10" t="s">
        <v>11</v>
      </c>
      <c r="D2661" s="10" t="s">
        <v>42</v>
      </c>
      <c r="E2661" s="15"/>
      <c r="F2661" s="15" t="s">
        <v>382</v>
      </c>
      <c r="G2661" s="13">
        <f>IFERROR(__xludf.DUMMYFUNCTION("if(counta(filter('Previous Rank'!$A$2:$A2766,'Previous Rank'!$B$2:$B2766=B2661,'Previous Rank'!$C$2:$C2766=C2661))=1,filter('Previous Rank'!$A$2:$A2766,'Previous Rank'!$B$2:$B2766=B2661,'Previous Rank'!$C$2:$C2766=C2661),"""")"),2660.0)</f>
        <v>2660</v>
      </c>
      <c r="H2661" s="8">
        <f t="shared" si="1"/>
        <v>0</v>
      </c>
    </row>
    <row r="2662">
      <c r="A2662" s="10">
        <v>2661.0</v>
      </c>
      <c r="B2662" s="11" t="s">
        <v>2757</v>
      </c>
      <c r="C2662" s="10" t="s">
        <v>17</v>
      </c>
      <c r="D2662" s="10" t="s">
        <v>99</v>
      </c>
      <c r="E2662" s="16"/>
      <c r="F2662" s="16" t="s">
        <v>382</v>
      </c>
      <c r="G2662" s="13">
        <f>IFERROR(__xludf.DUMMYFUNCTION("if(counta(filter('Previous Rank'!$A$2:$A2766,'Previous Rank'!$B$2:$B2766=B2662,'Previous Rank'!$C$2:$C2766=C2662))=1,filter('Previous Rank'!$A$2:$A2766,'Previous Rank'!$B$2:$B2766=B2662,'Previous Rank'!$C$2:$C2766=C2662),"""")"),2661.0)</f>
        <v>2661</v>
      </c>
      <c r="H2662" s="8">
        <f t="shared" si="1"/>
        <v>0</v>
      </c>
    </row>
    <row r="2663">
      <c r="A2663" s="10">
        <v>2662.0</v>
      </c>
      <c r="B2663" s="11" t="s">
        <v>2758</v>
      </c>
      <c r="C2663" s="10" t="s">
        <v>8</v>
      </c>
      <c r="D2663" s="10" t="s">
        <v>27</v>
      </c>
      <c r="E2663" s="15"/>
      <c r="F2663" s="15" t="s">
        <v>382</v>
      </c>
      <c r="G2663" s="13">
        <f>IFERROR(__xludf.DUMMYFUNCTION("if(counta(filter('Previous Rank'!$A$2:$A2766,'Previous Rank'!$B$2:$B2766=B2663,'Previous Rank'!$C$2:$C2766=C2663))=1,filter('Previous Rank'!$A$2:$A2766,'Previous Rank'!$B$2:$B2766=B2663,'Previous Rank'!$C$2:$C2766=C2663),"""")"),2662.0)</f>
        <v>2662</v>
      </c>
      <c r="H2663" s="8">
        <f t="shared" si="1"/>
        <v>0</v>
      </c>
    </row>
    <row r="2664">
      <c r="A2664" s="10">
        <v>2663.0</v>
      </c>
      <c r="B2664" s="11" t="s">
        <v>2759</v>
      </c>
      <c r="C2664" s="10" t="s">
        <v>14</v>
      </c>
      <c r="D2664" s="10" t="s">
        <v>85</v>
      </c>
      <c r="E2664" s="16"/>
      <c r="F2664" s="16" t="s">
        <v>382</v>
      </c>
      <c r="G2664" s="13">
        <f>IFERROR(__xludf.DUMMYFUNCTION("if(counta(filter('Previous Rank'!$A$2:$A2766,'Previous Rank'!$B$2:$B2766=B2664,'Previous Rank'!$C$2:$C2766=C2664))=1,filter('Previous Rank'!$A$2:$A2766,'Previous Rank'!$B$2:$B2766=B2664,'Previous Rank'!$C$2:$C2766=C2664),"""")"),2663.0)</f>
        <v>2663</v>
      </c>
      <c r="H2664" s="8">
        <f t="shared" si="1"/>
        <v>0</v>
      </c>
    </row>
    <row r="2665">
      <c r="A2665" s="10">
        <v>2664.0</v>
      </c>
      <c r="B2665" s="11" t="s">
        <v>2760</v>
      </c>
      <c r="C2665" s="10" t="s">
        <v>17</v>
      </c>
      <c r="D2665" s="10" t="s">
        <v>49</v>
      </c>
      <c r="E2665" s="15"/>
      <c r="F2665" s="15" t="s">
        <v>382</v>
      </c>
      <c r="G2665" s="13">
        <f>IFERROR(__xludf.DUMMYFUNCTION("if(counta(filter('Previous Rank'!$A$2:$A2766,'Previous Rank'!$B$2:$B2766=B2665,'Previous Rank'!$C$2:$C2766=C2665))=1,filter('Previous Rank'!$A$2:$A2766,'Previous Rank'!$B$2:$B2766=B2665,'Previous Rank'!$C$2:$C2766=C2665),"""")"),2664.0)</f>
        <v>2664</v>
      </c>
      <c r="H2665" s="8">
        <f t="shared" si="1"/>
        <v>0</v>
      </c>
    </row>
    <row r="2666">
      <c r="A2666" s="10">
        <v>2665.0</v>
      </c>
      <c r="B2666" s="11" t="s">
        <v>2761</v>
      </c>
      <c r="C2666" s="10" t="s">
        <v>77</v>
      </c>
      <c r="D2666" s="10" t="s">
        <v>129</v>
      </c>
      <c r="E2666" s="16"/>
      <c r="F2666" s="16" t="s">
        <v>382</v>
      </c>
      <c r="G2666" s="13">
        <f>IFERROR(__xludf.DUMMYFUNCTION("if(counta(filter('Previous Rank'!$A$2:$A2766,'Previous Rank'!$B$2:$B2766=B2666,'Previous Rank'!$C$2:$C2766=C2666))=1,filter('Previous Rank'!$A$2:$A2766,'Previous Rank'!$B$2:$B2766=B2666,'Previous Rank'!$C$2:$C2766=C2666),"""")"),2665.0)</f>
        <v>2665</v>
      </c>
      <c r="H2666" s="8">
        <f t="shared" si="1"/>
        <v>0</v>
      </c>
    </row>
    <row r="2667">
      <c r="A2667" s="10">
        <v>2666.0</v>
      </c>
      <c r="B2667" s="11" t="s">
        <v>2762</v>
      </c>
      <c r="C2667" s="10" t="s">
        <v>48</v>
      </c>
      <c r="D2667" s="10" t="s">
        <v>36</v>
      </c>
      <c r="E2667" s="15"/>
      <c r="F2667" s="15" t="s">
        <v>382</v>
      </c>
      <c r="G2667" s="13">
        <f>IFERROR(__xludf.DUMMYFUNCTION("if(counta(filter('Previous Rank'!$A$2:$A2766,'Previous Rank'!$B$2:$B2766=B2667,'Previous Rank'!$C$2:$C2766=C2667))=1,filter('Previous Rank'!$A$2:$A2766,'Previous Rank'!$B$2:$B2766=B2667,'Previous Rank'!$C$2:$C2766=C2667),"""")"),2666.0)</f>
        <v>2666</v>
      </c>
      <c r="H2667" s="8">
        <f t="shared" si="1"/>
        <v>0</v>
      </c>
    </row>
    <row r="2668">
      <c r="A2668" s="10">
        <v>2667.0</v>
      </c>
      <c r="B2668" s="11" t="s">
        <v>2763</v>
      </c>
      <c r="C2668" s="10" t="s">
        <v>48</v>
      </c>
      <c r="D2668" s="10" t="s">
        <v>137</v>
      </c>
      <c r="E2668" s="16"/>
      <c r="F2668" s="16" t="s">
        <v>382</v>
      </c>
      <c r="G2668" s="13">
        <f>IFERROR(__xludf.DUMMYFUNCTION("if(counta(filter('Previous Rank'!$A$2:$A2766,'Previous Rank'!$B$2:$B2766=B2668,'Previous Rank'!$C$2:$C2766=C2668))=1,filter('Previous Rank'!$A$2:$A2766,'Previous Rank'!$B$2:$B2766=B2668,'Previous Rank'!$C$2:$C2766=C2668),"""")"),2667.0)</f>
        <v>2667</v>
      </c>
      <c r="H2668" s="8">
        <f t="shared" si="1"/>
        <v>0</v>
      </c>
    </row>
    <row r="2669">
      <c r="A2669" s="10">
        <v>2668.0</v>
      </c>
      <c r="B2669" s="11" t="s">
        <v>2764</v>
      </c>
      <c r="C2669" s="10" t="s">
        <v>39</v>
      </c>
      <c r="D2669" s="10" t="s">
        <v>137</v>
      </c>
      <c r="E2669" s="15"/>
      <c r="F2669" s="15"/>
      <c r="G2669" s="13">
        <f>IFERROR(__xludf.DUMMYFUNCTION("if(counta(filter('Previous Rank'!$A$2:$A2766,'Previous Rank'!$B$2:$B2766=B2669,'Previous Rank'!$C$2:$C2766=C2669))=1,filter('Previous Rank'!$A$2:$A2766,'Previous Rank'!$B$2:$B2766=B2669,'Previous Rank'!$C$2:$C2766=C2669),"""")"),2668.0)</f>
        <v>2668</v>
      </c>
      <c r="H2669" s="8">
        <f t="shared" si="1"/>
        <v>0</v>
      </c>
    </row>
    <row r="2670">
      <c r="A2670" s="10">
        <v>2669.0</v>
      </c>
      <c r="B2670" s="11" t="s">
        <v>2765</v>
      </c>
      <c r="C2670" s="10" t="s">
        <v>14</v>
      </c>
      <c r="D2670" s="10" t="s">
        <v>73</v>
      </c>
      <c r="E2670" s="16"/>
      <c r="F2670" s="16" t="s">
        <v>382</v>
      </c>
      <c r="G2670" s="13">
        <f>IFERROR(__xludf.DUMMYFUNCTION("if(counta(filter('Previous Rank'!$A$2:$A2766,'Previous Rank'!$B$2:$B2766=B2670,'Previous Rank'!$C$2:$C2766=C2670))=1,filter('Previous Rank'!$A$2:$A2766,'Previous Rank'!$B$2:$B2766=B2670,'Previous Rank'!$C$2:$C2766=C2670),"""")"),2669.0)</f>
        <v>2669</v>
      </c>
      <c r="H2670" s="8">
        <f t="shared" si="1"/>
        <v>0</v>
      </c>
    </row>
    <row r="2671">
      <c r="A2671" s="10">
        <v>2670.0</v>
      </c>
      <c r="B2671" s="11" t="s">
        <v>2766</v>
      </c>
      <c r="C2671" s="10" t="s">
        <v>77</v>
      </c>
      <c r="D2671" s="10" t="s">
        <v>85</v>
      </c>
      <c r="E2671" s="15"/>
      <c r="F2671" s="15" t="s">
        <v>382</v>
      </c>
      <c r="G2671" s="13">
        <f>IFERROR(__xludf.DUMMYFUNCTION("if(counta(filter('Previous Rank'!$A$2:$A2766,'Previous Rank'!$B$2:$B2766=B2671,'Previous Rank'!$C$2:$C2766=C2671))=1,filter('Previous Rank'!$A$2:$A2766,'Previous Rank'!$B$2:$B2766=B2671,'Previous Rank'!$C$2:$C2766=C2671),"""")"),2670.0)</f>
        <v>2670</v>
      </c>
      <c r="H2671" s="8">
        <f t="shared" si="1"/>
        <v>0</v>
      </c>
    </row>
    <row r="2672">
      <c r="A2672" s="10">
        <v>2671.0</v>
      </c>
      <c r="B2672" s="11" t="s">
        <v>2767</v>
      </c>
      <c r="C2672" s="10" t="s">
        <v>346</v>
      </c>
      <c r="D2672" s="10" t="s">
        <v>18</v>
      </c>
      <c r="E2672" s="16"/>
      <c r="F2672" s="16" t="s">
        <v>382</v>
      </c>
      <c r="G2672" s="13">
        <f>IFERROR(__xludf.DUMMYFUNCTION("if(counta(filter('Previous Rank'!$A$2:$A2766,'Previous Rank'!$B$2:$B2766=B2672,'Previous Rank'!$C$2:$C2766=C2672))=1,filter('Previous Rank'!$A$2:$A2766,'Previous Rank'!$B$2:$B2766=B2672,'Previous Rank'!$C$2:$C2766=C2672),"""")"),2671.0)</f>
        <v>2671</v>
      </c>
      <c r="H2672" s="8">
        <f t="shared" si="1"/>
        <v>0</v>
      </c>
    </row>
    <row r="2673">
      <c r="A2673" s="10">
        <v>2672.0</v>
      </c>
      <c r="B2673" s="11" t="s">
        <v>2768</v>
      </c>
      <c r="C2673" s="10" t="s">
        <v>39</v>
      </c>
      <c r="D2673" s="10" t="s">
        <v>36</v>
      </c>
      <c r="E2673" s="15"/>
      <c r="F2673" s="15" t="s">
        <v>382</v>
      </c>
      <c r="G2673" s="13">
        <f>IFERROR(__xludf.DUMMYFUNCTION("if(counta(filter('Previous Rank'!$A$2:$A2766,'Previous Rank'!$B$2:$B2766=B2673,'Previous Rank'!$C$2:$C2766=C2673))=1,filter('Previous Rank'!$A$2:$A2766,'Previous Rank'!$B$2:$B2766=B2673,'Previous Rank'!$C$2:$C2766=C2673),"""")"),2672.0)</f>
        <v>2672</v>
      </c>
      <c r="H2673" s="8">
        <f t="shared" si="1"/>
        <v>0</v>
      </c>
    </row>
    <row r="2674">
      <c r="A2674" s="10">
        <v>2673.0</v>
      </c>
      <c r="B2674" s="11" t="s">
        <v>2769</v>
      </c>
      <c r="C2674" s="10" t="s">
        <v>11</v>
      </c>
      <c r="D2674" s="10" t="s">
        <v>129</v>
      </c>
      <c r="E2674" s="16"/>
      <c r="F2674" s="16" t="s">
        <v>382</v>
      </c>
      <c r="G2674" s="13">
        <f>IFERROR(__xludf.DUMMYFUNCTION("if(counta(filter('Previous Rank'!$A$2:$A2766,'Previous Rank'!$B$2:$B2766=B2674,'Previous Rank'!$C$2:$C2766=C2674))=1,filter('Previous Rank'!$A$2:$A2766,'Previous Rank'!$B$2:$B2766=B2674,'Previous Rank'!$C$2:$C2766=C2674),"""")"),2673.0)</f>
        <v>2673</v>
      </c>
      <c r="H2674" s="8">
        <f t="shared" si="1"/>
        <v>0</v>
      </c>
    </row>
    <row r="2675">
      <c r="A2675" s="10">
        <v>2674.0</v>
      </c>
      <c r="B2675" s="11" t="s">
        <v>2770</v>
      </c>
      <c r="C2675" s="10" t="s">
        <v>39</v>
      </c>
      <c r="D2675" s="10" t="s">
        <v>85</v>
      </c>
      <c r="E2675" s="15"/>
      <c r="F2675" s="15" t="s">
        <v>382</v>
      </c>
      <c r="G2675" s="13">
        <f>IFERROR(__xludf.DUMMYFUNCTION("if(counta(filter('Previous Rank'!$A$2:$A2766,'Previous Rank'!$B$2:$B2766=B2675,'Previous Rank'!$C$2:$C2766=C2675))=1,filter('Previous Rank'!$A$2:$A2766,'Previous Rank'!$B$2:$B2766=B2675,'Previous Rank'!$C$2:$C2766=C2675),"""")"),2674.0)</f>
        <v>2674</v>
      </c>
      <c r="H2675" s="8">
        <f t="shared" si="1"/>
        <v>0</v>
      </c>
    </row>
    <row r="2676">
      <c r="A2676" s="10">
        <v>2675.0</v>
      </c>
      <c r="B2676" s="11" t="s">
        <v>2771</v>
      </c>
      <c r="C2676" s="10" t="s">
        <v>77</v>
      </c>
      <c r="D2676" s="10" t="s">
        <v>206</v>
      </c>
      <c r="E2676" s="16"/>
      <c r="F2676" s="16" t="s">
        <v>382</v>
      </c>
      <c r="G2676" s="13">
        <f>IFERROR(__xludf.DUMMYFUNCTION("if(counta(filter('Previous Rank'!$A$2:$A2766,'Previous Rank'!$B$2:$B2766=B2676,'Previous Rank'!$C$2:$C2766=C2676))=1,filter('Previous Rank'!$A$2:$A2766,'Previous Rank'!$B$2:$B2766=B2676,'Previous Rank'!$C$2:$C2766=C2676),"""")"),2675.0)</f>
        <v>2675</v>
      </c>
      <c r="H2676" s="8">
        <f t="shared" si="1"/>
        <v>0</v>
      </c>
    </row>
    <row r="2677">
      <c r="A2677" s="10">
        <v>2676.0</v>
      </c>
      <c r="B2677" s="11" t="s">
        <v>2772</v>
      </c>
      <c r="C2677" s="10" t="s">
        <v>136</v>
      </c>
      <c r="D2677" s="10" t="s">
        <v>15</v>
      </c>
      <c r="E2677" s="15"/>
      <c r="F2677" s="15" t="s">
        <v>382</v>
      </c>
      <c r="G2677" s="13">
        <f>IFERROR(__xludf.DUMMYFUNCTION("if(counta(filter('Previous Rank'!$A$2:$A2766,'Previous Rank'!$B$2:$B2766=B2677,'Previous Rank'!$C$2:$C2766=C2677))=1,filter('Previous Rank'!$A$2:$A2766,'Previous Rank'!$B$2:$B2766=B2677,'Previous Rank'!$C$2:$C2766=C2677),"""")"),2676.0)</f>
        <v>2676</v>
      </c>
      <c r="H2677" s="8">
        <f t="shared" si="1"/>
        <v>0</v>
      </c>
    </row>
    <row r="2678">
      <c r="A2678" s="10">
        <v>2677.0</v>
      </c>
      <c r="B2678" s="11" t="s">
        <v>2773</v>
      </c>
      <c r="C2678" s="10" t="s">
        <v>39</v>
      </c>
      <c r="D2678" s="10" t="s">
        <v>140</v>
      </c>
      <c r="E2678" s="16"/>
      <c r="F2678" s="16" t="s">
        <v>382</v>
      </c>
      <c r="G2678" s="13">
        <f>IFERROR(__xludf.DUMMYFUNCTION("if(counta(filter('Previous Rank'!$A$2:$A2766,'Previous Rank'!$B$2:$B2766=B2678,'Previous Rank'!$C$2:$C2766=C2678))=1,filter('Previous Rank'!$A$2:$A2766,'Previous Rank'!$B$2:$B2766=B2678,'Previous Rank'!$C$2:$C2766=C2678),"""")"),2677.0)</f>
        <v>2677</v>
      </c>
      <c r="H2678" s="8">
        <f t="shared" si="1"/>
        <v>0</v>
      </c>
    </row>
    <row r="2679">
      <c r="A2679" s="10">
        <v>2678.0</v>
      </c>
      <c r="B2679" s="11" t="s">
        <v>2774</v>
      </c>
      <c r="C2679" s="10" t="s">
        <v>33</v>
      </c>
      <c r="D2679" s="10" t="s">
        <v>27</v>
      </c>
      <c r="E2679" s="15"/>
      <c r="F2679" s="15" t="s">
        <v>382</v>
      </c>
      <c r="G2679" s="13">
        <f>IFERROR(__xludf.DUMMYFUNCTION("if(counta(filter('Previous Rank'!$A$2:$A2766,'Previous Rank'!$B$2:$B2766=B2679,'Previous Rank'!$C$2:$C2766=C2679))=1,filter('Previous Rank'!$A$2:$A2766,'Previous Rank'!$B$2:$B2766=B2679,'Previous Rank'!$C$2:$C2766=C2679),"""")"),2678.0)</f>
        <v>2678</v>
      </c>
      <c r="H2679" s="8">
        <f t="shared" si="1"/>
        <v>0</v>
      </c>
    </row>
    <row r="2680">
      <c r="A2680" s="10">
        <v>2679.0</v>
      </c>
      <c r="B2680" s="11" t="s">
        <v>2775</v>
      </c>
      <c r="C2680" s="10" t="s">
        <v>77</v>
      </c>
      <c r="D2680" s="10" t="s">
        <v>137</v>
      </c>
      <c r="E2680" s="16"/>
      <c r="F2680" s="16" t="s">
        <v>382</v>
      </c>
      <c r="G2680" s="13">
        <f>IFERROR(__xludf.DUMMYFUNCTION("if(counta(filter('Previous Rank'!$A$2:$A2766,'Previous Rank'!$B$2:$B2766=B2680,'Previous Rank'!$C$2:$C2766=C2680))=1,filter('Previous Rank'!$A$2:$A2766,'Previous Rank'!$B$2:$B2766=B2680,'Previous Rank'!$C$2:$C2766=C2680),"""")"),2679.0)</f>
        <v>2679</v>
      </c>
      <c r="H2680" s="8">
        <f t="shared" si="1"/>
        <v>0</v>
      </c>
    </row>
    <row r="2681">
      <c r="A2681" s="10">
        <v>2680.0</v>
      </c>
      <c r="B2681" s="11" t="s">
        <v>2776</v>
      </c>
      <c r="C2681" s="10" t="s">
        <v>240</v>
      </c>
      <c r="D2681" s="10" t="s">
        <v>206</v>
      </c>
      <c r="E2681" s="15"/>
      <c r="F2681" s="15" t="s">
        <v>382</v>
      </c>
      <c r="G2681" s="13">
        <f>IFERROR(__xludf.DUMMYFUNCTION("if(counta(filter('Previous Rank'!$A$2:$A2766,'Previous Rank'!$B$2:$B2766=B2681,'Previous Rank'!$C$2:$C2766=C2681))=1,filter('Previous Rank'!$A$2:$A2766,'Previous Rank'!$B$2:$B2766=B2681,'Previous Rank'!$C$2:$C2766=C2681),"""")"),2680.0)</f>
        <v>2680</v>
      </c>
      <c r="H2681" s="8">
        <f t="shared" si="1"/>
        <v>0</v>
      </c>
    </row>
    <row r="2682">
      <c r="A2682" s="10">
        <v>2681.0</v>
      </c>
      <c r="B2682" s="11" t="s">
        <v>2777</v>
      </c>
      <c r="C2682" s="10" t="s">
        <v>39</v>
      </c>
      <c r="D2682" s="10" t="s">
        <v>18</v>
      </c>
      <c r="E2682" s="16"/>
      <c r="F2682" s="16" t="s">
        <v>382</v>
      </c>
      <c r="G2682" s="13">
        <f>IFERROR(__xludf.DUMMYFUNCTION("if(counta(filter('Previous Rank'!$A$2:$A2766,'Previous Rank'!$B$2:$B2766=B2682,'Previous Rank'!$C$2:$C2766=C2682))=1,filter('Previous Rank'!$A$2:$A2766,'Previous Rank'!$B$2:$B2766=B2682,'Previous Rank'!$C$2:$C2766=C2682),"""")"),2681.0)</f>
        <v>2681</v>
      </c>
      <c r="H2682" s="8">
        <f t="shared" si="1"/>
        <v>0</v>
      </c>
    </row>
    <row r="2683">
      <c r="A2683" s="10">
        <v>2682.0</v>
      </c>
      <c r="B2683" s="11" t="s">
        <v>2778</v>
      </c>
      <c r="C2683" s="10" t="s">
        <v>14</v>
      </c>
      <c r="D2683" s="10" t="s">
        <v>15</v>
      </c>
      <c r="E2683" s="12"/>
      <c r="F2683" s="12" t="s">
        <v>382</v>
      </c>
      <c r="G2683" s="13">
        <f>IFERROR(__xludf.DUMMYFUNCTION("if(counta(filter('Previous Rank'!$A$2:$A2766,'Previous Rank'!$B$2:$B2766=B2683,'Previous Rank'!$C$2:$C2766=C2683))=1,filter('Previous Rank'!$A$2:$A2766,'Previous Rank'!$B$2:$B2766=B2683,'Previous Rank'!$C$2:$C2766=C2683),"""")"),2682.0)</f>
        <v>2682</v>
      </c>
      <c r="H2683" s="8">
        <f t="shared" si="1"/>
        <v>0</v>
      </c>
    </row>
    <row r="2684">
      <c r="A2684" s="10">
        <v>2683.0</v>
      </c>
      <c r="B2684" s="11" t="s">
        <v>2779</v>
      </c>
      <c r="C2684" s="10" t="s">
        <v>8</v>
      </c>
      <c r="D2684" s="10" t="s">
        <v>67</v>
      </c>
      <c r="E2684" s="16"/>
      <c r="F2684" s="16" t="s">
        <v>382</v>
      </c>
      <c r="G2684" s="13">
        <f>IFERROR(__xludf.DUMMYFUNCTION("if(counta(filter('Previous Rank'!$A$2:$A2766,'Previous Rank'!$B$2:$B2766=B2684,'Previous Rank'!$C$2:$C2766=C2684))=1,filter('Previous Rank'!$A$2:$A2766,'Previous Rank'!$B$2:$B2766=B2684,'Previous Rank'!$C$2:$C2766=C2684),"""")"),2683.0)</f>
        <v>2683</v>
      </c>
      <c r="H2684" s="8">
        <f t="shared" si="1"/>
        <v>0</v>
      </c>
    </row>
    <row r="2685">
      <c r="A2685" s="10">
        <v>2684.0</v>
      </c>
      <c r="B2685" s="11" t="s">
        <v>2780</v>
      </c>
      <c r="C2685" s="10" t="s">
        <v>14</v>
      </c>
      <c r="D2685" s="10" t="s">
        <v>18</v>
      </c>
      <c r="E2685" s="15"/>
      <c r="F2685" s="15" t="s">
        <v>382</v>
      </c>
      <c r="G2685" s="13">
        <f>IFERROR(__xludf.DUMMYFUNCTION("if(counta(filter('Previous Rank'!$A$2:$A2766,'Previous Rank'!$B$2:$B2766=B2685,'Previous Rank'!$C$2:$C2766=C2685))=1,filter('Previous Rank'!$A$2:$A2766,'Previous Rank'!$B$2:$B2766=B2685,'Previous Rank'!$C$2:$C2766=C2685),"""")"),2684.0)</f>
        <v>2684</v>
      </c>
      <c r="H2685" s="8">
        <f t="shared" si="1"/>
        <v>0</v>
      </c>
    </row>
    <row r="2686">
      <c r="A2686" s="10">
        <v>2685.0</v>
      </c>
      <c r="B2686" s="11" t="s">
        <v>2781</v>
      </c>
      <c r="C2686" s="10" t="s">
        <v>77</v>
      </c>
      <c r="D2686" s="10" t="s">
        <v>46</v>
      </c>
      <c r="E2686" s="16"/>
      <c r="F2686" s="16" t="s">
        <v>382</v>
      </c>
      <c r="G2686" s="13">
        <f>IFERROR(__xludf.DUMMYFUNCTION("if(counta(filter('Previous Rank'!$A$2:$A2766,'Previous Rank'!$B$2:$B2766=B2686,'Previous Rank'!$C$2:$C2766=C2686))=1,filter('Previous Rank'!$A$2:$A2766,'Previous Rank'!$B$2:$B2766=B2686,'Previous Rank'!$C$2:$C2766=C2686),"""")"),2685.0)</f>
        <v>2685</v>
      </c>
      <c r="H2686" s="8">
        <f t="shared" si="1"/>
        <v>0</v>
      </c>
    </row>
    <row r="2687">
      <c r="A2687" s="10">
        <v>2686.0</v>
      </c>
      <c r="B2687" s="11" t="s">
        <v>2782</v>
      </c>
      <c r="C2687" s="10" t="s">
        <v>1857</v>
      </c>
      <c r="D2687" s="10" t="s">
        <v>129</v>
      </c>
      <c r="E2687" s="15"/>
      <c r="F2687" s="15" t="s">
        <v>382</v>
      </c>
      <c r="G2687" s="13">
        <f>IFERROR(__xludf.DUMMYFUNCTION("if(counta(filter('Previous Rank'!$A$2:$A2766,'Previous Rank'!$B$2:$B2766=B2687,'Previous Rank'!$C$2:$C2766=C2687))=1,filter('Previous Rank'!$A$2:$A2766,'Previous Rank'!$B$2:$B2766=B2687,'Previous Rank'!$C$2:$C2766=C2687),"""")"),2686.0)</f>
        <v>2686</v>
      </c>
      <c r="H2687" s="8">
        <f t="shared" si="1"/>
        <v>0</v>
      </c>
    </row>
    <row r="2688">
      <c r="A2688" s="10">
        <v>2687.0</v>
      </c>
      <c r="B2688" s="11" t="s">
        <v>2783</v>
      </c>
      <c r="C2688" s="10" t="s">
        <v>77</v>
      </c>
      <c r="D2688" s="10" t="s">
        <v>49</v>
      </c>
      <c r="E2688" s="16"/>
      <c r="F2688" s="16" t="s">
        <v>382</v>
      </c>
      <c r="G2688" s="13">
        <f>IFERROR(__xludf.DUMMYFUNCTION("if(counta(filter('Previous Rank'!$A$2:$A2766,'Previous Rank'!$B$2:$B2766=B2688,'Previous Rank'!$C$2:$C2766=C2688))=1,filter('Previous Rank'!$A$2:$A2766,'Previous Rank'!$B$2:$B2766=B2688,'Previous Rank'!$C$2:$C2766=C2688),"""")"),2687.0)</f>
        <v>2687</v>
      </c>
      <c r="H2688" s="8">
        <f t="shared" si="1"/>
        <v>0</v>
      </c>
    </row>
    <row r="2689">
      <c r="A2689" s="10">
        <v>2688.0</v>
      </c>
      <c r="B2689" s="11" t="s">
        <v>2784</v>
      </c>
      <c r="C2689" s="10" t="s">
        <v>48</v>
      </c>
      <c r="D2689" s="10" t="s">
        <v>113</v>
      </c>
      <c r="E2689" s="15"/>
      <c r="F2689" s="15" t="s">
        <v>382</v>
      </c>
      <c r="G2689" s="13">
        <f>IFERROR(__xludf.DUMMYFUNCTION("if(counta(filter('Previous Rank'!$A$2:$A2766,'Previous Rank'!$B$2:$B2766=B2689,'Previous Rank'!$C$2:$C2766=C2689))=1,filter('Previous Rank'!$A$2:$A2766,'Previous Rank'!$B$2:$B2766=B2689,'Previous Rank'!$C$2:$C2766=C2689),"""")"),2688.0)</f>
        <v>2688</v>
      </c>
      <c r="H2689" s="8">
        <f t="shared" si="1"/>
        <v>0</v>
      </c>
    </row>
    <row r="2690">
      <c r="A2690" s="10">
        <v>2689.0</v>
      </c>
      <c r="B2690" s="11" t="s">
        <v>2785</v>
      </c>
      <c r="C2690" s="10" t="s">
        <v>77</v>
      </c>
      <c r="D2690" s="10" t="s">
        <v>137</v>
      </c>
      <c r="E2690" s="16"/>
      <c r="F2690" s="16" t="s">
        <v>382</v>
      </c>
      <c r="G2690" s="13">
        <f>IFERROR(__xludf.DUMMYFUNCTION("if(counta(filter('Previous Rank'!$A$2:$A2766,'Previous Rank'!$B$2:$B2766=B2690,'Previous Rank'!$C$2:$C2766=C2690))=1,filter('Previous Rank'!$A$2:$A2766,'Previous Rank'!$B$2:$B2766=B2690,'Previous Rank'!$C$2:$C2766=C2690),"""")"),2689.0)</f>
        <v>2689</v>
      </c>
      <c r="H2690" s="8">
        <f t="shared" si="1"/>
        <v>0</v>
      </c>
    </row>
    <row r="2691">
      <c r="A2691" s="10">
        <v>2690.0</v>
      </c>
      <c r="B2691" s="11" t="s">
        <v>2786</v>
      </c>
      <c r="C2691" s="10" t="s">
        <v>48</v>
      </c>
      <c r="D2691" s="10" t="s">
        <v>36</v>
      </c>
      <c r="E2691" s="15"/>
      <c r="F2691" s="15" t="s">
        <v>382</v>
      </c>
      <c r="G2691" s="13">
        <f>IFERROR(__xludf.DUMMYFUNCTION("if(counta(filter('Previous Rank'!$A$2:$A2766,'Previous Rank'!$B$2:$B2766=B2691,'Previous Rank'!$C$2:$C2766=C2691))=1,filter('Previous Rank'!$A$2:$A2766,'Previous Rank'!$B$2:$B2766=B2691,'Previous Rank'!$C$2:$C2766=C2691),"""")"),2690.0)</f>
        <v>2690</v>
      </c>
      <c r="H2691" s="8">
        <f t="shared" si="1"/>
        <v>0</v>
      </c>
    </row>
    <row r="2692">
      <c r="A2692" s="10">
        <v>2691.0</v>
      </c>
      <c r="B2692" s="11" t="s">
        <v>2787</v>
      </c>
      <c r="C2692" s="10" t="s">
        <v>39</v>
      </c>
      <c r="D2692" s="10" t="s">
        <v>99</v>
      </c>
      <c r="E2692" s="16"/>
      <c r="F2692" s="16" t="s">
        <v>382</v>
      </c>
      <c r="G2692" s="13">
        <f>IFERROR(__xludf.DUMMYFUNCTION("if(counta(filter('Previous Rank'!$A$2:$A2766,'Previous Rank'!$B$2:$B2766=B2692,'Previous Rank'!$C$2:$C2766=C2692))=1,filter('Previous Rank'!$A$2:$A2766,'Previous Rank'!$B$2:$B2766=B2692,'Previous Rank'!$C$2:$C2766=C2692),"""")"),2691.0)</f>
        <v>2691</v>
      </c>
      <c r="H2692" s="8">
        <f t="shared" si="1"/>
        <v>0</v>
      </c>
    </row>
    <row r="2693">
      <c r="A2693" s="10">
        <v>2692.0</v>
      </c>
      <c r="B2693" s="11" t="s">
        <v>2788</v>
      </c>
      <c r="C2693" s="10" t="s">
        <v>77</v>
      </c>
      <c r="D2693" s="10" t="s">
        <v>71</v>
      </c>
      <c r="E2693" s="15"/>
      <c r="F2693" s="15" t="s">
        <v>382</v>
      </c>
      <c r="G2693" s="13">
        <f>IFERROR(__xludf.DUMMYFUNCTION("if(counta(filter('Previous Rank'!$A$2:$A2766,'Previous Rank'!$B$2:$B2766=B2693,'Previous Rank'!$C$2:$C2766=C2693))=1,filter('Previous Rank'!$A$2:$A2766,'Previous Rank'!$B$2:$B2766=B2693,'Previous Rank'!$C$2:$C2766=C2693),"""")"),2692.0)</f>
        <v>2692</v>
      </c>
      <c r="H2693" s="8">
        <f t="shared" si="1"/>
        <v>0</v>
      </c>
    </row>
    <row r="2694">
      <c r="A2694" s="10">
        <v>2693.0</v>
      </c>
      <c r="B2694" s="11" t="s">
        <v>2789</v>
      </c>
      <c r="C2694" s="10" t="s">
        <v>77</v>
      </c>
      <c r="D2694" s="10" t="s">
        <v>206</v>
      </c>
      <c r="E2694" s="16"/>
      <c r="F2694" s="16" t="s">
        <v>382</v>
      </c>
      <c r="G2694" s="13">
        <f>IFERROR(__xludf.DUMMYFUNCTION("if(counta(filter('Previous Rank'!$A$2:$A2766,'Previous Rank'!$B$2:$B2766=B2694,'Previous Rank'!$C$2:$C2766=C2694))=1,filter('Previous Rank'!$A$2:$A2766,'Previous Rank'!$B$2:$B2766=B2694,'Previous Rank'!$C$2:$C2766=C2694),"""")"),2693.0)</f>
        <v>2693</v>
      </c>
      <c r="H2694" s="8">
        <f t="shared" si="1"/>
        <v>0</v>
      </c>
    </row>
    <row r="2695">
      <c r="A2695" s="10">
        <v>2694.0</v>
      </c>
      <c r="B2695" s="11" t="s">
        <v>2790</v>
      </c>
      <c r="C2695" s="10" t="s">
        <v>77</v>
      </c>
      <c r="D2695" s="10" t="s">
        <v>31</v>
      </c>
      <c r="E2695" s="15"/>
      <c r="F2695" s="15" t="s">
        <v>382</v>
      </c>
      <c r="G2695" s="13">
        <f>IFERROR(__xludf.DUMMYFUNCTION("if(counta(filter('Previous Rank'!$A$2:$A2766,'Previous Rank'!$B$2:$B2766=B2695,'Previous Rank'!$C$2:$C2766=C2695))=1,filter('Previous Rank'!$A$2:$A2766,'Previous Rank'!$B$2:$B2766=B2695,'Previous Rank'!$C$2:$C2766=C2695),"""")"),2694.0)</f>
        <v>2694</v>
      </c>
      <c r="H2695" s="8">
        <f t="shared" si="1"/>
        <v>0</v>
      </c>
    </row>
    <row r="2696">
      <c r="A2696" s="10">
        <v>2695.0</v>
      </c>
      <c r="B2696" s="11" t="s">
        <v>2791</v>
      </c>
      <c r="C2696" s="10" t="s">
        <v>8</v>
      </c>
      <c r="D2696" s="10" t="s">
        <v>73</v>
      </c>
      <c r="E2696" s="16"/>
      <c r="F2696" s="16" t="s">
        <v>382</v>
      </c>
      <c r="G2696" s="13">
        <f>IFERROR(__xludf.DUMMYFUNCTION("if(counta(filter('Previous Rank'!$A$2:$A2766,'Previous Rank'!$B$2:$B2766=B2696,'Previous Rank'!$C$2:$C2766=C2696))=1,filter('Previous Rank'!$A$2:$A2766,'Previous Rank'!$B$2:$B2766=B2696,'Previous Rank'!$C$2:$C2766=C2696),"""")"),2695.0)</f>
        <v>2695</v>
      </c>
      <c r="H2696" s="8">
        <f t="shared" si="1"/>
        <v>0</v>
      </c>
    </row>
    <row r="2697">
      <c r="A2697" s="10">
        <v>2696.0</v>
      </c>
      <c r="B2697" s="11" t="s">
        <v>2792</v>
      </c>
      <c r="C2697" s="10" t="s">
        <v>11</v>
      </c>
      <c r="D2697" s="10" t="s">
        <v>140</v>
      </c>
      <c r="E2697" s="15"/>
      <c r="F2697" s="15" t="s">
        <v>382</v>
      </c>
      <c r="G2697" s="13">
        <f>IFERROR(__xludf.DUMMYFUNCTION("if(counta(filter('Previous Rank'!$A$2:$A2766,'Previous Rank'!$B$2:$B2766=B2697,'Previous Rank'!$C$2:$C2766=C2697))=1,filter('Previous Rank'!$A$2:$A2766,'Previous Rank'!$B$2:$B2766=B2697,'Previous Rank'!$C$2:$C2766=C2697),"""")"),2696.0)</f>
        <v>2696</v>
      </c>
      <c r="H2697" s="8">
        <f t="shared" si="1"/>
        <v>0</v>
      </c>
    </row>
    <row r="2698">
      <c r="A2698" s="10">
        <v>2697.0</v>
      </c>
      <c r="B2698" s="11" t="s">
        <v>2793</v>
      </c>
      <c r="C2698" s="10" t="s">
        <v>240</v>
      </c>
      <c r="D2698" s="10" t="s">
        <v>85</v>
      </c>
      <c r="E2698" s="16"/>
      <c r="F2698" s="16" t="s">
        <v>382</v>
      </c>
      <c r="G2698" s="13">
        <f>IFERROR(__xludf.DUMMYFUNCTION("if(counta(filter('Previous Rank'!$A$2:$A2766,'Previous Rank'!$B$2:$B2766=B2698,'Previous Rank'!$C$2:$C2766=C2698))=1,filter('Previous Rank'!$A$2:$A2766,'Previous Rank'!$B$2:$B2766=B2698,'Previous Rank'!$C$2:$C2766=C2698),"""")"),2697.0)</f>
        <v>2697</v>
      </c>
      <c r="H2698" s="8">
        <f t="shared" si="1"/>
        <v>0</v>
      </c>
    </row>
    <row r="2699">
      <c r="A2699" s="10">
        <v>2698.0</v>
      </c>
      <c r="B2699" s="11" t="s">
        <v>2794</v>
      </c>
      <c r="C2699" s="10" t="s">
        <v>176</v>
      </c>
      <c r="D2699" s="10" t="s">
        <v>85</v>
      </c>
      <c r="E2699" s="15"/>
      <c r="F2699" s="15" t="s">
        <v>382</v>
      </c>
      <c r="G2699" s="13">
        <f>IFERROR(__xludf.DUMMYFUNCTION("if(counta(filter('Previous Rank'!$A$2:$A2766,'Previous Rank'!$B$2:$B2766=B2699,'Previous Rank'!$C$2:$C2766=C2699))=1,filter('Previous Rank'!$A$2:$A2766,'Previous Rank'!$B$2:$B2766=B2699,'Previous Rank'!$C$2:$C2766=C2699),"""")"),2698.0)</f>
        <v>2698</v>
      </c>
      <c r="H2699" s="8">
        <f t="shared" si="1"/>
        <v>0</v>
      </c>
    </row>
    <row r="2700">
      <c r="A2700" s="10">
        <v>2699.0</v>
      </c>
      <c r="B2700" s="11" t="s">
        <v>2795</v>
      </c>
      <c r="C2700" s="10" t="s">
        <v>77</v>
      </c>
      <c r="D2700" s="10" t="s">
        <v>90</v>
      </c>
      <c r="E2700" s="16"/>
      <c r="F2700" s="16" t="s">
        <v>382</v>
      </c>
      <c r="G2700" s="13">
        <f>IFERROR(__xludf.DUMMYFUNCTION("if(counta(filter('Previous Rank'!$A$2:$A2766,'Previous Rank'!$B$2:$B2766=B2700,'Previous Rank'!$C$2:$C2766=C2700))=1,filter('Previous Rank'!$A$2:$A2766,'Previous Rank'!$B$2:$B2766=B2700,'Previous Rank'!$C$2:$C2766=C2700),"""")"),2699.0)</f>
        <v>2699</v>
      </c>
      <c r="H2700" s="8">
        <f t="shared" si="1"/>
        <v>0</v>
      </c>
    </row>
    <row r="2701">
      <c r="A2701" s="10">
        <v>2700.0</v>
      </c>
      <c r="B2701" s="11" t="s">
        <v>2796</v>
      </c>
      <c r="C2701" s="10" t="s">
        <v>77</v>
      </c>
      <c r="D2701" s="10" t="s">
        <v>95</v>
      </c>
      <c r="E2701" s="15"/>
      <c r="F2701" s="15" t="s">
        <v>382</v>
      </c>
      <c r="G2701" s="13">
        <f>IFERROR(__xludf.DUMMYFUNCTION("if(counta(filter('Previous Rank'!$A$2:$A2766,'Previous Rank'!$B$2:$B2766=B2701,'Previous Rank'!$C$2:$C2766=C2701))=1,filter('Previous Rank'!$A$2:$A2766,'Previous Rank'!$B$2:$B2766=B2701,'Previous Rank'!$C$2:$C2766=C2701),"""")"),2700.0)</f>
        <v>2700</v>
      </c>
      <c r="H2701" s="8">
        <f t="shared" si="1"/>
        <v>0</v>
      </c>
    </row>
    <row r="2702">
      <c r="A2702" s="10">
        <v>2701.0</v>
      </c>
      <c r="B2702" s="11" t="s">
        <v>2797</v>
      </c>
      <c r="C2702" s="10" t="s">
        <v>33</v>
      </c>
      <c r="D2702" s="10" t="s">
        <v>36</v>
      </c>
      <c r="E2702" s="16"/>
      <c r="F2702" s="16" t="s">
        <v>382</v>
      </c>
      <c r="G2702" s="13">
        <f>IFERROR(__xludf.DUMMYFUNCTION("if(counta(filter('Previous Rank'!$A$2:$A2766,'Previous Rank'!$B$2:$B2766=B2702,'Previous Rank'!$C$2:$C2766=C2702))=1,filter('Previous Rank'!$A$2:$A2766,'Previous Rank'!$B$2:$B2766=B2702,'Previous Rank'!$C$2:$C2766=C2702),"""")"),2701.0)</f>
        <v>2701</v>
      </c>
      <c r="H2702" s="8">
        <f t="shared" si="1"/>
        <v>0</v>
      </c>
    </row>
    <row r="2703">
      <c r="A2703" s="10">
        <v>2702.0</v>
      </c>
      <c r="B2703" s="11" t="s">
        <v>2798</v>
      </c>
      <c r="C2703" s="10" t="s">
        <v>17</v>
      </c>
      <c r="D2703" s="10" t="s">
        <v>129</v>
      </c>
      <c r="E2703" s="15"/>
      <c r="F2703" s="15" t="s">
        <v>382</v>
      </c>
      <c r="G2703" s="13">
        <f>IFERROR(__xludf.DUMMYFUNCTION("if(counta(filter('Previous Rank'!$A$2:$A2766,'Previous Rank'!$B$2:$B2766=B2703,'Previous Rank'!$C$2:$C2766=C2703))=1,filter('Previous Rank'!$A$2:$A2766,'Previous Rank'!$B$2:$B2766=B2703,'Previous Rank'!$C$2:$C2766=C2703),"""")"),2702.0)</f>
        <v>2702</v>
      </c>
      <c r="H2703" s="8">
        <f t="shared" si="1"/>
        <v>0</v>
      </c>
    </row>
    <row r="2704">
      <c r="A2704" s="10">
        <v>2703.0</v>
      </c>
      <c r="B2704" s="11" t="s">
        <v>2799</v>
      </c>
      <c r="C2704" s="10" t="s">
        <v>148</v>
      </c>
      <c r="D2704" s="10" t="s">
        <v>18</v>
      </c>
      <c r="E2704" s="16"/>
      <c r="F2704" s="16" t="s">
        <v>382</v>
      </c>
      <c r="G2704" s="13">
        <f>IFERROR(__xludf.DUMMYFUNCTION("if(counta(filter('Previous Rank'!$A$2:$A2766,'Previous Rank'!$B$2:$B2766=B2704,'Previous Rank'!$C$2:$C2766=C2704))=1,filter('Previous Rank'!$A$2:$A2766,'Previous Rank'!$B$2:$B2766=B2704,'Previous Rank'!$C$2:$C2766=C2704),"""")"),2703.0)</f>
        <v>2703</v>
      </c>
      <c r="H2704" s="8">
        <f t="shared" si="1"/>
        <v>0</v>
      </c>
    </row>
    <row r="2705">
      <c r="A2705" s="10">
        <v>2704.0</v>
      </c>
      <c r="B2705" s="11" t="s">
        <v>2800</v>
      </c>
      <c r="C2705" s="10" t="s">
        <v>17</v>
      </c>
      <c r="D2705" s="10" t="s">
        <v>137</v>
      </c>
      <c r="E2705" s="15"/>
      <c r="F2705" s="15" t="s">
        <v>382</v>
      </c>
      <c r="G2705" s="13">
        <f>IFERROR(__xludf.DUMMYFUNCTION("if(counta(filter('Previous Rank'!$A$2:$A2766,'Previous Rank'!$B$2:$B2766=B2705,'Previous Rank'!$C$2:$C2766=C2705))=1,filter('Previous Rank'!$A$2:$A2766,'Previous Rank'!$B$2:$B2766=B2705,'Previous Rank'!$C$2:$C2766=C2705),"""")"),2704.0)</f>
        <v>2704</v>
      </c>
      <c r="H2705" s="8">
        <f t="shared" si="1"/>
        <v>0</v>
      </c>
    </row>
    <row r="2706">
      <c r="A2706" s="10">
        <v>2705.0</v>
      </c>
      <c r="B2706" s="11" t="s">
        <v>2801</v>
      </c>
      <c r="C2706" s="10" t="s">
        <v>240</v>
      </c>
      <c r="D2706" s="10" t="s">
        <v>36</v>
      </c>
      <c r="E2706" s="16"/>
      <c r="F2706" s="16" t="s">
        <v>382</v>
      </c>
      <c r="G2706" s="13">
        <f>IFERROR(__xludf.DUMMYFUNCTION("if(counta(filter('Previous Rank'!$A$2:$A2766,'Previous Rank'!$B$2:$B2766=B2706,'Previous Rank'!$C$2:$C2766=C2706))=1,filter('Previous Rank'!$A$2:$A2766,'Previous Rank'!$B$2:$B2766=B2706,'Previous Rank'!$C$2:$C2766=C2706),"""")"),2705.0)</f>
        <v>2705</v>
      </c>
      <c r="H2706" s="8">
        <f t="shared" si="1"/>
        <v>0</v>
      </c>
    </row>
    <row r="2707">
      <c r="A2707" s="10">
        <v>2706.0</v>
      </c>
      <c r="B2707" s="11" t="s">
        <v>2802</v>
      </c>
      <c r="C2707" s="10" t="s">
        <v>48</v>
      </c>
      <c r="D2707" s="10" t="s">
        <v>73</v>
      </c>
      <c r="E2707" s="15"/>
      <c r="F2707" s="15" t="s">
        <v>382</v>
      </c>
      <c r="G2707" s="13">
        <f>IFERROR(__xludf.DUMMYFUNCTION("if(counta(filter('Previous Rank'!$A$2:$A2766,'Previous Rank'!$B$2:$B2766=B2707,'Previous Rank'!$C$2:$C2766=C2707))=1,filter('Previous Rank'!$A$2:$A2766,'Previous Rank'!$B$2:$B2766=B2707,'Previous Rank'!$C$2:$C2766=C2707),"""")"),2706.0)</f>
        <v>2706</v>
      </c>
      <c r="H2707" s="8">
        <f t="shared" si="1"/>
        <v>0</v>
      </c>
    </row>
    <row r="2708">
      <c r="A2708" s="10">
        <v>2707.0</v>
      </c>
      <c r="B2708" s="11" t="s">
        <v>2803</v>
      </c>
      <c r="C2708" s="10" t="s">
        <v>48</v>
      </c>
      <c r="D2708" s="10" t="s">
        <v>73</v>
      </c>
      <c r="E2708" s="16"/>
      <c r="F2708" s="16" t="s">
        <v>382</v>
      </c>
      <c r="G2708" s="13">
        <f>IFERROR(__xludf.DUMMYFUNCTION("if(counta(filter('Previous Rank'!$A$2:$A2766,'Previous Rank'!$B$2:$B2766=B2708,'Previous Rank'!$C$2:$C2766=C2708))=1,filter('Previous Rank'!$A$2:$A2766,'Previous Rank'!$B$2:$B2766=B2708,'Previous Rank'!$C$2:$C2766=C2708),"""")"),2707.0)</f>
        <v>2707</v>
      </c>
      <c r="H2708" s="8">
        <f t="shared" si="1"/>
        <v>0</v>
      </c>
    </row>
    <row r="2709">
      <c r="A2709" s="10">
        <v>2708.0</v>
      </c>
      <c r="B2709" s="11" t="s">
        <v>2804</v>
      </c>
      <c r="C2709" s="10" t="s">
        <v>39</v>
      </c>
      <c r="D2709" s="10" t="s">
        <v>31</v>
      </c>
      <c r="E2709" s="15"/>
      <c r="F2709" s="15" t="s">
        <v>382</v>
      </c>
      <c r="G2709" s="13">
        <f>IFERROR(__xludf.DUMMYFUNCTION("if(counta(filter('Previous Rank'!$A$2:$A2766,'Previous Rank'!$B$2:$B2766=B2709,'Previous Rank'!$C$2:$C2766=C2709))=1,filter('Previous Rank'!$A$2:$A2766,'Previous Rank'!$B$2:$B2766=B2709,'Previous Rank'!$C$2:$C2766=C2709),"""")"),2708.0)</f>
        <v>2708</v>
      </c>
      <c r="H2709" s="8">
        <f t="shared" si="1"/>
        <v>0</v>
      </c>
    </row>
    <row r="2710">
      <c r="A2710" s="10">
        <v>2709.0</v>
      </c>
      <c r="B2710" s="11" t="s">
        <v>2805</v>
      </c>
      <c r="C2710" s="10" t="s">
        <v>17</v>
      </c>
      <c r="D2710" s="10" t="s">
        <v>71</v>
      </c>
      <c r="E2710" s="16"/>
      <c r="F2710" s="16" t="s">
        <v>382</v>
      </c>
      <c r="G2710" s="13">
        <f>IFERROR(__xludf.DUMMYFUNCTION("if(counta(filter('Previous Rank'!$A$2:$A2766,'Previous Rank'!$B$2:$B2766=B2710,'Previous Rank'!$C$2:$C2766=C2710))=1,filter('Previous Rank'!$A$2:$A2766,'Previous Rank'!$B$2:$B2766=B2710,'Previous Rank'!$C$2:$C2766=C2710),"""")"),2709.0)</f>
        <v>2709</v>
      </c>
      <c r="H2710" s="8">
        <f t="shared" si="1"/>
        <v>0</v>
      </c>
    </row>
    <row r="2711">
      <c r="A2711" s="10">
        <v>2710.0</v>
      </c>
      <c r="B2711" s="11" t="s">
        <v>2806</v>
      </c>
      <c r="C2711" s="10" t="s">
        <v>11</v>
      </c>
      <c r="D2711" s="10" t="s">
        <v>71</v>
      </c>
      <c r="E2711" s="15"/>
      <c r="F2711" s="15" t="s">
        <v>382</v>
      </c>
      <c r="G2711" s="13">
        <f>IFERROR(__xludf.DUMMYFUNCTION("if(counta(filter('Previous Rank'!$A$2:$A2766,'Previous Rank'!$B$2:$B2766=B2711,'Previous Rank'!$C$2:$C2766=C2711))=1,filter('Previous Rank'!$A$2:$A2766,'Previous Rank'!$B$2:$B2766=B2711,'Previous Rank'!$C$2:$C2766=C2711),"""")"),2710.0)</f>
        <v>2710</v>
      </c>
      <c r="H2711" s="8">
        <f t="shared" si="1"/>
        <v>0</v>
      </c>
    </row>
    <row r="2712">
      <c r="A2712" s="10">
        <v>2711.0</v>
      </c>
      <c r="B2712" s="11" t="s">
        <v>2807</v>
      </c>
      <c r="C2712" s="10" t="s">
        <v>77</v>
      </c>
      <c r="D2712" s="10" t="s">
        <v>85</v>
      </c>
      <c r="E2712" s="16"/>
      <c r="F2712" s="16" t="s">
        <v>382</v>
      </c>
      <c r="G2712" s="13">
        <f>IFERROR(__xludf.DUMMYFUNCTION("if(counta(filter('Previous Rank'!$A$2:$A2766,'Previous Rank'!$B$2:$B2766=B2712,'Previous Rank'!$C$2:$C2766=C2712))=1,filter('Previous Rank'!$A$2:$A2766,'Previous Rank'!$B$2:$B2766=B2712,'Previous Rank'!$C$2:$C2766=C2712),"""")"),2711.0)</f>
        <v>2711</v>
      </c>
      <c r="H2712" s="8">
        <f t="shared" si="1"/>
        <v>0</v>
      </c>
    </row>
    <row r="2713">
      <c r="A2713" s="10">
        <v>2712.0</v>
      </c>
      <c r="B2713" s="11" t="s">
        <v>2808</v>
      </c>
      <c r="C2713" s="10" t="s">
        <v>33</v>
      </c>
      <c r="D2713" s="10" t="s">
        <v>113</v>
      </c>
      <c r="E2713" s="15"/>
      <c r="F2713" s="15" t="s">
        <v>382</v>
      </c>
      <c r="G2713" s="13">
        <f>IFERROR(__xludf.DUMMYFUNCTION("if(counta(filter('Previous Rank'!$A$2:$A2766,'Previous Rank'!$B$2:$B2766=B2713,'Previous Rank'!$C$2:$C2766=C2713))=1,filter('Previous Rank'!$A$2:$A2766,'Previous Rank'!$B$2:$B2766=B2713,'Previous Rank'!$C$2:$C2766=C2713),"""")"),2712.0)</f>
        <v>2712</v>
      </c>
      <c r="H2713" s="8">
        <f t="shared" si="1"/>
        <v>0</v>
      </c>
    </row>
    <row r="2714">
      <c r="A2714" s="10">
        <v>2713.0</v>
      </c>
      <c r="B2714" s="11" t="s">
        <v>2809</v>
      </c>
      <c r="C2714" s="10" t="s">
        <v>39</v>
      </c>
      <c r="D2714" s="10" t="s">
        <v>82</v>
      </c>
      <c r="E2714" s="16"/>
      <c r="F2714" s="16" t="s">
        <v>382</v>
      </c>
      <c r="G2714" s="13">
        <f>IFERROR(__xludf.DUMMYFUNCTION("if(counta(filter('Previous Rank'!$A$2:$A2766,'Previous Rank'!$B$2:$B2766=B2714,'Previous Rank'!$C$2:$C2766=C2714))=1,filter('Previous Rank'!$A$2:$A2766,'Previous Rank'!$B$2:$B2766=B2714,'Previous Rank'!$C$2:$C2766=C2714),"""")"),2713.0)</f>
        <v>2713</v>
      </c>
      <c r="H2714" s="8">
        <f t="shared" si="1"/>
        <v>0</v>
      </c>
    </row>
    <row r="2715">
      <c r="A2715" s="10">
        <v>2714.0</v>
      </c>
      <c r="B2715" s="11" t="s">
        <v>2810</v>
      </c>
      <c r="C2715" s="10" t="s">
        <v>77</v>
      </c>
      <c r="D2715" s="10" t="s">
        <v>73</v>
      </c>
      <c r="E2715" s="15"/>
      <c r="F2715" s="15" t="s">
        <v>382</v>
      </c>
      <c r="G2715" s="13" t="str">
        <f>IFERROR(__xludf.DUMMYFUNCTION("if(counta(filter('Previous Rank'!$A$2:$A2766,'Previous Rank'!$B$2:$B2766=B2715,'Previous Rank'!$C$2:$C2766=C2715))=1,filter('Previous Rank'!$A$2:$A2766,'Previous Rank'!$B$2:$B2766=B2715,'Previous Rank'!$C$2:$C2766=C2715),"""")"),"")</f>
        <v/>
      </c>
      <c r="H2715" s="8" t="str">
        <f t="shared" si="1"/>
        <v/>
      </c>
    </row>
    <row r="2716">
      <c r="A2716" s="10">
        <v>2715.0</v>
      </c>
      <c r="B2716" s="11" t="s">
        <v>2811</v>
      </c>
      <c r="C2716" s="10" t="s">
        <v>77</v>
      </c>
      <c r="D2716" s="10" t="s">
        <v>99</v>
      </c>
      <c r="E2716" s="16"/>
      <c r="F2716" s="16" t="s">
        <v>382</v>
      </c>
      <c r="G2716" s="13">
        <f>IFERROR(__xludf.DUMMYFUNCTION("if(counta(filter('Previous Rank'!$A$2:$A2766,'Previous Rank'!$B$2:$B2766=B2716,'Previous Rank'!$C$2:$C2766=C2716))=1,filter('Previous Rank'!$A$2:$A2766,'Previous Rank'!$B$2:$B2766=B2716,'Previous Rank'!$C$2:$C2766=C2716),"""")"),2715.0)</f>
        <v>2715</v>
      </c>
      <c r="H2716" s="8">
        <f t="shared" si="1"/>
        <v>0</v>
      </c>
    </row>
    <row r="2717">
      <c r="A2717" s="10">
        <v>2716.0</v>
      </c>
      <c r="B2717" s="11" t="s">
        <v>2812</v>
      </c>
      <c r="C2717" s="10" t="s">
        <v>55</v>
      </c>
      <c r="D2717" s="10" t="s">
        <v>36</v>
      </c>
      <c r="E2717" s="15"/>
      <c r="F2717" s="15" t="s">
        <v>382</v>
      </c>
      <c r="G2717" s="13">
        <f>IFERROR(__xludf.DUMMYFUNCTION("if(counta(filter('Previous Rank'!$A$2:$A2766,'Previous Rank'!$B$2:$B2766=B2717,'Previous Rank'!$C$2:$C2766=C2717))=1,filter('Previous Rank'!$A$2:$A2766,'Previous Rank'!$B$2:$B2766=B2717,'Previous Rank'!$C$2:$C2766=C2717),"""")"),2716.0)</f>
        <v>2716</v>
      </c>
      <c r="H2717" s="8">
        <f t="shared" si="1"/>
        <v>0</v>
      </c>
    </row>
    <row r="2718">
      <c r="A2718" s="10">
        <v>2717.0</v>
      </c>
      <c r="B2718" s="11" t="s">
        <v>2813</v>
      </c>
      <c r="C2718" s="10" t="s">
        <v>48</v>
      </c>
      <c r="D2718" s="10" t="s">
        <v>206</v>
      </c>
      <c r="E2718" s="16"/>
      <c r="F2718" s="16" t="s">
        <v>382</v>
      </c>
      <c r="G2718" s="13">
        <f>IFERROR(__xludf.DUMMYFUNCTION("if(counta(filter('Previous Rank'!$A$2:$A2766,'Previous Rank'!$B$2:$B2766=B2718,'Previous Rank'!$C$2:$C2766=C2718))=1,filter('Previous Rank'!$A$2:$A2766,'Previous Rank'!$B$2:$B2766=B2718,'Previous Rank'!$C$2:$C2766=C2718),"""")"),2717.0)</f>
        <v>2717</v>
      </c>
      <c r="H2718" s="8">
        <f t="shared" si="1"/>
        <v>0</v>
      </c>
    </row>
    <row r="2719">
      <c r="A2719" s="10">
        <v>2718.0</v>
      </c>
      <c r="B2719" s="11" t="s">
        <v>2814</v>
      </c>
      <c r="C2719" s="10" t="s">
        <v>55</v>
      </c>
      <c r="D2719" s="10" t="s">
        <v>46</v>
      </c>
      <c r="E2719" s="15"/>
      <c r="F2719" s="15" t="s">
        <v>382</v>
      </c>
      <c r="G2719" s="13">
        <f>IFERROR(__xludf.DUMMYFUNCTION("if(counta(filter('Previous Rank'!$A$2:$A2766,'Previous Rank'!$B$2:$B2766=B2719,'Previous Rank'!$C$2:$C2766=C2719))=1,filter('Previous Rank'!$A$2:$A2766,'Previous Rank'!$B$2:$B2766=B2719,'Previous Rank'!$C$2:$C2766=C2719),"""")"),2718.0)</f>
        <v>2718</v>
      </c>
      <c r="H2719" s="8">
        <f t="shared" si="1"/>
        <v>0</v>
      </c>
    </row>
    <row r="2720">
      <c r="A2720" s="10">
        <v>2719.0</v>
      </c>
      <c r="B2720" s="11" t="s">
        <v>2815</v>
      </c>
      <c r="C2720" s="10" t="s">
        <v>33</v>
      </c>
      <c r="D2720" s="10" t="s">
        <v>71</v>
      </c>
      <c r="E2720" s="16"/>
      <c r="F2720" s="16" t="s">
        <v>382</v>
      </c>
      <c r="G2720" s="13">
        <f>IFERROR(__xludf.DUMMYFUNCTION("if(counta(filter('Previous Rank'!$A$2:$A2766,'Previous Rank'!$B$2:$B2766=B2720,'Previous Rank'!$C$2:$C2766=C2720))=1,filter('Previous Rank'!$A$2:$A2766,'Previous Rank'!$B$2:$B2766=B2720,'Previous Rank'!$C$2:$C2766=C2720),"""")"),2719.0)</f>
        <v>2719</v>
      </c>
      <c r="H2720" s="8">
        <f t="shared" si="1"/>
        <v>0</v>
      </c>
    </row>
    <row r="2721">
      <c r="A2721" s="10">
        <v>2720.0</v>
      </c>
      <c r="B2721" s="11" t="s">
        <v>2816</v>
      </c>
      <c r="C2721" s="10" t="s">
        <v>11</v>
      </c>
      <c r="D2721" s="10" t="s">
        <v>71</v>
      </c>
      <c r="E2721" s="15"/>
      <c r="F2721" s="15" t="s">
        <v>382</v>
      </c>
      <c r="G2721" s="13">
        <f>IFERROR(__xludf.DUMMYFUNCTION("if(counta(filter('Previous Rank'!$A$2:$A2766,'Previous Rank'!$B$2:$B2766=B2721,'Previous Rank'!$C$2:$C2766=C2721))=1,filter('Previous Rank'!$A$2:$A2766,'Previous Rank'!$B$2:$B2766=B2721,'Previous Rank'!$C$2:$C2766=C2721),"""")"),2720.0)</f>
        <v>2720</v>
      </c>
      <c r="H2721" s="8">
        <f t="shared" si="1"/>
        <v>0</v>
      </c>
    </row>
    <row r="2722">
      <c r="A2722" s="10">
        <v>2721.0</v>
      </c>
      <c r="B2722" s="11" t="s">
        <v>2817</v>
      </c>
      <c r="C2722" s="10" t="s">
        <v>55</v>
      </c>
      <c r="D2722" s="10" t="s">
        <v>105</v>
      </c>
      <c r="E2722" s="16"/>
      <c r="F2722" s="16" t="s">
        <v>382</v>
      </c>
      <c r="G2722" s="13">
        <f>IFERROR(__xludf.DUMMYFUNCTION("if(counta(filter('Previous Rank'!$A$2:$A2766,'Previous Rank'!$B$2:$B2766=B2722,'Previous Rank'!$C$2:$C2766=C2722))=1,filter('Previous Rank'!$A$2:$A2766,'Previous Rank'!$B$2:$B2766=B2722,'Previous Rank'!$C$2:$C2766=C2722),"""")"),2721.0)</f>
        <v>2721</v>
      </c>
      <c r="H2722" s="8">
        <f t="shared" si="1"/>
        <v>0</v>
      </c>
    </row>
    <row r="2723">
      <c r="A2723" s="10">
        <v>2722.0</v>
      </c>
      <c r="B2723" s="11" t="s">
        <v>2818</v>
      </c>
      <c r="C2723" s="10" t="s">
        <v>48</v>
      </c>
      <c r="D2723" s="10" t="s">
        <v>34</v>
      </c>
      <c r="E2723" s="15"/>
      <c r="F2723" s="15" t="s">
        <v>382</v>
      </c>
      <c r="G2723" s="13">
        <f>IFERROR(__xludf.DUMMYFUNCTION("if(counta(filter('Previous Rank'!$A$2:$A2766,'Previous Rank'!$B$2:$B2766=B2723,'Previous Rank'!$C$2:$C2766=C2723))=1,filter('Previous Rank'!$A$2:$A2766,'Previous Rank'!$B$2:$B2766=B2723,'Previous Rank'!$C$2:$C2766=C2723),"""")"),2722.0)</f>
        <v>2722</v>
      </c>
      <c r="H2723" s="8">
        <f t="shared" si="1"/>
        <v>0</v>
      </c>
    </row>
    <row r="2724">
      <c r="A2724" s="10">
        <v>2723.0</v>
      </c>
      <c r="B2724" s="11" t="s">
        <v>2819</v>
      </c>
      <c r="C2724" s="10" t="s">
        <v>20</v>
      </c>
      <c r="D2724" s="10" t="s">
        <v>23</v>
      </c>
      <c r="E2724" s="16"/>
      <c r="F2724" s="16" t="s">
        <v>382</v>
      </c>
      <c r="G2724" s="13">
        <f>IFERROR(__xludf.DUMMYFUNCTION("if(counta(filter('Previous Rank'!$A$2:$A2766,'Previous Rank'!$B$2:$B2766=B2724,'Previous Rank'!$C$2:$C2766=C2724))=1,filter('Previous Rank'!$A$2:$A2766,'Previous Rank'!$B$2:$B2766=B2724,'Previous Rank'!$C$2:$C2766=C2724),"""")"),2723.0)</f>
        <v>2723</v>
      </c>
      <c r="H2724" s="8">
        <f t="shared" si="1"/>
        <v>0</v>
      </c>
    </row>
    <row r="2725">
      <c r="A2725" s="10">
        <v>2724.0</v>
      </c>
      <c r="B2725" s="11" t="s">
        <v>2820</v>
      </c>
      <c r="C2725" s="10" t="s">
        <v>77</v>
      </c>
      <c r="D2725" s="10" t="s">
        <v>67</v>
      </c>
      <c r="E2725" s="15"/>
      <c r="F2725" s="15" t="s">
        <v>382</v>
      </c>
      <c r="G2725" s="13">
        <f>IFERROR(__xludf.DUMMYFUNCTION("if(counta(filter('Previous Rank'!$A$2:$A2766,'Previous Rank'!$B$2:$B2766=B2725,'Previous Rank'!$C$2:$C2766=C2725))=1,filter('Previous Rank'!$A$2:$A2766,'Previous Rank'!$B$2:$B2766=B2725,'Previous Rank'!$C$2:$C2766=C2725),"""")"),2724.0)</f>
        <v>2724</v>
      </c>
      <c r="H2725" s="8">
        <f t="shared" si="1"/>
        <v>0</v>
      </c>
    </row>
    <row r="2726">
      <c r="A2726" s="10">
        <v>2725.0</v>
      </c>
      <c r="B2726" s="11" t="s">
        <v>2821</v>
      </c>
      <c r="C2726" s="10" t="s">
        <v>33</v>
      </c>
      <c r="D2726" s="10" t="s">
        <v>95</v>
      </c>
      <c r="E2726" s="16"/>
      <c r="F2726" s="16" t="s">
        <v>382</v>
      </c>
      <c r="G2726" s="13">
        <f>IFERROR(__xludf.DUMMYFUNCTION("if(counta(filter('Previous Rank'!$A$2:$A2766,'Previous Rank'!$B$2:$B2766=B2726,'Previous Rank'!$C$2:$C2766=C2726))=1,filter('Previous Rank'!$A$2:$A2766,'Previous Rank'!$B$2:$B2766=B2726,'Previous Rank'!$C$2:$C2766=C2726),"""")"),2725.0)</f>
        <v>2725</v>
      </c>
      <c r="H2726" s="8">
        <f t="shared" si="1"/>
        <v>0</v>
      </c>
    </row>
    <row r="2727">
      <c r="A2727" s="10">
        <v>2726.0</v>
      </c>
      <c r="B2727" s="11" t="s">
        <v>2822</v>
      </c>
      <c r="C2727" s="10" t="s">
        <v>48</v>
      </c>
      <c r="D2727" s="10" t="s">
        <v>140</v>
      </c>
      <c r="E2727" s="15"/>
      <c r="F2727" s="15" t="s">
        <v>382</v>
      </c>
      <c r="G2727" s="13">
        <f>IFERROR(__xludf.DUMMYFUNCTION("if(counta(filter('Previous Rank'!$A$2:$A2766,'Previous Rank'!$B$2:$B2766=B2727,'Previous Rank'!$C$2:$C2766=C2727))=1,filter('Previous Rank'!$A$2:$A2766,'Previous Rank'!$B$2:$B2766=B2727,'Previous Rank'!$C$2:$C2766=C2727),"""")"),2726.0)</f>
        <v>2726</v>
      </c>
      <c r="H2727" s="8">
        <f t="shared" si="1"/>
        <v>0</v>
      </c>
    </row>
    <row r="2728">
      <c r="A2728" s="10">
        <v>2727.0</v>
      </c>
      <c r="B2728" s="11" t="s">
        <v>2823</v>
      </c>
      <c r="C2728" s="10" t="s">
        <v>14</v>
      </c>
      <c r="D2728" s="10" t="s">
        <v>120</v>
      </c>
      <c r="E2728" s="16"/>
      <c r="F2728" s="16" t="s">
        <v>382</v>
      </c>
      <c r="G2728" s="13">
        <f>IFERROR(__xludf.DUMMYFUNCTION("if(counta(filter('Previous Rank'!$A$2:$A2766,'Previous Rank'!$B$2:$B2766=B2728,'Previous Rank'!$C$2:$C2766=C2728))=1,filter('Previous Rank'!$A$2:$A2766,'Previous Rank'!$B$2:$B2766=B2728,'Previous Rank'!$C$2:$C2766=C2728),"""")"),2727.0)</f>
        <v>2727</v>
      </c>
      <c r="H2728" s="8">
        <f t="shared" si="1"/>
        <v>0</v>
      </c>
    </row>
    <row r="2729">
      <c r="A2729" s="10">
        <v>2728.0</v>
      </c>
      <c r="B2729" s="11" t="s">
        <v>2824</v>
      </c>
      <c r="C2729" s="10" t="s">
        <v>77</v>
      </c>
      <c r="D2729" s="10" t="s">
        <v>90</v>
      </c>
      <c r="E2729" s="15"/>
      <c r="F2729" s="15" t="s">
        <v>382</v>
      </c>
      <c r="G2729" s="13" t="str">
        <f>IFERROR(__xludf.DUMMYFUNCTION("if(counta(filter('Previous Rank'!$A$2:$A2766,'Previous Rank'!$B$2:$B2766=B2729,'Previous Rank'!$C$2:$C2766=C2729))=1,filter('Previous Rank'!$A$2:$A2766,'Previous Rank'!$B$2:$B2766=B2729,'Previous Rank'!$C$2:$C2766=C2729),"""")"),"")</f>
        <v/>
      </c>
      <c r="H2729" s="8" t="str">
        <f t="shared" si="1"/>
        <v/>
      </c>
    </row>
    <row r="2730">
      <c r="A2730" s="10">
        <v>2729.0</v>
      </c>
      <c r="B2730" s="11" t="s">
        <v>2825</v>
      </c>
      <c r="C2730" s="10" t="s">
        <v>39</v>
      </c>
      <c r="D2730" s="10" t="s">
        <v>120</v>
      </c>
      <c r="E2730" s="16"/>
      <c r="F2730" s="16" t="s">
        <v>382</v>
      </c>
      <c r="G2730" s="13">
        <f>IFERROR(__xludf.DUMMYFUNCTION("if(counta(filter('Previous Rank'!$A$2:$A2766,'Previous Rank'!$B$2:$B2766=B2730,'Previous Rank'!$C$2:$C2766=C2730))=1,filter('Previous Rank'!$A$2:$A2766,'Previous Rank'!$B$2:$B2766=B2730,'Previous Rank'!$C$2:$C2766=C2730),"""")"),2729.0)</f>
        <v>2729</v>
      </c>
      <c r="H2730" s="8">
        <f t="shared" si="1"/>
        <v>0</v>
      </c>
    </row>
    <row r="2731">
      <c r="A2731" s="10">
        <v>2730.0</v>
      </c>
      <c r="B2731" s="11" t="s">
        <v>2826</v>
      </c>
      <c r="C2731" s="10" t="s">
        <v>17</v>
      </c>
      <c r="D2731" s="10" t="s">
        <v>36</v>
      </c>
      <c r="E2731" s="15"/>
      <c r="F2731" s="15" t="s">
        <v>382</v>
      </c>
      <c r="G2731" s="13">
        <f>IFERROR(__xludf.DUMMYFUNCTION("if(counta(filter('Previous Rank'!$A$2:$A2766,'Previous Rank'!$B$2:$B2766=B2731,'Previous Rank'!$C$2:$C2766=C2731))=1,filter('Previous Rank'!$A$2:$A2766,'Previous Rank'!$B$2:$B2766=B2731,'Previous Rank'!$C$2:$C2766=C2731),"""")"),2730.0)</f>
        <v>2730</v>
      </c>
      <c r="H2731" s="8">
        <f t="shared" si="1"/>
        <v>0</v>
      </c>
    </row>
    <row r="2732">
      <c r="A2732" s="10">
        <v>2731.0</v>
      </c>
      <c r="B2732" s="11" t="s">
        <v>2827</v>
      </c>
      <c r="C2732" s="10" t="s">
        <v>14</v>
      </c>
      <c r="D2732" s="10" t="s">
        <v>120</v>
      </c>
      <c r="E2732" s="16"/>
      <c r="F2732" s="16" t="s">
        <v>382</v>
      </c>
      <c r="G2732" s="13">
        <f>IFERROR(__xludf.DUMMYFUNCTION("if(counta(filter('Previous Rank'!$A$2:$A2766,'Previous Rank'!$B$2:$B2766=B2732,'Previous Rank'!$C$2:$C2766=C2732))=1,filter('Previous Rank'!$A$2:$A2766,'Previous Rank'!$B$2:$B2766=B2732,'Previous Rank'!$C$2:$C2766=C2732),"""")"),2731.0)</f>
        <v>2731</v>
      </c>
      <c r="H2732" s="8">
        <f t="shared" si="1"/>
        <v>0</v>
      </c>
    </row>
    <row r="2733">
      <c r="A2733" s="10">
        <v>2732.0</v>
      </c>
      <c r="B2733" s="11" t="s">
        <v>2828</v>
      </c>
      <c r="C2733" s="10" t="s">
        <v>77</v>
      </c>
      <c r="D2733" s="10" t="s">
        <v>206</v>
      </c>
      <c r="E2733" s="15"/>
      <c r="F2733" s="15" t="s">
        <v>382</v>
      </c>
      <c r="G2733" s="13">
        <f>IFERROR(__xludf.DUMMYFUNCTION("if(counta(filter('Previous Rank'!$A$2:$A2766,'Previous Rank'!$B$2:$B2766=B2733,'Previous Rank'!$C$2:$C2766=C2733))=1,filter('Previous Rank'!$A$2:$A2766,'Previous Rank'!$B$2:$B2766=B2733,'Previous Rank'!$C$2:$C2766=C2733),"""")"),2732.0)</f>
        <v>2732</v>
      </c>
      <c r="H2733" s="8">
        <f t="shared" si="1"/>
        <v>0</v>
      </c>
    </row>
    <row r="2734">
      <c r="A2734" s="10">
        <v>2733.0</v>
      </c>
      <c r="B2734" s="11" t="s">
        <v>2829</v>
      </c>
      <c r="C2734" s="10" t="s">
        <v>33</v>
      </c>
      <c r="D2734" s="10" t="s">
        <v>31</v>
      </c>
      <c r="E2734" s="16"/>
      <c r="F2734" s="16" t="s">
        <v>382</v>
      </c>
      <c r="G2734" s="13">
        <f>IFERROR(__xludf.DUMMYFUNCTION("if(counta(filter('Previous Rank'!$A$2:$A2766,'Previous Rank'!$B$2:$B2766=B2734,'Previous Rank'!$C$2:$C2766=C2734))=1,filter('Previous Rank'!$A$2:$A2766,'Previous Rank'!$B$2:$B2766=B2734,'Previous Rank'!$C$2:$C2766=C2734),"""")"),2733.0)</f>
        <v>2733</v>
      </c>
      <c r="H2734" s="8">
        <f t="shared" si="1"/>
        <v>0</v>
      </c>
    </row>
    <row r="2735">
      <c r="A2735" s="10">
        <v>2734.0</v>
      </c>
      <c r="B2735" s="11" t="s">
        <v>2830</v>
      </c>
      <c r="C2735" s="10" t="s">
        <v>77</v>
      </c>
      <c r="D2735" s="10" t="s">
        <v>27</v>
      </c>
      <c r="E2735" s="15"/>
      <c r="F2735" s="15" t="s">
        <v>382</v>
      </c>
      <c r="G2735" s="13">
        <f>IFERROR(__xludf.DUMMYFUNCTION("if(counta(filter('Previous Rank'!$A$2:$A2766,'Previous Rank'!$B$2:$B2766=B2735,'Previous Rank'!$C$2:$C2766=C2735))=1,filter('Previous Rank'!$A$2:$A2766,'Previous Rank'!$B$2:$B2766=B2735,'Previous Rank'!$C$2:$C2766=C2735),"""")"),2734.0)</f>
        <v>2734</v>
      </c>
      <c r="H2735" s="8">
        <f t="shared" si="1"/>
        <v>0</v>
      </c>
    </row>
    <row r="2736">
      <c r="A2736" s="10">
        <v>2735.0</v>
      </c>
      <c r="B2736" s="11" t="s">
        <v>2831</v>
      </c>
      <c r="C2736" s="10" t="s">
        <v>33</v>
      </c>
      <c r="D2736" s="10" t="s">
        <v>105</v>
      </c>
      <c r="E2736" s="16"/>
      <c r="F2736" s="16" t="s">
        <v>382</v>
      </c>
      <c r="G2736" s="13">
        <f>IFERROR(__xludf.DUMMYFUNCTION("if(counta(filter('Previous Rank'!$A$2:$A2766,'Previous Rank'!$B$2:$B2766=B2736,'Previous Rank'!$C$2:$C2766=C2736))=1,filter('Previous Rank'!$A$2:$A2766,'Previous Rank'!$B$2:$B2766=B2736,'Previous Rank'!$C$2:$C2766=C2736),"""")"),2735.0)</f>
        <v>2735</v>
      </c>
      <c r="H2736" s="8">
        <f t="shared" si="1"/>
        <v>0</v>
      </c>
    </row>
    <row r="2737">
      <c r="A2737" s="10">
        <v>2736.0</v>
      </c>
      <c r="B2737" s="11" t="s">
        <v>2832</v>
      </c>
      <c r="C2737" s="10" t="s">
        <v>77</v>
      </c>
      <c r="D2737" s="10" t="s">
        <v>23</v>
      </c>
      <c r="E2737" s="15"/>
      <c r="F2737" s="15" t="s">
        <v>382</v>
      </c>
      <c r="G2737" s="13">
        <f>IFERROR(__xludf.DUMMYFUNCTION("if(counta(filter('Previous Rank'!$A$2:$A2766,'Previous Rank'!$B$2:$B2766=B2737,'Previous Rank'!$C$2:$C2766=C2737))=1,filter('Previous Rank'!$A$2:$A2766,'Previous Rank'!$B$2:$B2766=B2737,'Previous Rank'!$C$2:$C2766=C2737),"""")"),2736.0)</f>
        <v>2736</v>
      </c>
      <c r="H2737" s="8">
        <f t="shared" si="1"/>
        <v>0</v>
      </c>
    </row>
    <row r="2738">
      <c r="A2738" s="10">
        <v>2737.0</v>
      </c>
      <c r="B2738" s="11" t="s">
        <v>2833</v>
      </c>
      <c r="C2738" s="10" t="s">
        <v>33</v>
      </c>
      <c r="D2738" s="10" t="s">
        <v>82</v>
      </c>
      <c r="E2738" s="16"/>
      <c r="F2738" s="16" t="s">
        <v>382</v>
      </c>
      <c r="G2738" s="13">
        <f>IFERROR(__xludf.DUMMYFUNCTION("if(counta(filter('Previous Rank'!$A$2:$A2766,'Previous Rank'!$B$2:$B2766=B2738,'Previous Rank'!$C$2:$C2766=C2738))=1,filter('Previous Rank'!$A$2:$A2766,'Previous Rank'!$B$2:$B2766=B2738,'Previous Rank'!$C$2:$C2766=C2738),"""")"),2737.0)</f>
        <v>2737</v>
      </c>
      <c r="H2738" s="8">
        <f t="shared" si="1"/>
        <v>0</v>
      </c>
    </row>
    <row r="2739">
      <c r="A2739" s="10">
        <v>2738.0</v>
      </c>
      <c r="B2739" s="11" t="s">
        <v>1191</v>
      </c>
      <c r="C2739" s="10" t="s">
        <v>11</v>
      </c>
      <c r="D2739" s="10" t="s">
        <v>120</v>
      </c>
      <c r="E2739" s="15"/>
      <c r="F2739" s="15" t="s">
        <v>382</v>
      </c>
      <c r="G2739" s="13">
        <f>IFERROR(__xludf.DUMMYFUNCTION("if(counta(filter('Previous Rank'!$A$2:$A2766,'Previous Rank'!$B$2:$B2766=B2739,'Previous Rank'!$C$2:$C2766=C2739))=1,filter('Previous Rank'!$A$2:$A2766,'Previous Rank'!$B$2:$B2766=B2739,'Previous Rank'!$C$2:$C2766=C2739),"""")"),2738.0)</f>
        <v>2738</v>
      </c>
      <c r="H2739" s="8">
        <f t="shared" si="1"/>
        <v>0</v>
      </c>
    </row>
    <row r="2740">
      <c r="A2740" s="10">
        <v>2739.0</v>
      </c>
      <c r="B2740" s="11" t="s">
        <v>2834</v>
      </c>
      <c r="C2740" s="10" t="s">
        <v>283</v>
      </c>
      <c r="D2740" s="10" t="s">
        <v>206</v>
      </c>
      <c r="E2740" s="16"/>
      <c r="F2740" s="16" t="s">
        <v>382</v>
      </c>
      <c r="G2740" s="13">
        <f>IFERROR(__xludf.DUMMYFUNCTION("if(counta(filter('Previous Rank'!$A$2:$A2766,'Previous Rank'!$B$2:$B2766=B2740,'Previous Rank'!$C$2:$C2766=C2740))=1,filter('Previous Rank'!$A$2:$A2766,'Previous Rank'!$B$2:$B2766=B2740,'Previous Rank'!$C$2:$C2766=C2740),"""")"),2739.0)</f>
        <v>2739</v>
      </c>
      <c r="H2740" s="8">
        <f t="shared" si="1"/>
        <v>0</v>
      </c>
    </row>
    <row r="2741">
      <c r="A2741" s="10">
        <v>2740.0</v>
      </c>
      <c r="B2741" s="11" t="s">
        <v>2835</v>
      </c>
      <c r="C2741" s="10" t="s">
        <v>17</v>
      </c>
      <c r="D2741" s="10" t="s">
        <v>206</v>
      </c>
      <c r="E2741" s="15"/>
      <c r="F2741" s="15" t="s">
        <v>382</v>
      </c>
      <c r="G2741" s="13">
        <f>IFERROR(__xludf.DUMMYFUNCTION("if(counta(filter('Previous Rank'!$A$2:$A2766,'Previous Rank'!$B$2:$B2766=B2741,'Previous Rank'!$C$2:$C2766=C2741))=1,filter('Previous Rank'!$A$2:$A2766,'Previous Rank'!$B$2:$B2766=B2741,'Previous Rank'!$C$2:$C2766=C2741),"""")"),2740.0)</f>
        <v>2740</v>
      </c>
      <c r="H2741" s="8">
        <f t="shared" si="1"/>
        <v>0</v>
      </c>
    </row>
    <row r="2742">
      <c r="A2742" s="10">
        <v>2741.0</v>
      </c>
      <c r="B2742" s="11" t="s">
        <v>2836</v>
      </c>
      <c r="C2742" s="10" t="s">
        <v>22</v>
      </c>
      <c r="D2742" s="10" t="s">
        <v>73</v>
      </c>
      <c r="E2742" s="16"/>
      <c r="F2742" s="16" t="s">
        <v>382</v>
      </c>
      <c r="G2742" s="13">
        <f>IFERROR(__xludf.DUMMYFUNCTION("if(counta(filter('Previous Rank'!$A$2:$A2766,'Previous Rank'!$B$2:$B2766=B2742,'Previous Rank'!$C$2:$C2766=C2742))=1,filter('Previous Rank'!$A$2:$A2766,'Previous Rank'!$B$2:$B2766=B2742,'Previous Rank'!$C$2:$C2766=C2742),"""")"),2741.0)</f>
        <v>2741</v>
      </c>
      <c r="H2742" s="8">
        <f t="shared" si="1"/>
        <v>0</v>
      </c>
    </row>
    <row r="2743">
      <c r="A2743" s="10">
        <v>2742.0</v>
      </c>
      <c r="B2743" s="11" t="s">
        <v>2837</v>
      </c>
      <c r="C2743" s="10" t="s">
        <v>39</v>
      </c>
      <c r="D2743" s="10" t="s">
        <v>120</v>
      </c>
      <c r="E2743" s="15"/>
      <c r="F2743" s="15" t="s">
        <v>382</v>
      </c>
      <c r="G2743" s="13">
        <f>IFERROR(__xludf.DUMMYFUNCTION("if(counta(filter('Previous Rank'!$A$2:$A2766,'Previous Rank'!$B$2:$B2766=B2743,'Previous Rank'!$C$2:$C2766=C2743))=1,filter('Previous Rank'!$A$2:$A2766,'Previous Rank'!$B$2:$B2766=B2743,'Previous Rank'!$C$2:$C2766=C2743),"""")"),2742.0)</f>
        <v>2742</v>
      </c>
      <c r="H2743" s="8">
        <f t="shared" si="1"/>
        <v>0</v>
      </c>
    </row>
    <row r="2744">
      <c r="A2744" s="10">
        <v>2743.0</v>
      </c>
      <c r="B2744" s="11" t="s">
        <v>2838</v>
      </c>
      <c r="C2744" s="10" t="s">
        <v>33</v>
      </c>
      <c r="D2744" s="10" t="s">
        <v>25</v>
      </c>
      <c r="E2744" s="16"/>
      <c r="F2744" s="16" t="s">
        <v>382</v>
      </c>
      <c r="G2744" s="13">
        <f>IFERROR(__xludf.DUMMYFUNCTION("if(counta(filter('Previous Rank'!$A$2:$A2766,'Previous Rank'!$B$2:$B2766=B2744,'Previous Rank'!$C$2:$C2766=C2744))=1,filter('Previous Rank'!$A$2:$A2766,'Previous Rank'!$B$2:$B2766=B2744,'Previous Rank'!$C$2:$C2766=C2744),"""")"),2743.0)</f>
        <v>2743</v>
      </c>
      <c r="H2744" s="8">
        <f t="shared" si="1"/>
        <v>0</v>
      </c>
    </row>
    <row r="2745">
      <c r="A2745" s="10">
        <v>2744.0</v>
      </c>
      <c r="B2745" s="11" t="s">
        <v>2839</v>
      </c>
      <c r="C2745" s="10" t="s">
        <v>77</v>
      </c>
      <c r="D2745" s="10" t="s">
        <v>52</v>
      </c>
      <c r="E2745" s="15"/>
      <c r="F2745" s="15" t="s">
        <v>382</v>
      </c>
      <c r="G2745" s="13">
        <f>IFERROR(__xludf.DUMMYFUNCTION("if(counta(filter('Previous Rank'!$A$2:$A2766,'Previous Rank'!$B$2:$B2766=B2745,'Previous Rank'!$C$2:$C2766=C2745))=1,filter('Previous Rank'!$A$2:$A2766,'Previous Rank'!$B$2:$B2766=B2745,'Previous Rank'!$C$2:$C2766=C2745),"""")"),2744.0)</f>
        <v>2744</v>
      </c>
      <c r="H2745" s="8">
        <f t="shared" si="1"/>
        <v>0</v>
      </c>
    </row>
    <row r="2746">
      <c r="A2746" s="10">
        <v>2745.0</v>
      </c>
      <c r="B2746" s="11" t="s">
        <v>2840</v>
      </c>
      <c r="C2746" s="10" t="s">
        <v>77</v>
      </c>
      <c r="D2746" s="10" t="s">
        <v>206</v>
      </c>
      <c r="E2746" s="16"/>
      <c r="F2746" s="16" t="s">
        <v>382</v>
      </c>
      <c r="G2746" s="13">
        <f>IFERROR(__xludf.DUMMYFUNCTION("if(counta(filter('Previous Rank'!$A$2:$A2766,'Previous Rank'!$B$2:$B2766=B2746,'Previous Rank'!$C$2:$C2766=C2746))=1,filter('Previous Rank'!$A$2:$A2766,'Previous Rank'!$B$2:$B2766=B2746,'Previous Rank'!$C$2:$C2766=C2746),"""")"),2745.0)</f>
        <v>2745</v>
      </c>
      <c r="H2746" s="8">
        <f t="shared" si="1"/>
        <v>0</v>
      </c>
    </row>
    <row r="2747">
      <c r="A2747" s="10">
        <v>2746.0</v>
      </c>
      <c r="B2747" s="11" t="s">
        <v>2841</v>
      </c>
      <c r="C2747" s="10" t="s">
        <v>33</v>
      </c>
      <c r="D2747" s="10" t="s">
        <v>99</v>
      </c>
      <c r="E2747" s="15"/>
      <c r="F2747" s="15" t="s">
        <v>382</v>
      </c>
      <c r="G2747" s="13">
        <f>IFERROR(__xludf.DUMMYFUNCTION("if(counta(filter('Previous Rank'!$A$2:$A2766,'Previous Rank'!$B$2:$B2766=B2747,'Previous Rank'!$C$2:$C2766=C2747))=1,filter('Previous Rank'!$A$2:$A2766,'Previous Rank'!$B$2:$B2766=B2747,'Previous Rank'!$C$2:$C2766=C2747),"""")"),2746.0)</f>
        <v>2746</v>
      </c>
      <c r="H2747" s="8">
        <f t="shared" si="1"/>
        <v>0</v>
      </c>
    </row>
    <row r="2748">
      <c r="A2748" s="10">
        <v>2747.0</v>
      </c>
      <c r="B2748" s="11" t="s">
        <v>2842</v>
      </c>
      <c r="C2748" s="10" t="s">
        <v>39</v>
      </c>
      <c r="D2748" s="10" t="s">
        <v>129</v>
      </c>
      <c r="E2748" s="16"/>
      <c r="F2748" s="16" t="s">
        <v>382</v>
      </c>
      <c r="G2748" s="13">
        <f>IFERROR(__xludf.DUMMYFUNCTION("if(counta(filter('Previous Rank'!$A$2:$A2766,'Previous Rank'!$B$2:$B2766=B2748,'Previous Rank'!$C$2:$C2766=C2748))=1,filter('Previous Rank'!$A$2:$A2766,'Previous Rank'!$B$2:$B2766=B2748,'Previous Rank'!$C$2:$C2766=C2748),"""")"),2747.0)</f>
        <v>2747</v>
      </c>
      <c r="H2748" s="8">
        <f t="shared" si="1"/>
        <v>0</v>
      </c>
    </row>
    <row r="2749">
      <c r="A2749" s="17">
        <v>2748.0</v>
      </c>
      <c r="B2749" s="18" t="s">
        <v>2843</v>
      </c>
      <c r="C2749" s="18" t="s">
        <v>220</v>
      </c>
      <c r="D2749" s="18" t="s">
        <v>73</v>
      </c>
      <c r="E2749" s="15"/>
      <c r="F2749" s="15"/>
      <c r="G2749" s="13">
        <f>IFERROR(__xludf.DUMMYFUNCTION("if(counta(filter('Previous Rank'!$A$2:$A2766,'Previous Rank'!$B$2:$B2766=B2749,'Previous Rank'!$C$2:$C2766=C2749))=1,filter('Previous Rank'!$A$2:$A2766,'Previous Rank'!$B$2:$B2766=B2749,'Previous Rank'!$C$2:$C2766=C2749),"""")"),2748.0)</f>
        <v>2748</v>
      </c>
      <c r="H2749" s="8">
        <f t="shared" si="1"/>
        <v>0</v>
      </c>
    </row>
    <row r="2750">
      <c r="A2750" s="19">
        <v>2749.0</v>
      </c>
      <c r="B2750" s="20" t="s">
        <v>2844</v>
      </c>
      <c r="C2750" s="20" t="s">
        <v>240</v>
      </c>
      <c r="D2750" s="20" t="s">
        <v>52</v>
      </c>
      <c r="E2750" s="16"/>
      <c r="F2750" s="16"/>
      <c r="G2750" s="13">
        <f>IFERROR(__xludf.DUMMYFUNCTION("if(counta(filter('Previous Rank'!$A$2:$A2766,'Previous Rank'!$B$2:$B2766=B2750,'Previous Rank'!$C$2:$C2766=C2750))=1,filter('Previous Rank'!$A$2:$A2766,'Previous Rank'!$B$2:$B2766=B2750,'Previous Rank'!$C$2:$C2766=C2750),"""")"),2749.0)</f>
        <v>2749</v>
      </c>
      <c r="H2750" s="8">
        <f t="shared" si="1"/>
        <v>0</v>
      </c>
    </row>
    <row r="2751">
      <c r="A2751" s="17">
        <v>2750.0</v>
      </c>
      <c r="B2751" s="18" t="s">
        <v>2845</v>
      </c>
      <c r="C2751" s="18" t="s">
        <v>22</v>
      </c>
      <c r="D2751" s="18" t="s">
        <v>52</v>
      </c>
      <c r="E2751" s="15"/>
      <c r="F2751" s="15"/>
      <c r="G2751" s="13">
        <f>IFERROR(__xludf.DUMMYFUNCTION("if(counta(filter('Previous Rank'!$A$2:$A2766,'Previous Rank'!$B$2:$B2766=B2751,'Previous Rank'!$C$2:$C2766=C2751))=1,filter('Previous Rank'!$A$2:$A2766,'Previous Rank'!$B$2:$B2766=B2751,'Previous Rank'!$C$2:$C2766=C2751),"""")"),2750.0)</f>
        <v>2750</v>
      </c>
      <c r="H2751" s="8">
        <f t="shared" si="1"/>
        <v>0</v>
      </c>
    </row>
    <row r="2752">
      <c r="A2752" s="21">
        <v>2751.0</v>
      </c>
      <c r="B2752" s="22" t="s">
        <v>1707</v>
      </c>
      <c r="C2752" s="22" t="s">
        <v>22</v>
      </c>
      <c r="D2752" s="22" t="s">
        <v>42</v>
      </c>
      <c r="E2752" s="16"/>
      <c r="F2752" s="16"/>
      <c r="G2752" s="13" t="str">
        <f>IFERROR(__xludf.DUMMYFUNCTION("if(counta(filter('Previous Rank'!$A$2:$A2766,'Previous Rank'!$B$2:$B2766=B2752,'Previous Rank'!$C$2:$C2766=C2752))=1,filter('Previous Rank'!$A$2:$A2766,'Previous Rank'!$B$2:$B2766=B2752,'Previous Rank'!$C$2:$C2766=C2752),"""")"),"")</f>
        <v/>
      </c>
      <c r="H2752" s="8" t="str">
        <f t="shared" si="1"/>
        <v/>
      </c>
    </row>
    <row r="2753">
      <c r="A2753" s="23">
        <v>2752.0</v>
      </c>
      <c r="B2753" s="24" t="s">
        <v>2810</v>
      </c>
      <c r="C2753" s="24" t="s">
        <v>77</v>
      </c>
      <c r="D2753" s="24" t="s">
        <v>12</v>
      </c>
      <c r="E2753" s="15"/>
      <c r="F2753" s="15"/>
      <c r="G2753" s="13" t="str">
        <f>IFERROR(__xludf.DUMMYFUNCTION("if(counta(filter('Previous Rank'!$A$2:$A2766,'Previous Rank'!$B$2:$B2766=B2753,'Previous Rank'!$C$2:$C2766=C2753))=1,filter('Previous Rank'!$A$2:$A2766,'Previous Rank'!$B$2:$B2766=B2753,'Previous Rank'!$C$2:$C2766=C2753),"""")"),"")</f>
        <v/>
      </c>
      <c r="H2753" s="8" t="str">
        <f t="shared" si="1"/>
        <v/>
      </c>
    </row>
    <row r="2754">
      <c r="A2754" s="21">
        <v>2753.0</v>
      </c>
      <c r="B2754" s="22" t="s">
        <v>2805</v>
      </c>
      <c r="C2754" s="22" t="s">
        <v>33</v>
      </c>
      <c r="D2754" s="22" t="s">
        <v>122</v>
      </c>
      <c r="E2754" s="16"/>
      <c r="F2754" s="16"/>
      <c r="G2754" s="13">
        <f>IFERROR(__xludf.DUMMYFUNCTION("if(counta(filter('Previous Rank'!$A$2:$A2766,'Previous Rank'!$B$2:$B2766=B2754,'Previous Rank'!$C$2:$C2766=C2754))=1,filter('Previous Rank'!$A$2:$A2766,'Previous Rank'!$B$2:$B2766=B2754,'Previous Rank'!$C$2:$C2766=C2754),"""")"),2753.0)</f>
        <v>2753</v>
      </c>
      <c r="H2754" s="8">
        <f t="shared" si="1"/>
        <v>0</v>
      </c>
    </row>
    <row r="2755">
      <c r="A2755" s="23">
        <v>2754.0</v>
      </c>
      <c r="B2755" s="24" t="s">
        <v>2806</v>
      </c>
      <c r="C2755" s="24" t="s">
        <v>33</v>
      </c>
      <c r="D2755" s="24" t="s">
        <v>71</v>
      </c>
      <c r="E2755" s="15"/>
      <c r="F2755" s="15"/>
      <c r="G2755" s="13">
        <f>IFERROR(__xludf.DUMMYFUNCTION("if(counta(filter('Previous Rank'!$A$2:$A2766,'Previous Rank'!$B$2:$B2766=B2755,'Previous Rank'!$C$2:$C2766=C2755))=1,filter('Previous Rank'!$A$2:$A2766,'Previous Rank'!$B$2:$B2766=B2755,'Previous Rank'!$C$2:$C2766=C2755),"""")"),2754.0)</f>
        <v>2754</v>
      </c>
      <c r="H2755" s="8">
        <f t="shared" si="1"/>
        <v>0</v>
      </c>
    </row>
    <row r="2756">
      <c r="A2756" s="21">
        <v>2755.0</v>
      </c>
      <c r="B2756" s="22" t="s">
        <v>2812</v>
      </c>
      <c r="C2756" s="22" t="s">
        <v>14</v>
      </c>
      <c r="D2756" s="22" t="s">
        <v>99</v>
      </c>
      <c r="E2756" s="16"/>
      <c r="F2756" s="16"/>
      <c r="G2756" s="13">
        <f>IFERROR(__xludf.DUMMYFUNCTION("if(counta(filter('Previous Rank'!$A$2:$A2766,'Previous Rank'!$B$2:$B2766=B2756,'Previous Rank'!$C$2:$C2766=C2756))=1,filter('Previous Rank'!$A$2:$A2766,'Previous Rank'!$B$2:$B2766=B2756,'Previous Rank'!$C$2:$C2766=C2756),"""")"),2755.0)</f>
        <v>2755</v>
      </c>
      <c r="H2756" s="8">
        <f t="shared" si="1"/>
        <v>0</v>
      </c>
    </row>
    <row r="2757">
      <c r="A2757" s="23">
        <v>2756.0</v>
      </c>
      <c r="B2757" s="24" t="s">
        <v>1748</v>
      </c>
      <c r="C2757" s="24" t="s">
        <v>22</v>
      </c>
      <c r="D2757" s="24" t="s">
        <v>15</v>
      </c>
      <c r="E2757" s="15"/>
      <c r="F2757" s="15"/>
      <c r="G2757" s="13">
        <f>IFERROR(__xludf.DUMMYFUNCTION("if(counta(filter('Previous Rank'!$A$2:$A2766,'Previous Rank'!$B$2:$B2766=B2757,'Previous Rank'!$C$2:$C2766=C2757))=1,filter('Previous Rank'!$A$2:$A2766,'Previous Rank'!$B$2:$B2766=B2757,'Previous Rank'!$C$2:$C2766=C2757),"""")"),2756.0)</f>
        <v>2756</v>
      </c>
      <c r="H2757" s="8">
        <f t="shared" si="1"/>
        <v>0</v>
      </c>
    </row>
    <row r="2758">
      <c r="A2758" s="21">
        <v>2757.0</v>
      </c>
      <c r="B2758" s="22" t="s">
        <v>2824</v>
      </c>
      <c r="C2758" s="22" t="s">
        <v>77</v>
      </c>
      <c r="D2758" s="22" t="s">
        <v>90</v>
      </c>
      <c r="E2758" s="16"/>
      <c r="F2758" s="16"/>
      <c r="G2758" s="13" t="str">
        <f>IFERROR(__xludf.DUMMYFUNCTION("if(counta(filter('Previous Rank'!$A$2:$A2766,'Previous Rank'!$B$2:$B2766=B2758,'Previous Rank'!$C$2:$C2766=C2758))=1,filter('Previous Rank'!$A$2:$A2766,'Previous Rank'!$B$2:$B2766=B2758,'Previous Rank'!$C$2:$C2766=C2758),"""")"),"")</f>
        <v/>
      </c>
      <c r="H2758" s="8" t="str">
        <f t="shared" si="1"/>
        <v/>
      </c>
    </row>
    <row r="2759">
      <c r="A2759" s="23">
        <v>2758.0</v>
      </c>
      <c r="B2759" s="24" t="s">
        <v>94</v>
      </c>
      <c r="C2759" s="24" t="s">
        <v>22</v>
      </c>
      <c r="D2759" s="24" t="s">
        <v>15</v>
      </c>
      <c r="E2759" s="12"/>
      <c r="F2759" s="12"/>
      <c r="G2759" s="13" t="str">
        <f>IFERROR(__xludf.DUMMYFUNCTION("if(counta(filter('Previous Rank'!$A$2:$A2766,'Previous Rank'!$B$2:$B2766=B2759,'Previous Rank'!$C$2:$C2766=C2759))=1,filter('Previous Rank'!$A$2:$A2766,'Previous Rank'!$B$2:$B2766=B2759,'Previous Rank'!$C$2:$C2766=C2759),"""")"),"")</f>
        <v/>
      </c>
      <c r="H2759" s="8" t="str">
        <f t="shared" si="1"/>
        <v/>
      </c>
    </row>
    <row r="2760">
      <c r="A2760" s="21">
        <v>2759.0</v>
      </c>
      <c r="B2760" s="22" t="s">
        <v>353</v>
      </c>
      <c r="C2760" s="22" t="s">
        <v>17</v>
      </c>
      <c r="D2760" s="22" t="s">
        <v>85</v>
      </c>
      <c r="E2760" s="16"/>
      <c r="F2760" s="16"/>
      <c r="G2760" s="13">
        <f>IFERROR(__xludf.DUMMYFUNCTION("if(counta(filter('Previous Rank'!$A$2:$A2766,'Previous Rank'!$B$2:$B2766=B2760,'Previous Rank'!$C$2:$C2766=C2760))=1,filter('Previous Rank'!$A$2:$A2766,'Previous Rank'!$B$2:$B2766=B2760,'Previous Rank'!$C$2:$C2766=C2760),"""")"),2759.0)</f>
        <v>2759</v>
      </c>
      <c r="H2760" s="8">
        <f t="shared" si="1"/>
        <v>0</v>
      </c>
    </row>
    <row r="2761">
      <c r="A2761" s="23">
        <v>2760.0</v>
      </c>
      <c r="B2761" s="24" t="s">
        <v>2846</v>
      </c>
      <c r="C2761" s="24" t="s">
        <v>20</v>
      </c>
      <c r="D2761" s="24" t="s">
        <v>73</v>
      </c>
      <c r="E2761" s="15"/>
      <c r="F2761" s="15"/>
      <c r="G2761" s="13">
        <f>IFERROR(__xludf.DUMMYFUNCTION("if(counta(filter('Previous Rank'!$A$2:$A2766,'Previous Rank'!$B$2:$B2766=B2761,'Previous Rank'!$C$2:$C2766=C2761))=1,filter('Previous Rank'!$A$2:$A2766,'Previous Rank'!$B$2:$B2766=B2761,'Previous Rank'!$C$2:$C2766=C2761),"""")"),2760.0)</f>
        <v>2760</v>
      </c>
      <c r="H2761" s="8">
        <f t="shared" si="1"/>
        <v>0</v>
      </c>
    </row>
    <row r="2762">
      <c r="A2762" s="21">
        <v>2761.0</v>
      </c>
      <c r="B2762" s="22" t="s">
        <v>1741</v>
      </c>
      <c r="C2762" s="22" t="s">
        <v>22</v>
      </c>
      <c r="D2762" s="22" t="s">
        <v>36</v>
      </c>
      <c r="E2762" s="16"/>
      <c r="F2762" s="16"/>
      <c r="G2762" s="13">
        <f>IFERROR(__xludf.DUMMYFUNCTION("if(counta(filter('Previous Rank'!$A$2:$A2766,'Previous Rank'!$B$2:$B2766=B2762,'Previous Rank'!$C$2:$C2766=C2762))=1,filter('Previous Rank'!$A$2:$A2766,'Previous Rank'!$B$2:$B2766=B2762,'Previous Rank'!$C$2:$C2766=C2762),"""")"),2761.0)</f>
        <v>2761</v>
      </c>
      <c r="H2762" s="8">
        <f t="shared" si="1"/>
        <v>0</v>
      </c>
    </row>
    <row r="2763">
      <c r="A2763" s="23">
        <v>2762.0</v>
      </c>
      <c r="B2763" s="24" t="s">
        <v>1790</v>
      </c>
      <c r="C2763" s="24" t="s">
        <v>220</v>
      </c>
      <c r="D2763" s="24" t="s">
        <v>42</v>
      </c>
      <c r="E2763" s="15"/>
      <c r="F2763" s="15"/>
      <c r="G2763" s="13">
        <f>IFERROR(__xludf.DUMMYFUNCTION("if(counta(filter('Previous Rank'!$A$2:$A2766,'Previous Rank'!$B$2:$B2766=B2763,'Previous Rank'!$C$2:$C2766=C2763))=1,filter('Previous Rank'!$A$2:$A2766,'Previous Rank'!$B$2:$B2766=B2763,'Previous Rank'!$C$2:$C2766=C2763),"""")"),2762.0)</f>
        <v>2762</v>
      </c>
      <c r="H2763" s="8">
        <f t="shared" si="1"/>
        <v>0</v>
      </c>
    </row>
    <row r="2764">
      <c r="A2764" s="21">
        <v>2763.0</v>
      </c>
      <c r="B2764" s="22" t="s">
        <v>424</v>
      </c>
      <c r="C2764" s="22" t="s">
        <v>22</v>
      </c>
      <c r="D2764" s="22" t="s">
        <v>113</v>
      </c>
      <c r="E2764" s="16"/>
      <c r="F2764" s="16"/>
      <c r="G2764" s="13">
        <f>IFERROR(__xludf.DUMMYFUNCTION("if(counta(filter('Previous Rank'!$A$2:$A2766,'Previous Rank'!$B$2:$B2766=B2764,'Previous Rank'!$C$2:$C2766=C2764))=1,filter('Previous Rank'!$A$2:$A2766,'Previous Rank'!$B$2:$B2766=B2764,'Previous Rank'!$C$2:$C2766=C2764),"""")"),2763.0)</f>
        <v>2763</v>
      </c>
      <c r="H2764" s="8">
        <f t="shared" si="1"/>
        <v>0</v>
      </c>
    </row>
    <row r="2765">
      <c r="A2765" s="23">
        <v>2764.0</v>
      </c>
      <c r="B2765" s="24" t="s">
        <v>1730</v>
      </c>
      <c r="C2765" s="24" t="s">
        <v>22</v>
      </c>
      <c r="D2765" s="24" t="s">
        <v>113</v>
      </c>
      <c r="E2765" s="15"/>
      <c r="F2765" s="15"/>
      <c r="G2765" s="13" t="str">
        <f>IFERROR(__xludf.DUMMYFUNCTION("if(counta(filter('Previous Rank'!$A$2:$A2766,'Previous Rank'!$B$2:$B2766=B2765,'Previous Rank'!$C$2:$C2766=C2765))=1,filter('Previous Rank'!$A$2:$A2766,'Previous Rank'!$B$2:$B2766=B2765,'Previous Rank'!$C$2:$C2766=C2765),"""")"),"")</f>
        <v/>
      </c>
      <c r="H2765" s="8" t="str">
        <f t="shared" si="1"/>
        <v/>
      </c>
    </row>
    <row r="2766">
      <c r="A2766" s="21">
        <v>2765.0</v>
      </c>
      <c r="B2766" s="22" t="s">
        <v>1955</v>
      </c>
      <c r="C2766" s="22" t="s">
        <v>22</v>
      </c>
      <c r="D2766" s="22" t="s">
        <v>71</v>
      </c>
      <c r="E2766" s="16"/>
      <c r="F2766" s="16"/>
      <c r="G2766" s="13" t="str">
        <f>IFERROR(__xludf.DUMMYFUNCTION("if(counta(filter('Previous Rank'!$A$2:$A2766,'Previous Rank'!$B$2:$B2766=B2766,'Previous Rank'!$C$2:$C2766=C2766))=1,filter('Previous Rank'!$A$2:$A2766,'Previous Rank'!$B$2:$B2766=B2766,'Previous Rank'!$C$2:$C2766=C2766),"""")"),"")</f>
        <v/>
      </c>
      <c r="H2766" s="8" t="str">
        <f t="shared" si="1"/>
        <v/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8.88"/>
  </cols>
  <sheetData>
    <row r="1">
      <c r="A1" s="1" t="str">
        <f t="array" ref="A1:H1">LastNameFirstName!A1:H1</f>
        <v>Rank</v>
      </c>
      <c r="B1" s="4" t="s">
        <v>1</v>
      </c>
      <c r="C1" s="4" t="s">
        <v>2</v>
      </c>
      <c r="D1" s="4" t="s">
        <v>3</v>
      </c>
      <c r="E1" s="25" t="s">
        <v>4</v>
      </c>
      <c r="F1" s="25" t="s">
        <v>5</v>
      </c>
      <c r="G1" s="26" t="s">
        <v>2847</v>
      </c>
      <c r="H1" s="26" t="s">
        <v>6</v>
      </c>
    </row>
    <row r="2">
      <c r="A2" s="5">
        <v>1.0</v>
      </c>
      <c r="B2" s="8" t="str">
        <f t="array" ref="B2:B2766">RIGHT(LastNameFirstName!B2:B2766 ,len(LastNameFirstName!B2:B2766)-find(",",LastNameFirstName!B2:B2766)-1)&amp;" "&amp;LEFT(LastNameFirstName!B2:B2766 ,find(",",LastNameFirstName!B2:B2766)-1)</f>
        <v>Trea Turner</v>
      </c>
      <c r="C2" s="8" t="str">
        <f t="array" ref="C2:D2766">LastNameFirstName!C2:D2766</f>
        <v>2B,SS</v>
      </c>
      <c r="D2" s="8" t="s">
        <v>9</v>
      </c>
      <c r="E2" s="13">
        <f>IFERROR(__xludf.DUMMYFUNCTION("ifna(filter('Yahoo ADP'!$A$2:$A2766,'Yahoo ADP'!$B$2:$B2766=$B2,$C2='Yahoo ADP'!$C$2:$C2766,$D2='Yahoo ADP'!$D$2:$D2766))"),1.9)</f>
        <v>1.9</v>
      </c>
      <c r="F2" s="13">
        <f>IFERROR(__xludf.DUMMYFUNCTION("ifna(filter('Yahoo ADP'!$E$2:$E2766,'Yahoo ADP'!$B$2:$B2766=$B2,$C2='Yahoo ADP'!$C$2:$C2766,$D2='Yahoo ADP'!$D$2:$D2766))"),52.4)</f>
        <v>52.4</v>
      </c>
      <c r="G2" s="27">
        <f t="array" ref="G2:G2766">LastNameFirstName!G2:G2766</f>
        <v>1</v>
      </c>
      <c r="H2" s="8">
        <f t="shared" ref="H2:H2766" si="1">if(G2="","",G2-A2)</f>
        <v>0</v>
      </c>
    </row>
    <row r="3">
      <c r="A3" s="5">
        <v>2.0</v>
      </c>
      <c r="B3" s="8" t="s">
        <v>2848</v>
      </c>
      <c r="C3" s="8" t="s">
        <v>11</v>
      </c>
      <c r="D3" s="8" t="s">
        <v>12</v>
      </c>
      <c r="E3" s="13">
        <f>IFERROR(__xludf.DUMMYFUNCTION("ifna(filter('Yahoo ADP'!$A$2:$A2766,'Yahoo ADP'!$B$2:$B2766=$B3,$C3='Yahoo ADP'!$C$2:$C2766,$D3='Yahoo ADP'!$D$2:$D2766))"),6.4)</f>
        <v>6.4</v>
      </c>
      <c r="F3" s="13">
        <f>IFERROR(__xludf.DUMMYFUNCTION("ifna(filter('Yahoo ADP'!$E$2:$E2766,'Yahoo ADP'!$B$2:$B2766=$B3,$C3='Yahoo ADP'!$C$2:$C2766,$D3='Yahoo ADP'!$D$2:$D2766))"),46.8)</f>
        <v>46.8</v>
      </c>
      <c r="G3" s="27">
        <v>6.0</v>
      </c>
      <c r="H3" s="8">
        <f t="shared" si="1"/>
        <v>4</v>
      </c>
    </row>
    <row r="4">
      <c r="A4" s="10">
        <v>3.0</v>
      </c>
      <c r="B4" s="11" t="s">
        <v>2849</v>
      </c>
      <c r="C4" s="10" t="s">
        <v>14</v>
      </c>
      <c r="D4" s="10" t="s">
        <v>15</v>
      </c>
      <c r="E4" s="13">
        <f>IFERROR(__xludf.DUMMYFUNCTION("ifna(filter('Yahoo ADP'!$A$2:$A2766,'Yahoo ADP'!$B$2:$B2766=$B4,$C4='Yahoo ADP'!$C$2:$C2766,$D4='Yahoo ADP'!$D$2:$D2766))"),5.9)</f>
        <v>5.9</v>
      </c>
      <c r="F4" s="13">
        <f>IFERROR(__xludf.DUMMYFUNCTION("ifna(filter('Yahoo ADP'!$E$2:$E2766,'Yahoo ADP'!$B$2:$B2766=$B4,$C4='Yahoo ADP'!$C$2:$C2766,$D4='Yahoo ADP'!$D$2:$D2766))"),46.8)</f>
        <v>46.8</v>
      </c>
      <c r="G4" s="27">
        <v>5.0</v>
      </c>
      <c r="H4" s="8">
        <f t="shared" si="1"/>
        <v>2</v>
      </c>
    </row>
    <row r="5">
      <c r="A5" s="10">
        <v>4.0</v>
      </c>
      <c r="B5" s="11" t="s">
        <v>2850</v>
      </c>
      <c r="C5" s="10" t="s">
        <v>17</v>
      </c>
      <c r="D5" s="10" t="s">
        <v>18</v>
      </c>
      <c r="E5" s="13">
        <f>IFERROR(__xludf.DUMMYFUNCTION("ifna(filter('Yahoo ADP'!$A$2:$A2766,'Yahoo ADP'!$B$2:$B2766=$B5,$C5='Yahoo ADP'!$C$2:$C2766,$D5='Yahoo ADP'!$D$2:$D2766))"),3.6)</f>
        <v>3.6</v>
      </c>
      <c r="F5" s="13">
        <f>IFERROR(__xludf.DUMMYFUNCTION("ifna(filter('Yahoo ADP'!$E$2:$E2766,'Yahoo ADP'!$B$2:$B2766=$B5,$C5='Yahoo ADP'!$C$2:$C2766,$D5='Yahoo ADP'!$D$2:$D2766))"),49.7)</f>
        <v>49.7</v>
      </c>
      <c r="G5" s="27">
        <v>3.0</v>
      </c>
      <c r="H5" s="8">
        <f t="shared" si="1"/>
        <v>-1</v>
      </c>
    </row>
    <row r="6">
      <c r="A6" s="10">
        <v>5.0</v>
      </c>
      <c r="B6" s="11" t="s">
        <v>2851</v>
      </c>
      <c r="C6" s="10" t="s">
        <v>20</v>
      </c>
      <c r="D6" s="10" t="s">
        <v>15</v>
      </c>
      <c r="E6" s="13">
        <f>IFERROR(__xludf.DUMMYFUNCTION("ifna(filter('Yahoo ADP'!$A$2:$A2766,'Yahoo ADP'!$B$2:$B2766=$B6,$C6='Yahoo ADP'!$C$2:$C2766,$D6='Yahoo ADP'!$D$2:$D2766))"),3.6)</f>
        <v>3.6</v>
      </c>
      <c r="F6" s="13">
        <f>IFERROR(__xludf.DUMMYFUNCTION("ifna(filter('Yahoo ADP'!$E$2:$E2766,'Yahoo ADP'!$B$2:$B2766=$B6,$C6='Yahoo ADP'!$C$2:$C2766,$D6='Yahoo ADP'!$D$2:$D2766))"),49.5)</f>
        <v>49.5</v>
      </c>
      <c r="G6" s="27">
        <v>4.0</v>
      </c>
      <c r="H6" s="8">
        <f t="shared" si="1"/>
        <v>-1</v>
      </c>
    </row>
    <row r="7">
      <c r="A7" s="10">
        <v>6.0</v>
      </c>
      <c r="B7" s="11" t="s">
        <v>2852</v>
      </c>
      <c r="C7" s="10" t="s">
        <v>22</v>
      </c>
      <c r="D7" s="10" t="s">
        <v>23</v>
      </c>
      <c r="E7" s="13">
        <f>IFERROR(__xludf.DUMMYFUNCTION("ifna(filter('Yahoo ADP'!$A$2:$A2766,'Yahoo ADP'!$B$2:$B2766=$B7,$C7='Yahoo ADP'!$C$2:$C2766,$D7='Yahoo ADP'!$D$2:$D2766))"),9.0)</f>
        <v>9</v>
      </c>
      <c r="F7" s="13">
        <f>IFERROR(__xludf.DUMMYFUNCTION("ifna(filter('Yahoo ADP'!$E$2:$E2766,'Yahoo ADP'!$B$2:$B2766=$B7,$C7='Yahoo ADP'!$C$2:$C2766,$D7='Yahoo ADP'!$D$2:$D2766))"),43.3)</f>
        <v>43.3</v>
      </c>
      <c r="G7" s="27">
        <v>7.0</v>
      </c>
      <c r="H7" s="8">
        <f t="shared" si="1"/>
        <v>1</v>
      </c>
    </row>
    <row r="8">
      <c r="A8" s="10">
        <v>7.0</v>
      </c>
      <c r="B8" s="11" t="s">
        <v>2853</v>
      </c>
      <c r="C8" s="10" t="s">
        <v>22</v>
      </c>
      <c r="D8" s="10" t="s">
        <v>25</v>
      </c>
      <c r="E8" s="13">
        <f>IFERROR(__xludf.DUMMYFUNCTION("ifna(filter('Yahoo ADP'!$A$2:$A2766,'Yahoo ADP'!$B$2:$B2766=$B8,$C8='Yahoo ADP'!$C$2:$C2766,$D8='Yahoo ADP'!$D$2:$D2766))"),11.8)</f>
        <v>11.8</v>
      </c>
      <c r="F8" s="13">
        <f>IFERROR(__xludf.DUMMYFUNCTION("ifna(filter('Yahoo ADP'!$E$2:$E2766,'Yahoo ADP'!$B$2:$B2766=$B8,$C8='Yahoo ADP'!$C$2:$C2766,$D8='Yahoo ADP'!$D$2:$D2766))"),40.3)</f>
        <v>40.3</v>
      </c>
      <c r="G8" s="27">
        <v>10.0</v>
      </c>
      <c r="H8" s="8">
        <f t="shared" si="1"/>
        <v>3</v>
      </c>
    </row>
    <row r="9">
      <c r="A9" s="10">
        <v>8.0</v>
      </c>
      <c r="B9" s="11" t="s">
        <v>2854</v>
      </c>
      <c r="C9" s="10" t="s">
        <v>17</v>
      </c>
      <c r="D9" s="10" t="s">
        <v>27</v>
      </c>
      <c r="E9" s="13">
        <f>IFERROR(__xludf.DUMMYFUNCTION("ifna(filter('Yahoo ADP'!$A$2:$A2766,'Yahoo ADP'!$B$2:$B2766=$B9,$C9='Yahoo ADP'!$C$2:$C2766,$D9='Yahoo ADP'!$D$2:$D2766))"),16.8)</f>
        <v>16.8</v>
      </c>
      <c r="F9" s="13">
        <f>IFERROR(__xludf.DUMMYFUNCTION("ifna(filter('Yahoo ADP'!$E$2:$E2766,'Yahoo ADP'!$B$2:$B2766=$B9,$C9='Yahoo ADP'!$C$2:$C2766,$D9='Yahoo ADP'!$D$2:$D2766))"),36.5)</f>
        <v>36.5</v>
      </c>
      <c r="G9" s="27">
        <v>11.0</v>
      </c>
      <c r="H9" s="8">
        <f t="shared" si="1"/>
        <v>3</v>
      </c>
    </row>
    <row r="10">
      <c r="A10" s="10">
        <v>9.0</v>
      </c>
      <c r="B10" s="11" t="s">
        <v>2855</v>
      </c>
      <c r="C10" s="10" t="s">
        <v>29</v>
      </c>
      <c r="D10" s="10" t="s">
        <v>9</v>
      </c>
      <c r="E10" s="13">
        <f>IFERROR(__xludf.DUMMYFUNCTION("ifna(filter('Yahoo ADP'!$A$2:$A2766,'Yahoo ADP'!$B$2:$B2766=$B10,$C10='Yahoo ADP'!$C$2:$C2766,$D10='Yahoo ADP'!$D$2:$D2766))"),9.9)</f>
        <v>9.9</v>
      </c>
      <c r="F10" s="13">
        <f>IFERROR(__xludf.DUMMYFUNCTION("ifna(filter('Yahoo ADP'!$E$2:$E2766,'Yahoo ADP'!$B$2:$B2766=$B10,$C10='Yahoo ADP'!$C$2:$C2766,$D10='Yahoo ADP'!$D$2:$D2766))"),43.8)</f>
        <v>43.8</v>
      </c>
      <c r="G10" s="27">
        <v>9.0</v>
      </c>
      <c r="H10" s="8">
        <f t="shared" si="1"/>
        <v>0</v>
      </c>
    </row>
    <row r="11">
      <c r="A11" s="10">
        <v>10.0</v>
      </c>
      <c r="B11" s="11" t="s">
        <v>2856</v>
      </c>
      <c r="C11" s="10" t="s">
        <v>17</v>
      </c>
      <c r="D11" s="10" t="s">
        <v>31</v>
      </c>
      <c r="E11" s="13">
        <f>IFERROR(__xludf.DUMMYFUNCTION("ifna(filter('Yahoo ADP'!$A$2:$A2766,'Yahoo ADP'!$B$2:$B2766=$B11,$C11='Yahoo ADP'!$C$2:$C2766,$D11='Yahoo ADP'!$D$2:$D2766))"),10.9)</f>
        <v>10.9</v>
      </c>
      <c r="F11" s="13">
        <f>IFERROR(__xludf.DUMMYFUNCTION("ifna(filter('Yahoo ADP'!$E$2:$E2766,'Yahoo ADP'!$B$2:$B2766=$B11,$C11='Yahoo ADP'!$C$2:$C2766,$D11='Yahoo ADP'!$D$2:$D2766))"),42.6)</f>
        <v>42.6</v>
      </c>
      <c r="G11" s="27">
        <v>12.0</v>
      </c>
      <c r="H11" s="8">
        <f t="shared" si="1"/>
        <v>2</v>
      </c>
    </row>
    <row r="12">
      <c r="A12" s="10">
        <v>11.0</v>
      </c>
      <c r="B12" s="11" t="s">
        <v>2857</v>
      </c>
      <c r="C12" s="10" t="s">
        <v>33</v>
      </c>
      <c r="D12" s="10" t="s">
        <v>34</v>
      </c>
      <c r="E12" s="13">
        <f>IFERROR(__xludf.DUMMYFUNCTION("ifna(filter('Yahoo ADP'!$A$2:$A2766,'Yahoo ADP'!$B$2:$B2766=$B12,$C12='Yahoo ADP'!$C$2:$C2766,$D12='Yahoo ADP'!$D$2:$D2766))"),12.3)</f>
        <v>12.3</v>
      </c>
      <c r="F12" s="13">
        <f>IFERROR(__xludf.DUMMYFUNCTION("ifna(filter('Yahoo ADP'!$E$2:$E2766,'Yahoo ADP'!$B$2:$B2766=$B12,$C12='Yahoo ADP'!$C$2:$C2766,$D12='Yahoo ADP'!$D$2:$D2766))"),40.8)</f>
        <v>40.8</v>
      </c>
      <c r="G12" s="27">
        <v>14.0</v>
      </c>
      <c r="H12" s="8">
        <f t="shared" si="1"/>
        <v>3</v>
      </c>
    </row>
    <row r="13">
      <c r="A13" s="10">
        <v>12.0</v>
      </c>
      <c r="B13" s="11" t="s">
        <v>2858</v>
      </c>
      <c r="C13" s="10" t="s">
        <v>22</v>
      </c>
      <c r="D13" s="10" t="s">
        <v>36</v>
      </c>
      <c r="E13" s="13">
        <f>IFERROR(__xludf.DUMMYFUNCTION("ifna(filter('Yahoo ADP'!$A$2:$A2766,'Yahoo ADP'!$B$2:$B2766=$B13,$C13='Yahoo ADP'!$C$2:$C2766,$D13='Yahoo ADP'!$D$2:$D2766))"),21.3)</f>
        <v>21.3</v>
      </c>
      <c r="F13" s="13">
        <f>IFERROR(__xludf.DUMMYFUNCTION("ifna(filter('Yahoo ADP'!$E$2:$E2766,'Yahoo ADP'!$B$2:$B2766=$B13,$C13='Yahoo ADP'!$C$2:$C2766,$D13='Yahoo ADP'!$D$2:$D2766))"),32.8)</f>
        <v>32.8</v>
      </c>
      <c r="G13" s="27">
        <v>23.0</v>
      </c>
      <c r="H13" s="8">
        <f t="shared" si="1"/>
        <v>11</v>
      </c>
    </row>
    <row r="14">
      <c r="A14" s="10">
        <v>13.0</v>
      </c>
      <c r="B14" s="11" t="s">
        <v>2859</v>
      </c>
      <c r="C14" s="10" t="s">
        <v>20</v>
      </c>
      <c r="D14" s="10" t="s">
        <v>9</v>
      </c>
      <c r="E14" s="13">
        <f>IFERROR(__xludf.DUMMYFUNCTION("ifna(filter('Yahoo ADP'!$A$2:$A2766,'Yahoo ADP'!$B$2:$B2766=$B14,$C14='Yahoo ADP'!$C$2:$C2766,$D14='Yahoo ADP'!$D$2:$D2766))"),14.1)</f>
        <v>14.1</v>
      </c>
      <c r="F14" s="13">
        <f>IFERROR(__xludf.DUMMYFUNCTION("ifna(filter('Yahoo ADP'!$E$2:$E2766,'Yahoo ADP'!$B$2:$B2766=$B14,$C14='Yahoo ADP'!$C$2:$C2766,$D14='Yahoo ADP'!$D$2:$D2766))"),38.2)</f>
        <v>38.2</v>
      </c>
      <c r="G14" s="27">
        <v>15.0</v>
      </c>
      <c r="H14" s="8">
        <f t="shared" si="1"/>
        <v>2</v>
      </c>
    </row>
    <row r="15">
      <c r="A15" s="10">
        <v>14.0</v>
      </c>
      <c r="B15" s="11" t="s">
        <v>2860</v>
      </c>
      <c r="C15" s="10" t="s">
        <v>39</v>
      </c>
      <c r="D15" s="10" t="s">
        <v>34</v>
      </c>
      <c r="E15" s="13">
        <f>IFERROR(__xludf.DUMMYFUNCTION("ifna(filter('Yahoo ADP'!$A$2:$A2766,'Yahoo ADP'!$B$2:$B2766=$B15,$C15='Yahoo ADP'!$C$2:$C2766,$D15='Yahoo ADP'!$D$2:$D2766))"),11.8)</f>
        <v>11.8</v>
      </c>
      <c r="F15" s="13">
        <f>IFERROR(__xludf.DUMMYFUNCTION("ifna(filter('Yahoo ADP'!$E$2:$E2766,'Yahoo ADP'!$B$2:$B2766=$B15,$C15='Yahoo ADP'!$C$2:$C2766,$D15='Yahoo ADP'!$D$2:$D2766))"),40.0)</f>
        <v>40</v>
      </c>
      <c r="G15" s="27">
        <v>13.0</v>
      </c>
      <c r="H15" s="8">
        <f t="shared" si="1"/>
        <v>-1</v>
      </c>
    </row>
    <row r="16">
      <c r="A16" s="10">
        <v>15.0</v>
      </c>
      <c r="B16" s="11" t="s">
        <v>2861</v>
      </c>
      <c r="C16" s="10" t="s">
        <v>22</v>
      </c>
      <c r="D16" s="10" t="s">
        <v>9</v>
      </c>
      <c r="E16" s="13">
        <f>IFERROR(__xludf.DUMMYFUNCTION("ifna(filter('Yahoo ADP'!$A$2:$A2766,'Yahoo ADP'!$B$2:$B2766=$B16,$C16='Yahoo ADP'!$C$2:$C2766,$D16='Yahoo ADP'!$D$2:$D2766))"),17.9)</f>
        <v>17.9</v>
      </c>
      <c r="F16" s="13">
        <f>IFERROR(__xludf.DUMMYFUNCTION("ifna(filter('Yahoo ADP'!$E$2:$E2766,'Yahoo ADP'!$B$2:$B2766=$B16,$C16='Yahoo ADP'!$C$2:$C2766,$D16='Yahoo ADP'!$D$2:$D2766))"),34.3)</f>
        <v>34.3</v>
      </c>
      <c r="G16" s="27">
        <v>16.0</v>
      </c>
      <c r="H16" s="8">
        <f t="shared" si="1"/>
        <v>1</v>
      </c>
    </row>
    <row r="17">
      <c r="A17" s="10">
        <v>16.0</v>
      </c>
      <c r="B17" s="11" t="s">
        <v>2862</v>
      </c>
      <c r="C17" s="10" t="s">
        <v>11</v>
      </c>
      <c r="D17" s="10" t="s">
        <v>42</v>
      </c>
      <c r="E17" s="13">
        <f>IFERROR(__xludf.DUMMYFUNCTION("ifna(filter('Yahoo ADP'!$A$2:$A2766,'Yahoo ADP'!$B$2:$B2766=$B17,$C17='Yahoo ADP'!$C$2:$C2766,$D17='Yahoo ADP'!$D$2:$D2766))"),16.5)</f>
        <v>16.5</v>
      </c>
      <c r="F17" s="13">
        <f>IFERROR(__xludf.DUMMYFUNCTION("ifna(filter('Yahoo ADP'!$E$2:$E2766,'Yahoo ADP'!$B$2:$B2766=$B17,$C17='Yahoo ADP'!$C$2:$C2766,$D17='Yahoo ADP'!$D$2:$D2766))"),34.9)</f>
        <v>34.9</v>
      </c>
      <c r="G17" s="27">
        <v>17.0</v>
      </c>
      <c r="H17" s="8">
        <f t="shared" si="1"/>
        <v>1</v>
      </c>
    </row>
    <row r="18">
      <c r="A18" s="10">
        <v>17.0</v>
      </c>
      <c r="B18" s="11" t="s">
        <v>2863</v>
      </c>
      <c r="C18" s="10" t="s">
        <v>22</v>
      </c>
      <c r="D18" s="10" t="s">
        <v>36</v>
      </c>
      <c r="E18" s="13">
        <f>IFERROR(__xludf.DUMMYFUNCTION("ifna(filter('Yahoo ADP'!$A$2:$A2766,'Yahoo ADP'!$B$2:$B2766=$B18,$C18='Yahoo ADP'!$C$2:$C2766,$D18='Yahoo ADP'!$D$2:$D2766))"),16.4)</f>
        <v>16.4</v>
      </c>
      <c r="F18" s="13">
        <f>IFERROR(__xludf.DUMMYFUNCTION("ifna(filter('Yahoo ADP'!$E$2:$E2766,'Yahoo ADP'!$B$2:$B2766=$B18,$C18='Yahoo ADP'!$C$2:$C2766,$D18='Yahoo ADP'!$D$2:$D2766))"),33.9)</f>
        <v>33.9</v>
      </c>
      <c r="G18" s="27">
        <v>18.0</v>
      </c>
      <c r="H18" s="8">
        <f t="shared" si="1"/>
        <v>1</v>
      </c>
    </row>
    <row r="19">
      <c r="A19" s="10">
        <v>18.0</v>
      </c>
      <c r="B19" s="11" t="s">
        <v>2864</v>
      </c>
      <c r="C19" s="10" t="s">
        <v>22</v>
      </c>
      <c r="D19" s="10" t="s">
        <v>25</v>
      </c>
      <c r="E19" s="13">
        <f>IFERROR(__xludf.DUMMYFUNCTION("ifna(filter('Yahoo ADP'!$A$2:$A2766,'Yahoo ADP'!$B$2:$B2766=$B19,$C19='Yahoo ADP'!$C$2:$C2766,$D19='Yahoo ADP'!$D$2:$D2766))"),25.0)</f>
        <v>25</v>
      </c>
      <c r="F19" s="13">
        <f>IFERROR(__xludf.DUMMYFUNCTION("ifna(filter('Yahoo ADP'!$E$2:$E2766,'Yahoo ADP'!$B$2:$B2766=$B19,$C19='Yahoo ADP'!$C$2:$C2766,$D19='Yahoo ADP'!$D$2:$D2766))"),31.1)</f>
        <v>31.1</v>
      </c>
      <c r="G19" s="27">
        <v>24.0</v>
      </c>
      <c r="H19" s="8">
        <f t="shared" si="1"/>
        <v>6</v>
      </c>
    </row>
    <row r="20">
      <c r="A20" s="10">
        <v>19.0</v>
      </c>
      <c r="B20" s="11" t="s">
        <v>2865</v>
      </c>
      <c r="C20" s="10" t="s">
        <v>39</v>
      </c>
      <c r="D20" s="10" t="s">
        <v>46</v>
      </c>
      <c r="E20" s="13">
        <f>IFERROR(__xludf.DUMMYFUNCTION("ifna(filter('Yahoo ADP'!$A$2:$A2766,'Yahoo ADP'!$B$2:$B2766=$B20,$C20='Yahoo ADP'!$C$2:$C2766,$D20='Yahoo ADP'!$D$2:$D2766))"),20.1)</f>
        <v>20.1</v>
      </c>
      <c r="F20" s="13">
        <f>IFERROR(__xludf.DUMMYFUNCTION("ifna(filter('Yahoo ADP'!$E$2:$E2766,'Yahoo ADP'!$B$2:$B2766=$B20,$C20='Yahoo ADP'!$C$2:$C2766,$D20='Yahoo ADP'!$D$2:$D2766))"),34.0)</f>
        <v>34</v>
      </c>
      <c r="G20" s="27">
        <v>19.0</v>
      </c>
      <c r="H20" s="8">
        <f t="shared" si="1"/>
        <v>0</v>
      </c>
    </row>
    <row r="21">
      <c r="A21" s="10">
        <v>20.0</v>
      </c>
      <c r="B21" s="11" t="s">
        <v>2866</v>
      </c>
      <c r="C21" s="10" t="s">
        <v>48</v>
      </c>
      <c r="D21" s="10" t="s">
        <v>49</v>
      </c>
      <c r="E21" s="13">
        <f>IFERROR(__xludf.DUMMYFUNCTION("ifna(filter('Yahoo ADP'!$A$2:$A2766,'Yahoo ADP'!$B$2:$B2766=$B21,$C21='Yahoo ADP'!$C$2:$C2766,$D21='Yahoo ADP'!$D$2:$D2766))"),22.7)</f>
        <v>22.7</v>
      </c>
      <c r="F21" s="13">
        <f>IFERROR(__xludf.DUMMYFUNCTION("ifna(filter('Yahoo ADP'!$E$2:$E2766,'Yahoo ADP'!$B$2:$B2766=$B21,$C21='Yahoo ADP'!$C$2:$C2766,$D21='Yahoo ADP'!$D$2:$D2766))"),31.6)</f>
        <v>31.6</v>
      </c>
      <c r="G21" s="27">
        <v>20.0</v>
      </c>
      <c r="H21" s="8">
        <f t="shared" si="1"/>
        <v>0</v>
      </c>
    </row>
    <row r="22">
      <c r="A22" s="10">
        <v>21.0</v>
      </c>
      <c r="B22" s="11" t="s">
        <v>2867</v>
      </c>
      <c r="C22" s="10" t="s">
        <v>17</v>
      </c>
      <c r="D22" s="10" t="s">
        <v>49</v>
      </c>
      <c r="E22" s="13">
        <f>IFERROR(__xludf.DUMMYFUNCTION("ifna(filter('Yahoo ADP'!$A$2:$A2766,'Yahoo ADP'!$B$2:$B2766=$B22,$C22='Yahoo ADP'!$C$2:$C2766,$D22='Yahoo ADP'!$D$2:$D2766))"),9.9)</f>
        <v>9.9</v>
      </c>
      <c r="F22" s="13">
        <f>IFERROR(__xludf.DUMMYFUNCTION("ifna(filter('Yahoo ADP'!$E$2:$E2766,'Yahoo ADP'!$B$2:$B2766=$B22,$C22='Yahoo ADP'!$C$2:$C2766,$D22='Yahoo ADP'!$D$2:$D2766))"),44.7)</f>
        <v>44.7</v>
      </c>
      <c r="G22" s="27">
        <v>8.0</v>
      </c>
      <c r="H22" s="8">
        <f t="shared" si="1"/>
        <v>-13</v>
      </c>
    </row>
    <row r="23">
      <c r="A23" s="10">
        <v>22.0</v>
      </c>
      <c r="B23" s="11" t="s">
        <v>2868</v>
      </c>
      <c r="C23" s="10" t="s">
        <v>11</v>
      </c>
      <c r="D23" s="10" t="s">
        <v>52</v>
      </c>
      <c r="E23" s="13">
        <f>IFERROR(__xludf.DUMMYFUNCTION("ifna(filter('Yahoo ADP'!$A$2:$A2766,'Yahoo ADP'!$B$2:$B2766=$B23,$C23='Yahoo ADP'!$C$2:$C2766,$D23='Yahoo ADP'!$D$2:$D2766))"),27.5)</f>
        <v>27.5</v>
      </c>
      <c r="F23" s="13">
        <f>IFERROR(__xludf.DUMMYFUNCTION("ifna(filter('Yahoo ADP'!$E$2:$E2766,'Yahoo ADP'!$B$2:$B2766=$B23,$C23='Yahoo ADP'!$C$2:$C2766,$D23='Yahoo ADP'!$D$2:$D2766))"),29.4)</f>
        <v>29.4</v>
      </c>
      <c r="G23" s="27">
        <v>26.0</v>
      </c>
      <c r="H23" s="8">
        <f t="shared" si="1"/>
        <v>4</v>
      </c>
    </row>
    <row r="24">
      <c r="A24" s="10">
        <v>23.0</v>
      </c>
      <c r="B24" s="11" t="s">
        <v>2869</v>
      </c>
      <c r="C24" s="10" t="s">
        <v>39</v>
      </c>
      <c r="D24" s="10" t="s">
        <v>36</v>
      </c>
      <c r="E24" s="13">
        <f>IFERROR(__xludf.DUMMYFUNCTION("ifna(filter('Yahoo ADP'!$A$2:$A2766,'Yahoo ADP'!$B$2:$B2766=$B24,$C24='Yahoo ADP'!$C$2:$C2766,$D24='Yahoo ADP'!$D$2:$D2766))"),24.5)</f>
        <v>24.5</v>
      </c>
      <c r="F24" s="13">
        <f>IFERROR(__xludf.DUMMYFUNCTION("ifna(filter('Yahoo ADP'!$E$2:$E2766,'Yahoo ADP'!$B$2:$B2766=$B24,$C24='Yahoo ADP'!$C$2:$C2766,$D24='Yahoo ADP'!$D$2:$D2766))"),32.9)</f>
        <v>32.9</v>
      </c>
      <c r="G24" s="27">
        <v>22.0</v>
      </c>
      <c r="H24" s="8">
        <f t="shared" si="1"/>
        <v>-1</v>
      </c>
    </row>
    <row r="25">
      <c r="A25" s="10">
        <v>24.0</v>
      </c>
      <c r="B25" s="11" t="s">
        <v>2870</v>
      </c>
      <c r="C25" s="10" t="s">
        <v>55</v>
      </c>
      <c r="D25" s="10" t="s">
        <v>27</v>
      </c>
      <c r="E25" s="13">
        <f>IFERROR(__xludf.DUMMYFUNCTION("ifna(filter('Yahoo ADP'!$A$2:$A2766,'Yahoo ADP'!$B$2:$B2766=$B25,$C25='Yahoo ADP'!$C$2:$C2766,$D25='Yahoo ADP'!$D$2:$D2766))"),23.7)</f>
        <v>23.7</v>
      </c>
      <c r="F25" s="13">
        <f>IFERROR(__xludf.DUMMYFUNCTION("ifna(filter('Yahoo ADP'!$E$2:$E2766,'Yahoo ADP'!$B$2:$B2766=$B25,$C25='Yahoo ADP'!$C$2:$C2766,$D25='Yahoo ADP'!$D$2:$D2766))"),31.5)</f>
        <v>31.5</v>
      </c>
      <c r="G25" s="27">
        <v>21.0</v>
      </c>
      <c r="H25" s="8">
        <f t="shared" si="1"/>
        <v>-3</v>
      </c>
    </row>
    <row r="26">
      <c r="A26" s="10">
        <v>25.0</v>
      </c>
      <c r="B26" s="11" t="s">
        <v>2871</v>
      </c>
      <c r="C26" s="10" t="s">
        <v>22</v>
      </c>
      <c r="D26" s="10" t="s">
        <v>12</v>
      </c>
      <c r="E26" s="13">
        <f>IFERROR(__xludf.DUMMYFUNCTION("ifna(filter('Yahoo ADP'!$A$2:$A2766,'Yahoo ADP'!$B$2:$B2766=$B26,$C26='Yahoo ADP'!$C$2:$C2766,$D26='Yahoo ADP'!$D$2:$D2766))"),28.8)</f>
        <v>28.8</v>
      </c>
      <c r="F26" s="13">
        <f>IFERROR(__xludf.DUMMYFUNCTION("ifna(filter('Yahoo ADP'!$E$2:$E2766,'Yahoo ADP'!$B$2:$B2766=$B26,$C26='Yahoo ADP'!$C$2:$C2766,$D26='Yahoo ADP'!$D$2:$D2766))"),28.7)</f>
        <v>28.7</v>
      </c>
      <c r="G26" s="27">
        <v>27.0</v>
      </c>
      <c r="H26" s="8">
        <f t="shared" si="1"/>
        <v>2</v>
      </c>
    </row>
    <row r="27">
      <c r="A27" s="10">
        <v>26.0</v>
      </c>
      <c r="B27" s="11" t="s">
        <v>2872</v>
      </c>
      <c r="C27" s="10" t="s">
        <v>14</v>
      </c>
      <c r="D27" s="10" t="s">
        <v>46</v>
      </c>
      <c r="E27" s="13">
        <f>IFERROR(__xludf.DUMMYFUNCTION("ifna(filter('Yahoo ADP'!$A$2:$A2766,'Yahoo ADP'!$B$2:$B2766=$B27,$C27='Yahoo ADP'!$C$2:$C2766,$D27='Yahoo ADP'!$D$2:$D2766))"),31.0)</f>
        <v>31</v>
      </c>
      <c r="F27" s="13">
        <f>IFERROR(__xludf.DUMMYFUNCTION("ifna(filter('Yahoo ADP'!$E$2:$E2766,'Yahoo ADP'!$B$2:$B2766=$B27,$C27='Yahoo ADP'!$C$2:$C2766,$D27='Yahoo ADP'!$D$2:$D2766))"),27.6)</f>
        <v>27.6</v>
      </c>
      <c r="G27" s="27">
        <v>29.0</v>
      </c>
      <c r="H27" s="8">
        <f t="shared" si="1"/>
        <v>3</v>
      </c>
    </row>
    <row r="28">
      <c r="A28" s="10">
        <v>27.0</v>
      </c>
      <c r="B28" s="11" t="s">
        <v>2873</v>
      </c>
      <c r="C28" s="10" t="s">
        <v>14</v>
      </c>
      <c r="D28" s="10" t="s">
        <v>42</v>
      </c>
      <c r="E28" s="13">
        <f>IFERROR(__xludf.DUMMYFUNCTION("ifna(filter('Yahoo ADP'!$A$2:$A2766,'Yahoo ADP'!$B$2:$B2766=$B28,$C28='Yahoo ADP'!$C$2:$C2766,$D28='Yahoo ADP'!$D$2:$D2766))"),29.0)</f>
        <v>29</v>
      </c>
      <c r="F28" s="13">
        <f>IFERROR(__xludf.DUMMYFUNCTION("ifna(filter('Yahoo ADP'!$E$2:$E2766,'Yahoo ADP'!$B$2:$B2766=$B28,$C28='Yahoo ADP'!$C$2:$C2766,$D28='Yahoo ADP'!$D$2:$D2766))"),27.9)</f>
        <v>27.9</v>
      </c>
      <c r="G28" s="27">
        <v>28.0</v>
      </c>
      <c r="H28" s="8">
        <f t="shared" si="1"/>
        <v>1</v>
      </c>
    </row>
    <row r="29">
      <c r="A29" s="10">
        <v>28.0</v>
      </c>
      <c r="B29" s="11" t="s">
        <v>2874</v>
      </c>
      <c r="C29" s="10" t="s">
        <v>20</v>
      </c>
      <c r="D29" s="10" t="s">
        <v>49</v>
      </c>
      <c r="E29" s="13">
        <f>IFERROR(__xludf.DUMMYFUNCTION("ifna(filter('Yahoo ADP'!$A$2:$A2766,'Yahoo ADP'!$B$2:$B2766=$B29,$C29='Yahoo ADP'!$C$2:$C2766,$D29='Yahoo ADP'!$D$2:$D2766))"),32.5)</f>
        <v>32.5</v>
      </c>
      <c r="F29" s="13">
        <f>IFERROR(__xludf.DUMMYFUNCTION("ifna(filter('Yahoo ADP'!$E$2:$E2766,'Yahoo ADP'!$B$2:$B2766=$B29,$C29='Yahoo ADP'!$C$2:$C2766,$D29='Yahoo ADP'!$D$2:$D2766))"),26.6)</f>
        <v>26.6</v>
      </c>
      <c r="G29" s="27">
        <v>31.0</v>
      </c>
      <c r="H29" s="8">
        <f t="shared" si="1"/>
        <v>3</v>
      </c>
    </row>
    <row r="30">
      <c r="A30" s="10">
        <v>29.0</v>
      </c>
      <c r="B30" s="11" t="s">
        <v>2875</v>
      </c>
      <c r="C30" s="10" t="s">
        <v>22</v>
      </c>
      <c r="D30" s="10" t="s">
        <v>9</v>
      </c>
      <c r="E30" s="13">
        <f>IFERROR(__xludf.DUMMYFUNCTION("ifna(filter('Yahoo ADP'!$A$2:$A2766,'Yahoo ADP'!$B$2:$B2766=$B30,$C30='Yahoo ADP'!$C$2:$C2766,$D30='Yahoo ADP'!$D$2:$D2766))"),33.6)</f>
        <v>33.6</v>
      </c>
      <c r="F30" s="13">
        <f>IFERROR(__xludf.DUMMYFUNCTION("ifna(filter('Yahoo ADP'!$E$2:$E2766,'Yahoo ADP'!$B$2:$B2766=$B30,$C30='Yahoo ADP'!$C$2:$C2766,$D30='Yahoo ADP'!$D$2:$D2766))"),26.9)</f>
        <v>26.9</v>
      </c>
      <c r="G30" s="27">
        <v>33.0</v>
      </c>
      <c r="H30" s="8">
        <f t="shared" si="1"/>
        <v>4</v>
      </c>
    </row>
    <row r="31">
      <c r="A31" s="10">
        <v>30.0</v>
      </c>
      <c r="B31" s="11" t="s">
        <v>2876</v>
      </c>
      <c r="C31" s="10" t="s">
        <v>22</v>
      </c>
      <c r="D31" s="10" t="s">
        <v>46</v>
      </c>
      <c r="E31" s="13">
        <f>IFERROR(__xludf.DUMMYFUNCTION("ifna(filter('Yahoo ADP'!$A$2:$A2766,'Yahoo ADP'!$B$2:$B2766=$B31,$C31='Yahoo ADP'!$C$2:$C2766,$D31='Yahoo ADP'!$D$2:$D2766))"),45.7)</f>
        <v>45.7</v>
      </c>
      <c r="F31" s="13">
        <f>IFERROR(__xludf.DUMMYFUNCTION("ifna(filter('Yahoo ADP'!$E$2:$E2766,'Yahoo ADP'!$B$2:$B2766=$B31,$C31='Yahoo ADP'!$C$2:$C2766,$D31='Yahoo ADP'!$D$2:$D2766))"),22.8)</f>
        <v>22.8</v>
      </c>
      <c r="G31" s="27">
        <v>41.0</v>
      </c>
      <c r="H31" s="8">
        <f t="shared" si="1"/>
        <v>11</v>
      </c>
    </row>
    <row r="32">
      <c r="A32" s="10">
        <v>31.0</v>
      </c>
      <c r="B32" s="11" t="s">
        <v>2877</v>
      </c>
      <c r="C32" s="10" t="s">
        <v>63</v>
      </c>
      <c r="D32" s="10" t="s">
        <v>23</v>
      </c>
      <c r="E32" s="13">
        <f>IFERROR(__xludf.DUMMYFUNCTION("ifna(filter('Yahoo ADP'!$A$2:$A2766,'Yahoo ADP'!$B$2:$B2766=$B32,$C32='Yahoo ADP'!$C$2:$C2766,$D32='Yahoo ADP'!$D$2:$D2766))"),28.7)</f>
        <v>28.7</v>
      </c>
      <c r="F32" s="13">
        <f>IFERROR(__xludf.DUMMYFUNCTION("ifna(filter('Yahoo ADP'!$E$2:$E2766,'Yahoo ADP'!$B$2:$B2766=$B32,$C32='Yahoo ADP'!$C$2:$C2766,$D32='Yahoo ADP'!$D$2:$D2766))"),27.6)</f>
        <v>27.6</v>
      </c>
      <c r="G32" s="27">
        <v>32.0</v>
      </c>
      <c r="H32" s="8">
        <f t="shared" si="1"/>
        <v>1</v>
      </c>
    </row>
    <row r="33">
      <c r="A33" s="10">
        <v>32.0</v>
      </c>
      <c r="B33" s="11" t="s">
        <v>2878</v>
      </c>
      <c r="C33" s="10" t="s">
        <v>14</v>
      </c>
      <c r="D33" s="10" t="s">
        <v>42</v>
      </c>
      <c r="E33" s="13">
        <f>IFERROR(__xludf.DUMMYFUNCTION("ifna(filter('Yahoo ADP'!$A$2:$A2766,'Yahoo ADP'!$B$2:$B2766=$B33,$C33='Yahoo ADP'!$C$2:$C2766,$D33='Yahoo ADP'!$D$2:$D2766))"),40.6)</f>
        <v>40.6</v>
      </c>
      <c r="F33" s="13">
        <f>IFERROR(__xludf.DUMMYFUNCTION("ifna(filter('Yahoo ADP'!$E$2:$E2766,'Yahoo ADP'!$B$2:$B2766=$B33,$C33='Yahoo ADP'!$C$2:$C2766,$D33='Yahoo ADP'!$D$2:$D2766))"),23.9)</f>
        <v>23.9</v>
      </c>
      <c r="G33" s="27">
        <v>36.0</v>
      </c>
      <c r="H33" s="8">
        <f t="shared" si="1"/>
        <v>4</v>
      </c>
    </row>
    <row r="34">
      <c r="A34" s="10">
        <v>33.0</v>
      </c>
      <c r="B34" s="11" t="s">
        <v>2879</v>
      </c>
      <c r="C34" s="10" t="s">
        <v>66</v>
      </c>
      <c r="D34" s="10" t="s">
        <v>67</v>
      </c>
      <c r="E34" s="13">
        <f>IFERROR(__xludf.DUMMYFUNCTION("ifna(filter('Yahoo ADP'!$A$2:$A2766,'Yahoo ADP'!$B$2:$B2766=$B34,$C34='Yahoo ADP'!$C$2:$C2766,$D34='Yahoo ADP'!$D$2:$D2766))"),36.0)</f>
        <v>36</v>
      </c>
      <c r="F34" s="13">
        <f>IFERROR(__xludf.DUMMYFUNCTION("ifna(filter('Yahoo ADP'!$E$2:$E2766,'Yahoo ADP'!$B$2:$B2766=$B34,$C34='Yahoo ADP'!$C$2:$C2766,$D34='Yahoo ADP'!$D$2:$D2766))"),26.2)</f>
        <v>26.2</v>
      </c>
      <c r="G34" s="27">
        <v>37.0</v>
      </c>
      <c r="H34" s="8">
        <f t="shared" si="1"/>
        <v>4</v>
      </c>
    </row>
    <row r="35">
      <c r="A35" s="10">
        <v>34.0</v>
      </c>
      <c r="B35" s="11" t="s">
        <v>2880</v>
      </c>
      <c r="C35" s="10" t="s">
        <v>69</v>
      </c>
      <c r="D35" s="10" t="s">
        <v>15</v>
      </c>
      <c r="E35" s="13">
        <f>IFERROR(__xludf.DUMMYFUNCTION("ifna(filter('Yahoo ADP'!$A$2:$A2766,'Yahoo ADP'!$B$2:$B2766=$B35,$C35='Yahoo ADP'!$C$2:$C2766,$D35='Yahoo ADP'!$D$2:$D2766))"),37.0)</f>
        <v>37</v>
      </c>
      <c r="F35" s="13">
        <f>IFERROR(__xludf.DUMMYFUNCTION("ifna(filter('Yahoo ADP'!$E$2:$E2766,'Yahoo ADP'!$B$2:$B2766=$B35,$C35='Yahoo ADP'!$C$2:$C2766,$D35='Yahoo ADP'!$D$2:$D2766))"),24.8)</f>
        <v>24.8</v>
      </c>
      <c r="G35" s="27">
        <v>35.0</v>
      </c>
      <c r="H35" s="8">
        <f t="shared" si="1"/>
        <v>1</v>
      </c>
    </row>
    <row r="36">
      <c r="A36" s="10">
        <v>35.0</v>
      </c>
      <c r="B36" s="11" t="s">
        <v>2881</v>
      </c>
      <c r="C36" s="10" t="s">
        <v>8</v>
      </c>
      <c r="D36" s="10" t="s">
        <v>71</v>
      </c>
      <c r="E36" s="13">
        <f>IFERROR(__xludf.DUMMYFUNCTION("ifna(filter('Yahoo ADP'!$A$2:$A2766,'Yahoo ADP'!$B$2:$B2766=$B36,$C36='Yahoo ADP'!$C$2:$C2766,$D36='Yahoo ADP'!$D$2:$D2766))"),32.9)</f>
        <v>32.9</v>
      </c>
      <c r="F36" s="13">
        <f>IFERROR(__xludf.DUMMYFUNCTION("ifna(filter('Yahoo ADP'!$E$2:$E2766,'Yahoo ADP'!$B$2:$B2766=$B36,$C36='Yahoo ADP'!$C$2:$C2766,$D36='Yahoo ADP'!$D$2:$D2766))"),26.8)</f>
        <v>26.8</v>
      </c>
      <c r="G36" s="27">
        <v>30.0</v>
      </c>
      <c r="H36" s="8">
        <f t="shared" si="1"/>
        <v>-5</v>
      </c>
    </row>
    <row r="37">
      <c r="A37" s="10">
        <v>36.0</v>
      </c>
      <c r="B37" s="11" t="s">
        <v>2882</v>
      </c>
      <c r="C37" s="10" t="s">
        <v>39</v>
      </c>
      <c r="D37" s="10" t="s">
        <v>73</v>
      </c>
      <c r="E37" s="13">
        <f>IFERROR(__xludf.DUMMYFUNCTION("ifna(filter('Yahoo ADP'!$A$2:$A2766,'Yahoo ADP'!$B$2:$B2766=$B37,$C37='Yahoo ADP'!$C$2:$C2766,$D37='Yahoo ADP'!$D$2:$D2766))"),42.7)</f>
        <v>42.7</v>
      </c>
      <c r="F37" s="13">
        <f>IFERROR(__xludf.DUMMYFUNCTION("ifna(filter('Yahoo ADP'!$E$2:$E2766,'Yahoo ADP'!$B$2:$B2766=$B37,$C37='Yahoo ADP'!$C$2:$C2766,$D37='Yahoo ADP'!$D$2:$D2766))"),24.4)</f>
        <v>24.4</v>
      </c>
      <c r="G37" s="27">
        <v>38.0</v>
      </c>
      <c r="H37" s="8">
        <f t="shared" si="1"/>
        <v>2</v>
      </c>
    </row>
    <row r="38">
      <c r="A38" s="10">
        <v>37.0</v>
      </c>
      <c r="B38" s="11" t="s">
        <v>2883</v>
      </c>
      <c r="C38" s="10" t="s">
        <v>22</v>
      </c>
      <c r="D38" s="10" t="s">
        <v>31</v>
      </c>
      <c r="E38" s="13">
        <f>IFERROR(__xludf.DUMMYFUNCTION("ifna(filter('Yahoo ADP'!$A$2:$A2766,'Yahoo ADP'!$B$2:$B2766=$B38,$C38='Yahoo ADP'!$C$2:$C2766,$D38='Yahoo ADP'!$D$2:$D2766))"),48.7)</f>
        <v>48.7</v>
      </c>
      <c r="F38" s="13">
        <f>IFERROR(__xludf.DUMMYFUNCTION("ifna(filter('Yahoo ADP'!$E$2:$E2766,'Yahoo ADP'!$B$2:$B2766=$B38,$C38='Yahoo ADP'!$C$2:$C2766,$D38='Yahoo ADP'!$D$2:$D2766))"),22.1)</f>
        <v>22.1</v>
      </c>
      <c r="G38" s="27">
        <v>39.0</v>
      </c>
      <c r="H38" s="8">
        <f t="shared" si="1"/>
        <v>2</v>
      </c>
    </row>
    <row r="39">
      <c r="A39" s="10">
        <v>38.0</v>
      </c>
      <c r="B39" s="11" t="s">
        <v>2884</v>
      </c>
      <c r="C39" s="10" t="s">
        <v>14</v>
      </c>
      <c r="D39" s="10" t="s">
        <v>36</v>
      </c>
      <c r="E39" s="13">
        <f>IFERROR(__xludf.DUMMYFUNCTION("ifna(filter('Yahoo ADP'!$A$2:$A2766,'Yahoo ADP'!$B$2:$B2766=$B39,$C39='Yahoo ADP'!$C$2:$C2766,$D39='Yahoo ADP'!$D$2:$D2766))"),40.5)</f>
        <v>40.5</v>
      </c>
      <c r="F39" s="13">
        <f>IFERROR(__xludf.DUMMYFUNCTION("ifna(filter('Yahoo ADP'!$E$2:$E2766,'Yahoo ADP'!$B$2:$B2766=$B39,$C39='Yahoo ADP'!$C$2:$C2766,$D39='Yahoo ADP'!$D$2:$D2766))"),23.5)</f>
        <v>23.5</v>
      </c>
      <c r="G39" s="27">
        <v>34.0</v>
      </c>
      <c r="H39" s="8">
        <f t="shared" si="1"/>
        <v>-4</v>
      </c>
    </row>
    <row r="40">
      <c r="A40" s="10">
        <v>39.0</v>
      </c>
      <c r="B40" s="11" t="s">
        <v>2885</v>
      </c>
      <c r="C40" s="10" t="s">
        <v>77</v>
      </c>
      <c r="D40" s="10" t="s">
        <v>67</v>
      </c>
      <c r="E40" s="13">
        <f>IFERROR(__xludf.DUMMYFUNCTION("ifna(filter('Yahoo ADP'!$A$2:$A2766,'Yahoo ADP'!$B$2:$B2766=$B40,$C40='Yahoo ADP'!$C$2:$C2766,$D40='Yahoo ADP'!$D$2:$D2766))"),35.1)</f>
        <v>35.1</v>
      </c>
      <c r="F40" s="13">
        <f>IFERROR(__xludf.DUMMYFUNCTION("ifna(filter('Yahoo ADP'!$E$2:$E2766,'Yahoo ADP'!$B$2:$B2766=$B40,$C40='Yahoo ADP'!$C$2:$C2766,$D40='Yahoo ADP'!$D$2:$D2766))"),25.2)</f>
        <v>25.2</v>
      </c>
      <c r="G40" s="27">
        <v>42.0</v>
      </c>
      <c r="H40" s="8">
        <f t="shared" si="1"/>
        <v>3</v>
      </c>
    </row>
    <row r="41">
      <c r="A41" s="10">
        <v>40.0</v>
      </c>
      <c r="B41" s="11" t="s">
        <v>2886</v>
      </c>
      <c r="C41" s="10" t="s">
        <v>79</v>
      </c>
      <c r="D41" s="10" t="s">
        <v>25</v>
      </c>
      <c r="E41" s="13">
        <f>IFERROR(__xludf.DUMMYFUNCTION("ifna(filter('Yahoo ADP'!$A$2:$A2766,'Yahoo ADP'!$B$2:$B2766=$B41,$C41='Yahoo ADP'!$C$2:$C2766,$D41='Yahoo ADP'!$D$2:$D2766))"),40.2)</f>
        <v>40.2</v>
      </c>
      <c r="F41" s="13">
        <f>IFERROR(__xludf.DUMMYFUNCTION("ifna(filter('Yahoo ADP'!$E$2:$E2766,'Yahoo ADP'!$B$2:$B2766=$B41,$C41='Yahoo ADP'!$C$2:$C2766,$D41='Yahoo ADP'!$D$2:$D2766))"),23.7)</f>
        <v>23.7</v>
      </c>
      <c r="G41" s="27">
        <v>60.0</v>
      </c>
      <c r="H41" s="8">
        <f t="shared" si="1"/>
        <v>20</v>
      </c>
    </row>
    <row r="42">
      <c r="A42" s="10">
        <v>41.0</v>
      </c>
      <c r="B42" s="11" t="s">
        <v>2887</v>
      </c>
      <c r="C42" s="10" t="s">
        <v>17</v>
      </c>
      <c r="D42" s="10" t="s">
        <v>31</v>
      </c>
      <c r="E42" s="13">
        <f>IFERROR(__xludf.DUMMYFUNCTION("ifna(filter('Yahoo ADP'!$A$2:$A2766,'Yahoo ADP'!$B$2:$B2766=$B42,$C42='Yahoo ADP'!$C$2:$C2766,$D42='Yahoo ADP'!$D$2:$D2766))"),49.7)</f>
        <v>49.7</v>
      </c>
      <c r="F42" s="13">
        <f>IFERROR(__xludf.DUMMYFUNCTION("ifna(filter('Yahoo ADP'!$E$2:$E2766,'Yahoo ADP'!$B$2:$B2766=$B42,$C42='Yahoo ADP'!$C$2:$C2766,$D42='Yahoo ADP'!$D$2:$D2766))"),21.8)</f>
        <v>21.8</v>
      </c>
      <c r="G42" s="27">
        <v>44.0</v>
      </c>
      <c r="H42" s="8">
        <f t="shared" si="1"/>
        <v>3</v>
      </c>
    </row>
    <row r="43">
      <c r="A43" s="10">
        <v>42.0</v>
      </c>
      <c r="B43" s="11" t="s">
        <v>2888</v>
      </c>
      <c r="C43" s="10" t="s">
        <v>20</v>
      </c>
      <c r="D43" s="10" t="s">
        <v>82</v>
      </c>
      <c r="E43" s="13">
        <f>IFERROR(__xludf.DUMMYFUNCTION("ifna(filter('Yahoo ADP'!$A$2:$A2766,'Yahoo ADP'!$B$2:$B2766=$B43,$C43='Yahoo ADP'!$C$2:$C2766,$D43='Yahoo ADP'!$D$2:$D2766))"),47.0)</f>
        <v>47</v>
      </c>
      <c r="F43" s="13">
        <f>IFERROR(__xludf.DUMMYFUNCTION("ifna(filter('Yahoo ADP'!$E$2:$E2766,'Yahoo ADP'!$B$2:$B2766=$B43,$C43='Yahoo ADP'!$C$2:$C2766,$D43='Yahoo ADP'!$D$2:$D2766))"),21.2)</f>
        <v>21.2</v>
      </c>
      <c r="G43" s="27">
        <v>48.0</v>
      </c>
      <c r="H43" s="8">
        <f t="shared" si="1"/>
        <v>6</v>
      </c>
    </row>
    <row r="44">
      <c r="A44" s="10">
        <v>43.0</v>
      </c>
      <c r="B44" s="11" t="s">
        <v>2889</v>
      </c>
      <c r="C44" s="10" t="s">
        <v>79</v>
      </c>
      <c r="D44" s="10" t="s">
        <v>46</v>
      </c>
      <c r="E44" s="13">
        <f>IFERROR(__xludf.DUMMYFUNCTION("ifna(filter('Yahoo ADP'!$A$2:$A2766,'Yahoo ADP'!$B$2:$B2766=$B44,$C44='Yahoo ADP'!$C$2:$C2766,$D44='Yahoo ADP'!$D$2:$D2766))"),45.3)</f>
        <v>45.3</v>
      </c>
      <c r="F44" s="13">
        <f>IFERROR(__xludf.DUMMYFUNCTION("ifna(filter('Yahoo ADP'!$E$2:$E2766,'Yahoo ADP'!$B$2:$B2766=$B44,$C44='Yahoo ADP'!$C$2:$C2766,$D44='Yahoo ADP'!$D$2:$D2766))"),22.4)</f>
        <v>22.4</v>
      </c>
      <c r="G44" s="27">
        <v>68.0</v>
      </c>
      <c r="H44" s="8">
        <f t="shared" si="1"/>
        <v>25</v>
      </c>
    </row>
    <row r="45">
      <c r="A45" s="10">
        <v>44.0</v>
      </c>
      <c r="B45" s="11" t="s">
        <v>2890</v>
      </c>
      <c r="C45" s="10" t="s">
        <v>22</v>
      </c>
      <c r="D45" s="10" t="s">
        <v>85</v>
      </c>
      <c r="E45" s="13">
        <f>IFERROR(__xludf.DUMMYFUNCTION("ifna(filter('Yahoo ADP'!$A$2:$A2766,'Yahoo ADP'!$B$2:$B2766=$B45,$C45='Yahoo ADP'!$C$2:$C2766,$D45='Yahoo ADP'!$D$2:$D2766))"),56.2)</f>
        <v>56.2</v>
      </c>
      <c r="F45" s="13">
        <f>IFERROR(__xludf.DUMMYFUNCTION("ifna(filter('Yahoo ADP'!$E$2:$E2766,'Yahoo ADP'!$B$2:$B2766=$B45,$C45='Yahoo ADP'!$C$2:$C2766,$D45='Yahoo ADP'!$D$2:$D2766))"),20.7)</f>
        <v>20.7</v>
      </c>
      <c r="G45" s="27">
        <v>45.0</v>
      </c>
      <c r="H45" s="8">
        <f t="shared" si="1"/>
        <v>1</v>
      </c>
    </row>
    <row r="46">
      <c r="A46" s="10">
        <v>45.0</v>
      </c>
      <c r="B46" s="11" t="s">
        <v>2891</v>
      </c>
      <c r="C46" s="10" t="s">
        <v>87</v>
      </c>
      <c r="D46" s="10" t="s">
        <v>49</v>
      </c>
      <c r="E46" s="13">
        <f>IFERROR(__xludf.DUMMYFUNCTION("ifna(filter('Yahoo ADP'!$A$2:$A2766,'Yahoo ADP'!$B$2:$B2766=$B46,$C46='Yahoo ADP'!$C$2:$C2766,$D46='Yahoo ADP'!$D$2:$D2766))"),43.1)</f>
        <v>43.1</v>
      </c>
      <c r="F46" s="13">
        <f>IFERROR(__xludf.DUMMYFUNCTION("ifna(filter('Yahoo ADP'!$E$2:$E2766,'Yahoo ADP'!$B$2:$B2766=$B46,$C46='Yahoo ADP'!$C$2:$C2766,$D46='Yahoo ADP'!$D$2:$D2766))"),23.7)</f>
        <v>23.7</v>
      </c>
      <c r="G46" s="27">
        <v>40.0</v>
      </c>
      <c r="H46" s="8">
        <f t="shared" si="1"/>
        <v>-5</v>
      </c>
    </row>
    <row r="47">
      <c r="A47" s="10">
        <v>46.0</v>
      </c>
      <c r="B47" s="11" t="s">
        <v>2892</v>
      </c>
      <c r="C47" s="10" t="s">
        <v>89</v>
      </c>
      <c r="D47" s="10" t="s">
        <v>90</v>
      </c>
      <c r="E47" s="13">
        <f>IFERROR(__xludf.DUMMYFUNCTION("ifna(filter('Yahoo ADP'!$A$2:$A2766,'Yahoo ADP'!$B$2:$B2766=$B47,$C47='Yahoo ADP'!$C$2:$C2766,$D47='Yahoo ADP'!$D$2:$D2766))"),42.2)</f>
        <v>42.2</v>
      </c>
      <c r="F47" s="13">
        <f>IFERROR(__xludf.DUMMYFUNCTION("ifna(filter('Yahoo ADP'!$E$2:$E2766,'Yahoo ADP'!$B$2:$B2766=$B47,$C47='Yahoo ADP'!$C$2:$C2766,$D47='Yahoo ADP'!$D$2:$D2766))"),23.0)</f>
        <v>23</v>
      </c>
      <c r="G47" s="27">
        <v>43.0</v>
      </c>
      <c r="H47" s="8">
        <f t="shared" si="1"/>
        <v>-3</v>
      </c>
    </row>
    <row r="48">
      <c r="A48" s="10">
        <v>47.0</v>
      </c>
      <c r="B48" s="11" t="s">
        <v>2893</v>
      </c>
      <c r="C48" s="10" t="s">
        <v>69</v>
      </c>
      <c r="D48" s="10" t="s">
        <v>90</v>
      </c>
      <c r="E48" s="13">
        <f>IFERROR(__xludf.DUMMYFUNCTION("ifna(filter('Yahoo ADP'!$A$2:$A2766,'Yahoo ADP'!$B$2:$B2766=$B48,$C48='Yahoo ADP'!$C$2:$C2766,$D48='Yahoo ADP'!$D$2:$D2766))"),53.5)</f>
        <v>53.5</v>
      </c>
      <c r="F48" s="13">
        <f>IFERROR(__xludf.DUMMYFUNCTION("ifna(filter('Yahoo ADP'!$E$2:$E2766,'Yahoo ADP'!$B$2:$B2766=$B48,$C48='Yahoo ADP'!$C$2:$C2766,$D48='Yahoo ADP'!$D$2:$D2766))"),21.4)</f>
        <v>21.4</v>
      </c>
      <c r="G48" s="27">
        <v>47.0</v>
      </c>
      <c r="H48" s="8">
        <f t="shared" si="1"/>
        <v>0</v>
      </c>
    </row>
    <row r="49">
      <c r="A49" s="10">
        <v>48.0</v>
      </c>
      <c r="B49" s="11" t="s">
        <v>2894</v>
      </c>
      <c r="C49" s="10" t="s">
        <v>48</v>
      </c>
      <c r="D49" s="10" t="s">
        <v>27</v>
      </c>
      <c r="E49" s="13">
        <f>IFERROR(__xludf.DUMMYFUNCTION("ifna(filter('Yahoo ADP'!$A$2:$A2766,'Yahoo ADP'!$B$2:$B2766=$B49,$C49='Yahoo ADP'!$C$2:$C2766,$D49='Yahoo ADP'!$D$2:$D2766))"),57.1)</f>
        <v>57.1</v>
      </c>
      <c r="F49" s="13">
        <f>IFERROR(__xludf.DUMMYFUNCTION("ifna(filter('Yahoo ADP'!$E$2:$E2766,'Yahoo ADP'!$B$2:$B2766=$B49,$C49='Yahoo ADP'!$C$2:$C2766,$D49='Yahoo ADP'!$D$2:$D2766))"),20.0)</f>
        <v>20</v>
      </c>
      <c r="G49" s="27">
        <v>54.0</v>
      </c>
      <c r="H49" s="8">
        <f t="shared" si="1"/>
        <v>6</v>
      </c>
    </row>
    <row r="50">
      <c r="A50" s="10">
        <v>49.0</v>
      </c>
      <c r="B50" s="11" t="s">
        <v>2895</v>
      </c>
      <c r="C50" s="10" t="s">
        <v>39</v>
      </c>
      <c r="D50" s="10" t="s">
        <v>15</v>
      </c>
      <c r="E50" s="13">
        <f>IFERROR(__xludf.DUMMYFUNCTION("ifna(filter('Yahoo ADP'!$A$2:$A2766,'Yahoo ADP'!$B$2:$B2766=$B50,$C50='Yahoo ADP'!$C$2:$C2766,$D50='Yahoo ADP'!$D$2:$D2766))"),61.3)</f>
        <v>61.3</v>
      </c>
      <c r="F50" s="13">
        <f>IFERROR(__xludf.DUMMYFUNCTION("ifna(filter('Yahoo ADP'!$E$2:$E2766,'Yahoo ADP'!$B$2:$B2766=$B50,$C50='Yahoo ADP'!$C$2:$C2766,$D50='Yahoo ADP'!$D$2:$D2766))"),19.8)</f>
        <v>19.8</v>
      </c>
      <c r="G50" s="27">
        <v>58.0</v>
      </c>
      <c r="H50" s="8">
        <f t="shared" si="1"/>
        <v>9</v>
      </c>
    </row>
    <row r="51">
      <c r="A51" s="10">
        <v>50.0</v>
      </c>
      <c r="B51" s="11" t="s">
        <v>2896</v>
      </c>
      <c r="C51" s="10" t="s">
        <v>22</v>
      </c>
      <c r="D51" s="10" t="s">
        <v>95</v>
      </c>
      <c r="E51" s="13">
        <f>IFERROR(__xludf.DUMMYFUNCTION("ifna(filter('Yahoo ADP'!$A$2:$A2766,'Yahoo ADP'!$B$2:$B2766=$B51,$C51='Yahoo ADP'!$C$2:$C2766,$D51='Yahoo ADP'!$D$2:$D2766))"),53.3)</f>
        <v>53.3</v>
      </c>
      <c r="F51" s="13">
        <f>IFERROR(__xludf.DUMMYFUNCTION("ifna(filter('Yahoo ADP'!$E$2:$E2766,'Yahoo ADP'!$B$2:$B2766=$B51,$C51='Yahoo ADP'!$C$2:$C2766,$D51='Yahoo ADP'!$D$2:$D2766))"),20.8)</f>
        <v>20.8</v>
      </c>
      <c r="G51" s="27" t="s">
        <v>2897</v>
      </c>
      <c r="H51" s="8" t="str">
        <f t="shared" si="1"/>
        <v/>
      </c>
    </row>
    <row r="52">
      <c r="A52" s="10">
        <v>51.0</v>
      </c>
      <c r="B52" s="11" t="s">
        <v>2898</v>
      </c>
      <c r="C52" s="10" t="s">
        <v>89</v>
      </c>
      <c r="D52" s="10" t="s">
        <v>67</v>
      </c>
      <c r="E52" s="13">
        <f>IFERROR(__xludf.DUMMYFUNCTION("ifna(filter('Yahoo ADP'!$A$2:$A2766,'Yahoo ADP'!$B$2:$B2766=$B52,$C52='Yahoo ADP'!$C$2:$C2766,$D52='Yahoo ADP'!$D$2:$D2766))"),69.9)</f>
        <v>69.9</v>
      </c>
      <c r="F52" s="13">
        <f>IFERROR(__xludf.DUMMYFUNCTION("ifna(filter('Yahoo ADP'!$E$2:$E2766,'Yahoo ADP'!$B$2:$B2766=$B52,$C52='Yahoo ADP'!$C$2:$C2766,$D52='Yahoo ADP'!$D$2:$D2766))"),19.4)</f>
        <v>19.4</v>
      </c>
      <c r="G52" s="27">
        <v>70.0</v>
      </c>
      <c r="H52" s="8">
        <f t="shared" si="1"/>
        <v>19</v>
      </c>
    </row>
    <row r="53">
      <c r="A53" s="10">
        <v>52.0</v>
      </c>
      <c r="B53" s="11" t="s">
        <v>2899</v>
      </c>
      <c r="C53" s="10" t="s">
        <v>55</v>
      </c>
      <c r="D53" s="10" t="s">
        <v>46</v>
      </c>
      <c r="E53" s="13">
        <f>IFERROR(__xludf.DUMMYFUNCTION("ifna(filter('Yahoo ADP'!$A$2:$A2766,'Yahoo ADP'!$B$2:$B2766=$B53,$C53='Yahoo ADP'!$C$2:$C2766,$D53='Yahoo ADP'!$D$2:$D2766))"),51.3)</f>
        <v>51.3</v>
      </c>
      <c r="F53" s="13">
        <f>IFERROR(__xludf.DUMMYFUNCTION("ifna(filter('Yahoo ADP'!$E$2:$E2766,'Yahoo ADP'!$B$2:$B2766=$B53,$C53='Yahoo ADP'!$C$2:$C2766,$D53='Yahoo ADP'!$D$2:$D2766))"),21.7)</f>
        <v>21.7</v>
      </c>
      <c r="G53" s="27">
        <v>46.0</v>
      </c>
      <c r="H53" s="8">
        <f t="shared" si="1"/>
        <v>-6</v>
      </c>
    </row>
    <row r="54">
      <c r="A54" s="10">
        <v>53.0</v>
      </c>
      <c r="B54" s="11" t="s">
        <v>2900</v>
      </c>
      <c r="C54" s="10" t="s">
        <v>39</v>
      </c>
      <c r="D54" s="10" t="s">
        <v>99</v>
      </c>
      <c r="E54" s="13">
        <f>IFERROR(__xludf.DUMMYFUNCTION("ifna(filter('Yahoo ADP'!$A$2:$A2766,'Yahoo ADP'!$B$2:$B2766=$B54,$C54='Yahoo ADP'!$C$2:$C2766,$D54='Yahoo ADP'!$D$2:$D2766))"),65.6)</f>
        <v>65.6</v>
      </c>
      <c r="F54" s="13">
        <f>IFERROR(__xludf.DUMMYFUNCTION("ifna(filter('Yahoo ADP'!$E$2:$E2766,'Yahoo ADP'!$B$2:$B2766=$B54,$C54='Yahoo ADP'!$C$2:$C2766,$D54='Yahoo ADP'!$D$2:$D2766))"),20.3)</f>
        <v>20.3</v>
      </c>
      <c r="G54" s="27">
        <v>56.0</v>
      </c>
      <c r="H54" s="8">
        <f t="shared" si="1"/>
        <v>3</v>
      </c>
    </row>
    <row r="55">
      <c r="A55" s="10">
        <v>54.0</v>
      </c>
      <c r="B55" s="11" t="s">
        <v>2901</v>
      </c>
      <c r="C55" s="10" t="s">
        <v>22</v>
      </c>
      <c r="D55" s="10" t="s">
        <v>25</v>
      </c>
      <c r="E55" s="13">
        <f>IFERROR(__xludf.DUMMYFUNCTION("ifna(filter('Yahoo ADP'!$A$2:$A2766,'Yahoo ADP'!$B$2:$B2766=$B55,$C55='Yahoo ADP'!$C$2:$C2766,$D55='Yahoo ADP'!$D$2:$D2766))"),66.4)</f>
        <v>66.4</v>
      </c>
      <c r="F55" s="13">
        <f>IFERROR(__xludf.DUMMYFUNCTION("ifna(filter('Yahoo ADP'!$E$2:$E2766,'Yahoo ADP'!$B$2:$B2766=$B55,$C55='Yahoo ADP'!$C$2:$C2766,$D55='Yahoo ADP'!$D$2:$D2766))"),19.8)</f>
        <v>19.8</v>
      </c>
      <c r="G55" s="27">
        <v>71.0</v>
      </c>
      <c r="H55" s="8">
        <f t="shared" si="1"/>
        <v>17</v>
      </c>
    </row>
    <row r="56">
      <c r="A56" s="10">
        <v>55.0</v>
      </c>
      <c r="B56" s="11" t="s">
        <v>2902</v>
      </c>
      <c r="C56" s="10" t="s">
        <v>22</v>
      </c>
      <c r="D56" s="10" t="s">
        <v>31</v>
      </c>
      <c r="E56" s="13">
        <f>IFERROR(__xludf.DUMMYFUNCTION("ifna(filter('Yahoo ADP'!$A$2:$A2766,'Yahoo ADP'!$B$2:$B2766=$B56,$C56='Yahoo ADP'!$C$2:$C2766,$D56='Yahoo ADP'!$D$2:$D2766))"),30.7)</f>
        <v>30.7</v>
      </c>
      <c r="F56" s="13">
        <f>IFERROR(__xludf.DUMMYFUNCTION("ifna(filter('Yahoo ADP'!$E$2:$E2766,'Yahoo ADP'!$B$2:$B2766=$B56,$C56='Yahoo ADP'!$C$2:$C2766,$D56='Yahoo ADP'!$D$2:$D2766))"),28.0)</f>
        <v>28</v>
      </c>
      <c r="G56" s="27">
        <v>25.0</v>
      </c>
      <c r="H56" s="8">
        <f t="shared" si="1"/>
        <v>-30</v>
      </c>
    </row>
    <row r="57">
      <c r="A57" s="10">
        <v>56.0</v>
      </c>
      <c r="B57" s="11" t="s">
        <v>2903</v>
      </c>
      <c r="C57" s="10" t="s">
        <v>20</v>
      </c>
      <c r="D57" s="10" t="s">
        <v>36</v>
      </c>
      <c r="E57" s="13">
        <f>IFERROR(__xludf.DUMMYFUNCTION("ifna(filter('Yahoo ADP'!$A$2:$A2766,'Yahoo ADP'!$B$2:$B2766=$B57,$C57='Yahoo ADP'!$C$2:$C2766,$D57='Yahoo ADP'!$D$2:$D2766))"),56.2)</f>
        <v>56.2</v>
      </c>
      <c r="F57" s="13">
        <f>IFERROR(__xludf.DUMMYFUNCTION("ifna(filter('Yahoo ADP'!$E$2:$E2766,'Yahoo ADP'!$B$2:$B2766=$B57,$C57='Yahoo ADP'!$C$2:$C2766,$D57='Yahoo ADP'!$D$2:$D2766))"),20.0)</f>
        <v>20</v>
      </c>
      <c r="G57" s="27">
        <v>67.0</v>
      </c>
      <c r="H57" s="8">
        <f t="shared" si="1"/>
        <v>11</v>
      </c>
    </row>
    <row r="58">
      <c r="A58" s="10">
        <v>57.0</v>
      </c>
      <c r="B58" s="11" t="s">
        <v>2904</v>
      </c>
      <c r="C58" s="10" t="s">
        <v>104</v>
      </c>
      <c r="D58" s="10" t="s">
        <v>105</v>
      </c>
      <c r="E58" s="13">
        <f>IFERROR(__xludf.DUMMYFUNCTION("ifna(filter('Yahoo ADP'!$A$2:$A2766,'Yahoo ADP'!$B$2:$B2766=$B58,$C58='Yahoo ADP'!$C$2:$C2766,$D58='Yahoo ADP'!$D$2:$D2766))"),76.1)</f>
        <v>76.1</v>
      </c>
      <c r="F58" s="13">
        <f>IFERROR(__xludf.DUMMYFUNCTION("ifna(filter('Yahoo ADP'!$E$2:$E2766,'Yahoo ADP'!$B$2:$B2766=$B58,$C58='Yahoo ADP'!$C$2:$C2766,$D58='Yahoo ADP'!$D$2:$D2766))"),16.6)</f>
        <v>16.6</v>
      </c>
      <c r="G58" s="27">
        <v>82.0</v>
      </c>
      <c r="H58" s="8">
        <f t="shared" si="1"/>
        <v>25</v>
      </c>
    </row>
    <row r="59">
      <c r="A59" s="10">
        <v>58.0</v>
      </c>
      <c r="B59" s="11" t="s">
        <v>2905</v>
      </c>
      <c r="C59" s="10" t="s">
        <v>20</v>
      </c>
      <c r="D59" s="10" t="s">
        <v>46</v>
      </c>
      <c r="E59" s="13">
        <f>IFERROR(__xludf.DUMMYFUNCTION("ifna(filter('Yahoo ADP'!$A$2:$A2766,'Yahoo ADP'!$B$2:$B2766=$B59,$C59='Yahoo ADP'!$C$2:$C2766,$D59='Yahoo ADP'!$D$2:$D2766))"),60.0)</f>
        <v>60</v>
      </c>
      <c r="F59" s="13">
        <f>IFERROR(__xludf.DUMMYFUNCTION("ifna(filter('Yahoo ADP'!$E$2:$E2766,'Yahoo ADP'!$B$2:$B2766=$B59,$C59='Yahoo ADP'!$C$2:$C2766,$D59='Yahoo ADP'!$D$2:$D2766))"),19.7)</f>
        <v>19.7</v>
      </c>
      <c r="G59" s="27">
        <v>63.0</v>
      </c>
      <c r="H59" s="8">
        <f t="shared" si="1"/>
        <v>5</v>
      </c>
    </row>
    <row r="60">
      <c r="A60" s="10">
        <v>59.0</v>
      </c>
      <c r="B60" s="11" t="s">
        <v>2906</v>
      </c>
      <c r="C60" s="10" t="s">
        <v>22</v>
      </c>
      <c r="D60" s="10" t="s">
        <v>46</v>
      </c>
      <c r="E60" s="13">
        <f>IFERROR(__xludf.DUMMYFUNCTION("ifna(filter('Yahoo ADP'!$A$2:$A2766,'Yahoo ADP'!$B$2:$B2766=$B60,$C60='Yahoo ADP'!$C$2:$C2766,$D60='Yahoo ADP'!$D$2:$D2766))"),54.5)</f>
        <v>54.5</v>
      </c>
      <c r="F60" s="13">
        <f>IFERROR(__xludf.DUMMYFUNCTION("ifna(filter('Yahoo ADP'!$E$2:$E2766,'Yahoo ADP'!$B$2:$B2766=$B60,$C60='Yahoo ADP'!$C$2:$C2766,$D60='Yahoo ADP'!$D$2:$D2766))"),21.3)</f>
        <v>21.3</v>
      </c>
      <c r="G60" s="27">
        <v>49.0</v>
      </c>
      <c r="H60" s="8">
        <f t="shared" si="1"/>
        <v>-10</v>
      </c>
    </row>
    <row r="61">
      <c r="A61" s="10">
        <v>60.0</v>
      </c>
      <c r="B61" s="11" t="s">
        <v>2907</v>
      </c>
      <c r="C61" s="10" t="s">
        <v>69</v>
      </c>
      <c r="D61" s="10" t="s">
        <v>42</v>
      </c>
      <c r="E61" s="13">
        <f>IFERROR(__xludf.DUMMYFUNCTION("ifna(filter('Yahoo ADP'!$A$2:$A2766,'Yahoo ADP'!$B$2:$B2766=$B61,$C61='Yahoo ADP'!$C$2:$C2766,$D61='Yahoo ADP'!$D$2:$D2766))"),58.8)</f>
        <v>58.8</v>
      </c>
      <c r="F61" s="13">
        <f>IFERROR(__xludf.DUMMYFUNCTION("ifna(filter('Yahoo ADP'!$E$2:$E2766,'Yahoo ADP'!$B$2:$B2766=$B61,$C61='Yahoo ADP'!$C$2:$C2766,$D61='Yahoo ADP'!$D$2:$D2766))"),20.1)</f>
        <v>20.1</v>
      </c>
      <c r="G61" s="27">
        <v>55.0</v>
      </c>
      <c r="H61" s="8">
        <f t="shared" si="1"/>
        <v>-5</v>
      </c>
    </row>
    <row r="62">
      <c r="A62" s="10">
        <v>61.0</v>
      </c>
      <c r="B62" s="11" t="s">
        <v>2908</v>
      </c>
      <c r="C62" s="10" t="s">
        <v>55</v>
      </c>
      <c r="D62" s="10" t="s">
        <v>82</v>
      </c>
      <c r="E62" s="13">
        <f>IFERROR(__xludf.DUMMYFUNCTION("ifna(filter('Yahoo ADP'!$A$2:$A2766,'Yahoo ADP'!$B$2:$B2766=$B62,$C62='Yahoo ADP'!$C$2:$C2766,$D62='Yahoo ADP'!$D$2:$D2766))"),77.5)</f>
        <v>77.5</v>
      </c>
      <c r="F62" s="13">
        <f>IFERROR(__xludf.DUMMYFUNCTION("ifna(filter('Yahoo ADP'!$E$2:$E2766,'Yahoo ADP'!$B$2:$B2766=$B62,$C62='Yahoo ADP'!$C$2:$C2766,$D62='Yahoo ADP'!$D$2:$D2766))"),17.8)</f>
        <v>17.8</v>
      </c>
      <c r="G62" s="27">
        <v>66.0</v>
      </c>
      <c r="H62" s="8">
        <f t="shared" si="1"/>
        <v>5</v>
      </c>
    </row>
    <row r="63">
      <c r="A63" s="10">
        <v>62.0</v>
      </c>
      <c r="B63" s="11" t="s">
        <v>2909</v>
      </c>
      <c r="C63" s="10" t="s">
        <v>22</v>
      </c>
      <c r="D63" s="10" t="s">
        <v>15</v>
      </c>
      <c r="E63" s="13">
        <f>IFERROR(__xludf.DUMMYFUNCTION("ifna(filter('Yahoo ADP'!$A$2:$A2766,'Yahoo ADP'!$B$2:$B2766=$B63,$C63='Yahoo ADP'!$C$2:$C2766,$D63='Yahoo ADP'!$D$2:$D2766))"),64.8)</f>
        <v>64.8</v>
      </c>
      <c r="F63" s="13">
        <f>IFERROR(__xludf.DUMMYFUNCTION("ifna(filter('Yahoo ADP'!$E$2:$E2766,'Yahoo ADP'!$B$2:$B2766=$B63,$C63='Yahoo ADP'!$C$2:$C2766,$D63='Yahoo ADP'!$D$2:$D2766))"),19.1)</f>
        <v>19.1</v>
      </c>
      <c r="G63" s="27">
        <v>57.0</v>
      </c>
      <c r="H63" s="8">
        <f t="shared" si="1"/>
        <v>-5</v>
      </c>
    </row>
    <row r="64">
      <c r="A64" s="10">
        <v>63.0</v>
      </c>
      <c r="B64" s="11" t="s">
        <v>2910</v>
      </c>
      <c r="C64" s="10" t="s">
        <v>22</v>
      </c>
      <c r="D64" s="10" t="s">
        <v>15</v>
      </c>
      <c r="E64" s="13">
        <f>IFERROR(__xludf.DUMMYFUNCTION("ifna(filter('Yahoo ADP'!$A$2:$A2766,'Yahoo ADP'!$B$2:$B2766=$B64,$C64='Yahoo ADP'!$C$2:$C2766,$D64='Yahoo ADP'!$D$2:$D2766))"),74.2)</f>
        <v>74.2</v>
      </c>
      <c r="F64" s="13">
        <f>IFERROR(__xludf.DUMMYFUNCTION("ifna(filter('Yahoo ADP'!$E$2:$E2766,'Yahoo ADP'!$B$2:$B2766=$B64,$C64='Yahoo ADP'!$C$2:$C2766,$D64='Yahoo ADP'!$D$2:$D2766))"),17.6)</f>
        <v>17.6</v>
      </c>
      <c r="G64" s="27">
        <v>65.0</v>
      </c>
      <c r="H64" s="8">
        <f t="shared" si="1"/>
        <v>2</v>
      </c>
    </row>
    <row r="65">
      <c r="A65" s="10">
        <v>64.0</v>
      </c>
      <c r="B65" s="11" t="s">
        <v>2911</v>
      </c>
      <c r="C65" s="10" t="s">
        <v>8</v>
      </c>
      <c r="D65" s="10" t="s">
        <v>113</v>
      </c>
      <c r="E65" s="13">
        <f>IFERROR(__xludf.DUMMYFUNCTION("ifna(filter('Yahoo ADP'!$A$2:$A2766,'Yahoo ADP'!$B$2:$B2766=$B65,$C65='Yahoo ADP'!$C$2:$C2766,$D65='Yahoo ADP'!$D$2:$D2766))"),62.5)</f>
        <v>62.5</v>
      </c>
      <c r="F65" s="13">
        <f>IFERROR(__xludf.DUMMYFUNCTION("ifna(filter('Yahoo ADP'!$E$2:$E2766,'Yahoo ADP'!$B$2:$B2766=$B65,$C65='Yahoo ADP'!$C$2:$C2766,$D65='Yahoo ADP'!$D$2:$D2766))"),19.3)</f>
        <v>19.3</v>
      </c>
      <c r="G65" s="27">
        <v>61.0</v>
      </c>
      <c r="H65" s="8">
        <f t="shared" si="1"/>
        <v>-3</v>
      </c>
    </row>
    <row r="66">
      <c r="A66" s="10">
        <v>65.0</v>
      </c>
      <c r="B66" s="11" t="s">
        <v>2912</v>
      </c>
      <c r="C66" s="10" t="s">
        <v>22</v>
      </c>
      <c r="D66" s="10" t="s">
        <v>52</v>
      </c>
      <c r="E66" s="13">
        <f>IFERROR(__xludf.DUMMYFUNCTION("ifna(filter('Yahoo ADP'!$A$2:$A2766,'Yahoo ADP'!$B$2:$B2766=$B66,$C66='Yahoo ADP'!$C$2:$C2766,$D66='Yahoo ADP'!$D$2:$D2766))"),91.8)</f>
        <v>91.8</v>
      </c>
      <c r="F66" s="13">
        <f>IFERROR(__xludf.DUMMYFUNCTION("ifna(filter('Yahoo ADP'!$E$2:$E2766,'Yahoo ADP'!$B$2:$B2766=$B66,$C66='Yahoo ADP'!$C$2:$C2766,$D66='Yahoo ADP'!$D$2:$D2766))"),14.8)</f>
        <v>14.8</v>
      </c>
      <c r="G66" s="27">
        <v>81.0</v>
      </c>
      <c r="H66" s="8">
        <f t="shared" si="1"/>
        <v>16</v>
      </c>
    </row>
    <row r="67">
      <c r="A67" s="10">
        <v>66.0</v>
      </c>
      <c r="B67" s="11" t="s">
        <v>2913</v>
      </c>
      <c r="C67" s="10" t="s">
        <v>11</v>
      </c>
      <c r="D67" s="10" t="s">
        <v>82</v>
      </c>
      <c r="E67" s="13">
        <f>IFERROR(__xludf.DUMMYFUNCTION("ifna(filter('Yahoo ADP'!$A$2:$A2766,'Yahoo ADP'!$B$2:$B2766=$B67,$C67='Yahoo ADP'!$C$2:$C2766,$D67='Yahoo ADP'!$D$2:$D2766))"),49.1)</f>
        <v>49.1</v>
      </c>
      <c r="F67" s="13">
        <f>IFERROR(__xludf.DUMMYFUNCTION("ifna(filter('Yahoo ADP'!$E$2:$E2766,'Yahoo ADP'!$B$2:$B2766=$B67,$C67='Yahoo ADP'!$C$2:$C2766,$D67='Yahoo ADP'!$D$2:$D2766))"),21.4)</f>
        <v>21.4</v>
      </c>
      <c r="G67" s="27">
        <v>52.0</v>
      </c>
      <c r="H67" s="8">
        <f t="shared" si="1"/>
        <v>-14</v>
      </c>
    </row>
    <row r="68">
      <c r="A68" s="10">
        <v>67.0</v>
      </c>
      <c r="B68" s="11" t="s">
        <v>2914</v>
      </c>
      <c r="C68" s="10" t="s">
        <v>8</v>
      </c>
      <c r="D68" s="10" t="s">
        <v>85</v>
      </c>
      <c r="E68" s="13">
        <f>IFERROR(__xludf.DUMMYFUNCTION("ifna(filter('Yahoo ADP'!$A$2:$A2766,'Yahoo ADP'!$B$2:$B2766=$B68,$C68='Yahoo ADP'!$C$2:$C2766,$D68='Yahoo ADP'!$D$2:$D2766))"),85.6)</f>
        <v>85.6</v>
      </c>
      <c r="F68" s="13">
        <f>IFERROR(__xludf.DUMMYFUNCTION("ifna(filter('Yahoo ADP'!$E$2:$E2766,'Yahoo ADP'!$B$2:$B2766=$B68,$C68='Yahoo ADP'!$C$2:$C2766,$D68='Yahoo ADP'!$D$2:$D2766))"),15.2)</f>
        <v>15.2</v>
      </c>
      <c r="G68" s="27">
        <v>76.0</v>
      </c>
      <c r="H68" s="8">
        <f t="shared" si="1"/>
        <v>9</v>
      </c>
    </row>
    <row r="69">
      <c r="A69" s="10">
        <v>68.0</v>
      </c>
      <c r="B69" s="11" t="s">
        <v>2915</v>
      </c>
      <c r="C69" s="10" t="s">
        <v>14</v>
      </c>
      <c r="D69" s="10" t="s">
        <v>71</v>
      </c>
      <c r="E69" s="13">
        <f>IFERROR(__xludf.DUMMYFUNCTION("ifna(filter('Yahoo ADP'!$A$2:$A2766,'Yahoo ADP'!$B$2:$B2766=$B69,$C69='Yahoo ADP'!$C$2:$C2766,$D69='Yahoo ADP'!$D$2:$D2766))"),66.9)</f>
        <v>66.9</v>
      </c>
      <c r="F69" s="13">
        <f>IFERROR(__xludf.DUMMYFUNCTION("ifna(filter('Yahoo ADP'!$E$2:$E2766,'Yahoo ADP'!$B$2:$B2766=$B69,$C69='Yahoo ADP'!$C$2:$C2766,$D69='Yahoo ADP'!$D$2:$D2766))"),18.3)</f>
        <v>18.3</v>
      </c>
      <c r="G69" s="27">
        <v>62.0</v>
      </c>
      <c r="H69" s="8">
        <f t="shared" si="1"/>
        <v>-6</v>
      </c>
    </row>
    <row r="70">
      <c r="A70" s="10">
        <v>69.0</v>
      </c>
      <c r="B70" s="11" t="s">
        <v>2916</v>
      </c>
      <c r="C70" s="10" t="s">
        <v>22</v>
      </c>
      <c r="D70" s="10" t="s">
        <v>49</v>
      </c>
      <c r="E70" s="13">
        <f>IFERROR(__xludf.DUMMYFUNCTION("ifna(filter('Yahoo ADP'!$A$2:$A2766,'Yahoo ADP'!$B$2:$B2766=$B70,$C70='Yahoo ADP'!$C$2:$C2766,$D70='Yahoo ADP'!$D$2:$D2766))"),88.6)</f>
        <v>88.6</v>
      </c>
      <c r="F70" s="13">
        <f>IFERROR(__xludf.DUMMYFUNCTION("ifna(filter('Yahoo ADP'!$E$2:$E2766,'Yahoo ADP'!$B$2:$B2766=$B70,$C70='Yahoo ADP'!$C$2:$C2766,$D70='Yahoo ADP'!$D$2:$D2766))"),14.1)</f>
        <v>14.1</v>
      </c>
      <c r="G70" s="27">
        <v>75.0</v>
      </c>
      <c r="H70" s="8">
        <f t="shared" si="1"/>
        <v>6</v>
      </c>
    </row>
    <row r="71">
      <c r="A71" s="10">
        <v>70.0</v>
      </c>
      <c r="B71" s="11" t="s">
        <v>2917</v>
      </c>
      <c r="C71" s="10" t="s">
        <v>22</v>
      </c>
      <c r="D71" s="10" t="s">
        <v>120</v>
      </c>
      <c r="E71" s="13">
        <f>IFERROR(__xludf.DUMMYFUNCTION("ifna(filter('Yahoo ADP'!$A$2:$A2766,'Yahoo ADP'!$B$2:$B2766=$B71,$C71='Yahoo ADP'!$C$2:$C2766,$D71='Yahoo ADP'!$D$2:$D2766))"),91.3)</f>
        <v>91.3</v>
      </c>
      <c r="F71" s="13">
        <f>IFERROR(__xludf.DUMMYFUNCTION("ifna(filter('Yahoo ADP'!$E$2:$E2766,'Yahoo ADP'!$B$2:$B2766=$B71,$C71='Yahoo ADP'!$C$2:$C2766,$D71='Yahoo ADP'!$D$2:$D2766))"),14.2)</f>
        <v>14.2</v>
      </c>
      <c r="G71" s="27">
        <v>79.0</v>
      </c>
      <c r="H71" s="8">
        <f t="shared" si="1"/>
        <v>9</v>
      </c>
    </row>
    <row r="72">
      <c r="A72" s="10">
        <v>71.0</v>
      </c>
      <c r="B72" s="11" t="s">
        <v>2918</v>
      </c>
      <c r="C72" s="10" t="s">
        <v>22</v>
      </c>
      <c r="D72" s="10" t="s">
        <v>122</v>
      </c>
      <c r="E72" s="13">
        <f>IFERROR(__xludf.DUMMYFUNCTION("ifna(filter('Yahoo ADP'!$A$2:$A2766,'Yahoo ADP'!$B$2:$B2766=$B72,$C72='Yahoo ADP'!$C$2:$C2766,$D72='Yahoo ADP'!$D$2:$D2766))"),99.9)</f>
        <v>99.9</v>
      </c>
      <c r="F72" s="13">
        <f>IFERROR(__xludf.DUMMYFUNCTION("ifna(filter('Yahoo ADP'!$E$2:$E2766,'Yahoo ADP'!$B$2:$B2766=$B72,$C72='Yahoo ADP'!$C$2:$C2766,$D72='Yahoo ADP'!$D$2:$D2766))"),12.8)</f>
        <v>12.8</v>
      </c>
      <c r="G72" s="27">
        <v>85.0</v>
      </c>
      <c r="H72" s="8">
        <f t="shared" si="1"/>
        <v>14</v>
      </c>
    </row>
    <row r="73">
      <c r="A73" s="10">
        <v>72.0</v>
      </c>
      <c r="B73" s="11" t="s">
        <v>2919</v>
      </c>
      <c r="C73" s="10" t="s">
        <v>69</v>
      </c>
      <c r="D73" s="10" t="s">
        <v>23</v>
      </c>
      <c r="E73" s="13">
        <f>IFERROR(__xludf.DUMMYFUNCTION("ifna(filter('Yahoo ADP'!$A$2:$A2766,'Yahoo ADP'!$B$2:$B2766=$B73,$C73='Yahoo ADP'!$C$2:$C2766,$D73='Yahoo ADP'!$D$2:$D2766))"),71.5)</f>
        <v>71.5</v>
      </c>
      <c r="F73" s="13">
        <f>IFERROR(__xludf.DUMMYFUNCTION("ifna(filter('Yahoo ADP'!$E$2:$E2766,'Yahoo ADP'!$B$2:$B2766=$B73,$C73='Yahoo ADP'!$C$2:$C2766,$D73='Yahoo ADP'!$D$2:$D2766))"),17.8)</f>
        <v>17.8</v>
      </c>
      <c r="G73" s="27">
        <v>69.0</v>
      </c>
      <c r="H73" s="8">
        <f t="shared" si="1"/>
        <v>-3</v>
      </c>
    </row>
    <row r="74">
      <c r="A74" s="10">
        <v>73.0</v>
      </c>
      <c r="B74" s="11" t="s">
        <v>2920</v>
      </c>
      <c r="C74" s="10" t="s">
        <v>11</v>
      </c>
      <c r="D74" s="10" t="s">
        <v>27</v>
      </c>
      <c r="E74" s="13">
        <f>IFERROR(__xludf.DUMMYFUNCTION("ifna(filter('Yahoo ADP'!$A$2:$A2766,'Yahoo ADP'!$B$2:$B2766=$B74,$C74='Yahoo ADP'!$C$2:$C2766,$D74='Yahoo ADP'!$D$2:$D2766))"),58.6)</f>
        <v>58.6</v>
      </c>
      <c r="F74" s="13">
        <f>IFERROR(__xludf.DUMMYFUNCTION("ifna(filter('Yahoo ADP'!$E$2:$E2766,'Yahoo ADP'!$B$2:$B2766=$B74,$C74='Yahoo ADP'!$C$2:$C2766,$D74='Yahoo ADP'!$D$2:$D2766))"),20.1)</f>
        <v>20.1</v>
      </c>
      <c r="G74" s="27">
        <v>50.0</v>
      </c>
      <c r="H74" s="8">
        <f t="shared" si="1"/>
        <v>-23</v>
      </c>
    </row>
    <row r="75">
      <c r="A75" s="10">
        <v>74.0</v>
      </c>
      <c r="B75" s="11" t="s">
        <v>2921</v>
      </c>
      <c r="C75" s="10" t="s">
        <v>126</v>
      </c>
      <c r="D75" s="10" t="s">
        <v>90</v>
      </c>
      <c r="E75" s="13">
        <f>IFERROR(__xludf.DUMMYFUNCTION("ifna(filter('Yahoo ADP'!$A$2:$A2766,'Yahoo ADP'!$B$2:$B2766=$B75,$C75='Yahoo ADP'!$C$2:$C2766,$D75='Yahoo ADP'!$D$2:$D2766))"),76.6)</f>
        <v>76.6</v>
      </c>
      <c r="F75" s="13">
        <f>IFERROR(__xludf.DUMMYFUNCTION("ifna(filter('Yahoo ADP'!$E$2:$E2766,'Yahoo ADP'!$B$2:$B2766=$B75,$C75='Yahoo ADP'!$C$2:$C2766,$D75='Yahoo ADP'!$D$2:$D2766))"),16.7)</f>
        <v>16.7</v>
      </c>
      <c r="G75" s="27">
        <v>78.0</v>
      </c>
      <c r="H75" s="8">
        <f t="shared" si="1"/>
        <v>4</v>
      </c>
    </row>
    <row r="76">
      <c r="A76" s="10">
        <v>75.0</v>
      </c>
      <c r="B76" s="11" t="s">
        <v>2922</v>
      </c>
      <c r="C76" s="10" t="s">
        <v>22</v>
      </c>
      <c r="D76" s="10" t="s">
        <v>46</v>
      </c>
      <c r="E76" s="13">
        <f>IFERROR(__xludf.DUMMYFUNCTION("ifna(filter('Yahoo ADP'!$A$2:$A2766,'Yahoo ADP'!$B$2:$B2766=$B76,$C76='Yahoo ADP'!$C$2:$C2766,$D76='Yahoo ADP'!$D$2:$D2766))"),112.4)</f>
        <v>112.4</v>
      </c>
      <c r="F76" s="13">
        <f>IFERROR(__xludf.DUMMYFUNCTION("ifna(filter('Yahoo ADP'!$E$2:$E2766,'Yahoo ADP'!$B$2:$B2766=$B76,$C76='Yahoo ADP'!$C$2:$C2766,$D76='Yahoo ADP'!$D$2:$D2766))"),11.4)</f>
        <v>11.4</v>
      </c>
      <c r="G76" s="27">
        <v>100.0</v>
      </c>
      <c r="H76" s="8">
        <f t="shared" si="1"/>
        <v>25</v>
      </c>
    </row>
    <row r="77">
      <c r="A77" s="10">
        <v>76.0</v>
      </c>
      <c r="B77" s="11" t="s">
        <v>2923</v>
      </c>
      <c r="C77" s="10" t="s">
        <v>48</v>
      </c>
      <c r="D77" s="10" t="s">
        <v>129</v>
      </c>
      <c r="E77" s="13">
        <f>IFERROR(__xludf.DUMMYFUNCTION("ifna(filter('Yahoo ADP'!$A$2:$A2766,'Yahoo ADP'!$B$2:$B2766=$B77,$C77='Yahoo ADP'!$C$2:$C2766,$D77='Yahoo ADP'!$D$2:$D2766))"),89.3)</f>
        <v>89.3</v>
      </c>
      <c r="F77" s="13">
        <f>IFERROR(__xludf.DUMMYFUNCTION("ifna(filter('Yahoo ADP'!$E$2:$E2766,'Yahoo ADP'!$B$2:$B2766=$B77,$C77='Yahoo ADP'!$C$2:$C2766,$D77='Yahoo ADP'!$D$2:$D2766))"),15.0)</f>
        <v>15</v>
      </c>
      <c r="G77" s="27">
        <v>80.0</v>
      </c>
      <c r="H77" s="8">
        <f t="shared" si="1"/>
        <v>4</v>
      </c>
    </row>
    <row r="78">
      <c r="A78" s="10">
        <v>77.0</v>
      </c>
      <c r="B78" s="11" t="s">
        <v>2924</v>
      </c>
      <c r="C78" s="10" t="s">
        <v>77</v>
      </c>
      <c r="D78" s="10" t="s">
        <v>9</v>
      </c>
      <c r="E78" s="13">
        <f>IFERROR(__xludf.DUMMYFUNCTION("ifna(filter('Yahoo ADP'!$A$2:$A2766,'Yahoo ADP'!$B$2:$B2766=$B78,$C78='Yahoo ADP'!$C$2:$C2766,$D78='Yahoo ADP'!$D$2:$D2766))"),80.4)</f>
        <v>80.4</v>
      </c>
      <c r="F78" s="13">
        <f>IFERROR(__xludf.DUMMYFUNCTION("ifna(filter('Yahoo ADP'!$E$2:$E2766,'Yahoo ADP'!$B$2:$B2766=$B78,$C78='Yahoo ADP'!$C$2:$C2766,$D78='Yahoo ADP'!$D$2:$D2766))"),15.1)</f>
        <v>15.1</v>
      </c>
      <c r="G78" s="27">
        <v>84.0</v>
      </c>
      <c r="H78" s="8">
        <f t="shared" si="1"/>
        <v>7</v>
      </c>
    </row>
    <row r="79">
      <c r="A79" s="10">
        <v>78.0</v>
      </c>
      <c r="B79" s="11" t="s">
        <v>2925</v>
      </c>
      <c r="C79" s="10" t="s">
        <v>22</v>
      </c>
      <c r="D79" s="10" t="s">
        <v>49</v>
      </c>
      <c r="E79" s="13">
        <f>IFERROR(__xludf.DUMMYFUNCTION("ifna(filter('Yahoo ADP'!$A$2:$A2766,'Yahoo ADP'!$B$2:$B2766=$B79,$C79='Yahoo ADP'!$C$2:$C2766,$D79='Yahoo ADP'!$D$2:$D2766))"),67.6)</f>
        <v>67.6</v>
      </c>
      <c r="F79" s="13">
        <f>IFERROR(__xludf.DUMMYFUNCTION("ifna(filter('Yahoo ADP'!$E$2:$E2766,'Yahoo ADP'!$B$2:$B2766=$B79,$C79='Yahoo ADP'!$C$2:$C2766,$D79='Yahoo ADP'!$D$2:$D2766))"),17.8)</f>
        <v>17.8</v>
      </c>
      <c r="G79" s="27">
        <v>73.0</v>
      </c>
      <c r="H79" s="8">
        <f t="shared" si="1"/>
        <v>-5</v>
      </c>
    </row>
    <row r="80">
      <c r="A80" s="10">
        <v>79.0</v>
      </c>
      <c r="B80" s="11" t="s">
        <v>2926</v>
      </c>
      <c r="C80" s="10" t="s">
        <v>22</v>
      </c>
      <c r="D80" s="10" t="s">
        <v>52</v>
      </c>
      <c r="E80" s="13">
        <f>IFERROR(__xludf.DUMMYFUNCTION("ifna(filter('Yahoo ADP'!$A$2:$A2766,'Yahoo ADP'!$B$2:$B2766=$B80,$C80='Yahoo ADP'!$C$2:$C2766,$D80='Yahoo ADP'!$D$2:$D2766))"),94.4)</f>
        <v>94.4</v>
      </c>
      <c r="F80" s="13">
        <f>IFERROR(__xludf.DUMMYFUNCTION("ifna(filter('Yahoo ADP'!$E$2:$E2766,'Yahoo ADP'!$B$2:$B2766=$B80,$C80='Yahoo ADP'!$C$2:$C2766,$D80='Yahoo ADP'!$D$2:$D2766))"),13.8)</f>
        <v>13.8</v>
      </c>
      <c r="G80" s="27">
        <v>86.0</v>
      </c>
      <c r="H80" s="8">
        <f t="shared" si="1"/>
        <v>7</v>
      </c>
    </row>
    <row r="81">
      <c r="A81" s="10">
        <v>80.0</v>
      </c>
      <c r="B81" s="11" t="s">
        <v>2927</v>
      </c>
      <c r="C81" s="10" t="s">
        <v>79</v>
      </c>
      <c r="D81" s="10" t="s">
        <v>34</v>
      </c>
      <c r="E81" s="13">
        <f>IFERROR(__xludf.DUMMYFUNCTION("ifna(filter('Yahoo ADP'!$A$2:$A2766,'Yahoo ADP'!$B$2:$B2766=$B81,$C81='Yahoo ADP'!$C$2:$C2766,$D81='Yahoo ADP'!$D$2:$D2766))"),79.3)</f>
        <v>79.3</v>
      </c>
      <c r="F81" s="13">
        <f>IFERROR(__xludf.DUMMYFUNCTION("ifna(filter('Yahoo ADP'!$E$2:$E2766,'Yahoo ADP'!$B$2:$B2766=$B81,$C81='Yahoo ADP'!$C$2:$C2766,$D81='Yahoo ADP'!$D$2:$D2766))"),15.0)</f>
        <v>15</v>
      </c>
      <c r="G81" s="27">
        <v>97.0</v>
      </c>
      <c r="H81" s="8">
        <f t="shared" si="1"/>
        <v>17</v>
      </c>
    </row>
    <row r="82">
      <c r="A82" s="10">
        <v>81.0</v>
      </c>
      <c r="B82" s="11" t="s">
        <v>2928</v>
      </c>
      <c r="C82" s="10" t="s">
        <v>22</v>
      </c>
      <c r="D82" s="10" t="s">
        <v>122</v>
      </c>
      <c r="E82" s="13">
        <f>IFERROR(__xludf.DUMMYFUNCTION("ifna(filter('Yahoo ADP'!$A$2:$A2766,'Yahoo ADP'!$B$2:$B2766=$B82,$C82='Yahoo ADP'!$C$2:$C2766,$D82='Yahoo ADP'!$D$2:$D2766))"),91.0)</f>
        <v>91</v>
      </c>
      <c r="F82" s="13">
        <f>IFERROR(__xludf.DUMMYFUNCTION("ifna(filter('Yahoo ADP'!$E$2:$E2766,'Yahoo ADP'!$B$2:$B2766=$B82,$C82='Yahoo ADP'!$C$2:$C2766,$D82='Yahoo ADP'!$D$2:$D2766))"),14.3)</f>
        <v>14.3</v>
      </c>
      <c r="G82" s="27">
        <v>83.0</v>
      </c>
      <c r="H82" s="8">
        <f t="shared" si="1"/>
        <v>2</v>
      </c>
    </row>
    <row r="83">
      <c r="A83" s="10">
        <v>82.0</v>
      </c>
      <c r="B83" s="11" t="s">
        <v>2929</v>
      </c>
      <c r="C83" s="10" t="s">
        <v>136</v>
      </c>
      <c r="D83" s="10" t="s">
        <v>137</v>
      </c>
      <c r="E83" s="13">
        <f>IFERROR(__xludf.DUMMYFUNCTION("ifna(filter('Yahoo ADP'!$A$2:$A2766,'Yahoo ADP'!$B$2:$B2766=$B83,$C83='Yahoo ADP'!$C$2:$C2766,$D83='Yahoo ADP'!$D$2:$D2766))"),101.9)</f>
        <v>101.9</v>
      </c>
      <c r="F83" s="13">
        <f>IFERROR(__xludf.DUMMYFUNCTION("ifna(filter('Yahoo ADP'!$E$2:$E2766,'Yahoo ADP'!$B$2:$B2766=$B83,$C83='Yahoo ADP'!$C$2:$C2766,$D83='Yahoo ADP'!$D$2:$D2766))"),11.7)</f>
        <v>11.7</v>
      </c>
      <c r="G83" s="27">
        <v>94.0</v>
      </c>
      <c r="H83" s="8">
        <f t="shared" si="1"/>
        <v>12</v>
      </c>
    </row>
    <row r="84">
      <c r="A84" s="10">
        <v>83.0</v>
      </c>
      <c r="B84" s="11" t="s">
        <v>2930</v>
      </c>
      <c r="C84" s="10" t="s">
        <v>139</v>
      </c>
      <c r="D84" s="10" t="s">
        <v>140</v>
      </c>
      <c r="E84" s="13">
        <f>IFERROR(__xludf.DUMMYFUNCTION("ifna(filter('Yahoo ADP'!$A$2:$A2766,'Yahoo ADP'!$B$2:$B2766=$B84,$C84='Yahoo ADP'!$C$2:$C2766,$D84='Yahoo ADP'!$D$2:$D2766))"),91.1)</f>
        <v>91.1</v>
      </c>
      <c r="F84" s="13">
        <f>IFERROR(__xludf.DUMMYFUNCTION("ifna(filter('Yahoo ADP'!$E$2:$E2766,'Yahoo ADP'!$B$2:$B2766=$B84,$C84='Yahoo ADP'!$C$2:$C2766,$D84='Yahoo ADP'!$D$2:$D2766))"),13.9)</f>
        <v>13.9</v>
      </c>
      <c r="G84" s="27">
        <v>88.0</v>
      </c>
      <c r="H84" s="8">
        <f t="shared" si="1"/>
        <v>5</v>
      </c>
    </row>
    <row r="85">
      <c r="A85" s="10">
        <v>84.0</v>
      </c>
      <c r="B85" s="11" t="s">
        <v>2931</v>
      </c>
      <c r="C85" s="10" t="s">
        <v>8</v>
      </c>
      <c r="D85" s="10" t="s">
        <v>99</v>
      </c>
      <c r="E85" s="13">
        <f>IFERROR(__xludf.DUMMYFUNCTION("ifna(filter('Yahoo ADP'!$A$2:$A2766,'Yahoo ADP'!$B$2:$B2766=$B85,$C85='Yahoo ADP'!$C$2:$C2766,$D85='Yahoo ADP'!$D$2:$D2766))"),99.3)</f>
        <v>99.3</v>
      </c>
      <c r="F85" s="13">
        <f>IFERROR(__xludf.DUMMYFUNCTION("ifna(filter('Yahoo ADP'!$E$2:$E2766,'Yahoo ADP'!$B$2:$B2766=$B85,$C85='Yahoo ADP'!$C$2:$C2766,$D85='Yahoo ADP'!$D$2:$D2766))"),12.6)</f>
        <v>12.6</v>
      </c>
      <c r="G85" s="27">
        <v>98.0</v>
      </c>
      <c r="H85" s="8">
        <f t="shared" si="1"/>
        <v>14</v>
      </c>
    </row>
    <row r="86">
      <c r="A86" s="10">
        <v>85.0</v>
      </c>
      <c r="B86" s="11" t="s">
        <v>2932</v>
      </c>
      <c r="C86" s="10" t="s">
        <v>55</v>
      </c>
      <c r="D86" s="10" t="s">
        <v>25</v>
      </c>
      <c r="E86" s="13">
        <f>IFERROR(__xludf.DUMMYFUNCTION("ifna(filter('Yahoo ADP'!$A$2:$A2766,'Yahoo ADP'!$B$2:$B2766=$B86,$C86='Yahoo ADP'!$C$2:$C2766,$D86='Yahoo ADP'!$D$2:$D2766))"),75.7)</f>
        <v>75.7</v>
      </c>
      <c r="F86" s="13">
        <f>IFERROR(__xludf.DUMMYFUNCTION("ifna(filter('Yahoo ADP'!$E$2:$E2766,'Yahoo ADP'!$B$2:$B2766=$B86,$C86='Yahoo ADP'!$C$2:$C2766,$D86='Yahoo ADP'!$D$2:$D2766))"),17.2)</f>
        <v>17.2</v>
      </c>
      <c r="G86" s="27">
        <v>74.0</v>
      </c>
      <c r="H86" s="8">
        <f t="shared" si="1"/>
        <v>-11</v>
      </c>
    </row>
    <row r="87">
      <c r="A87" s="10">
        <v>86.0</v>
      </c>
      <c r="B87" s="11" t="s">
        <v>2933</v>
      </c>
      <c r="C87" s="10" t="s">
        <v>22</v>
      </c>
      <c r="D87" s="10" t="s">
        <v>85</v>
      </c>
      <c r="E87" s="13">
        <f>IFERROR(__xludf.DUMMYFUNCTION("ifna(filter('Yahoo ADP'!$A$2:$A2766,'Yahoo ADP'!$B$2:$B2766=$B87,$C87='Yahoo ADP'!$C$2:$C2766,$D87='Yahoo ADP'!$D$2:$D2766))"),107.4)</f>
        <v>107.4</v>
      </c>
      <c r="F87" s="13">
        <f>IFERROR(__xludf.DUMMYFUNCTION("ifna(filter('Yahoo ADP'!$E$2:$E2766,'Yahoo ADP'!$B$2:$B2766=$B87,$C87='Yahoo ADP'!$C$2:$C2766,$D87='Yahoo ADP'!$D$2:$D2766))"),11.8)</f>
        <v>11.8</v>
      </c>
      <c r="G87" s="27">
        <v>93.0</v>
      </c>
      <c r="H87" s="8">
        <f t="shared" si="1"/>
        <v>7</v>
      </c>
    </row>
    <row r="88">
      <c r="A88" s="10">
        <v>87.0</v>
      </c>
      <c r="B88" s="11" t="s">
        <v>2934</v>
      </c>
      <c r="C88" s="10" t="s">
        <v>22</v>
      </c>
      <c r="D88" s="10" t="s">
        <v>15</v>
      </c>
      <c r="E88" s="13">
        <f>IFERROR(__xludf.DUMMYFUNCTION("ifna(filter('Yahoo ADP'!$A$2:$A2766,'Yahoo ADP'!$B$2:$B2766=$B88,$C88='Yahoo ADP'!$C$2:$C2766,$D88='Yahoo ADP'!$D$2:$D2766))"),96.6)</f>
        <v>96.6</v>
      </c>
      <c r="F88" s="13">
        <f>IFERROR(__xludf.DUMMYFUNCTION("ifna(filter('Yahoo ADP'!$E$2:$E2766,'Yahoo ADP'!$B$2:$B2766=$B88,$C88='Yahoo ADP'!$C$2:$C2766,$D88='Yahoo ADP'!$D$2:$D2766))"),13.5)</f>
        <v>13.5</v>
      </c>
      <c r="G88" s="27">
        <v>89.0</v>
      </c>
      <c r="H88" s="8">
        <f t="shared" si="1"/>
        <v>2</v>
      </c>
    </row>
    <row r="89">
      <c r="A89" s="10">
        <v>88.0</v>
      </c>
      <c r="B89" s="11" t="s">
        <v>2935</v>
      </c>
      <c r="C89" s="10" t="s">
        <v>17</v>
      </c>
      <c r="D89" s="10" t="s">
        <v>95</v>
      </c>
      <c r="E89" s="13">
        <f>IFERROR(__xludf.DUMMYFUNCTION("ifna(filter('Yahoo ADP'!$A$2:$A2766,'Yahoo ADP'!$B$2:$B2766=$B89,$C89='Yahoo ADP'!$C$2:$C2766,$D89='Yahoo ADP'!$D$2:$D2766))"),97.1)</f>
        <v>97.1</v>
      </c>
      <c r="F89" s="13">
        <f>IFERROR(__xludf.DUMMYFUNCTION("ifna(filter('Yahoo ADP'!$E$2:$E2766,'Yahoo ADP'!$B$2:$B2766=$B89,$C89='Yahoo ADP'!$C$2:$C2766,$D89='Yahoo ADP'!$D$2:$D2766))"),13.2)</f>
        <v>13.2</v>
      </c>
      <c r="G89" s="27">
        <v>92.0</v>
      </c>
      <c r="H89" s="8">
        <f t="shared" si="1"/>
        <v>4</v>
      </c>
    </row>
    <row r="90">
      <c r="A90" s="10">
        <v>89.0</v>
      </c>
      <c r="B90" s="11" t="s">
        <v>2936</v>
      </c>
      <c r="C90" s="10" t="s">
        <v>11</v>
      </c>
      <c r="D90" s="10" t="s">
        <v>34</v>
      </c>
      <c r="E90" s="13">
        <f>IFERROR(__xludf.DUMMYFUNCTION("ifna(filter('Yahoo ADP'!$A$2:$A2766,'Yahoo ADP'!$B$2:$B2766=$B90,$C90='Yahoo ADP'!$C$2:$C2766,$D90='Yahoo ADP'!$D$2:$D2766))"),80.6)</f>
        <v>80.6</v>
      </c>
      <c r="F90" s="13">
        <f>IFERROR(__xludf.DUMMYFUNCTION("ifna(filter('Yahoo ADP'!$E$2:$E2766,'Yahoo ADP'!$B$2:$B2766=$B90,$C90='Yahoo ADP'!$C$2:$C2766,$D90='Yahoo ADP'!$D$2:$D2766))"),15.6)</f>
        <v>15.6</v>
      </c>
      <c r="G90" s="27">
        <v>77.0</v>
      </c>
      <c r="H90" s="8">
        <f t="shared" si="1"/>
        <v>-12</v>
      </c>
    </row>
    <row r="91">
      <c r="A91" s="10">
        <v>90.0</v>
      </c>
      <c r="B91" s="11" t="s">
        <v>2937</v>
      </c>
      <c r="C91" s="10" t="s">
        <v>148</v>
      </c>
      <c r="D91" s="10" t="s">
        <v>31</v>
      </c>
      <c r="E91" s="13">
        <f>IFERROR(__xludf.DUMMYFUNCTION("ifna(filter('Yahoo ADP'!$A$2:$A2766,'Yahoo ADP'!$B$2:$B2766=$B91,$C91='Yahoo ADP'!$C$2:$C2766,$D91='Yahoo ADP'!$D$2:$D2766))"),72.3)</f>
        <v>72.3</v>
      </c>
      <c r="F91" s="13">
        <f>IFERROR(__xludf.DUMMYFUNCTION("ifna(filter('Yahoo ADP'!$E$2:$E2766,'Yahoo ADP'!$B$2:$B2766=$B91,$C91='Yahoo ADP'!$C$2:$C2766,$D91='Yahoo ADP'!$D$2:$D2766))"),16.1)</f>
        <v>16.1</v>
      </c>
      <c r="G91" s="27">
        <v>87.0</v>
      </c>
      <c r="H91" s="8">
        <f t="shared" si="1"/>
        <v>-3</v>
      </c>
    </row>
    <row r="92">
      <c r="A92" s="10">
        <v>91.0</v>
      </c>
      <c r="B92" s="11" t="s">
        <v>2938</v>
      </c>
      <c r="C92" s="10" t="s">
        <v>150</v>
      </c>
      <c r="D92" s="10" t="s">
        <v>31</v>
      </c>
      <c r="E92" s="13">
        <f>IFERROR(__xludf.DUMMYFUNCTION("ifna(filter('Yahoo ADP'!$A$2:$A2766,'Yahoo ADP'!$B$2:$B2766=$B92,$C92='Yahoo ADP'!$C$2:$C2766,$D92='Yahoo ADP'!$D$2:$D2766))"),120.7)</f>
        <v>120.7</v>
      </c>
      <c r="F92" s="13">
        <f>IFERROR(__xludf.DUMMYFUNCTION("ifna(filter('Yahoo ADP'!$E$2:$E2766,'Yahoo ADP'!$B$2:$B2766=$B92,$C92='Yahoo ADP'!$C$2:$C2766,$D92='Yahoo ADP'!$D$2:$D2766))"),10.1)</f>
        <v>10.1</v>
      </c>
      <c r="G92" s="27">
        <v>115.0</v>
      </c>
      <c r="H92" s="8">
        <f t="shared" si="1"/>
        <v>24</v>
      </c>
    </row>
    <row r="93">
      <c r="A93" s="10">
        <v>92.0</v>
      </c>
      <c r="B93" s="11" t="s">
        <v>2939</v>
      </c>
      <c r="C93" s="10" t="s">
        <v>39</v>
      </c>
      <c r="D93" s="10" t="s">
        <v>9</v>
      </c>
      <c r="E93" s="13">
        <f>IFERROR(__xludf.DUMMYFUNCTION("ifna(filter('Yahoo ADP'!$A$2:$A2766,'Yahoo ADP'!$B$2:$B2766=$B93,$C93='Yahoo ADP'!$C$2:$C2766,$D93='Yahoo ADP'!$D$2:$D2766))"),87.7)</f>
        <v>87.7</v>
      </c>
      <c r="F93" s="13">
        <f>IFERROR(__xludf.DUMMYFUNCTION("ifna(filter('Yahoo ADP'!$E$2:$E2766,'Yahoo ADP'!$B$2:$B2766=$B93,$C93='Yahoo ADP'!$C$2:$C2766,$D93='Yahoo ADP'!$D$2:$D2766))"),15.1)</f>
        <v>15.1</v>
      </c>
      <c r="G93" s="27">
        <v>90.0</v>
      </c>
      <c r="H93" s="8">
        <f t="shared" si="1"/>
        <v>-2</v>
      </c>
    </row>
    <row r="94">
      <c r="A94" s="10">
        <v>93.0</v>
      </c>
      <c r="B94" s="11" t="s">
        <v>2940</v>
      </c>
      <c r="C94" s="10" t="s">
        <v>79</v>
      </c>
      <c r="D94" s="10" t="s">
        <v>12</v>
      </c>
      <c r="E94" s="13">
        <f>IFERROR(__xludf.DUMMYFUNCTION("ifna(filter('Yahoo ADP'!$A$2:$A2766,'Yahoo ADP'!$B$2:$B2766=$B94,$C94='Yahoo ADP'!$C$2:$C2766,$D94='Yahoo ADP'!$D$2:$D2766))"),97.0)</f>
        <v>97</v>
      </c>
      <c r="F94" s="13">
        <f>IFERROR(__xludf.DUMMYFUNCTION("ifna(filter('Yahoo ADP'!$E$2:$E2766,'Yahoo ADP'!$B$2:$B2766=$B94,$C94='Yahoo ADP'!$C$2:$C2766,$D94='Yahoo ADP'!$D$2:$D2766))"),12.5)</f>
        <v>12.5</v>
      </c>
      <c r="G94" s="27">
        <v>117.0</v>
      </c>
      <c r="H94" s="8">
        <f t="shared" si="1"/>
        <v>24</v>
      </c>
    </row>
    <row r="95">
      <c r="A95" s="10">
        <v>94.0</v>
      </c>
      <c r="B95" s="11" t="s">
        <v>2941</v>
      </c>
      <c r="C95" s="10" t="s">
        <v>22</v>
      </c>
      <c r="D95" s="10" t="s">
        <v>27</v>
      </c>
      <c r="E95" s="13">
        <f>IFERROR(__xludf.DUMMYFUNCTION("ifna(filter('Yahoo ADP'!$A$2:$A2766,'Yahoo ADP'!$B$2:$B2766=$B95,$C95='Yahoo ADP'!$C$2:$C2766,$D95='Yahoo ADP'!$D$2:$D2766))"),129.8)</f>
        <v>129.8</v>
      </c>
      <c r="F95" s="13">
        <f>IFERROR(__xludf.DUMMYFUNCTION("ifna(filter('Yahoo ADP'!$E$2:$E2766,'Yahoo ADP'!$B$2:$B2766=$B95,$C95='Yahoo ADP'!$C$2:$C2766,$D95='Yahoo ADP'!$D$2:$D2766))"),6.5)</f>
        <v>6.5</v>
      </c>
      <c r="G95" s="27">
        <v>129.0</v>
      </c>
      <c r="H95" s="8">
        <f t="shared" si="1"/>
        <v>35</v>
      </c>
    </row>
    <row r="96">
      <c r="A96" s="10">
        <v>95.0</v>
      </c>
      <c r="B96" s="11" t="s">
        <v>2942</v>
      </c>
      <c r="C96" s="10" t="s">
        <v>55</v>
      </c>
      <c r="D96" s="10" t="s">
        <v>95</v>
      </c>
      <c r="E96" s="13">
        <f>IFERROR(__xludf.DUMMYFUNCTION("ifna(filter('Yahoo ADP'!$A$2:$A2766,'Yahoo ADP'!$B$2:$B2766=$B96,$C96='Yahoo ADP'!$C$2:$C2766,$D96='Yahoo ADP'!$D$2:$D2766))"),100.2)</f>
        <v>100.2</v>
      </c>
      <c r="F96" s="13">
        <f>IFERROR(__xludf.DUMMYFUNCTION("ifna(filter('Yahoo ADP'!$E$2:$E2766,'Yahoo ADP'!$B$2:$B2766=$B96,$C96='Yahoo ADP'!$C$2:$C2766,$D96='Yahoo ADP'!$D$2:$D2766))"),13.1)</f>
        <v>13.1</v>
      </c>
      <c r="G96" s="27">
        <v>91.0</v>
      </c>
      <c r="H96" s="8">
        <f t="shared" si="1"/>
        <v>-4</v>
      </c>
    </row>
    <row r="97">
      <c r="A97" s="10">
        <v>96.0</v>
      </c>
      <c r="B97" s="11" t="s">
        <v>2943</v>
      </c>
      <c r="C97" s="10" t="s">
        <v>14</v>
      </c>
      <c r="D97" s="10" t="s">
        <v>99</v>
      </c>
      <c r="E97" s="13">
        <f>IFERROR(__xludf.DUMMYFUNCTION("ifna(filter('Yahoo ADP'!$A$2:$A2766,'Yahoo ADP'!$B$2:$B2766=$B97,$C97='Yahoo ADP'!$C$2:$C2766,$D97='Yahoo ADP'!$D$2:$D2766))"),72.9)</f>
        <v>72.9</v>
      </c>
      <c r="F97" s="13">
        <f>IFERROR(__xludf.DUMMYFUNCTION("ifna(filter('Yahoo ADP'!$E$2:$E2766,'Yahoo ADP'!$B$2:$B2766=$B97,$C97='Yahoo ADP'!$C$2:$C2766,$D97='Yahoo ADP'!$D$2:$D2766))"),16.7)</f>
        <v>16.7</v>
      </c>
      <c r="G97" s="27">
        <v>72.0</v>
      </c>
      <c r="H97" s="8">
        <f t="shared" si="1"/>
        <v>-24</v>
      </c>
    </row>
    <row r="98">
      <c r="A98" s="10">
        <v>97.0</v>
      </c>
      <c r="B98" s="11" t="s">
        <v>2944</v>
      </c>
      <c r="C98" s="10" t="s">
        <v>22</v>
      </c>
      <c r="D98" s="10" t="s">
        <v>34</v>
      </c>
      <c r="E98" s="13">
        <f>IFERROR(__xludf.DUMMYFUNCTION("ifna(filter('Yahoo ADP'!$A$2:$A2766,'Yahoo ADP'!$B$2:$B2766=$B98,$C98='Yahoo ADP'!$C$2:$C2766,$D98='Yahoo ADP'!$D$2:$D2766))"),71.4)</f>
        <v>71.4</v>
      </c>
      <c r="F98" s="13">
        <f>IFERROR(__xludf.DUMMYFUNCTION("ifna(filter('Yahoo ADP'!$E$2:$E2766,'Yahoo ADP'!$B$2:$B2766=$B98,$C98='Yahoo ADP'!$C$2:$C2766,$D98='Yahoo ADP'!$D$2:$D2766))"),21.4)</f>
        <v>21.4</v>
      </c>
      <c r="G98" s="27">
        <v>104.0</v>
      </c>
      <c r="H98" s="8">
        <f t="shared" si="1"/>
        <v>7</v>
      </c>
    </row>
    <row r="99">
      <c r="A99" s="10">
        <v>98.0</v>
      </c>
      <c r="B99" s="11" t="s">
        <v>2945</v>
      </c>
      <c r="C99" s="10" t="s">
        <v>158</v>
      </c>
      <c r="D99" s="10" t="s">
        <v>34</v>
      </c>
      <c r="E99" s="13">
        <f>IFERROR(__xludf.DUMMYFUNCTION("ifna(filter('Yahoo ADP'!$A$2:$A2766,'Yahoo ADP'!$B$2:$B2766=$B99,$C99='Yahoo ADP'!$C$2:$C2766,$D99='Yahoo ADP'!$D$2:$D2766))"),100.4)</f>
        <v>100.4</v>
      </c>
      <c r="F99" s="13">
        <f>IFERROR(__xludf.DUMMYFUNCTION("ifna(filter('Yahoo ADP'!$E$2:$E2766,'Yahoo ADP'!$B$2:$B2766=$B99,$C99='Yahoo ADP'!$C$2:$C2766,$D99='Yahoo ADP'!$D$2:$D2766))"),13.0)</f>
        <v>13</v>
      </c>
      <c r="G99" s="27">
        <v>99.0</v>
      </c>
      <c r="H99" s="8">
        <f t="shared" si="1"/>
        <v>1</v>
      </c>
    </row>
    <row r="100">
      <c r="A100" s="10">
        <v>99.0</v>
      </c>
      <c r="B100" s="11" t="s">
        <v>2946</v>
      </c>
      <c r="C100" s="10" t="s">
        <v>17</v>
      </c>
      <c r="D100" s="10" t="s">
        <v>12</v>
      </c>
      <c r="E100" s="13">
        <f>IFERROR(__xludf.DUMMYFUNCTION("ifna(filter('Yahoo ADP'!$A$2:$A2766,'Yahoo ADP'!$B$2:$B2766=$B100,$C100='Yahoo ADP'!$C$2:$C2766,$D100='Yahoo ADP'!$D$2:$D2766))"),107.8)</f>
        <v>107.8</v>
      </c>
      <c r="F100" s="13">
        <f>IFERROR(__xludf.DUMMYFUNCTION("ifna(filter('Yahoo ADP'!$E$2:$E2766,'Yahoo ADP'!$B$2:$B2766=$B100,$C100='Yahoo ADP'!$C$2:$C2766,$D100='Yahoo ADP'!$D$2:$D2766))"),11.3)</f>
        <v>11.3</v>
      </c>
      <c r="G100" s="27">
        <v>96.0</v>
      </c>
      <c r="H100" s="8">
        <f t="shared" si="1"/>
        <v>-3</v>
      </c>
    </row>
    <row r="101">
      <c r="A101" s="10">
        <v>100.0</v>
      </c>
      <c r="B101" s="11" t="s">
        <v>2947</v>
      </c>
      <c r="C101" s="10" t="s">
        <v>22</v>
      </c>
      <c r="D101" s="10" t="s">
        <v>90</v>
      </c>
      <c r="E101" s="13">
        <f>IFERROR(__xludf.DUMMYFUNCTION("ifna(filter('Yahoo ADP'!$A$2:$A2766,'Yahoo ADP'!$B$2:$B2766=$B101,$C101='Yahoo ADP'!$C$2:$C2766,$D101='Yahoo ADP'!$D$2:$D2766))"),114.1)</f>
        <v>114.1</v>
      </c>
      <c r="F101" s="13">
        <f>IFERROR(__xludf.DUMMYFUNCTION("ifna(filter('Yahoo ADP'!$E$2:$E2766,'Yahoo ADP'!$B$2:$B2766=$B101,$C101='Yahoo ADP'!$C$2:$C2766,$D101='Yahoo ADP'!$D$2:$D2766))"),11.3)</f>
        <v>11.3</v>
      </c>
      <c r="G101" s="27">
        <v>106.0</v>
      </c>
      <c r="H101" s="8">
        <f t="shared" si="1"/>
        <v>6</v>
      </c>
    </row>
    <row r="102">
      <c r="A102" s="10">
        <v>101.0</v>
      </c>
      <c r="B102" s="11" t="s">
        <v>2948</v>
      </c>
      <c r="C102" s="10" t="s">
        <v>79</v>
      </c>
      <c r="D102" s="10" t="s">
        <v>27</v>
      </c>
      <c r="E102" s="13">
        <f>IFERROR(__xludf.DUMMYFUNCTION("ifna(filter('Yahoo ADP'!$A$2:$A2766,'Yahoo ADP'!$B$2:$B2766=$B102,$C102='Yahoo ADP'!$C$2:$C2766,$D102='Yahoo ADP'!$D$2:$D2766))"),97.0)</f>
        <v>97</v>
      </c>
      <c r="F102" s="13">
        <f>IFERROR(__xludf.DUMMYFUNCTION("ifna(filter('Yahoo ADP'!$E$2:$E2766,'Yahoo ADP'!$B$2:$B2766=$B102,$C102='Yahoo ADP'!$C$2:$C2766,$D102='Yahoo ADP'!$D$2:$D2766))"),11.0)</f>
        <v>11</v>
      </c>
      <c r="G102" s="27">
        <v>147.0</v>
      </c>
      <c r="H102" s="8">
        <f t="shared" si="1"/>
        <v>46</v>
      </c>
    </row>
    <row r="103">
      <c r="A103" s="10">
        <v>102.0</v>
      </c>
      <c r="B103" s="11" t="s">
        <v>2949</v>
      </c>
      <c r="C103" s="10" t="s">
        <v>163</v>
      </c>
      <c r="D103" s="10" t="s">
        <v>52</v>
      </c>
      <c r="E103" s="13">
        <f>IFERROR(__xludf.DUMMYFUNCTION("ifna(filter('Yahoo ADP'!$A$2:$A2766,'Yahoo ADP'!$B$2:$B2766=$B103,$C103='Yahoo ADP'!$C$2:$C2766,$D103='Yahoo ADP'!$D$2:$D2766))"),4.2)</f>
        <v>4.2</v>
      </c>
      <c r="F103" s="13">
        <f>IFERROR(__xludf.DUMMYFUNCTION("ifna(filter('Yahoo ADP'!$E$2:$E2766,'Yahoo ADP'!$B$2:$B2766=$B103,$C103='Yahoo ADP'!$C$2:$C2766,$D103='Yahoo ADP'!$D$2:$D2766))"),51.0)</f>
        <v>51</v>
      </c>
      <c r="G103" s="27">
        <v>2.0</v>
      </c>
      <c r="H103" s="8">
        <f t="shared" si="1"/>
        <v>-100</v>
      </c>
    </row>
    <row r="104">
      <c r="A104" s="10">
        <v>103.0</v>
      </c>
      <c r="B104" s="11" t="s">
        <v>2950</v>
      </c>
      <c r="C104" s="10" t="s">
        <v>14</v>
      </c>
      <c r="D104" s="10" t="s">
        <v>67</v>
      </c>
      <c r="E104" s="13">
        <f>IFERROR(__xludf.DUMMYFUNCTION("ifna(filter('Yahoo ADP'!$A$2:$A2766,'Yahoo ADP'!$B$2:$B2766=$B104,$C104='Yahoo ADP'!$C$2:$C2766,$D104='Yahoo ADP'!$D$2:$D2766))"),120.8)</f>
        <v>120.8</v>
      </c>
      <c r="F104" s="13">
        <f>IFERROR(__xludf.DUMMYFUNCTION("ifna(filter('Yahoo ADP'!$E$2:$E2766,'Yahoo ADP'!$B$2:$B2766=$B104,$C104='Yahoo ADP'!$C$2:$C2766,$D104='Yahoo ADP'!$D$2:$D2766))"),8.9)</f>
        <v>8.9</v>
      </c>
      <c r="G104" s="27">
        <v>108.0</v>
      </c>
      <c r="H104" s="8">
        <f t="shared" si="1"/>
        <v>5</v>
      </c>
    </row>
    <row r="105">
      <c r="A105" s="10">
        <v>104.0</v>
      </c>
      <c r="B105" s="11" t="s">
        <v>2951</v>
      </c>
      <c r="C105" s="10" t="s">
        <v>79</v>
      </c>
      <c r="D105" s="10" t="s">
        <v>23</v>
      </c>
      <c r="E105" s="13">
        <f>IFERROR(__xludf.DUMMYFUNCTION("ifna(filter('Yahoo ADP'!$A$2:$A2766,'Yahoo ADP'!$B$2:$B2766=$B105,$C105='Yahoo ADP'!$C$2:$C2766,$D105='Yahoo ADP'!$D$2:$D2766))"),83.9)</f>
        <v>83.9</v>
      </c>
      <c r="F105" s="13">
        <f>IFERROR(__xludf.DUMMYFUNCTION("ifna(filter('Yahoo ADP'!$E$2:$E2766,'Yahoo ADP'!$B$2:$B2766=$B105,$C105='Yahoo ADP'!$C$2:$C2766,$D105='Yahoo ADP'!$D$2:$D2766))"),14.5)</f>
        <v>14.5</v>
      </c>
      <c r="G105" s="27">
        <v>113.0</v>
      </c>
      <c r="H105" s="8">
        <f t="shared" si="1"/>
        <v>9</v>
      </c>
    </row>
    <row r="106">
      <c r="A106" s="10">
        <v>105.0</v>
      </c>
      <c r="B106" s="11" t="s">
        <v>2952</v>
      </c>
      <c r="C106" s="10" t="s">
        <v>14</v>
      </c>
      <c r="D106" s="10" t="s">
        <v>49</v>
      </c>
      <c r="E106" s="13">
        <f>IFERROR(__xludf.DUMMYFUNCTION("ifna(filter('Yahoo ADP'!$A$2:$A2766,'Yahoo ADP'!$B$2:$B2766=$B106,$C106='Yahoo ADP'!$C$2:$C2766,$D106='Yahoo ADP'!$D$2:$D2766))"),126.4)</f>
        <v>126.4</v>
      </c>
      <c r="F106" s="13">
        <f>IFERROR(__xludf.DUMMYFUNCTION("ifna(filter('Yahoo ADP'!$E$2:$E2766,'Yahoo ADP'!$B$2:$B2766=$B106,$C106='Yahoo ADP'!$C$2:$C2766,$D106='Yahoo ADP'!$D$2:$D2766))"),8.2)</f>
        <v>8.2</v>
      </c>
      <c r="G106" s="27">
        <v>112.0</v>
      </c>
      <c r="H106" s="8">
        <f t="shared" si="1"/>
        <v>7</v>
      </c>
    </row>
    <row r="107">
      <c r="A107" s="10">
        <v>106.0</v>
      </c>
      <c r="B107" s="11" t="s">
        <v>2953</v>
      </c>
      <c r="C107" s="10" t="s">
        <v>66</v>
      </c>
      <c r="D107" s="10" t="s">
        <v>82</v>
      </c>
      <c r="E107" s="13">
        <f>IFERROR(__xludf.DUMMYFUNCTION("ifna(filter('Yahoo ADP'!$A$2:$A2766,'Yahoo ADP'!$B$2:$B2766=$B107,$C107='Yahoo ADP'!$C$2:$C2766,$D107='Yahoo ADP'!$D$2:$D2766))"),124.6)</f>
        <v>124.6</v>
      </c>
      <c r="F107" s="13">
        <f>IFERROR(__xludf.DUMMYFUNCTION("ifna(filter('Yahoo ADP'!$E$2:$E2766,'Yahoo ADP'!$B$2:$B2766=$B107,$C107='Yahoo ADP'!$C$2:$C2766,$D107='Yahoo ADP'!$D$2:$D2766))"),9.9)</f>
        <v>9.9</v>
      </c>
      <c r="G107" s="27">
        <v>124.0</v>
      </c>
      <c r="H107" s="8">
        <f t="shared" si="1"/>
        <v>18</v>
      </c>
    </row>
    <row r="108">
      <c r="A108" s="10">
        <v>107.0</v>
      </c>
      <c r="B108" s="11" t="s">
        <v>2954</v>
      </c>
      <c r="C108" s="10" t="s">
        <v>33</v>
      </c>
      <c r="D108" s="10" t="s">
        <v>18</v>
      </c>
      <c r="E108" s="13">
        <f>IFERROR(__xludf.DUMMYFUNCTION("ifna(filter('Yahoo ADP'!$A$2:$A2766,'Yahoo ADP'!$B$2:$B2766=$B108,$C108='Yahoo ADP'!$C$2:$C2766,$D108='Yahoo ADP'!$D$2:$D2766))"),118.9)</f>
        <v>118.9</v>
      </c>
      <c r="F108" s="13">
        <f>IFERROR(__xludf.DUMMYFUNCTION("ifna(filter('Yahoo ADP'!$E$2:$E2766,'Yahoo ADP'!$B$2:$B2766=$B108,$C108='Yahoo ADP'!$C$2:$C2766,$D108='Yahoo ADP'!$D$2:$D2766))"),10.9)</f>
        <v>10.9</v>
      </c>
      <c r="G108" s="27">
        <v>101.0</v>
      </c>
      <c r="H108" s="8">
        <f t="shared" si="1"/>
        <v>-6</v>
      </c>
    </row>
    <row r="109">
      <c r="A109" s="10">
        <v>108.0</v>
      </c>
      <c r="B109" s="11" t="s">
        <v>2955</v>
      </c>
      <c r="C109" s="10" t="s">
        <v>20</v>
      </c>
      <c r="D109" s="10" t="s">
        <v>31</v>
      </c>
      <c r="E109" s="13">
        <f>IFERROR(__xludf.DUMMYFUNCTION("ifna(filter('Yahoo ADP'!$A$2:$A2766,'Yahoo ADP'!$B$2:$B2766=$B109,$C109='Yahoo ADP'!$C$2:$C2766,$D109='Yahoo ADP'!$D$2:$D2766))"),147.6)</f>
        <v>147.6</v>
      </c>
      <c r="F109" s="13">
        <f>IFERROR(__xludf.DUMMYFUNCTION("ifna(filter('Yahoo ADP'!$E$2:$E2766,'Yahoo ADP'!$B$2:$B2766=$B109,$C109='Yahoo ADP'!$C$2:$C2766,$D109='Yahoo ADP'!$D$2:$D2766))"),7.6)</f>
        <v>7.6</v>
      </c>
      <c r="G109" s="27">
        <v>116.0</v>
      </c>
      <c r="H109" s="8">
        <f t="shared" si="1"/>
        <v>8</v>
      </c>
    </row>
    <row r="110">
      <c r="A110" s="10">
        <v>109.0</v>
      </c>
      <c r="B110" s="11" t="s">
        <v>2956</v>
      </c>
      <c r="C110" s="10" t="s">
        <v>22</v>
      </c>
      <c r="D110" s="10" t="s">
        <v>129</v>
      </c>
      <c r="E110" s="13">
        <f>IFERROR(__xludf.DUMMYFUNCTION("ifna(filter('Yahoo ADP'!$A$2:$A2766,'Yahoo ADP'!$B$2:$B2766=$B110,$C110='Yahoo ADP'!$C$2:$C2766,$D110='Yahoo ADP'!$D$2:$D2766))"),77.8)</f>
        <v>77.8</v>
      </c>
      <c r="F110" s="13">
        <f>IFERROR(__xludf.DUMMYFUNCTION("ifna(filter('Yahoo ADP'!$E$2:$E2766,'Yahoo ADP'!$B$2:$B2766=$B110,$C110='Yahoo ADP'!$C$2:$C2766,$D110='Yahoo ADP'!$D$2:$D2766))"),16.8)</f>
        <v>16.8</v>
      </c>
      <c r="G110" s="27">
        <v>64.0</v>
      </c>
      <c r="H110" s="8">
        <f t="shared" si="1"/>
        <v>-45</v>
      </c>
    </row>
    <row r="111">
      <c r="A111" s="10">
        <v>110.0</v>
      </c>
      <c r="B111" s="11" t="s">
        <v>2957</v>
      </c>
      <c r="C111" s="10" t="s">
        <v>22</v>
      </c>
      <c r="D111" s="10" t="s">
        <v>129</v>
      </c>
      <c r="E111" s="13">
        <f>IFERROR(__xludf.DUMMYFUNCTION("ifna(filter('Yahoo ADP'!$A$2:$A2766,'Yahoo ADP'!$B$2:$B2766=$B111,$C111='Yahoo ADP'!$C$2:$C2766,$D111='Yahoo ADP'!$D$2:$D2766))"),140.1)</f>
        <v>140.1</v>
      </c>
      <c r="F111" s="13">
        <f>IFERROR(__xludf.DUMMYFUNCTION("ifna(filter('Yahoo ADP'!$E$2:$E2766,'Yahoo ADP'!$B$2:$B2766=$B111,$C111='Yahoo ADP'!$C$2:$C2766,$D111='Yahoo ADP'!$D$2:$D2766))"),7.1)</f>
        <v>7.1</v>
      </c>
      <c r="G111" s="27">
        <v>119.0</v>
      </c>
      <c r="H111" s="8">
        <f t="shared" si="1"/>
        <v>9</v>
      </c>
    </row>
    <row r="112">
      <c r="A112" s="10">
        <v>111.0</v>
      </c>
      <c r="B112" s="11" t="s">
        <v>2958</v>
      </c>
      <c r="C112" s="10" t="s">
        <v>79</v>
      </c>
      <c r="D112" s="10" t="s">
        <v>36</v>
      </c>
      <c r="E112" s="13">
        <f>IFERROR(__xludf.DUMMYFUNCTION("ifna(filter('Yahoo ADP'!$A$2:$A2766,'Yahoo ADP'!$B$2:$B2766=$B112,$C112='Yahoo ADP'!$C$2:$C2766,$D112='Yahoo ADP'!$D$2:$D2766))"),107.4)</f>
        <v>107.4</v>
      </c>
      <c r="F112" s="13">
        <f>IFERROR(__xludf.DUMMYFUNCTION("ifna(filter('Yahoo ADP'!$E$2:$E2766,'Yahoo ADP'!$B$2:$B2766=$B112,$C112='Yahoo ADP'!$C$2:$C2766,$D112='Yahoo ADP'!$D$2:$D2766))"),10.8)</f>
        <v>10.8</v>
      </c>
      <c r="G112" s="27">
        <v>118.0</v>
      </c>
      <c r="H112" s="8">
        <f t="shared" si="1"/>
        <v>7</v>
      </c>
    </row>
    <row r="113">
      <c r="A113" s="10">
        <v>112.0</v>
      </c>
      <c r="B113" s="11" t="s">
        <v>2959</v>
      </c>
      <c r="C113" s="10" t="s">
        <v>22</v>
      </c>
      <c r="D113" s="10" t="s">
        <v>36</v>
      </c>
      <c r="E113" s="13">
        <f>IFERROR(__xludf.DUMMYFUNCTION("ifna(filter('Yahoo ADP'!$A$2:$A2766,'Yahoo ADP'!$B$2:$B2766=$B113,$C113='Yahoo ADP'!$C$2:$C2766,$D113='Yahoo ADP'!$D$2:$D2766))"),118.7)</f>
        <v>118.7</v>
      </c>
      <c r="F113" s="13">
        <f>IFERROR(__xludf.DUMMYFUNCTION("ifna(filter('Yahoo ADP'!$E$2:$E2766,'Yahoo ADP'!$B$2:$B2766=$B113,$C113='Yahoo ADP'!$C$2:$C2766,$D113='Yahoo ADP'!$D$2:$D2766))"),7.4)</f>
        <v>7.4</v>
      </c>
      <c r="G113" s="27">
        <v>127.0</v>
      </c>
      <c r="H113" s="8">
        <f t="shared" si="1"/>
        <v>15</v>
      </c>
    </row>
    <row r="114">
      <c r="A114" s="10">
        <v>113.0</v>
      </c>
      <c r="B114" s="11" t="s">
        <v>2960</v>
      </c>
      <c r="C114" s="10" t="s">
        <v>22</v>
      </c>
      <c r="D114" s="10" t="s">
        <v>27</v>
      </c>
      <c r="E114" s="13">
        <f>IFERROR(__xludf.DUMMYFUNCTION("ifna(filter('Yahoo ADP'!$A$2:$A2766,'Yahoo ADP'!$B$2:$B2766=$B114,$C114='Yahoo ADP'!$C$2:$C2766,$D114='Yahoo ADP'!$D$2:$D2766))"),136.3)</f>
        <v>136.3</v>
      </c>
      <c r="F114" s="13">
        <f>IFERROR(__xludf.DUMMYFUNCTION("ifna(filter('Yahoo ADP'!$E$2:$E2766,'Yahoo ADP'!$B$2:$B2766=$B114,$C114='Yahoo ADP'!$C$2:$C2766,$D114='Yahoo ADP'!$D$2:$D2766))"),6.4)</f>
        <v>6.4</v>
      </c>
      <c r="G114" s="27">
        <v>121.0</v>
      </c>
      <c r="H114" s="8">
        <f t="shared" si="1"/>
        <v>8</v>
      </c>
    </row>
    <row r="115">
      <c r="A115" s="10">
        <v>114.0</v>
      </c>
      <c r="B115" s="11" t="s">
        <v>2961</v>
      </c>
      <c r="C115" s="10" t="s">
        <v>176</v>
      </c>
      <c r="D115" s="10" t="s">
        <v>9</v>
      </c>
      <c r="E115" s="13">
        <f>IFERROR(__xludf.DUMMYFUNCTION("ifna(filter('Yahoo ADP'!$A$2:$A2766,'Yahoo ADP'!$B$2:$B2766=$B115,$C115='Yahoo ADP'!$C$2:$C2766,$D115='Yahoo ADP'!$D$2:$D2766))"),109.2)</f>
        <v>109.2</v>
      </c>
      <c r="F115" s="13">
        <f>IFERROR(__xludf.DUMMYFUNCTION("ifna(filter('Yahoo ADP'!$E$2:$E2766,'Yahoo ADP'!$B$2:$B2766=$B115,$C115='Yahoo ADP'!$C$2:$C2766,$D115='Yahoo ADP'!$D$2:$D2766))"),10.4)</f>
        <v>10.4</v>
      </c>
      <c r="G115" s="27">
        <v>114.0</v>
      </c>
      <c r="H115" s="8">
        <f t="shared" si="1"/>
        <v>0</v>
      </c>
    </row>
    <row r="116">
      <c r="A116" s="10">
        <v>115.0</v>
      </c>
      <c r="B116" s="11" t="s">
        <v>2962</v>
      </c>
      <c r="C116" s="10" t="s">
        <v>20</v>
      </c>
      <c r="D116" s="10" t="s">
        <v>105</v>
      </c>
      <c r="E116" s="13">
        <f>IFERROR(__xludf.DUMMYFUNCTION("ifna(filter('Yahoo ADP'!$A$2:$A2766,'Yahoo ADP'!$B$2:$B2766=$B116,$C116='Yahoo ADP'!$C$2:$C2766,$D116='Yahoo ADP'!$D$2:$D2766))"),134.4)</f>
        <v>134.4</v>
      </c>
      <c r="F116" s="13">
        <f>IFERROR(__xludf.DUMMYFUNCTION("ifna(filter('Yahoo ADP'!$E$2:$E2766,'Yahoo ADP'!$B$2:$B2766=$B116,$C116='Yahoo ADP'!$C$2:$C2766,$D116='Yahoo ADP'!$D$2:$D2766))"),8.4)</f>
        <v>8.4</v>
      </c>
      <c r="G116" s="27">
        <v>111.0</v>
      </c>
      <c r="H116" s="8">
        <f t="shared" si="1"/>
        <v>-4</v>
      </c>
    </row>
    <row r="117">
      <c r="A117" s="10">
        <v>116.0</v>
      </c>
      <c r="B117" s="11" t="s">
        <v>2963</v>
      </c>
      <c r="C117" s="10" t="s">
        <v>55</v>
      </c>
      <c r="D117" s="10" t="s">
        <v>90</v>
      </c>
      <c r="E117" s="13">
        <f>IFERROR(__xludf.DUMMYFUNCTION("ifna(filter('Yahoo ADP'!$A$2:$A2766,'Yahoo ADP'!$B$2:$B2766=$B117,$C117='Yahoo ADP'!$C$2:$C2766,$D117='Yahoo ADP'!$D$2:$D2766))"),123.2)</f>
        <v>123.2</v>
      </c>
      <c r="F117" s="13">
        <f>IFERROR(__xludf.DUMMYFUNCTION("ifna(filter('Yahoo ADP'!$E$2:$E2766,'Yahoo ADP'!$B$2:$B2766=$B117,$C117='Yahoo ADP'!$C$2:$C2766,$D117='Yahoo ADP'!$D$2:$D2766))"),9.5)</f>
        <v>9.5</v>
      </c>
      <c r="G117" s="27">
        <v>109.0</v>
      </c>
      <c r="H117" s="8">
        <f t="shared" si="1"/>
        <v>-7</v>
      </c>
    </row>
    <row r="118">
      <c r="A118" s="10">
        <v>117.0</v>
      </c>
      <c r="B118" s="11" t="s">
        <v>2964</v>
      </c>
      <c r="C118" s="10" t="s">
        <v>150</v>
      </c>
      <c r="D118" s="10" t="s">
        <v>73</v>
      </c>
      <c r="E118" s="13">
        <f>IFERROR(__xludf.DUMMYFUNCTION("ifna(filter('Yahoo ADP'!$A$2:$A2766,'Yahoo ADP'!$B$2:$B2766=$B118,$C118='Yahoo ADP'!$C$2:$C2766,$D118='Yahoo ADP'!$D$2:$D2766))"),109.2)</f>
        <v>109.2</v>
      </c>
      <c r="F118" s="13">
        <f>IFERROR(__xludf.DUMMYFUNCTION("ifna(filter('Yahoo ADP'!$E$2:$E2766,'Yahoo ADP'!$B$2:$B2766=$B118,$C118='Yahoo ADP'!$C$2:$C2766,$D118='Yahoo ADP'!$D$2:$D2766))"),11.5)</f>
        <v>11.5</v>
      </c>
      <c r="G118" s="27">
        <v>103.0</v>
      </c>
      <c r="H118" s="8">
        <f t="shared" si="1"/>
        <v>-14</v>
      </c>
    </row>
    <row r="119">
      <c r="A119" s="10">
        <v>118.0</v>
      </c>
      <c r="B119" s="11" t="s">
        <v>2965</v>
      </c>
      <c r="C119" s="10" t="s">
        <v>39</v>
      </c>
      <c r="D119" s="10" t="s">
        <v>52</v>
      </c>
      <c r="E119" s="13">
        <f>IFERROR(__xludf.DUMMYFUNCTION("ifna(filter('Yahoo ADP'!$A$2:$A2766,'Yahoo ADP'!$B$2:$B2766=$B119,$C119='Yahoo ADP'!$C$2:$C2766,$D119='Yahoo ADP'!$D$2:$D2766))"),128.9)</f>
        <v>128.9</v>
      </c>
      <c r="F119" s="13">
        <f>IFERROR(__xludf.DUMMYFUNCTION("ifna(filter('Yahoo ADP'!$E$2:$E2766,'Yahoo ADP'!$B$2:$B2766=$B119,$C119='Yahoo ADP'!$C$2:$C2766,$D119='Yahoo ADP'!$D$2:$D2766))"),9.3)</f>
        <v>9.3</v>
      </c>
      <c r="G119" s="27">
        <v>105.0</v>
      </c>
      <c r="H119" s="8">
        <f t="shared" si="1"/>
        <v>-13</v>
      </c>
    </row>
    <row r="120">
      <c r="A120" s="10">
        <v>119.0</v>
      </c>
      <c r="B120" s="11" t="s">
        <v>2966</v>
      </c>
      <c r="C120" s="10" t="s">
        <v>182</v>
      </c>
      <c r="D120" s="10" t="s">
        <v>52</v>
      </c>
      <c r="E120" s="13">
        <f>IFERROR(__xludf.DUMMYFUNCTION("ifna(filter('Yahoo ADP'!$A$2:$A2766,'Yahoo ADP'!$B$2:$B2766=$B120,$C120='Yahoo ADP'!$C$2:$C2766,$D120='Yahoo ADP'!$D$2:$D2766))"),130.8)</f>
        <v>130.8</v>
      </c>
      <c r="F120" s="13">
        <f>IFERROR(__xludf.DUMMYFUNCTION("ifna(filter('Yahoo ADP'!$E$2:$E2766,'Yahoo ADP'!$B$2:$B2766=$B120,$C120='Yahoo ADP'!$C$2:$C2766,$D120='Yahoo ADP'!$D$2:$D2766))"),7.9)</f>
        <v>7.9</v>
      </c>
      <c r="G120" s="27">
        <v>126.0</v>
      </c>
      <c r="H120" s="8">
        <f t="shared" si="1"/>
        <v>7</v>
      </c>
    </row>
    <row r="121">
      <c r="A121" s="10">
        <v>120.0</v>
      </c>
      <c r="B121" s="11" t="s">
        <v>2967</v>
      </c>
      <c r="C121" s="10" t="s">
        <v>22</v>
      </c>
      <c r="D121" s="10" t="s">
        <v>52</v>
      </c>
      <c r="E121" s="13">
        <f>IFERROR(__xludf.DUMMYFUNCTION("ifna(filter('Yahoo ADP'!$A$2:$A2766,'Yahoo ADP'!$B$2:$B2766=$B121,$C121='Yahoo ADP'!$C$2:$C2766,$D121='Yahoo ADP'!$D$2:$D2766))"),113.5)</f>
        <v>113.5</v>
      </c>
      <c r="F121" s="13">
        <f>IFERROR(__xludf.DUMMYFUNCTION("ifna(filter('Yahoo ADP'!$E$2:$E2766,'Yahoo ADP'!$B$2:$B2766=$B121,$C121='Yahoo ADP'!$C$2:$C2766,$D121='Yahoo ADP'!$D$2:$D2766))"),11.5)</f>
        <v>11.5</v>
      </c>
      <c r="G121" s="27">
        <v>102.0</v>
      </c>
      <c r="H121" s="8">
        <f t="shared" si="1"/>
        <v>-18</v>
      </c>
    </row>
    <row r="122">
      <c r="A122" s="10">
        <v>121.0</v>
      </c>
      <c r="B122" s="11" t="s">
        <v>2968</v>
      </c>
      <c r="C122" s="10" t="s">
        <v>22</v>
      </c>
      <c r="D122" s="10" t="s">
        <v>42</v>
      </c>
      <c r="E122" s="13">
        <f>IFERROR(__xludf.DUMMYFUNCTION("ifna(filter('Yahoo ADP'!$A$2:$A2766,'Yahoo ADP'!$B$2:$B2766=$B122,$C122='Yahoo ADP'!$C$2:$C2766,$D122='Yahoo ADP'!$D$2:$D2766))"),156.1)</f>
        <v>156.1</v>
      </c>
      <c r="F122" s="13">
        <f>IFERROR(__xludf.DUMMYFUNCTION("ifna(filter('Yahoo ADP'!$E$2:$E2766,'Yahoo ADP'!$B$2:$B2766=$B122,$C122='Yahoo ADP'!$C$2:$C2766,$D122='Yahoo ADP'!$D$2:$D2766))"),4.6)</f>
        <v>4.6</v>
      </c>
      <c r="G122" s="27">
        <v>139.0</v>
      </c>
      <c r="H122" s="8">
        <f t="shared" si="1"/>
        <v>18</v>
      </c>
    </row>
    <row r="123">
      <c r="A123" s="10">
        <v>122.0</v>
      </c>
      <c r="B123" s="11" t="s">
        <v>2969</v>
      </c>
      <c r="C123" s="10" t="s">
        <v>22</v>
      </c>
      <c r="D123" s="10" t="s">
        <v>140</v>
      </c>
      <c r="E123" s="13">
        <f>IFERROR(__xludf.DUMMYFUNCTION("ifna(filter('Yahoo ADP'!$A$2:$A2766,'Yahoo ADP'!$B$2:$B2766=$B123,$C123='Yahoo ADP'!$C$2:$C2766,$D123='Yahoo ADP'!$D$2:$D2766))"),138.2)</f>
        <v>138.2</v>
      </c>
      <c r="F123" s="13">
        <f>IFERROR(__xludf.DUMMYFUNCTION("ifna(filter('Yahoo ADP'!$E$2:$E2766,'Yahoo ADP'!$B$2:$B2766=$B123,$C123='Yahoo ADP'!$C$2:$C2766,$D123='Yahoo ADP'!$D$2:$D2766))"),8.0)</f>
        <v>8</v>
      </c>
      <c r="G123" s="27">
        <v>110.0</v>
      </c>
      <c r="H123" s="8">
        <f t="shared" si="1"/>
        <v>-12</v>
      </c>
    </row>
    <row r="124">
      <c r="A124" s="10">
        <v>123.0</v>
      </c>
      <c r="B124" s="11" t="s">
        <v>2970</v>
      </c>
      <c r="C124" s="10" t="s">
        <v>22</v>
      </c>
      <c r="D124" s="10" t="s">
        <v>120</v>
      </c>
      <c r="E124" s="13">
        <f>IFERROR(__xludf.DUMMYFUNCTION("ifna(filter('Yahoo ADP'!$A$2:$A2766,'Yahoo ADP'!$B$2:$B2766=$B124,$C124='Yahoo ADP'!$C$2:$C2766,$D124='Yahoo ADP'!$D$2:$D2766))"),157.8)</f>
        <v>157.8</v>
      </c>
      <c r="F124" s="13">
        <f>IFERROR(__xludf.DUMMYFUNCTION("ifna(filter('Yahoo ADP'!$E$2:$E2766,'Yahoo ADP'!$B$2:$B2766=$B124,$C124='Yahoo ADP'!$C$2:$C2766,$D124='Yahoo ADP'!$D$2:$D2766))"),3.7)</f>
        <v>3.7</v>
      </c>
      <c r="G124" s="27">
        <v>142.0</v>
      </c>
      <c r="H124" s="8">
        <f t="shared" si="1"/>
        <v>19</v>
      </c>
    </row>
    <row r="125">
      <c r="A125" s="10">
        <v>124.0</v>
      </c>
      <c r="B125" s="11" t="s">
        <v>2971</v>
      </c>
      <c r="C125" s="10" t="s">
        <v>22</v>
      </c>
      <c r="D125" s="10" t="s">
        <v>85</v>
      </c>
      <c r="E125" s="13">
        <f>IFERROR(__xludf.DUMMYFUNCTION("ifna(filter('Yahoo ADP'!$A$2:$A2766,'Yahoo ADP'!$B$2:$B2766=$B125,$C125='Yahoo ADP'!$C$2:$C2766,$D125='Yahoo ADP'!$D$2:$D2766))"),130.3)</f>
        <v>130.3</v>
      </c>
      <c r="F125" s="13">
        <f>IFERROR(__xludf.DUMMYFUNCTION("ifna(filter('Yahoo ADP'!$E$2:$E2766,'Yahoo ADP'!$B$2:$B2766=$B125,$C125='Yahoo ADP'!$C$2:$C2766,$D125='Yahoo ADP'!$D$2:$D2766))"),8.7)</f>
        <v>8.7</v>
      </c>
      <c r="G125" s="27">
        <v>107.0</v>
      </c>
      <c r="H125" s="8">
        <f t="shared" si="1"/>
        <v>-17</v>
      </c>
    </row>
    <row r="126">
      <c r="A126" s="10">
        <v>125.0</v>
      </c>
      <c r="B126" s="11" t="s">
        <v>2972</v>
      </c>
      <c r="C126" s="10" t="s">
        <v>189</v>
      </c>
      <c r="D126" s="10" t="s">
        <v>23</v>
      </c>
      <c r="E126" s="13">
        <f>IFERROR(__xludf.DUMMYFUNCTION("ifna(filter('Yahoo ADP'!$A$2:$A2766,'Yahoo ADP'!$B$2:$B2766=$B126,$C126='Yahoo ADP'!$C$2:$C2766,$D126='Yahoo ADP'!$D$2:$D2766))"),91.4)</f>
        <v>91.4</v>
      </c>
      <c r="F126" s="13">
        <f>IFERROR(__xludf.DUMMYFUNCTION("ifna(filter('Yahoo ADP'!$E$2:$E2766,'Yahoo ADP'!$B$2:$B2766=$B126,$C126='Yahoo ADP'!$C$2:$C2766,$D126='Yahoo ADP'!$D$2:$D2766))"),12.5)</f>
        <v>12.5</v>
      </c>
      <c r="G126" s="27">
        <v>95.0</v>
      </c>
      <c r="H126" s="8">
        <f t="shared" si="1"/>
        <v>-30</v>
      </c>
    </row>
    <row r="127">
      <c r="A127" s="10">
        <v>126.0</v>
      </c>
      <c r="B127" s="11" t="s">
        <v>2973</v>
      </c>
      <c r="C127" s="10" t="s">
        <v>22</v>
      </c>
      <c r="D127" s="10" t="s">
        <v>99</v>
      </c>
      <c r="E127" s="13">
        <f>IFERROR(__xludf.DUMMYFUNCTION("ifna(filter('Yahoo ADP'!$A$2:$A2766,'Yahoo ADP'!$B$2:$B2766=$B127,$C127='Yahoo ADP'!$C$2:$C2766,$D127='Yahoo ADP'!$D$2:$D2766))"),142.9)</f>
        <v>142.9</v>
      </c>
      <c r="F127" s="13">
        <f>IFERROR(__xludf.DUMMYFUNCTION("ifna(filter('Yahoo ADP'!$E$2:$E2766,'Yahoo ADP'!$B$2:$B2766=$B127,$C127='Yahoo ADP'!$C$2:$C2766,$D127='Yahoo ADP'!$D$2:$D2766))"),5.3)</f>
        <v>5.3</v>
      </c>
      <c r="G127" s="27">
        <v>133.0</v>
      </c>
      <c r="H127" s="8">
        <f t="shared" si="1"/>
        <v>7</v>
      </c>
    </row>
    <row r="128">
      <c r="A128" s="10">
        <v>127.0</v>
      </c>
      <c r="B128" s="11" t="s">
        <v>2974</v>
      </c>
      <c r="C128" s="10" t="s">
        <v>79</v>
      </c>
      <c r="D128" s="10" t="s">
        <v>49</v>
      </c>
      <c r="E128" s="13">
        <f>IFERROR(__xludf.DUMMYFUNCTION("ifna(filter('Yahoo ADP'!$A$2:$A2766,'Yahoo ADP'!$B$2:$B2766=$B128,$C128='Yahoo ADP'!$C$2:$C2766,$D128='Yahoo ADP'!$D$2:$D2766))"),112.6)</f>
        <v>112.6</v>
      </c>
      <c r="F128" s="13">
        <f>IFERROR(__xludf.DUMMYFUNCTION("ifna(filter('Yahoo ADP'!$E$2:$E2766,'Yahoo ADP'!$B$2:$B2766=$B128,$C128='Yahoo ADP'!$C$2:$C2766,$D128='Yahoo ADP'!$D$2:$D2766))"),7.1)</f>
        <v>7.1</v>
      </c>
      <c r="G128" s="27">
        <v>158.0</v>
      </c>
      <c r="H128" s="8">
        <f t="shared" si="1"/>
        <v>31</v>
      </c>
    </row>
    <row r="129">
      <c r="A129" s="10">
        <v>128.0</v>
      </c>
      <c r="B129" s="11" t="s">
        <v>2975</v>
      </c>
      <c r="C129" s="10" t="s">
        <v>22</v>
      </c>
      <c r="D129" s="10" t="s">
        <v>49</v>
      </c>
      <c r="E129" s="13">
        <f>IFERROR(__xludf.DUMMYFUNCTION("ifna(filter('Yahoo ADP'!$A$2:$A2766,'Yahoo ADP'!$B$2:$B2766=$B129,$C129='Yahoo ADP'!$C$2:$C2766,$D129='Yahoo ADP'!$D$2:$D2766))"),136.4)</f>
        <v>136.4</v>
      </c>
      <c r="F129" s="13">
        <f>IFERROR(__xludf.DUMMYFUNCTION("ifna(filter('Yahoo ADP'!$E$2:$E2766,'Yahoo ADP'!$B$2:$B2766=$B129,$C129='Yahoo ADP'!$C$2:$C2766,$D129='Yahoo ADP'!$D$2:$D2766))"),7.5)</f>
        <v>7.5</v>
      </c>
      <c r="G129" s="27">
        <v>123.0</v>
      </c>
      <c r="H129" s="8">
        <f t="shared" si="1"/>
        <v>-5</v>
      </c>
    </row>
    <row r="130">
      <c r="A130" s="10">
        <v>129.0</v>
      </c>
      <c r="B130" s="11" t="s">
        <v>2976</v>
      </c>
      <c r="C130" s="10" t="s">
        <v>150</v>
      </c>
      <c r="D130" s="10" t="s">
        <v>18</v>
      </c>
      <c r="E130" s="13">
        <f>IFERROR(__xludf.DUMMYFUNCTION("ifna(filter('Yahoo ADP'!$A$2:$A2766,'Yahoo ADP'!$B$2:$B2766=$B130,$C130='Yahoo ADP'!$C$2:$C2766,$D130='Yahoo ADP'!$D$2:$D2766))"),137.2)</f>
        <v>137.2</v>
      </c>
      <c r="F130" s="13">
        <f>IFERROR(__xludf.DUMMYFUNCTION("ifna(filter('Yahoo ADP'!$E$2:$E2766,'Yahoo ADP'!$B$2:$B2766=$B130,$C130='Yahoo ADP'!$C$2:$C2766,$D130='Yahoo ADP'!$D$2:$D2766))"),7.3)</f>
        <v>7.3</v>
      </c>
      <c r="G130" s="27">
        <v>125.0</v>
      </c>
      <c r="H130" s="8">
        <f t="shared" si="1"/>
        <v>-4</v>
      </c>
    </row>
    <row r="131">
      <c r="A131" s="10">
        <v>130.0</v>
      </c>
      <c r="B131" s="11" t="s">
        <v>2977</v>
      </c>
      <c r="C131" s="10" t="s">
        <v>22</v>
      </c>
      <c r="D131" s="10" t="s">
        <v>113</v>
      </c>
      <c r="E131" s="13">
        <f>IFERROR(__xludf.DUMMYFUNCTION("ifna(filter('Yahoo ADP'!$A$2:$A2766,'Yahoo ADP'!$B$2:$B2766=$B131,$C131='Yahoo ADP'!$C$2:$C2766,$D131='Yahoo ADP'!$D$2:$D2766))"),150.4)</f>
        <v>150.4</v>
      </c>
      <c r="F131" s="13">
        <f>IFERROR(__xludf.DUMMYFUNCTION("ifna(filter('Yahoo ADP'!$E$2:$E2766,'Yahoo ADP'!$B$2:$B2766=$B131,$C131='Yahoo ADP'!$C$2:$C2766,$D131='Yahoo ADP'!$D$2:$D2766))"),6.0)</f>
        <v>6</v>
      </c>
      <c r="G131" s="27">
        <v>130.0</v>
      </c>
      <c r="H131" s="8">
        <f t="shared" si="1"/>
        <v>0</v>
      </c>
    </row>
    <row r="132">
      <c r="A132" s="10">
        <v>131.0</v>
      </c>
      <c r="B132" s="11" t="s">
        <v>2978</v>
      </c>
      <c r="C132" s="10" t="s">
        <v>20</v>
      </c>
      <c r="D132" s="10" t="s">
        <v>23</v>
      </c>
      <c r="E132" s="13">
        <f>IFERROR(__xludf.DUMMYFUNCTION("ifna(filter('Yahoo ADP'!$A$2:$A2766,'Yahoo ADP'!$B$2:$B2766=$B132,$C132='Yahoo ADP'!$C$2:$C2766,$D132='Yahoo ADP'!$D$2:$D2766))"),161.2)</f>
        <v>161.2</v>
      </c>
      <c r="F132" s="13">
        <f>IFERROR(__xludf.DUMMYFUNCTION("ifna(filter('Yahoo ADP'!$E$2:$E2766,'Yahoo ADP'!$B$2:$B2766=$B132,$C132='Yahoo ADP'!$C$2:$C2766,$D132='Yahoo ADP'!$D$2:$D2766))"),5.7)</f>
        <v>5.7</v>
      </c>
      <c r="G132" s="27">
        <v>134.0</v>
      </c>
      <c r="H132" s="8">
        <f t="shared" si="1"/>
        <v>3</v>
      </c>
    </row>
    <row r="133">
      <c r="A133" s="10">
        <v>132.0</v>
      </c>
      <c r="B133" s="11" t="s">
        <v>2979</v>
      </c>
      <c r="C133" s="10" t="s">
        <v>150</v>
      </c>
      <c r="D133" s="10" t="s">
        <v>15</v>
      </c>
      <c r="E133" s="13">
        <f>IFERROR(__xludf.DUMMYFUNCTION("ifna(filter('Yahoo ADP'!$A$2:$A2766,'Yahoo ADP'!$B$2:$B2766=$B133,$C133='Yahoo ADP'!$C$2:$C2766,$D133='Yahoo ADP'!$D$2:$D2766))"),146.2)</f>
        <v>146.2</v>
      </c>
      <c r="F133" s="13">
        <f>IFERROR(__xludf.DUMMYFUNCTION("ifna(filter('Yahoo ADP'!$E$2:$E2766,'Yahoo ADP'!$B$2:$B2766=$B133,$C133='Yahoo ADP'!$C$2:$C2766,$D133='Yahoo ADP'!$D$2:$D2766))"),5.7)</f>
        <v>5.7</v>
      </c>
      <c r="G133" s="27">
        <v>135.0</v>
      </c>
      <c r="H133" s="8">
        <f t="shared" si="1"/>
        <v>3</v>
      </c>
    </row>
    <row r="134">
      <c r="A134" s="10">
        <v>133.0</v>
      </c>
      <c r="B134" s="11" t="s">
        <v>2980</v>
      </c>
      <c r="C134" s="10" t="s">
        <v>14</v>
      </c>
      <c r="D134" s="10" t="s">
        <v>25</v>
      </c>
      <c r="E134" s="13">
        <f>IFERROR(__xludf.DUMMYFUNCTION("ifna(filter('Yahoo ADP'!$A$2:$A2766,'Yahoo ADP'!$B$2:$B2766=$B134,$C134='Yahoo ADP'!$C$2:$C2766,$D134='Yahoo ADP'!$D$2:$D2766))"),171.0)</f>
        <v>171</v>
      </c>
      <c r="F134" s="13">
        <f>IFERROR(__xludf.DUMMYFUNCTION("ifna(filter('Yahoo ADP'!$E$2:$E2766,'Yahoo ADP'!$B$2:$B2766=$B134,$C134='Yahoo ADP'!$C$2:$C2766,$D134='Yahoo ADP'!$D$2:$D2766))"),3.5)</f>
        <v>3.5</v>
      </c>
      <c r="G134" s="27">
        <v>145.0</v>
      </c>
      <c r="H134" s="8">
        <f t="shared" si="1"/>
        <v>12</v>
      </c>
    </row>
    <row r="135">
      <c r="A135" s="10">
        <v>134.0</v>
      </c>
      <c r="B135" s="11" t="s">
        <v>2981</v>
      </c>
      <c r="C135" s="10" t="s">
        <v>199</v>
      </c>
      <c r="D135" s="10" t="s">
        <v>9</v>
      </c>
      <c r="E135" s="13">
        <f>IFERROR(__xludf.DUMMYFUNCTION("ifna(filter('Yahoo ADP'!$A$2:$A2766,'Yahoo ADP'!$B$2:$B2766=$B135,$C135='Yahoo ADP'!$C$2:$C2766,$D135='Yahoo ADP'!$D$2:$D2766))"),128.8)</f>
        <v>128.8</v>
      </c>
      <c r="F135" s="13">
        <f>IFERROR(__xludf.DUMMYFUNCTION("ifna(filter('Yahoo ADP'!$E$2:$E2766,'Yahoo ADP'!$B$2:$B2766=$B135,$C135='Yahoo ADP'!$C$2:$C2766,$D135='Yahoo ADP'!$D$2:$D2766))"),8.1)</f>
        <v>8.1</v>
      </c>
      <c r="G135" s="27">
        <v>136.0</v>
      </c>
      <c r="H135" s="8">
        <f t="shared" si="1"/>
        <v>2</v>
      </c>
    </row>
    <row r="136">
      <c r="A136" s="10">
        <v>135.0</v>
      </c>
      <c r="B136" s="11" t="s">
        <v>2982</v>
      </c>
      <c r="C136" s="10" t="s">
        <v>22</v>
      </c>
      <c r="D136" s="10" t="s">
        <v>9</v>
      </c>
      <c r="E136" s="13">
        <f>IFERROR(__xludf.DUMMYFUNCTION("ifna(filter('Yahoo ADP'!$A$2:$A2766,'Yahoo ADP'!$B$2:$B2766=$B136,$C136='Yahoo ADP'!$C$2:$C2766,$D136='Yahoo ADP'!$D$2:$D2766))"),108.9)</f>
        <v>108.9</v>
      </c>
      <c r="F136" s="13">
        <f>IFERROR(__xludf.DUMMYFUNCTION("ifna(filter('Yahoo ADP'!$E$2:$E2766,'Yahoo ADP'!$B$2:$B2766=$B136,$C136='Yahoo ADP'!$C$2:$C2766,$D136='Yahoo ADP'!$D$2:$D2766))"),10.0)</f>
        <v>10</v>
      </c>
      <c r="G136" s="27">
        <v>122.0</v>
      </c>
      <c r="H136" s="8">
        <f t="shared" si="1"/>
        <v>-13</v>
      </c>
    </row>
    <row r="137">
      <c r="A137" s="10">
        <v>136.0</v>
      </c>
      <c r="B137" s="11" t="s">
        <v>2983</v>
      </c>
      <c r="C137" s="10" t="s">
        <v>17</v>
      </c>
      <c r="D137" s="10" t="s">
        <v>85</v>
      </c>
      <c r="E137" s="13">
        <f>IFERROR(__xludf.DUMMYFUNCTION("ifna(filter('Yahoo ADP'!$A$2:$A2766,'Yahoo ADP'!$B$2:$B2766=$B137,$C137='Yahoo ADP'!$C$2:$C2766,$D137='Yahoo ADP'!$D$2:$D2766))"),179.1)</f>
        <v>179.1</v>
      </c>
      <c r="F137" s="13">
        <f>IFERROR(__xludf.DUMMYFUNCTION("ifna(filter('Yahoo ADP'!$E$2:$E2766,'Yahoo ADP'!$B$2:$B2766=$B137,$C137='Yahoo ADP'!$C$2:$C2766,$D137='Yahoo ADP'!$D$2:$D2766))"),3.1)</f>
        <v>3.1</v>
      </c>
      <c r="G137" s="27">
        <v>152.0</v>
      </c>
      <c r="H137" s="8">
        <f t="shared" si="1"/>
        <v>16</v>
      </c>
    </row>
    <row r="138">
      <c r="A138" s="10">
        <v>137.0</v>
      </c>
      <c r="B138" s="11" t="s">
        <v>2984</v>
      </c>
      <c r="C138" s="10" t="s">
        <v>22</v>
      </c>
      <c r="D138" s="10" t="s">
        <v>52</v>
      </c>
      <c r="E138" s="13">
        <f>IFERROR(__xludf.DUMMYFUNCTION("ifna(filter('Yahoo ADP'!$A$2:$A2766,'Yahoo ADP'!$B$2:$B2766=$B138,$C138='Yahoo ADP'!$C$2:$C2766,$D138='Yahoo ADP'!$D$2:$D2766))"),159.1)</f>
        <v>159.1</v>
      </c>
      <c r="F138" s="13">
        <f>IFERROR(__xludf.DUMMYFUNCTION("ifna(filter('Yahoo ADP'!$E$2:$E2766,'Yahoo ADP'!$B$2:$B2766=$B138,$C138='Yahoo ADP'!$C$2:$C2766,$D138='Yahoo ADP'!$D$2:$D2766))"),3.4)</f>
        <v>3.4</v>
      </c>
      <c r="G138" s="27">
        <v>149.0</v>
      </c>
      <c r="H138" s="8">
        <f t="shared" si="1"/>
        <v>12</v>
      </c>
    </row>
    <row r="139">
      <c r="A139" s="10">
        <v>138.0</v>
      </c>
      <c r="B139" s="11" t="s">
        <v>2985</v>
      </c>
      <c r="C139" s="10" t="s">
        <v>17</v>
      </c>
      <c r="D139" s="10" t="s">
        <v>36</v>
      </c>
      <c r="E139" s="13">
        <f>IFERROR(__xludf.DUMMYFUNCTION("ifna(filter('Yahoo ADP'!$A$2:$A2766,'Yahoo ADP'!$B$2:$B2766=$B139,$C139='Yahoo ADP'!$C$2:$C2766,$D139='Yahoo ADP'!$D$2:$D2766))"),158.3)</f>
        <v>158.3</v>
      </c>
      <c r="F139" s="13">
        <f>IFERROR(__xludf.DUMMYFUNCTION("ifna(filter('Yahoo ADP'!$E$2:$E2766,'Yahoo ADP'!$B$2:$B2766=$B139,$C139='Yahoo ADP'!$C$2:$C2766,$D139='Yahoo ADP'!$D$2:$D2766))"),6.3)</f>
        <v>6.3</v>
      </c>
      <c r="G139" s="27">
        <v>128.0</v>
      </c>
      <c r="H139" s="8">
        <f t="shared" si="1"/>
        <v>-10</v>
      </c>
    </row>
    <row r="140">
      <c r="A140" s="10">
        <v>139.0</v>
      </c>
      <c r="B140" s="11" t="s">
        <v>2986</v>
      </c>
      <c r="C140" s="10" t="s">
        <v>11</v>
      </c>
      <c r="D140" s="10" t="s">
        <v>46</v>
      </c>
      <c r="E140" s="13">
        <f>IFERROR(__xludf.DUMMYFUNCTION("ifna(filter('Yahoo ADP'!$A$2:$A2766,'Yahoo ADP'!$B$2:$B2766=$B140,$C140='Yahoo ADP'!$C$2:$C2766,$D140='Yahoo ADP'!$D$2:$D2766))"),131.6)</f>
        <v>131.6</v>
      </c>
      <c r="F140" s="13">
        <f>IFERROR(__xludf.DUMMYFUNCTION("ifna(filter('Yahoo ADP'!$E$2:$E2766,'Yahoo ADP'!$B$2:$B2766=$B140,$C140='Yahoo ADP'!$C$2:$C2766,$D140='Yahoo ADP'!$D$2:$D2766))"),8.4)</f>
        <v>8.4</v>
      </c>
      <c r="G140" s="27">
        <v>120.0</v>
      </c>
      <c r="H140" s="8">
        <f t="shared" si="1"/>
        <v>-19</v>
      </c>
    </row>
    <row r="141">
      <c r="A141" s="10">
        <v>140.0</v>
      </c>
      <c r="B141" s="11" t="s">
        <v>2987</v>
      </c>
      <c r="C141" s="10" t="s">
        <v>77</v>
      </c>
      <c r="D141" s="10" t="s">
        <v>206</v>
      </c>
      <c r="E141" s="13">
        <f>IFERROR(__xludf.DUMMYFUNCTION("ifna(filter('Yahoo ADP'!$A$2:$A2766,'Yahoo ADP'!$B$2:$B2766=$B141,$C141='Yahoo ADP'!$C$2:$C2766,$D141='Yahoo ADP'!$D$2:$D2766))"),132.8)</f>
        <v>132.8</v>
      </c>
      <c r="F141" s="13">
        <f>IFERROR(__xludf.DUMMYFUNCTION("ifna(filter('Yahoo ADP'!$E$2:$E2766,'Yahoo ADP'!$B$2:$B2766=$B141,$C141='Yahoo ADP'!$C$2:$C2766,$D141='Yahoo ADP'!$D$2:$D2766))"),6.5)</f>
        <v>6.5</v>
      </c>
      <c r="G141" s="27">
        <v>131.0</v>
      </c>
      <c r="H141" s="8">
        <f t="shared" si="1"/>
        <v>-9</v>
      </c>
    </row>
    <row r="142">
      <c r="A142" s="10">
        <v>141.0</v>
      </c>
      <c r="B142" s="11" t="s">
        <v>2988</v>
      </c>
      <c r="C142" s="10" t="s">
        <v>79</v>
      </c>
      <c r="D142" s="10" t="s">
        <v>82</v>
      </c>
      <c r="E142" s="13">
        <f>IFERROR(__xludf.DUMMYFUNCTION("ifna(filter('Yahoo ADP'!$A$2:$A2766,'Yahoo ADP'!$B$2:$B2766=$B142,$C142='Yahoo ADP'!$C$2:$C2766,$D142='Yahoo ADP'!$D$2:$D2766))"),109.0)</f>
        <v>109</v>
      </c>
      <c r="F142" s="13">
        <f>IFERROR(__xludf.DUMMYFUNCTION("ifna(filter('Yahoo ADP'!$E$2:$E2766,'Yahoo ADP'!$B$2:$B2766=$B142,$C142='Yahoo ADP'!$C$2:$C2766,$D142='Yahoo ADP'!$D$2:$D2766))"),7.5)</f>
        <v>7.5</v>
      </c>
      <c r="G142" s="27">
        <v>146.0</v>
      </c>
      <c r="H142" s="8">
        <f t="shared" si="1"/>
        <v>5</v>
      </c>
    </row>
    <row r="143">
      <c r="A143" s="10">
        <v>142.0</v>
      </c>
      <c r="B143" s="11" t="s">
        <v>2989</v>
      </c>
      <c r="C143" s="10" t="s">
        <v>17</v>
      </c>
      <c r="D143" s="10" t="s">
        <v>85</v>
      </c>
      <c r="E143" s="13">
        <f>IFERROR(__xludf.DUMMYFUNCTION("ifna(filter('Yahoo ADP'!$A$2:$A2766,'Yahoo ADP'!$B$2:$B2766=$B143,$C143='Yahoo ADP'!$C$2:$C2766,$D143='Yahoo ADP'!$D$2:$D2766))"),167.4)</f>
        <v>167.4</v>
      </c>
      <c r="F143" s="13">
        <f>IFERROR(__xludf.DUMMYFUNCTION("ifna(filter('Yahoo ADP'!$E$2:$E2766,'Yahoo ADP'!$B$2:$B2766=$B143,$C143='Yahoo ADP'!$C$2:$C2766,$D143='Yahoo ADP'!$D$2:$D2766))"),4.9)</f>
        <v>4.9</v>
      </c>
      <c r="G143" s="27">
        <v>137.0</v>
      </c>
      <c r="H143" s="8">
        <f t="shared" si="1"/>
        <v>-5</v>
      </c>
    </row>
    <row r="144">
      <c r="A144" s="10">
        <v>143.0</v>
      </c>
      <c r="B144" s="11" t="s">
        <v>2990</v>
      </c>
      <c r="C144" s="10" t="s">
        <v>11</v>
      </c>
      <c r="D144" s="10" t="s">
        <v>15</v>
      </c>
      <c r="E144" s="13">
        <f>IFERROR(__xludf.DUMMYFUNCTION("ifna(filter('Yahoo ADP'!$A$2:$A2766,'Yahoo ADP'!$B$2:$B2766=$B144,$C144='Yahoo ADP'!$C$2:$C2766,$D144='Yahoo ADP'!$D$2:$D2766))"),130.2)</f>
        <v>130.2</v>
      </c>
      <c r="F144" s="13">
        <f>IFERROR(__xludf.DUMMYFUNCTION("ifna(filter('Yahoo ADP'!$E$2:$E2766,'Yahoo ADP'!$B$2:$B2766=$B144,$C144='Yahoo ADP'!$C$2:$C2766,$D144='Yahoo ADP'!$D$2:$D2766))"),6.7)</f>
        <v>6.7</v>
      </c>
      <c r="G144" s="27">
        <v>132.0</v>
      </c>
      <c r="H144" s="8">
        <f t="shared" si="1"/>
        <v>-11</v>
      </c>
    </row>
    <row r="145">
      <c r="A145" s="10">
        <v>144.0</v>
      </c>
      <c r="B145" s="11" t="s">
        <v>2991</v>
      </c>
      <c r="C145" s="10" t="s">
        <v>22</v>
      </c>
      <c r="D145" s="10" t="s">
        <v>95</v>
      </c>
      <c r="E145" s="13">
        <f>IFERROR(__xludf.DUMMYFUNCTION("ifna(filter('Yahoo ADP'!$A$2:$A2766,'Yahoo ADP'!$B$2:$B2766=$B145,$C145='Yahoo ADP'!$C$2:$C2766,$D145='Yahoo ADP'!$D$2:$D2766))"),182.4)</f>
        <v>182.4</v>
      </c>
      <c r="F145" s="13">
        <f>IFERROR(__xludf.DUMMYFUNCTION("ifna(filter('Yahoo ADP'!$E$2:$E2766,'Yahoo ADP'!$B$2:$B2766=$B145,$C145='Yahoo ADP'!$C$2:$C2766,$D145='Yahoo ADP'!$D$2:$D2766))"),2.2)</f>
        <v>2.2</v>
      </c>
      <c r="G145" s="27">
        <v>163.0</v>
      </c>
      <c r="H145" s="8">
        <f t="shared" si="1"/>
        <v>19</v>
      </c>
    </row>
    <row r="146">
      <c r="A146" s="10">
        <v>145.0</v>
      </c>
      <c r="B146" s="11" t="s">
        <v>2992</v>
      </c>
      <c r="C146" s="10" t="s">
        <v>20</v>
      </c>
      <c r="D146" s="10" t="s">
        <v>129</v>
      </c>
      <c r="E146" s="13">
        <f>IFERROR(__xludf.DUMMYFUNCTION("ifna(filter('Yahoo ADP'!$A$2:$A2766,'Yahoo ADP'!$B$2:$B2766=$B146,$C146='Yahoo ADP'!$C$2:$C2766,$D146='Yahoo ADP'!$D$2:$D2766))"),175.7)</f>
        <v>175.7</v>
      </c>
      <c r="F146" s="13">
        <f>IFERROR(__xludf.DUMMYFUNCTION("ifna(filter('Yahoo ADP'!$E$2:$E2766,'Yahoo ADP'!$B$2:$B2766=$B146,$C146='Yahoo ADP'!$C$2:$C2766,$D146='Yahoo ADP'!$D$2:$D2766))"),4.5)</f>
        <v>4.5</v>
      </c>
      <c r="G146" s="27">
        <v>140.0</v>
      </c>
      <c r="H146" s="8">
        <f t="shared" si="1"/>
        <v>-5</v>
      </c>
    </row>
    <row r="147">
      <c r="A147" s="10">
        <v>146.0</v>
      </c>
      <c r="B147" s="11" t="s">
        <v>2993</v>
      </c>
      <c r="C147" s="10" t="s">
        <v>136</v>
      </c>
      <c r="D147" s="10" t="s">
        <v>95</v>
      </c>
      <c r="E147" s="13">
        <f>IFERROR(__xludf.DUMMYFUNCTION("ifna(filter('Yahoo ADP'!$A$2:$A2766,'Yahoo ADP'!$B$2:$B2766=$B147,$C147='Yahoo ADP'!$C$2:$C2766,$D147='Yahoo ADP'!$D$2:$D2766))"),172.0)</f>
        <v>172</v>
      </c>
      <c r="F147" s="13">
        <f>IFERROR(__xludf.DUMMYFUNCTION("ifna(filter('Yahoo ADP'!$E$2:$E2766,'Yahoo ADP'!$B$2:$B2766=$B147,$C147='Yahoo ADP'!$C$2:$C2766,$D147='Yahoo ADP'!$D$2:$D2766))"),3.9)</f>
        <v>3.9</v>
      </c>
      <c r="G147" s="27">
        <v>148.0</v>
      </c>
      <c r="H147" s="8">
        <f t="shared" si="1"/>
        <v>2</v>
      </c>
    </row>
    <row r="148">
      <c r="A148" s="10">
        <v>147.0</v>
      </c>
      <c r="B148" s="11" t="s">
        <v>2994</v>
      </c>
      <c r="C148" s="10" t="s">
        <v>79</v>
      </c>
      <c r="D148" s="10" t="s">
        <v>15</v>
      </c>
      <c r="E148" s="13">
        <f>IFERROR(__xludf.DUMMYFUNCTION("ifna(filter('Yahoo ADP'!$A$2:$A2766,'Yahoo ADP'!$B$2:$B2766=$B148,$C148='Yahoo ADP'!$C$2:$C2766,$D148='Yahoo ADP'!$D$2:$D2766))"),104.2)</f>
        <v>104.2</v>
      </c>
      <c r="F148" s="13">
        <f>IFERROR(__xludf.DUMMYFUNCTION("ifna(filter('Yahoo ADP'!$E$2:$E2766,'Yahoo ADP'!$B$2:$B2766=$B148,$C148='Yahoo ADP'!$C$2:$C2766,$D148='Yahoo ADP'!$D$2:$D2766))"),8.3)</f>
        <v>8.3</v>
      </c>
      <c r="G148" s="27">
        <v>179.0</v>
      </c>
      <c r="H148" s="8">
        <f t="shared" si="1"/>
        <v>32</v>
      </c>
    </row>
    <row r="149">
      <c r="A149" s="10">
        <v>148.0</v>
      </c>
      <c r="B149" s="11" t="s">
        <v>2995</v>
      </c>
      <c r="C149" s="10" t="s">
        <v>189</v>
      </c>
      <c r="D149" s="10" t="s">
        <v>95</v>
      </c>
      <c r="E149" s="13">
        <f>IFERROR(__xludf.DUMMYFUNCTION("ifna(filter('Yahoo ADP'!$A$2:$A2766,'Yahoo ADP'!$B$2:$B2766=$B149,$C149='Yahoo ADP'!$C$2:$C2766,$D149='Yahoo ADP'!$D$2:$D2766))"),169.4)</f>
        <v>169.4</v>
      </c>
      <c r="F149" s="13">
        <f>IFERROR(__xludf.DUMMYFUNCTION("ifna(filter('Yahoo ADP'!$E$2:$E2766,'Yahoo ADP'!$B$2:$B2766=$B149,$C149='Yahoo ADP'!$C$2:$C2766,$D149='Yahoo ADP'!$D$2:$D2766))"),3.0)</f>
        <v>3</v>
      </c>
      <c r="G149" s="27">
        <v>166.0</v>
      </c>
      <c r="H149" s="8">
        <f t="shared" si="1"/>
        <v>18</v>
      </c>
    </row>
    <row r="150">
      <c r="A150" s="10">
        <v>149.0</v>
      </c>
      <c r="B150" s="11" t="s">
        <v>2996</v>
      </c>
      <c r="C150" s="10" t="s">
        <v>69</v>
      </c>
      <c r="D150" s="10" t="s">
        <v>23</v>
      </c>
      <c r="E150" s="13">
        <f>IFERROR(__xludf.DUMMYFUNCTION("ifna(filter('Yahoo ADP'!$A$2:$A2766,'Yahoo ADP'!$B$2:$B2766=$B150,$C150='Yahoo ADP'!$C$2:$C2766,$D150='Yahoo ADP'!$D$2:$D2766))"),149.7)</f>
        <v>149.7</v>
      </c>
      <c r="F150" s="13">
        <f>IFERROR(__xludf.DUMMYFUNCTION("ifna(filter('Yahoo ADP'!$E$2:$E2766,'Yahoo ADP'!$B$2:$B2766=$B150,$C150='Yahoo ADP'!$C$2:$C2766,$D150='Yahoo ADP'!$D$2:$D2766))"),5.5)</f>
        <v>5.5</v>
      </c>
      <c r="G150" s="27">
        <v>141.0</v>
      </c>
      <c r="H150" s="8">
        <f t="shared" si="1"/>
        <v>-8</v>
      </c>
    </row>
    <row r="151">
      <c r="A151" s="10">
        <v>150.0</v>
      </c>
      <c r="B151" s="11" t="s">
        <v>2997</v>
      </c>
      <c r="C151" s="10" t="s">
        <v>63</v>
      </c>
      <c r="D151" s="10" t="s">
        <v>25</v>
      </c>
      <c r="E151" s="13">
        <f>IFERROR(__xludf.DUMMYFUNCTION("ifna(filter('Yahoo ADP'!$A$2:$A2766,'Yahoo ADP'!$B$2:$B2766=$B151,$C151='Yahoo ADP'!$C$2:$C2766,$D151='Yahoo ADP'!$D$2:$D2766))"),182.4)</f>
        <v>182.4</v>
      </c>
      <c r="F151" s="13">
        <f>IFERROR(__xludf.DUMMYFUNCTION("ifna(filter('Yahoo ADP'!$E$2:$E2766,'Yahoo ADP'!$B$2:$B2766=$B151,$C151='Yahoo ADP'!$C$2:$C2766,$D151='Yahoo ADP'!$D$2:$D2766))"),3.3)</f>
        <v>3.3</v>
      </c>
      <c r="G151" s="27">
        <v>153.0</v>
      </c>
      <c r="H151" s="8">
        <f t="shared" si="1"/>
        <v>3</v>
      </c>
    </row>
    <row r="152">
      <c r="A152" s="10">
        <v>151.0</v>
      </c>
      <c r="B152" s="11" t="s">
        <v>2998</v>
      </c>
      <c r="C152" s="10" t="s">
        <v>218</v>
      </c>
      <c r="D152" s="10" t="s">
        <v>42</v>
      </c>
      <c r="E152" s="13">
        <f>IFERROR(__xludf.DUMMYFUNCTION("ifna(filter('Yahoo ADP'!$A$2:$A2766,'Yahoo ADP'!$B$2:$B2766=$B152,$C152='Yahoo ADP'!$C$2:$C2766,$D152='Yahoo ADP'!$D$2:$D2766))"),167.4)</f>
        <v>167.4</v>
      </c>
      <c r="F152" s="13">
        <f>IFERROR(__xludf.DUMMYFUNCTION("ifna(filter('Yahoo ADP'!$E$2:$E2766,'Yahoo ADP'!$B$2:$B2766=$B152,$C152='Yahoo ADP'!$C$2:$C2766,$D152='Yahoo ADP'!$D$2:$D2766))"),2.8)</f>
        <v>2.8</v>
      </c>
      <c r="G152" s="27">
        <v>154.0</v>
      </c>
      <c r="H152" s="8">
        <f t="shared" si="1"/>
        <v>3</v>
      </c>
    </row>
    <row r="153">
      <c r="A153" s="10">
        <v>152.0</v>
      </c>
      <c r="B153" s="11" t="s">
        <v>2999</v>
      </c>
      <c r="C153" s="10" t="s">
        <v>220</v>
      </c>
      <c r="D153" s="10" t="s">
        <v>46</v>
      </c>
      <c r="E153" s="13">
        <f>IFERROR(__xludf.DUMMYFUNCTION("ifna(filter('Yahoo ADP'!$A$2:$A2766,'Yahoo ADP'!$B$2:$B2766=$B153,$C153='Yahoo ADP'!$C$2:$C2766,$D153='Yahoo ADP'!$D$2:$D2766))"),169.4)</f>
        <v>169.4</v>
      </c>
      <c r="F153" s="13">
        <f>IFERROR(__xludf.DUMMYFUNCTION("ifna(filter('Yahoo ADP'!$E$2:$E2766,'Yahoo ADP'!$B$2:$B2766=$B153,$C153='Yahoo ADP'!$C$2:$C2766,$D153='Yahoo ADP'!$D$2:$D2766))"),3.6)</f>
        <v>3.6</v>
      </c>
      <c r="G153" s="27">
        <v>192.0</v>
      </c>
      <c r="H153" s="8">
        <f t="shared" si="1"/>
        <v>40</v>
      </c>
    </row>
    <row r="154">
      <c r="A154" s="10">
        <v>153.0</v>
      </c>
      <c r="B154" s="11" t="s">
        <v>3000</v>
      </c>
      <c r="C154" s="10" t="s">
        <v>20</v>
      </c>
      <c r="D154" s="10" t="s">
        <v>27</v>
      </c>
      <c r="E154" s="13">
        <f>IFERROR(__xludf.DUMMYFUNCTION("ifna(filter('Yahoo ADP'!$A$2:$A2766,'Yahoo ADP'!$B$2:$B2766=$B154,$C154='Yahoo ADP'!$C$2:$C2766,$D154='Yahoo ADP'!$D$2:$D2766))"),168.1)</f>
        <v>168.1</v>
      </c>
      <c r="F154" s="13">
        <f>IFERROR(__xludf.DUMMYFUNCTION("ifna(filter('Yahoo ADP'!$E$2:$E2766,'Yahoo ADP'!$B$2:$B2766=$B154,$C154='Yahoo ADP'!$C$2:$C2766,$D154='Yahoo ADP'!$D$2:$D2766))"),3.0)</f>
        <v>3</v>
      </c>
      <c r="G154" s="27">
        <v>162.0</v>
      </c>
      <c r="H154" s="8">
        <f t="shared" si="1"/>
        <v>9</v>
      </c>
    </row>
    <row r="155">
      <c r="A155" s="10">
        <v>154.0</v>
      </c>
      <c r="B155" s="11" t="s">
        <v>3001</v>
      </c>
      <c r="C155" s="10" t="s">
        <v>20</v>
      </c>
      <c r="D155" s="10" t="s">
        <v>73</v>
      </c>
      <c r="E155" s="13">
        <f>IFERROR(__xludf.DUMMYFUNCTION("ifna(filter('Yahoo ADP'!$A$2:$A2766,'Yahoo ADP'!$B$2:$B2766=$B155,$C155='Yahoo ADP'!$C$2:$C2766,$D155='Yahoo ADP'!$D$2:$D2766))"),173.7)</f>
        <v>173.7</v>
      </c>
      <c r="F155" s="13">
        <f>IFERROR(__xludf.DUMMYFUNCTION("ifna(filter('Yahoo ADP'!$E$2:$E2766,'Yahoo ADP'!$B$2:$B2766=$B155,$C155='Yahoo ADP'!$C$2:$C2766,$D155='Yahoo ADP'!$D$2:$D2766))"),4.9)</f>
        <v>4.9</v>
      </c>
      <c r="G155" s="27">
        <v>138.0</v>
      </c>
      <c r="H155" s="8">
        <f t="shared" si="1"/>
        <v>-16</v>
      </c>
    </row>
    <row r="156">
      <c r="A156" s="10">
        <v>155.0</v>
      </c>
      <c r="B156" s="11" t="s">
        <v>3002</v>
      </c>
      <c r="C156" s="10" t="s">
        <v>22</v>
      </c>
      <c r="D156" s="10" t="s">
        <v>113</v>
      </c>
      <c r="E156" s="13">
        <f>IFERROR(__xludf.DUMMYFUNCTION("ifna(filter('Yahoo ADP'!$A$2:$A2766,'Yahoo ADP'!$B$2:$B2766=$B156,$C156='Yahoo ADP'!$C$2:$C2766,$D156='Yahoo ADP'!$D$2:$D2766))"),188.8)</f>
        <v>188.8</v>
      </c>
      <c r="F156" s="13">
        <f>IFERROR(__xludf.DUMMYFUNCTION("ifna(filter('Yahoo ADP'!$E$2:$E2766,'Yahoo ADP'!$B$2:$B2766=$B156,$C156='Yahoo ADP'!$C$2:$C2766,$D156='Yahoo ADP'!$D$2:$D2766))"),2.0)</f>
        <v>2</v>
      </c>
      <c r="G156" s="27">
        <v>168.0</v>
      </c>
      <c r="H156" s="8">
        <f t="shared" si="1"/>
        <v>13</v>
      </c>
    </row>
    <row r="157">
      <c r="A157" s="10">
        <v>156.0</v>
      </c>
      <c r="B157" s="11" t="s">
        <v>3003</v>
      </c>
      <c r="C157" s="10" t="s">
        <v>11</v>
      </c>
      <c r="D157" s="10" t="s">
        <v>137</v>
      </c>
      <c r="E157" s="13">
        <f>IFERROR(__xludf.DUMMYFUNCTION("ifna(filter('Yahoo ADP'!$A$2:$A2766,'Yahoo ADP'!$B$2:$B2766=$B157,$C157='Yahoo ADP'!$C$2:$C2766,$D157='Yahoo ADP'!$D$2:$D2766))"),180.8)</f>
        <v>180.8</v>
      </c>
      <c r="F157" s="13">
        <f>IFERROR(__xludf.DUMMYFUNCTION("ifna(filter('Yahoo ADP'!$E$2:$E2766,'Yahoo ADP'!$B$2:$B2766=$B157,$C157='Yahoo ADP'!$C$2:$C2766,$D157='Yahoo ADP'!$D$2:$D2766))"),2.7)</f>
        <v>2.7</v>
      </c>
      <c r="G157" s="27">
        <v>169.0</v>
      </c>
      <c r="H157" s="8">
        <f t="shared" si="1"/>
        <v>13</v>
      </c>
    </row>
    <row r="158">
      <c r="A158" s="10">
        <v>157.0</v>
      </c>
      <c r="B158" s="11" t="s">
        <v>3004</v>
      </c>
      <c r="C158" s="10" t="s">
        <v>11</v>
      </c>
      <c r="D158" s="10" t="s">
        <v>23</v>
      </c>
      <c r="E158" s="13">
        <f>IFERROR(__xludf.DUMMYFUNCTION("ifna(filter('Yahoo ADP'!$A$2:$A2766,'Yahoo ADP'!$B$2:$B2766=$B158,$C158='Yahoo ADP'!$C$2:$C2766,$D158='Yahoo ADP'!$D$2:$D2766))"),197.1)</f>
        <v>197.1</v>
      </c>
      <c r="F158" s="13">
        <f>IFERROR(__xludf.DUMMYFUNCTION("ifna(filter('Yahoo ADP'!$E$2:$E2766,'Yahoo ADP'!$B$2:$B2766=$B158,$C158='Yahoo ADP'!$C$2:$C2766,$D158='Yahoo ADP'!$D$2:$D2766))"),2.4)</f>
        <v>2.4</v>
      </c>
      <c r="G158" s="27">
        <v>190.0</v>
      </c>
      <c r="H158" s="8">
        <f t="shared" si="1"/>
        <v>33</v>
      </c>
    </row>
    <row r="159">
      <c r="A159" s="10">
        <v>158.0</v>
      </c>
      <c r="B159" s="11" t="s">
        <v>3005</v>
      </c>
      <c r="C159" s="10" t="s">
        <v>55</v>
      </c>
      <c r="D159" s="10" t="s">
        <v>206</v>
      </c>
      <c r="E159" s="13">
        <f>IFERROR(__xludf.DUMMYFUNCTION("ifna(filter('Yahoo ADP'!$A$2:$A2766,'Yahoo ADP'!$B$2:$B2766=$B159,$C159='Yahoo ADP'!$C$2:$C2766,$D159='Yahoo ADP'!$D$2:$D2766))"),190.7)</f>
        <v>190.7</v>
      </c>
      <c r="F159" s="13">
        <f>IFERROR(__xludf.DUMMYFUNCTION("ifna(filter('Yahoo ADP'!$E$2:$E2766,'Yahoo ADP'!$B$2:$B2766=$B159,$C159='Yahoo ADP'!$C$2:$C2766,$D159='Yahoo ADP'!$D$2:$D2766))"),6.1)</f>
        <v>6.1</v>
      </c>
      <c r="G159" s="27">
        <v>2481.0</v>
      </c>
      <c r="H159" s="8">
        <f t="shared" si="1"/>
        <v>2323</v>
      </c>
    </row>
    <row r="160">
      <c r="A160" s="10">
        <v>159.0</v>
      </c>
      <c r="B160" s="11" t="s">
        <v>3006</v>
      </c>
      <c r="C160" s="10" t="s">
        <v>218</v>
      </c>
      <c r="D160" s="10" t="s">
        <v>82</v>
      </c>
      <c r="E160" s="13">
        <f>IFERROR(__xludf.DUMMYFUNCTION("ifna(filter('Yahoo ADP'!$A$2:$A2766,'Yahoo ADP'!$B$2:$B2766=$B160,$C160='Yahoo ADP'!$C$2:$C2766,$D160='Yahoo ADP'!$D$2:$D2766))"),155.1)</f>
        <v>155.1</v>
      </c>
      <c r="F160" s="13">
        <f>IFERROR(__xludf.DUMMYFUNCTION("ifna(filter('Yahoo ADP'!$E$2:$E2766,'Yahoo ADP'!$B$2:$B2766=$B160,$C160='Yahoo ADP'!$C$2:$C2766,$D160='Yahoo ADP'!$D$2:$D2766))"),3.4)</f>
        <v>3.4</v>
      </c>
      <c r="G160" s="27">
        <v>150.0</v>
      </c>
      <c r="H160" s="8">
        <f t="shared" si="1"/>
        <v>-9</v>
      </c>
    </row>
    <row r="161">
      <c r="A161" s="10">
        <v>160.0</v>
      </c>
      <c r="B161" s="11" t="s">
        <v>3007</v>
      </c>
      <c r="C161" s="10" t="s">
        <v>69</v>
      </c>
      <c r="D161" s="10" t="s">
        <v>113</v>
      </c>
      <c r="E161" s="13">
        <f>IFERROR(__xludf.DUMMYFUNCTION("ifna(filter('Yahoo ADP'!$A$2:$A2766,'Yahoo ADP'!$B$2:$B2766=$B161,$C161='Yahoo ADP'!$C$2:$C2766,$D161='Yahoo ADP'!$D$2:$D2766))"),227.9)</f>
        <v>227.9</v>
      </c>
      <c r="F161" s="13">
        <f>IFERROR(__xludf.DUMMYFUNCTION("ifna(filter('Yahoo ADP'!$E$2:$E2766,'Yahoo ADP'!$B$2:$B2766=$B161,$C161='Yahoo ADP'!$C$2:$C2766,$D161='Yahoo ADP'!$D$2:$D2766))"),1.8)</f>
        <v>1.8</v>
      </c>
      <c r="G161" s="27">
        <v>177.0</v>
      </c>
      <c r="H161" s="8">
        <f t="shared" si="1"/>
        <v>17</v>
      </c>
    </row>
    <row r="162">
      <c r="A162" s="10">
        <v>161.0</v>
      </c>
      <c r="B162" s="11" t="s">
        <v>3008</v>
      </c>
      <c r="C162" s="10" t="s">
        <v>22</v>
      </c>
      <c r="D162" s="10" t="s">
        <v>27</v>
      </c>
      <c r="E162" s="13">
        <f>IFERROR(__xludf.DUMMYFUNCTION("ifna(filter('Yahoo ADP'!$A$2:$A2766,'Yahoo ADP'!$B$2:$B2766=$B162,$C162='Yahoo ADP'!$C$2:$C2766,$D162='Yahoo ADP'!$D$2:$D2766))"),174.9)</f>
        <v>174.9</v>
      </c>
      <c r="F162" s="13">
        <f>IFERROR(__xludf.DUMMYFUNCTION("ifna(filter('Yahoo ADP'!$E$2:$E2766,'Yahoo ADP'!$B$2:$B2766=$B162,$C162='Yahoo ADP'!$C$2:$C2766,$D162='Yahoo ADP'!$D$2:$D2766))"),2.1)</f>
        <v>2.1</v>
      </c>
      <c r="G162" s="27">
        <v>156.0</v>
      </c>
      <c r="H162" s="8">
        <f t="shared" si="1"/>
        <v>-5</v>
      </c>
    </row>
    <row r="163">
      <c r="A163" s="10">
        <v>162.0</v>
      </c>
      <c r="B163" s="11" t="s">
        <v>3009</v>
      </c>
      <c r="C163" s="10" t="s">
        <v>22</v>
      </c>
      <c r="D163" s="10" t="s">
        <v>73</v>
      </c>
      <c r="E163" s="13">
        <f>IFERROR(__xludf.DUMMYFUNCTION("ifna(filter('Yahoo ADP'!$A$2:$A2766,'Yahoo ADP'!$B$2:$B2766=$B163,$C163='Yahoo ADP'!$C$2:$C2766,$D163='Yahoo ADP'!$D$2:$D2766))"),186.9)</f>
        <v>186.9</v>
      </c>
      <c r="F163" s="13">
        <f>IFERROR(__xludf.DUMMYFUNCTION("ifna(filter('Yahoo ADP'!$E$2:$E2766,'Yahoo ADP'!$B$2:$B2766=$B163,$C163='Yahoo ADP'!$C$2:$C2766,$D163='Yahoo ADP'!$D$2:$D2766))"),2.0)</f>
        <v>2</v>
      </c>
      <c r="G163" s="27">
        <v>167.0</v>
      </c>
      <c r="H163" s="8">
        <f t="shared" si="1"/>
        <v>5</v>
      </c>
    </row>
    <row r="164">
      <c r="A164" s="10">
        <v>163.0</v>
      </c>
      <c r="B164" s="11" t="s">
        <v>3010</v>
      </c>
      <c r="C164" s="10" t="s">
        <v>218</v>
      </c>
      <c r="D164" s="10" t="s">
        <v>206</v>
      </c>
      <c r="E164" s="13">
        <f>IFERROR(__xludf.DUMMYFUNCTION("ifna(filter('Yahoo ADP'!$A$2:$A2766,'Yahoo ADP'!$B$2:$B2766=$B164,$C164='Yahoo ADP'!$C$2:$C2766,$D164='Yahoo ADP'!$D$2:$D2766))"),216.6)</f>
        <v>216.6</v>
      </c>
      <c r="F164" s="13">
        <f>IFERROR(__xludf.DUMMYFUNCTION("ifna(filter('Yahoo ADP'!$E$2:$E2766,'Yahoo ADP'!$B$2:$B2766=$B164,$C164='Yahoo ADP'!$C$2:$C2766,$D164='Yahoo ADP'!$D$2:$D2766))"),2.6)</f>
        <v>2.6</v>
      </c>
      <c r="G164" s="27">
        <v>157.0</v>
      </c>
      <c r="H164" s="8">
        <f t="shared" si="1"/>
        <v>-6</v>
      </c>
    </row>
    <row r="165">
      <c r="A165" s="10">
        <v>164.0</v>
      </c>
      <c r="B165" s="11" t="s">
        <v>3011</v>
      </c>
      <c r="C165" s="10" t="s">
        <v>148</v>
      </c>
      <c r="D165" s="10" t="s">
        <v>46</v>
      </c>
      <c r="E165" s="13">
        <f>IFERROR(__xludf.DUMMYFUNCTION("ifna(filter('Yahoo ADP'!$A$2:$A2766,'Yahoo ADP'!$B$2:$B2766=$B165,$C165='Yahoo ADP'!$C$2:$C2766,$D165='Yahoo ADP'!$D$2:$D2766))"),128.4)</f>
        <v>128.4</v>
      </c>
      <c r="F165" s="13">
        <f>IFERROR(__xludf.DUMMYFUNCTION("ifna(filter('Yahoo ADP'!$E$2:$E2766,'Yahoo ADP'!$B$2:$B2766=$B165,$C165='Yahoo ADP'!$C$2:$C2766,$D165='Yahoo ADP'!$D$2:$D2766))"),6.5)</f>
        <v>6.5</v>
      </c>
      <c r="G165" s="27">
        <v>143.0</v>
      </c>
      <c r="H165" s="8">
        <f t="shared" si="1"/>
        <v>-21</v>
      </c>
    </row>
    <row r="166">
      <c r="A166" s="10">
        <v>165.0</v>
      </c>
      <c r="B166" s="11" t="s">
        <v>3012</v>
      </c>
      <c r="C166" s="10" t="s">
        <v>22</v>
      </c>
      <c r="D166" s="10" t="s">
        <v>27</v>
      </c>
      <c r="E166" s="13">
        <f>IFERROR(__xludf.DUMMYFUNCTION("ifna(filter('Yahoo ADP'!$A$2:$A2766,'Yahoo ADP'!$B$2:$B2766=$B166,$C166='Yahoo ADP'!$C$2:$C2766,$D166='Yahoo ADP'!$D$2:$D2766))"),150.7)</f>
        <v>150.7</v>
      </c>
      <c r="F166" s="13">
        <f>IFERROR(__xludf.DUMMYFUNCTION("ifna(filter('Yahoo ADP'!$E$2:$E2766,'Yahoo ADP'!$B$2:$B2766=$B166,$C166='Yahoo ADP'!$C$2:$C2766,$D166='Yahoo ADP'!$D$2:$D2766))"),3.5)</f>
        <v>3.5</v>
      </c>
      <c r="G166" s="27">
        <v>196.0</v>
      </c>
      <c r="H166" s="8">
        <f t="shared" si="1"/>
        <v>31</v>
      </c>
    </row>
    <row r="167">
      <c r="A167" s="10">
        <v>166.0</v>
      </c>
      <c r="B167" s="11" t="s">
        <v>3013</v>
      </c>
      <c r="C167" s="10" t="s">
        <v>8</v>
      </c>
      <c r="D167" s="10" t="s">
        <v>23</v>
      </c>
      <c r="E167" s="13">
        <f>IFERROR(__xludf.DUMMYFUNCTION("ifna(filter('Yahoo ADP'!$A$2:$A2766,'Yahoo ADP'!$B$2:$B2766=$B167,$C167='Yahoo ADP'!$C$2:$C2766,$D167='Yahoo ADP'!$D$2:$D2766))"),175.8)</f>
        <v>175.8</v>
      </c>
      <c r="F167" s="13">
        <f>IFERROR(__xludf.DUMMYFUNCTION("ifna(filter('Yahoo ADP'!$E$2:$E2766,'Yahoo ADP'!$B$2:$B2766=$B167,$C167='Yahoo ADP'!$C$2:$C2766,$D167='Yahoo ADP'!$D$2:$D2766))"),3.4)</f>
        <v>3.4</v>
      </c>
      <c r="G167" s="27">
        <v>171.0</v>
      </c>
      <c r="H167" s="8">
        <f t="shared" si="1"/>
        <v>5</v>
      </c>
    </row>
    <row r="168">
      <c r="A168" s="10">
        <v>167.0</v>
      </c>
      <c r="B168" s="11" t="s">
        <v>3014</v>
      </c>
      <c r="C168" s="10" t="s">
        <v>22</v>
      </c>
      <c r="D168" s="10" t="s">
        <v>42</v>
      </c>
      <c r="E168" s="13">
        <f>IFERROR(__xludf.DUMMYFUNCTION("ifna(filter('Yahoo ADP'!$A$2:$A2766,'Yahoo ADP'!$B$2:$B2766=$B168,$C168='Yahoo ADP'!$C$2:$C2766,$D168='Yahoo ADP'!$D$2:$D2766))"),59.6)</f>
        <v>59.6</v>
      </c>
      <c r="F168" s="13">
        <f>IFERROR(__xludf.DUMMYFUNCTION("ifna(filter('Yahoo ADP'!$E$2:$E2766,'Yahoo ADP'!$B$2:$B2766=$B168,$C168='Yahoo ADP'!$C$2:$C2766,$D168='Yahoo ADP'!$D$2:$D2766))"),19.6)</f>
        <v>19.6</v>
      </c>
      <c r="G168" s="27">
        <v>51.0</v>
      </c>
      <c r="H168" s="8">
        <f t="shared" si="1"/>
        <v>-116</v>
      </c>
    </row>
    <row r="169">
      <c r="A169" s="10">
        <v>168.0</v>
      </c>
      <c r="B169" s="11" t="s">
        <v>3015</v>
      </c>
      <c r="C169" s="10" t="s">
        <v>55</v>
      </c>
      <c r="D169" s="10" t="s">
        <v>67</v>
      </c>
      <c r="E169" s="13">
        <f>IFERROR(__xludf.DUMMYFUNCTION("ifna(filter('Yahoo ADP'!$A$2:$A2766,'Yahoo ADP'!$B$2:$B2766=$B169,$C169='Yahoo ADP'!$C$2:$C2766,$D169='Yahoo ADP'!$D$2:$D2766))"),211.8)</f>
        <v>211.8</v>
      </c>
      <c r="F169" s="13">
        <f>IFERROR(__xludf.DUMMYFUNCTION("ifna(filter('Yahoo ADP'!$E$2:$E2766,'Yahoo ADP'!$B$2:$B2766=$B169,$C169='Yahoo ADP'!$C$2:$C2766,$D169='Yahoo ADP'!$D$2:$D2766))"),2.1)</f>
        <v>2.1</v>
      </c>
      <c r="G169" s="27">
        <v>173.0</v>
      </c>
      <c r="H169" s="8">
        <f t="shared" si="1"/>
        <v>5</v>
      </c>
    </row>
    <row r="170">
      <c r="A170" s="10">
        <v>169.0</v>
      </c>
      <c r="B170" s="11" t="s">
        <v>3016</v>
      </c>
      <c r="C170" s="10" t="s">
        <v>48</v>
      </c>
      <c r="D170" s="10" t="s">
        <v>31</v>
      </c>
      <c r="E170" s="13">
        <f>IFERROR(__xludf.DUMMYFUNCTION("ifna(filter('Yahoo ADP'!$A$2:$A2766,'Yahoo ADP'!$B$2:$B2766=$B170,$C170='Yahoo ADP'!$C$2:$C2766,$D170='Yahoo ADP'!$D$2:$D2766))"),201.4)</f>
        <v>201.4</v>
      </c>
      <c r="F170" s="13">
        <f>IFERROR(__xludf.DUMMYFUNCTION("ifna(filter('Yahoo ADP'!$E$2:$E2766,'Yahoo ADP'!$B$2:$B2766=$B170,$C170='Yahoo ADP'!$C$2:$C2766,$D170='Yahoo ADP'!$D$2:$D2766))"),1.7)</f>
        <v>1.7</v>
      </c>
      <c r="G170" s="27">
        <v>170.0</v>
      </c>
      <c r="H170" s="8">
        <f t="shared" si="1"/>
        <v>1</v>
      </c>
    </row>
    <row r="171">
      <c r="A171" s="10">
        <v>170.0</v>
      </c>
      <c r="B171" s="11" t="s">
        <v>3017</v>
      </c>
      <c r="C171" s="10" t="s">
        <v>22</v>
      </c>
      <c r="D171" s="10" t="s">
        <v>206</v>
      </c>
      <c r="E171" s="13">
        <f>IFERROR(__xludf.DUMMYFUNCTION("ifna(filter('Yahoo ADP'!$A$2:$A2766,'Yahoo ADP'!$B$2:$B2766=$B171,$C171='Yahoo ADP'!$C$2:$C2766,$D171='Yahoo ADP'!$D$2:$D2766))"),184.9)</f>
        <v>184.9</v>
      </c>
      <c r="F171" s="13">
        <f>IFERROR(__xludf.DUMMYFUNCTION("ifna(filter('Yahoo ADP'!$E$2:$E2766,'Yahoo ADP'!$B$2:$B2766=$B171,$C171='Yahoo ADP'!$C$2:$C2766,$D171='Yahoo ADP'!$D$2:$D2766))"),2.1)</f>
        <v>2.1</v>
      </c>
      <c r="G171" s="27">
        <v>178.0</v>
      </c>
      <c r="H171" s="8">
        <f t="shared" si="1"/>
        <v>8</v>
      </c>
    </row>
    <row r="172">
      <c r="A172" s="10">
        <v>171.0</v>
      </c>
      <c r="B172" s="11" t="s">
        <v>3018</v>
      </c>
      <c r="C172" s="10" t="s">
        <v>240</v>
      </c>
      <c r="D172" s="10" t="s">
        <v>105</v>
      </c>
      <c r="E172" s="13">
        <f>IFERROR(__xludf.DUMMYFUNCTION("ifna(filter('Yahoo ADP'!$A$2:$A2766,'Yahoo ADP'!$B$2:$B2766=$B172,$C172='Yahoo ADP'!$C$2:$C2766,$D172='Yahoo ADP'!$D$2:$D2766))"),166.8)</f>
        <v>166.8</v>
      </c>
      <c r="F172" s="13">
        <f>IFERROR(__xludf.DUMMYFUNCTION("ifna(filter('Yahoo ADP'!$E$2:$E2766,'Yahoo ADP'!$B$2:$B2766=$B172,$C172='Yahoo ADP'!$C$2:$C2766,$D172='Yahoo ADP'!$D$2:$D2766))"),2.7)</f>
        <v>2.7</v>
      </c>
      <c r="G172" s="27">
        <v>165.0</v>
      </c>
      <c r="H172" s="8">
        <f t="shared" si="1"/>
        <v>-6</v>
      </c>
    </row>
    <row r="173">
      <c r="A173" s="10">
        <v>172.0</v>
      </c>
      <c r="B173" s="11" t="s">
        <v>3019</v>
      </c>
      <c r="C173" s="10" t="s">
        <v>242</v>
      </c>
      <c r="D173" s="10" t="s">
        <v>140</v>
      </c>
      <c r="E173" s="13">
        <f>IFERROR(__xludf.DUMMYFUNCTION("ifna(filter('Yahoo ADP'!$A$2:$A2766,'Yahoo ADP'!$B$2:$B2766=$B173,$C173='Yahoo ADP'!$C$2:$C2766,$D173='Yahoo ADP'!$D$2:$D2766))"),166.0)</f>
        <v>166</v>
      </c>
      <c r="F173" s="13">
        <f>IFERROR(__xludf.DUMMYFUNCTION("ifna(filter('Yahoo ADP'!$E$2:$E2766,'Yahoo ADP'!$B$2:$B2766=$B173,$C173='Yahoo ADP'!$C$2:$C2766,$D173='Yahoo ADP'!$D$2:$D2766))"),4.2)</f>
        <v>4.2</v>
      </c>
      <c r="G173" s="27">
        <v>159.0</v>
      </c>
      <c r="H173" s="8">
        <f t="shared" si="1"/>
        <v>-13</v>
      </c>
    </row>
    <row r="174">
      <c r="A174" s="10">
        <v>173.0</v>
      </c>
      <c r="B174" s="11" t="s">
        <v>3020</v>
      </c>
      <c r="C174" s="10" t="s">
        <v>79</v>
      </c>
      <c r="D174" s="10" t="s">
        <v>9</v>
      </c>
      <c r="E174" s="13">
        <f>IFERROR(__xludf.DUMMYFUNCTION("ifna(filter('Yahoo ADP'!$A$2:$A2766,'Yahoo ADP'!$B$2:$B2766=$B174,$C174='Yahoo ADP'!$C$2:$C2766,$D174='Yahoo ADP'!$D$2:$D2766))"),132.4)</f>
        <v>132.4</v>
      </c>
      <c r="F174" s="13">
        <f>IFERROR(__xludf.DUMMYFUNCTION("ifna(filter('Yahoo ADP'!$E$2:$E2766,'Yahoo ADP'!$B$2:$B2766=$B174,$C174='Yahoo ADP'!$C$2:$C2766,$D174='Yahoo ADP'!$D$2:$D2766))"),5.9)</f>
        <v>5.9</v>
      </c>
      <c r="G174" s="27">
        <v>212.0</v>
      </c>
      <c r="H174" s="8">
        <f t="shared" si="1"/>
        <v>39</v>
      </c>
    </row>
    <row r="175">
      <c r="A175" s="10">
        <v>174.0</v>
      </c>
      <c r="B175" s="11" t="s">
        <v>3021</v>
      </c>
      <c r="C175" s="10" t="s">
        <v>218</v>
      </c>
      <c r="D175" s="10" t="s">
        <v>71</v>
      </c>
      <c r="E175" s="13">
        <f>IFERROR(__xludf.DUMMYFUNCTION("ifna(filter('Yahoo ADP'!$A$2:$A2766,'Yahoo ADP'!$B$2:$B2766=$B175,$C175='Yahoo ADP'!$C$2:$C2766,$D175='Yahoo ADP'!$D$2:$D2766))"),184.3)</f>
        <v>184.3</v>
      </c>
      <c r="F175" s="13">
        <f>IFERROR(__xludf.DUMMYFUNCTION("ifna(filter('Yahoo ADP'!$E$2:$E2766,'Yahoo ADP'!$B$2:$B2766=$B175,$C175='Yahoo ADP'!$C$2:$C2766,$D175='Yahoo ADP'!$D$2:$D2766))"),2.6)</f>
        <v>2.6</v>
      </c>
      <c r="G175" s="27">
        <v>164.0</v>
      </c>
      <c r="H175" s="8">
        <f t="shared" si="1"/>
        <v>-10</v>
      </c>
    </row>
    <row r="176">
      <c r="A176" s="10">
        <v>175.0</v>
      </c>
      <c r="B176" s="11" t="s">
        <v>3022</v>
      </c>
      <c r="C176" s="10" t="s">
        <v>22</v>
      </c>
      <c r="D176" s="10" t="s">
        <v>122</v>
      </c>
      <c r="E176" s="13">
        <f>IFERROR(__xludf.DUMMYFUNCTION("ifna(filter('Yahoo ADP'!$A$2:$A2766,'Yahoo ADP'!$B$2:$B2766=$B176,$C176='Yahoo ADP'!$C$2:$C2766,$D176='Yahoo ADP'!$D$2:$D2766))"),196.9)</f>
        <v>196.9</v>
      </c>
      <c r="F176" s="13">
        <f>IFERROR(__xludf.DUMMYFUNCTION("ifna(filter('Yahoo ADP'!$E$2:$E2766,'Yahoo ADP'!$B$2:$B2766=$B176,$C176='Yahoo ADP'!$C$2:$C2766,$D176='Yahoo ADP'!$D$2:$D2766))"),1.8)</f>
        <v>1.8</v>
      </c>
      <c r="G176" s="27">
        <v>180.0</v>
      </c>
      <c r="H176" s="8">
        <f t="shared" si="1"/>
        <v>5</v>
      </c>
    </row>
    <row r="177">
      <c r="A177" s="10">
        <v>176.0</v>
      </c>
      <c r="B177" s="11" t="s">
        <v>3023</v>
      </c>
      <c r="C177" s="10" t="s">
        <v>11</v>
      </c>
      <c r="D177" s="10" t="s">
        <v>9</v>
      </c>
      <c r="E177" s="13">
        <f>IFERROR(__xludf.DUMMYFUNCTION("ifna(filter('Yahoo ADP'!$A$2:$A2766,'Yahoo ADP'!$B$2:$B2766=$B177,$C177='Yahoo ADP'!$C$2:$C2766,$D177='Yahoo ADP'!$D$2:$D2766))"),141.9)</f>
        <v>141.9</v>
      </c>
      <c r="F177" s="13">
        <f>IFERROR(__xludf.DUMMYFUNCTION("ifna(filter('Yahoo ADP'!$E$2:$E2766,'Yahoo ADP'!$B$2:$B2766=$B177,$C177='Yahoo ADP'!$C$2:$C2766,$D177='Yahoo ADP'!$D$2:$D2766))"),4.9)</f>
        <v>4.9</v>
      </c>
      <c r="G177" s="27">
        <v>144.0</v>
      </c>
      <c r="H177" s="8">
        <f t="shared" si="1"/>
        <v>-32</v>
      </c>
    </row>
    <row r="178">
      <c r="A178" s="10">
        <v>177.0</v>
      </c>
      <c r="B178" s="11" t="s">
        <v>3024</v>
      </c>
      <c r="C178" s="10" t="s">
        <v>69</v>
      </c>
      <c r="D178" s="10" t="s">
        <v>73</v>
      </c>
      <c r="E178" s="13">
        <f>IFERROR(__xludf.DUMMYFUNCTION("ifna(filter('Yahoo ADP'!$A$2:$A2766,'Yahoo ADP'!$B$2:$B2766=$B178,$C178='Yahoo ADP'!$C$2:$C2766,$D178='Yahoo ADP'!$D$2:$D2766))"),215.1)</f>
        <v>215.1</v>
      </c>
      <c r="F178" s="13">
        <f>IFERROR(__xludf.DUMMYFUNCTION("ifna(filter('Yahoo ADP'!$E$2:$E2766,'Yahoo ADP'!$B$2:$B2766=$B178,$C178='Yahoo ADP'!$C$2:$C2766,$D178='Yahoo ADP'!$D$2:$D2766))"),2.4)</f>
        <v>2.4</v>
      </c>
      <c r="G178" s="27">
        <v>160.0</v>
      </c>
      <c r="H178" s="8">
        <f t="shared" si="1"/>
        <v>-17</v>
      </c>
    </row>
    <row r="179">
      <c r="A179" s="10">
        <v>178.0</v>
      </c>
      <c r="B179" s="11" t="s">
        <v>3025</v>
      </c>
      <c r="C179" s="10" t="s">
        <v>63</v>
      </c>
      <c r="D179" s="10" t="s">
        <v>120</v>
      </c>
      <c r="E179" s="13">
        <f>IFERROR(__xludf.DUMMYFUNCTION("ifna(filter('Yahoo ADP'!$A$2:$A2766,'Yahoo ADP'!$B$2:$B2766=$B179,$C179='Yahoo ADP'!$C$2:$C2766,$D179='Yahoo ADP'!$D$2:$D2766))"),234.4)</f>
        <v>234.4</v>
      </c>
      <c r="F179" s="13">
        <f>IFERROR(__xludf.DUMMYFUNCTION("ifna(filter('Yahoo ADP'!$E$2:$E2766,'Yahoo ADP'!$B$2:$B2766=$B179,$C179='Yahoo ADP'!$C$2:$C2766,$D179='Yahoo ADP'!$D$2:$D2766))"),2.2)</f>
        <v>2.2</v>
      </c>
      <c r="G179" s="27">
        <v>182.0</v>
      </c>
      <c r="H179" s="8">
        <f t="shared" si="1"/>
        <v>4</v>
      </c>
    </row>
    <row r="180">
      <c r="A180" s="10">
        <v>179.0</v>
      </c>
      <c r="B180" s="11" t="s">
        <v>3026</v>
      </c>
      <c r="C180" s="10" t="s">
        <v>220</v>
      </c>
      <c r="D180" s="10" t="s">
        <v>31</v>
      </c>
      <c r="E180" s="13">
        <f>IFERROR(__xludf.DUMMYFUNCTION("ifna(filter('Yahoo ADP'!$A$2:$A2766,'Yahoo ADP'!$B$2:$B2766=$B180,$C180='Yahoo ADP'!$C$2:$C2766,$D180='Yahoo ADP'!$D$2:$D2766))"),179.3)</f>
        <v>179.3</v>
      </c>
      <c r="F180" s="13">
        <f>IFERROR(__xludf.DUMMYFUNCTION("ifna(filter('Yahoo ADP'!$E$2:$E2766,'Yahoo ADP'!$B$2:$B2766=$B180,$C180='Yahoo ADP'!$C$2:$C2766,$D180='Yahoo ADP'!$D$2:$D2766))"),3.1)</f>
        <v>3.1</v>
      </c>
      <c r="G180" s="27">
        <v>257.0</v>
      </c>
      <c r="H180" s="8">
        <f t="shared" si="1"/>
        <v>78</v>
      </c>
    </row>
    <row r="181">
      <c r="A181" s="10">
        <v>180.0</v>
      </c>
      <c r="B181" s="11" t="s">
        <v>3027</v>
      </c>
      <c r="C181" s="10" t="s">
        <v>69</v>
      </c>
      <c r="D181" s="10" t="s">
        <v>27</v>
      </c>
      <c r="E181" s="13">
        <f>IFERROR(__xludf.DUMMYFUNCTION("ifna(filter('Yahoo ADP'!$A$2:$A2766,'Yahoo ADP'!$B$2:$B2766=$B181,$C181='Yahoo ADP'!$C$2:$C2766,$D181='Yahoo ADP'!$D$2:$D2766))"),162.5)</f>
        <v>162.5</v>
      </c>
      <c r="F181" s="13">
        <f>IFERROR(__xludf.DUMMYFUNCTION("ifna(filter('Yahoo ADP'!$E$2:$E2766,'Yahoo ADP'!$B$2:$B2766=$B181,$C181='Yahoo ADP'!$C$2:$C2766,$D181='Yahoo ADP'!$D$2:$D2766))"),3.8)</f>
        <v>3.8</v>
      </c>
      <c r="G181" s="27">
        <v>151.0</v>
      </c>
      <c r="H181" s="8">
        <f t="shared" si="1"/>
        <v>-29</v>
      </c>
    </row>
    <row r="182">
      <c r="A182" s="10">
        <v>181.0</v>
      </c>
      <c r="B182" s="11" t="s">
        <v>3028</v>
      </c>
      <c r="C182" s="10" t="s">
        <v>20</v>
      </c>
      <c r="D182" s="10" t="s">
        <v>122</v>
      </c>
      <c r="E182" s="13">
        <f>IFERROR(__xludf.DUMMYFUNCTION("ifna(filter('Yahoo ADP'!$A$2:$A2766,'Yahoo ADP'!$B$2:$B2766=$B182,$C182='Yahoo ADP'!$C$2:$C2766,$D182='Yahoo ADP'!$D$2:$D2766))"),248.1)</f>
        <v>248.1</v>
      </c>
      <c r="F182" s="13">
        <f>IFERROR(__xludf.DUMMYFUNCTION("ifna(filter('Yahoo ADP'!$E$2:$E2766,'Yahoo ADP'!$B$2:$B2766=$B182,$C182='Yahoo ADP'!$C$2:$C2766,$D182='Yahoo ADP'!$D$2:$D2766))"),1.4)</f>
        <v>1.4</v>
      </c>
      <c r="G182" s="27">
        <v>209.0</v>
      </c>
      <c r="H182" s="8">
        <f t="shared" si="1"/>
        <v>28</v>
      </c>
    </row>
    <row r="183">
      <c r="A183" s="10">
        <v>182.0</v>
      </c>
      <c r="B183" s="11" t="s">
        <v>3029</v>
      </c>
      <c r="C183" s="10" t="s">
        <v>20</v>
      </c>
      <c r="D183" s="10" t="s">
        <v>52</v>
      </c>
      <c r="E183" s="13">
        <f>IFERROR(__xludf.DUMMYFUNCTION("ifna(filter('Yahoo ADP'!$A$2:$A2766,'Yahoo ADP'!$B$2:$B2766=$B183,$C183='Yahoo ADP'!$C$2:$C2766,$D183='Yahoo ADP'!$D$2:$D2766))"),223.5)</f>
        <v>223.5</v>
      </c>
      <c r="F183" s="13">
        <f>IFERROR(__xludf.DUMMYFUNCTION("ifna(filter('Yahoo ADP'!$E$2:$E2766,'Yahoo ADP'!$B$2:$B2766=$B183,$C183='Yahoo ADP'!$C$2:$C2766,$D183='Yahoo ADP'!$D$2:$D2766))"),2.1)</f>
        <v>2.1</v>
      </c>
      <c r="G183" s="27">
        <v>187.0</v>
      </c>
      <c r="H183" s="8">
        <f t="shared" si="1"/>
        <v>5</v>
      </c>
    </row>
    <row r="184">
      <c r="A184" s="10">
        <v>183.0</v>
      </c>
      <c r="B184" s="11" t="s">
        <v>3030</v>
      </c>
      <c r="C184" s="10" t="s">
        <v>218</v>
      </c>
      <c r="D184" s="10" t="s">
        <v>49</v>
      </c>
      <c r="E184" s="13">
        <f>IFERROR(__xludf.DUMMYFUNCTION("ifna(filter('Yahoo ADP'!$A$2:$A2766,'Yahoo ADP'!$B$2:$B2766=$B184,$C184='Yahoo ADP'!$C$2:$C2766,$D184='Yahoo ADP'!$D$2:$D2766))"),178.9)</f>
        <v>178.9</v>
      </c>
      <c r="F184" s="13">
        <f>IFERROR(__xludf.DUMMYFUNCTION("ifna(filter('Yahoo ADP'!$E$2:$E2766,'Yahoo ADP'!$B$2:$B2766=$B184,$C184='Yahoo ADP'!$C$2:$C2766,$D184='Yahoo ADP'!$D$2:$D2766))"),2.9)</f>
        <v>2.9</v>
      </c>
      <c r="G184" s="27">
        <v>175.0</v>
      </c>
      <c r="H184" s="8">
        <f t="shared" si="1"/>
        <v>-8</v>
      </c>
    </row>
    <row r="185">
      <c r="A185" s="10">
        <v>184.0</v>
      </c>
      <c r="B185" s="11" t="s">
        <v>3031</v>
      </c>
      <c r="C185" s="10" t="s">
        <v>55</v>
      </c>
      <c r="D185" s="10" t="s">
        <v>49</v>
      </c>
      <c r="E185" s="13">
        <f>IFERROR(__xludf.DUMMYFUNCTION("ifna(filter('Yahoo ADP'!$A$2:$A2766,'Yahoo ADP'!$B$2:$B2766=$B185,$C185='Yahoo ADP'!$C$2:$C2766,$D185='Yahoo ADP'!$D$2:$D2766))"),222.0)</f>
        <v>222</v>
      </c>
      <c r="F185" s="13">
        <f>IFERROR(__xludf.DUMMYFUNCTION("ifna(filter('Yahoo ADP'!$E$2:$E2766,'Yahoo ADP'!$B$2:$B2766=$B185,$C185='Yahoo ADP'!$C$2:$C2766,$D185='Yahoo ADP'!$D$2:$D2766))"),1.5)</f>
        <v>1.5</v>
      </c>
      <c r="G185" s="27">
        <v>204.0</v>
      </c>
      <c r="H185" s="8">
        <f t="shared" si="1"/>
        <v>20</v>
      </c>
    </row>
    <row r="186">
      <c r="A186" s="10">
        <v>185.0</v>
      </c>
      <c r="B186" s="11" t="s">
        <v>3032</v>
      </c>
      <c r="C186" s="10" t="s">
        <v>8</v>
      </c>
      <c r="D186" s="10" t="s">
        <v>105</v>
      </c>
      <c r="E186" s="13">
        <f>IFERROR(__xludf.DUMMYFUNCTION("ifna(filter('Yahoo ADP'!$A$2:$A2766,'Yahoo ADP'!$B$2:$B2766=$B186,$C186='Yahoo ADP'!$C$2:$C2766,$D186='Yahoo ADP'!$D$2:$D2766))"),219.7)</f>
        <v>219.7</v>
      </c>
      <c r="F186" s="13">
        <f>IFERROR(__xludf.DUMMYFUNCTION("ifna(filter('Yahoo ADP'!$E$2:$E2766,'Yahoo ADP'!$B$2:$B2766=$B186,$C186='Yahoo ADP'!$C$2:$C2766,$D186='Yahoo ADP'!$D$2:$D2766))"),1.7)</f>
        <v>1.7</v>
      </c>
      <c r="G186" s="27">
        <v>207.0</v>
      </c>
      <c r="H186" s="8">
        <f t="shared" si="1"/>
        <v>22</v>
      </c>
    </row>
    <row r="187">
      <c r="A187" s="10">
        <v>186.0</v>
      </c>
      <c r="B187" s="11" t="s">
        <v>3033</v>
      </c>
      <c r="C187" s="10" t="s">
        <v>79</v>
      </c>
      <c r="D187" s="10" t="s">
        <v>140</v>
      </c>
      <c r="E187" s="13">
        <f>IFERROR(__xludf.DUMMYFUNCTION("ifna(filter('Yahoo ADP'!$A$2:$A2766,'Yahoo ADP'!$B$2:$B2766=$B187,$C187='Yahoo ADP'!$C$2:$C2766,$D187='Yahoo ADP'!$D$2:$D2766))"),143.1)</f>
        <v>143.1</v>
      </c>
      <c r="F187" s="13">
        <f>IFERROR(__xludf.DUMMYFUNCTION("ifna(filter('Yahoo ADP'!$E$2:$E2766,'Yahoo ADP'!$B$2:$B2766=$B187,$C187='Yahoo ADP'!$C$2:$C2766,$D187='Yahoo ADP'!$D$2:$D2766))"),4.0)</f>
        <v>4</v>
      </c>
      <c r="G187" s="27">
        <v>176.0</v>
      </c>
      <c r="H187" s="8">
        <f t="shared" si="1"/>
        <v>-10</v>
      </c>
    </row>
    <row r="188">
      <c r="A188" s="10">
        <v>187.0</v>
      </c>
      <c r="B188" s="11" t="s">
        <v>3034</v>
      </c>
      <c r="C188" s="10" t="s">
        <v>89</v>
      </c>
      <c r="D188" s="10" t="s">
        <v>95</v>
      </c>
      <c r="E188" s="13">
        <f>IFERROR(__xludf.DUMMYFUNCTION("ifna(filter('Yahoo ADP'!$A$2:$A2766,'Yahoo ADP'!$B$2:$B2766=$B188,$C188='Yahoo ADP'!$C$2:$C2766,$D188='Yahoo ADP'!$D$2:$D2766))"),177.4)</f>
        <v>177.4</v>
      </c>
      <c r="F188" s="13">
        <f>IFERROR(__xludf.DUMMYFUNCTION("ifna(filter('Yahoo ADP'!$E$2:$E2766,'Yahoo ADP'!$B$2:$B2766=$B188,$C188='Yahoo ADP'!$C$2:$C2766,$D188='Yahoo ADP'!$D$2:$D2766))"),3.2)</f>
        <v>3.2</v>
      </c>
      <c r="G188" s="27">
        <v>172.0</v>
      </c>
      <c r="H188" s="8">
        <f t="shared" si="1"/>
        <v>-15</v>
      </c>
    </row>
    <row r="189">
      <c r="A189" s="10">
        <v>188.0</v>
      </c>
      <c r="B189" s="11" t="s">
        <v>3035</v>
      </c>
      <c r="C189" s="10" t="s">
        <v>218</v>
      </c>
      <c r="D189" s="10" t="s">
        <v>36</v>
      </c>
      <c r="E189" s="13">
        <f>IFERROR(__xludf.DUMMYFUNCTION("ifna(filter('Yahoo ADP'!$A$2:$A2766,'Yahoo ADP'!$B$2:$B2766=$B189,$C189='Yahoo ADP'!$C$2:$C2766,$D189='Yahoo ADP'!$D$2:$D2766))"),223.2)</f>
        <v>223.2</v>
      </c>
      <c r="F189" s="13">
        <f>IFERROR(__xludf.DUMMYFUNCTION("ifna(filter('Yahoo ADP'!$E$2:$E2766,'Yahoo ADP'!$B$2:$B2766=$B189,$C189='Yahoo ADP'!$C$2:$C2766,$D189='Yahoo ADP'!$D$2:$D2766))"),2.4)</f>
        <v>2.4</v>
      </c>
      <c r="G189" s="27">
        <v>174.0</v>
      </c>
      <c r="H189" s="8">
        <f t="shared" si="1"/>
        <v>-14</v>
      </c>
    </row>
    <row r="190">
      <c r="A190" s="10">
        <v>189.0</v>
      </c>
      <c r="B190" s="11" t="s">
        <v>3036</v>
      </c>
      <c r="C190" s="10" t="s">
        <v>22</v>
      </c>
      <c r="D190" s="10" t="s">
        <v>34</v>
      </c>
      <c r="E190" s="13">
        <f>IFERROR(__xludf.DUMMYFUNCTION("ifna(filter('Yahoo ADP'!$A$2:$A2766,'Yahoo ADP'!$B$2:$B2766=$B190,$C190='Yahoo ADP'!$C$2:$C2766,$D190='Yahoo ADP'!$D$2:$D2766))"),220.8)</f>
        <v>220.8</v>
      </c>
      <c r="F190" s="13">
        <f>IFERROR(__xludf.DUMMYFUNCTION("ifna(filter('Yahoo ADP'!$E$2:$E2766,'Yahoo ADP'!$B$2:$B2766=$B190,$C190='Yahoo ADP'!$C$2:$C2766,$D190='Yahoo ADP'!$D$2:$D2766))"),1.5)</f>
        <v>1.5</v>
      </c>
      <c r="G190" s="27">
        <v>188.0</v>
      </c>
      <c r="H190" s="8">
        <f t="shared" si="1"/>
        <v>-1</v>
      </c>
    </row>
    <row r="191">
      <c r="A191" s="10">
        <v>190.0</v>
      </c>
      <c r="B191" s="11" t="s">
        <v>3037</v>
      </c>
      <c r="C191" s="10" t="s">
        <v>48</v>
      </c>
      <c r="D191" s="10" t="s">
        <v>25</v>
      </c>
      <c r="E191" s="13">
        <f>IFERROR(__xludf.DUMMYFUNCTION("ifna(filter('Yahoo ADP'!$A$2:$A2766,'Yahoo ADP'!$B$2:$B2766=$B191,$C191='Yahoo ADP'!$C$2:$C2766,$D191='Yahoo ADP'!$D$2:$D2766))"),250.3)</f>
        <v>250.3</v>
      </c>
      <c r="F191" s="13">
        <f>IFERROR(__xludf.DUMMYFUNCTION("ifna(filter('Yahoo ADP'!$E$2:$E2766,'Yahoo ADP'!$B$2:$B2766=$B191,$C191='Yahoo ADP'!$C$2:$C2766,$D191='Yahoo ADP'!$D$2:$D2766))"),1.3)</f>
        <v>1.3</v>
      </c>
      <c r="G191" s="27">
        <v>218.0</v>
      </c>
      <c r="H191" s="8">
        <f t="shared" si="1"/>
        <v>28</v>
      </c>
    </row>
    <row r="192">
      <c r="A192" s="10">
        <v>191.0</v>
      </c>
      <c r="B192" s="11" t="s">
        <v>3038</v>
      </c>
      <c r="C192" s="10" t="s">
        <v>262</v>
      </c>
      <c r="D192" s="10" t="s">
        <v>99</v>
      </c>
      <c r="E192" s="13">
        <f>IFERROR(__xludf.DUMMYFUNCTION("ifna(filter('Yahoo ADP'!$A$2:$A2766,'Yahoo ADP'!$B$2:$B2766=$B192,$C192='Yahoo ADP'!$C$2:$C2766,$D192='Yahoo ADP'!$D$2:$D2766))"),230.1)</f>
        <v>230.1</v>
      </c>
      <c r="F192" s="13">
        <f>IFERROR(__xludf.DUMMYFUNCTION("ifna(filter('Yahoo ADP'!$E$2:$E2766,'Yahoo ADP'!$B$2:$B2766=$B192,$C192='Yahoo ADP'!$C$2:$C2766,$D192='Yahoo ADP'!$D$2:$D2766))"),1.5)</f>
        <v>1.5</v>
      </c>
      <c r="G192" s="27">
        <v>191.0</v>
      </c>
      <c r="H192" s="8">
        <f t="shared" si="1"/>
        <v>0</v>
      </c>
    </row>
    <row r="193">
      <c r="A193" s="10">
        <v>192.0</v>
      </c>
      <c r="B193" s="11" t="s">
        <v>3039</v>
      </c>
      <c r="C193" s="10" t="s">
        <v>20</v>
      </c>
      <c r="D193" s="10" t="s">
        <v>206</v>
      </c>
      <c r="E193" s="13">
        <f>IFERROR(__xludf.DUMMYFUNCTION("ifna(filter('Yahoo ADP'!$A$2:$A2766,'Yahoo ADP'!$B$2:$B2766=$B193,$C193='Yahoo ADP'!$C$2:$C2766,$D193='Yahoo ADP'!$D$2:$D2766))"),177.6)</f>
        <v>177.6</v>
      </c>
      <c r="F193" s="13">
        <f>IFERROR(__xludf.DUMMYFUNCTION("ifna(filter('Yahoo ADP'!$E$2:$E2766,'Yahoo ADP'!$B$2:$B2766=$B193,$C193='Yahoo ADP'!$C$2:$C2766,$D193='Yahoo ADP'!$D$2:$D2766))"),2.2)</f>
        <v>2.2</v>
      </c>
      <c r="G193" s="27">
        <v>189.0</v>
      </c>
      <c r="H193" s="8">
        <f t="shared" si="1"/>
        <v>-3</v>
      </c>
    </row>
    <row r="194">
      <c r="A194" s="10">
        <v>193.0</v>
      </c>
      <c r="B194" s="11" t="s">
        <v>3040</v>
      </c>
      <c r="C194" s="10" t="s">
        <v>14</v>
      </c>
      <c r="D194" s="10" t="s">
        <v>122</v>
      </c>
      <c r="E194" s="13">
        <f>IFERROR(__xludf.DUMMYFUNCTION("ifna(filter('Yahoo ADP'!$A$2:$A2766,'Yahoo ADP'!$B$2:$B2766=$B194,$C194='Yahoo ADP'!$C$2:$C2766,$D194='Yahoo ADP'!$D$2:$D2766))"),219.3)</f>
        <v>219.3</v>
      </c>
      <c r="F194" s="13">
        <f>IFERROR(__xludf.DUMMYFUNCTION("ifna(filter('Yahoo ADP'!$E$2:$E2766,'Yahoo ADP'!$B$2:$B2766=$B194,$C194='Yahoo ADP'!$C$2:$C2766,$D194='Yahoo ADP'!$D$2:$D2766))"),1.4)</f>
        <v>1.4</v>
      </c>
      <c r="G194" s="27">
        <v>211.0</v>
      </c>
      <c r="H194" s="8">
        <f t="shared" si="1"/>
        <v>18</v>
      </c>
    </row>
    <row r="195">
      <c r="A195" s="10">
        <v>194.0</v>
      </c>
      <c r="B195" s="11" t="s">
        <v>3041</v>
      </c>
      <c r="C195" s="10" t="s">
        <v>22</v>
      </c>
      <c r="D195" s="10" t="s">
        <v>206</v>
      </c>
      <c r="E195" s="13">
        <f>IFERROR(__xludf.DUMMYFUNCTION("ifna(filter('Yahoo ADP'!$A$2:$A2766,'Yahoo ADP'!$B$2:$B2766=$B195,$C195='Yahoo ADP'!$C$2:$C2766,$D195='Yahoo ADP'!$D$2:$D2766))"),219.7)</f>
        <v>219.7</v>
      </c>
      <c r="F195" s="13">
        <f>IFERROR(__xludf.DUMMYFUNCTION("ifna(filter('Yahoo ADP'!$E$2:$E2766,'Yahoo ADP'!$B$2:$B2766=$B195,$C195='Yahoo ADP'!$C$2:$C2766,$D195='Yahoo ADP'!$D$2:$D2766))"),1.5)</f>
        <v>1.5</v>
      </c>
      <c r="G195" s="27">
        <v>198.0</v>
      </c>
      <c r="H195" s="8">
        <f t="shared" si="1"/>
        <v>4</v>
      </c>
    </row>
    <row r="196">
      <c r="A196" s="10">
        <v>195.0</v>
      </c>
      <c r="B196" s="11" t="s">
        <v>3042</v>
      </c>
      <c r="C196" s="10" t="s">
        <v>22</v>
      </c>
      <c r="D196" s="10" t="s">
        <v>122</v>
      </c>
      <c r="E196" s="13">
        <f>IFERROR(__xludf.DUMMYFUNCTION("ifna(filter('Yahoo ADP'!$A$2:$A2766,'Yahoo ADP'!$B$2:$B2766=$B196,$C196='Yahoo ADP'!$C$2:$C2766,$D196='Yahoo ADP'!$D$2:$D2766))"),233.2)</f>
        <v>233.2</v>
      </c>
      <c r="F196" s="13">
        <f>IFERROR(__xludf.DUMMYFUNCTION("ifna(filter('Yahoo ADP'!$E$2:$E2766,'Yahoo ADP'!$B$2:$B2766=$B196,$C196='Yahoo ADP'!$C$2:$C2766,$D196='Yahoo ADP'!$D$2:$D2766))"),1.4)</f>
        <v>1.4</v>
      </c>
      <c r="G196" s="27">
        <v>202.0</v>
      </c>
      <c r="H196" s="8">
        <f t="shared" si="1"/>
        <v>7</v>
      </c>
    </row>
    <row r="197">
      <c r="A197" s="10">
        <v>196.0</v>
      </c>
      <c r="B197" s="11" t="s">
        <v>3043</v>
      </c>
      <c r="C197" s="10" t="s">
        <v>22</v>
      </c>
      <c r="D197" s="10" t="s">
        <v>12</v>
      </c>
      <c r="E197" s="13">
        <f>IFERROR(__xludf.DUMMYFUNCTION("ifna(filter('Yahoo ADP'!$A$2:$A2766,'Yahoo ADP'!$B$2:$B2766=$B197,$C197='Yahoo ADP'!$C$2:$C2766,$D197='Yahoo ADP'!$D$2:$D2766))"),224.2)</f>
        <v>224.2</v>
      </c>
      <c r="F197" s="13">
        <f>IFERROR(__xludf.DUMMYFUNCTION("ifna(filter('Yahoo ADP'!$E$2:$E2766,'Yahoo ADP'!$B$2:$B2766=$B197,$C197='Yahoo ADP'!$C$2:$C2766,$D197='Yahoo ADP'!$D$2:$D2766))"),1.5)</f>
        <v>1.5</v>
      </c>
      <c r="G197" s="27">
        <v>194.0</v>
      </c>
      <c r="H197" s="8">
        <f t="shared" si="1"/>
        <v>-2</v>
      </c>
    </row>
    <row r="198">
      <c r="A198" s="10">
        <v>197.0</v>
      </c>
      <c r="B198" s="11" t="s">
        <v>3044</v>
      </c>
      <c r="C198" s="10" t="s">
        <v>22</v>
      </c>
      <c r="D198" s="10" t="s">
        <v>105</v>
      </c>
      <c r="E198" s="13">
        <f>IFERROR(__xludf.DUMMYFUNCTION("ifna(filter('Yahoo ADP'!$A$2:$A2766,'Yahoo ADP'!$B$2:$B2766=$B198,$C198='Yahoo ADP'!$C$2:$C2766,$D198='Yahoo ADP'!$D$2:$D2766))"),222.8)</f>
        <v>222.8</v>
      </c>
      <c r="F198" s="13">
        <f>IFERROR(__xludf.DUMMYFUNCTION("ifna(filter('Yahoo ADP'!$E$2:$E2766,'Yahoo ADP'!$B$2:$B2766=$B198,$C198='Yahoo ADP'!$C$2:$C2766,$D198='Yahoo ADP'!$D$2:$D2766))"),1.5)</f>
        <v>1.5</v>
      </c>
      <c r="G198" s="27">
        <v>193.0</v>
      </c>
      <c r="H198" s="8">
        <f t="shared" si="1"/>
        <v>-4</v>
      </c>
    </row>
    <row r="199">
      <c r="A199" s="10">
        <v>198.0</v>
      </c>
      <c r="B199" s="11" t="s">
        <v>3045</v>
      </c>
      <c r="C199" s="10" t="s">
        <v>79</v>
      </c>
      <c r="D199" s="10" t="s">
        <v>137</v>
      </c>
      <c r="E199" s="13">
        <f>IFERROR(__xludf.DUMMYFUNCTION("ifna(filter('Yahoo ADP'!$A$2:$A2766,'Yahoo ADP'!$B$2:$B2766=$B199,$C199='Yahoo ADP'!$C$2:$C2766,$D199='Yahoo ADP'!$D$2:$D2766))"),178.6)</f>
        <v>178.6</v>
      </c>
      <c r="F199" s="13">
        <f>IFERROR(__xludf.DUMMYFUNCTION("ifna(filter('Yahoo ADP'!$E$2:$E2766,'Yahoo ADP'!$B$2:$B2766=$B199,$C199='Yahoo ADP'!$C$2:$C2766,$D199='Yahoo ADP'!$D$2:$D2766))"),2.5)</f>
        <v>2.5</v>
      </c>
      <c r="G199" s="27">
        <v>233.0</v>
      </c>
      <c r="H199" s="8">
        <f t="shared" si="1"/>
        <v>35</v>
      </c>
    </row>
    <row r="200">
      <c r="A200" s="10">
        <v>199.0</v>
      </c>
      <c r="B200" s="11" t="s">
        <v>3046</v>
      </c>
      <c r="C200" s="10" t="s">
        <v>136</v>
      </c>
      <c r="D200" s="10" t="s">
        <v>9</v>
      </c>
      <c r="E200" s="13">
        <f>IFERROR(__xludf.DUMMYFUNCTION("ifna(filter('Yahoo ADP'!$A$2:$A2766,'Yahoo ADP'!$B$2:$B2766=$B200,$C200='Yahoo ADP'!$C$2:$C2766,$D200='Yahoo ADP'!$D$2:$D2766))"),219.7)</f>
        <v>219.7</v>
      </c>
      <c r="F200" s="13">
        <f>IFERROR(__xludf.DUMMYFUNCTION("ifna(filter('Yahoo ADP'!$E$2:$E2766,'Yahoo ADP'!$B$2:$B2766=$B200,$C200='Yahoo ADP'!$C$2:$C2766,$D200='Yahoo ADP'!$D$2:$D2766))"),1.5)</f>
        <v>1.5</v>
      </c>
      <c r="G200" s="27">
        <v>201.0</v>
      </c>
      <c r="H200" s="8">
        <f t="shared" si="1"/>
        <v>2</v>
      </c>
    </row>
    <row r="201">
      <c r="A201" s="10">
        <v>200.0</v>
      </c>
      <c r="B201" s="11" t="s">
        <v>3047</v>
      </c>
      <c r="C201" s="10" t="s">
        <v>79</v>
      </c>
      <c r="D201" s="10" t="s">
        <v>122</v>
      </c>
      <c r="E201" s="13">
        <f>IFERROR(__xludf.DUMMYFUNCTION("ifna(filter('Yahoo ADP'!$A$2:$A2766,'Yahoo ADP'!$B$2:$B2766=$B201,$C201='Yahoo ADP'!$C$2:$C2766,$D201='Yahoo ADP'!$D$2:$D2766))"),177.9)</f>
        <v>177.9</v>
      </c>
      <c r="F201" s="13">
        <f>IFERROR(__xludf.DUMMYFUNCTION("ifna(filter('Yahoo ADP'!$E$2:$E2766,'Yahoo ADP'!$B$2:$B2766=$B201,$C201='Yahoo ADP'!$C$2:$C2766,$D201='Yahoo ADP'!$D$2:$D2766))"),2.3)</f>
        <v>2.3</v>
      </c>
      <c r="G201" s="27">
        <v>184.0</v>
      </c>
      <c r="H201" s="8">
        <f t="shared" si="1"/>
        <v>-16</v>
      </c>
    </row>
    <row r="202">
      <c r="A202" s="10">
        <v>201.0</v>
      </c>
      <c r="B202" s="11" t="s">
        <v>3048</v>
      </c>
      <c r="C202" s="10" t="s">
        <v>17</v>
      </c>
      <c r="D202" s="10" t="s">
        <v>105</v>
      </c>
      <c r="E202" s="13">
        <f>IFERROR(__xludf.DUMMYFUNCTION("ifna(filter('Yahoo ADP'!$A$2:$A2766,'Yahoo ADP'!$B$2:$B2766=$B202,$C202='Yahoo ADP'!$C$2:$C2766,$D202='Yahoo ADP'!$D$2:$D2766))"),202.4)</f>
        <v>202.4</v>
      </c>
      <c r="F202" s="13">
        <f>IFERROR(__xludf.DUMMYFUNCTION("ifna(filter('Yahoo ADP'!$E$2:$E2766,'Yahoo ADP'!$B$2:$B2766=$B202,$C202='Yahoo ADP'!$C$2:$C2766,$D202='Yahoo ADP'!$D$2:$D2766))"),1.7)</f>
        <v>1.7</v>
      </c>
      <c r="G202" s="27">
        <v>195.0</v>
      </c>
      <c r="H202" s="8">
        <f t="shared" si="1"/>
        <v>-6</v>
      </c>
    </row>
    <row r="203">
      <c r="A203" s="10">
        <v>202.0</v>
      </c>
      <c r="B203" s="11" t="s">
        <v>3049</v>
      </c>
      <c r="C203" s="10" t="s">
        <v>22</v>
      </c>
      <c r="D203" s="10" t="s">
        <v>12</v>
      </c>
      <c r="E203" s="13">
        <f>IFERROR(__xludf.DUMMYFUNCTION("ifna(filter('Yahoo ADP'!$A$2:$A2766,'Yahoo ADP'!$B$2:$B2766=$B203,$C203='Yahoo ADP'!$C$2:$C2766,$D203='Yahoo ADP'!$D$2:$D2766))"),191.4)</f>
        <v>191.4</v>
      </c>
      <c r="F203" s="13">
        <f>IFERROR(__xludf.DUMMYFUNCTION("ifna(filter('Yahoo ADP'!$E$2:$E2766,'Yahoo ADP'!$B$2:$B2766=$B203,$C203='Yahoo ADP'!$C$2:$C2766,$D203='Yahoo ADP'!$D$2:$D2766))"),2.1)</f>
        <v>2.1</v>
      </c>
      <c r="G203" s="27">
        <v>183.0</v>
      </c>
      <c r="H203" s="8">
        <f t="shared" si="1"/>
        <v>-19</v>
      </c>
    </row>
    <row r="204">
      <c r="A204" s="10">
        <v>203.0</v>
      </c>
      <c r="B204" s="11" t="s">
        <v>3050</v>
      </c>
      <c r="C204" s="10" t="s">
        <v>22</v>
      </c>
      <c r="D204" s="10" t="s">
        <v>113</v>
      </c>
      <c r="E204" s="13">
        <f>IFERROR(__xludf.DUMMYFUNCTION("ifna(filter('Yahoo ADP'!$A$2:$A2766,'Yahoo ADP'!$B$2:$B2766=$B204,$C204='Yahoo ADP'!$C$2:$C2766,$D204='Yahoo ADP'!$D$2:$D2766))"),233.2)</f>
        <v>233.2</v>
      </c>
      <c r="F204" s="13">
        <f>IFERROR(__xludf.DUMMYFUNCTION("ifna(filter('Yahoo ADP'!$E$2:$E2766,'Yahoo ADP'!$B$2:$B2766=$B204,$C204='Yahoo ADP'!$C$2:$C2766,$D204='Yahoo ADP'!$D$2:$D2766))"),1.4)</f>
        <v>1.4</v>
      </c>
      <c r="G204" s="27">
        <v>200.0</v>
      </c>
      <c r="H204" s="8">
        <f t="shared" si="1"/>
        <v>-3</v>
      </c>
    </row>
    <row r="205">
      <c r="A205" s="10">
        <v>204.0</v>
      </c>
      <c r="B205" s="11" t="s">
        <v>3051</v>
      </c>
      <c r="C205" s="10" t="s">
        <v>20</v>
      </c>
      <c r="D205" s="10" t="s">
        <v>85</v>
      </c>
      <c r="E205" s="13">
        <f>IFERROR(__xludf.DUMMYFUNCTION("ifna(filter('Yahoo ADP'!$A$2:$A2766,'Yahoo ADP'!$B$2:$B2766=$B205,$C205='Yahoo ADP'!$C$2:$C2766,$D205='Yahoo ADP'!$D$2:$D2766))"),249.9)</f>
        <v>249.9</v>
      </c>
      <c r="F205" s="13">
        <f>IFERROR(__xludf.DUMMYFUNCTION("ifna(filter('Yahoo ADP'!$E$2:$E2766,'Yahoo ADP'!$B$2:$B2766=$B205,$C205='Yahoo ADP'!$C$2:$C2766,$D205='Yahoo ADP'!$D$2:$D2766))"),1.2)</f>
        <v>1.2</v>
      </c>
      <c r="G205" s="27">
        <v>206.0</v>
      </c>
      <c r="H205" s="8">
        <f t="shared" si="1"/>
        <v>2</v>
      </c>
    </row>
    <row r="206">
      <c r="A206" s="10">
        <v>205.0</v>
      </c>
      <c r="B206" s="11" t="s">
        <v>3052</v>
      </c>
      <c r="C206" s="10" t="s">
        <v>55</v>
      </c>
      <c r="D206" s="10" t="s">
        <v>105</v>
      </c>
      <c r="E206" s="13">
        <f>IFERROR(__xludf.DUMMYFUNCTION("ifna(filter('Yahoo ADP'!$A$2:$A2766,'Yahoo ADP'!$B$2:$B2766=$B206,$C206='Yahoo ADP'!$C$2:$C2766,$D206='Yahoo ADP'!$D$2:$D2766))"),240.5)</f>
        <v>240.5</v>
      </c>
      <c r="F206" s="13">
        <f>IFERROR(__xludf.DUMMYFUNCTION("ifna(filter('Yahoo ADP'!$E$2:$E2766,'Yahoo ADP'!$B$2:$B2766=$B206,$C206='Yahoo ADP'!$C$2:$C2766,$D206='Yahoo ADP'!$D$2:$D2766))"),1.5)</f>
        <v>1.5</v>
      </c>
      <c r="G206" s="27">
        <v>199.0</v>
      </c>
      <c r="H206" s="8">
        <f t="shared" si="1"/>
        <v>-6</v>
      </c>
    </row>
    <row r="207">
      <c r="A207" s="10">
        <v>206.0</v>
      </c>
      <c r="B207" s="11" t="s">
        <v>3053</v>
      </c>
      <c r="C207" s="10" t="s">
        <v>22</v>
      </c>
      <c r="D207" s="10" t="s">
        <v>15</v>
      </c>
      <c r="E207" s="13">
        <f>IFERROR(__xludf.DUMMYFUNCTION("ifna(filter('Yahoo ADP'!$A$2:$A2766,'Yahoo ADP'!$B$2:$B2766=$B207,$C207='Yahoo ADP'!$C$2:$C2766,$D207='Yahoo ADP'!$D$2:$D2766))"),177.8)</f>
        <v>177.8</v>
      </c>
      <c r="F207" s="13">
        <f>IFERROR(__xludf.DUMMYFUNCTION("ifna(filter('Yahoo ADP'!$E$2:$E2766,'Yahoo ADP'!$B$2:$B2766=$B207,$C207='Yahoo ADP'!$C$2:$C2766,$D207='Yahoo ADP'!$D$2:$D2766))"),2.4)</f>
        <v>2.4</v>
      </c>
      <c r="G207" s="27">
        <v>203.0</v>
      </c>
      <c r="H207" s="8">
        <f t="shared" si="1"/>
        <v>-3</v>
      </c>
    </row>
    <row r="208">
      <c r="A208" s="10">
        <v>207.0</v>
      </c>
      <c r="B208" s="11" t="s">
        <v>3054</v>
      </c>
      <c r="C208" s="10" t="s">
        <v>39</v>
      </c>
      <c r="D208" s="10" t="s">
        <v>12</v>
      </c>
      <c r="E208" s="13">
        <f>IFERROR(__xludf.DUMMYFUNCTION("ifna(filter('Yahoo ADP'!$A$2:$A2766,'Yahoo ADP'!$B$2:$B2766=$B208,$C208='Yahoo ADP'!$C$2:$C2766,$D208='Yahoo ADP'!$D$2:$D2766))"),231.8)</f>
        <v>231.8</v>
      </c>
      <c r="F208" s="13">
        <f>IFERROR(__xludf.DUMMYFUNCTION("ifna(filter('Yahoo ADP'!$E$2:$E2766,'Yahoo ADP'!$B$2:$B2766=$B208,$C208='Yahoo ADP'!$C$2:$C2766,$D208='Yahoo ADP'!$D$2:$D2766))"),2.2)</f>
        <v>2.2</v>
      </c>
      <c r="G208" s="27">
        <v>237.0</v>
      </c>
      <c r="H208" s="8">
        <f t="shared" si="1"/>
        <v>30</v>
      </c>
    </row>
    <row r="209">
      <c r="A209" s="10">
        <v>208.0</v>
      </c>
      <c r="B209" s="11" t="s">
        <v>3055</v>
      </c>
      <c r="C209" s="10" t="s">
        <v>22</v>
      </c>
      <c r="D209" s="10" t="s">
        <v>82</v>
      </c>
      <c r="E209" s="13">
        <f>IFERROR(__xludf.DUMMYFUNCTION("ifna(filter('Yahoo ADP'!$A$2:$A2766,'Yahoo ADP'!$B$2:$B2766=$B209,$C209='Yahoo ADP'!$C$2:$C2766,$D209='Yahoo ADP'!$D$2:$D2766))"),160.6)</f>
        <v>160.6</v>
      </c>
      <c r="F209" s="13">
        <f>IFERROR(__xludf.DUMMYFUNCTION("ifna(filter('Yahoo ADP'!$E$2:$E2766,'Yahoo ADP'!$B$2:$B2766=$B209,$C209='Yahoo ADP'!$C$2:$C2766,$D209='Yahoo ADP'!$D$2:$D2766))"),2.9)</f>
        <v>2.9</v>
      </c>
      <c r="G209" s="27">
        <v>214.0</v>
      </c>
      <c r="H209" s="8">
        <f t="shared" si="1"/>
        <v>6</v>
      </c>
    </row>
    <row r="210">
      <c r="A210" s="10">
        <v>209.0</v>
      </c>
      <c r="B210" s="11" t="s">
        <v>3056</v>
      </c>
      <c r="C210" s="10" t="s">
        <v>39</v>
      </c>
      <c r="D210" s="10" t="s">
        <v>82</v>
      </c>
      <c r="E210" s="13">
        <f>IFERROR(__xludf.DUMMYFUNCTION("ifna(filter('Yahoo ADP'!$A$2:$A2766,'Yahoo ADP'!$B$2:$B2766=$B210,$C210='Yahoo ADP'!$C$2:$C2766,$D210='Yahoo ADP'!$D$2:$D2766))"),253.5)</f>
        <v>253.5</v>
      </c>
      <c r="F210" s="13">
        <f>IFERROR(__xludf.DUMMYFUNCTION("ifna(filter('Yahoo ADP'!$E$2:$E2766,'Yahoo ADP'!$B$2:$B2766=$B210,$C210='Yahoo ADP'!$C$2:$C2766,$D210='Yahoo ADP'!$D$2:$D2766))"),1.2)</f>
        <v>1.2</v>
      </c>
      <c r="G210" s="27">
        <v>223.0</v>
      </c>
      <c r="H210" s="8">
        <f t="shared" si="1"/>
        <v>14</v>
      </c>
    </row>
    <row r="211">
      <c r="A211" s="10">
        <v>210.0</v>
      </c>
      <c r="B211" s="11" t="s">
        <v>3057</v>
      </c>
      <c r="C211" s="10" t="s">
        <v>79</v>
      </c>
      <c r="D211" s="10" t="s">
        <v>99</v>
      </c>
      <c r="E211" s="13">
        <f>IFERROR(__xludf.DUMMYFUNCTION("ifna(filter('Yahoo ADP'!$A$2:$A2766,'Yahoo ADP'!$B$2:$B2766=$B211,$C211='Yahoo ADP'!$C$2:$C2766,$D211='Yahoo ADP'!$D$2:$D2766))"),187.2)</f>
        <v>187.2</v>
      </c>
      <c r="F211" s="13">
        <f>IFERROR(__xludf.DUMMYFUNCTION("ifna(filter('Yahoo ADP'!$E$2:$E2766,'Yahoo ADP'!$B$2:$B2766=$B211,$C211='Yahoo ADP'!$C$2:$C2766,$D211='Yahoo ADP'!$D$2:$D2766))"),2.4)</f>
        <v>2.4</v>
      </c>
      <c r="G211" s="27">
        <v>244.0</v>
      </c>
      <c r="H211" s="8">
        <f t="shared" si="1"/>
        <v>34</v>
      </c>
    </row>
    <row r="212">
      <c r="A212" s="10">
        <v>211.0</v>
      </c>
      <c r="B212" s="11" t="s">
        <v>3058</v>
      </c>
      <c r="C212" s="10" t="s">
        <v>283</v>
      </c>
      <c r="D212" s="10" t="s">
        <v>25</v>
      </c>
      <c r="E212" s="13">
        <f>IFERROR(__xludf.DUMMYFUNCTION("ifna(filter('Yahoo ADP'!$A$2:$A2766,'Yahoo ADP'!$B$2:$B2766=$B212,$C212='Yahoo ADP'!$C$2:$C2766,$D212='Yahoo ADP'!$D$2:$D2766))"),244.6)</f>
        <v>244.6</v>
      </c>
      <c r="F212" s="13">
        <f>IFERROR(__xludf.DUMMYFUNCTION("ifna(filter('Yahoo ADP'!$E$2:$E2766,'Yahoo ADP'!$B$2:$B2766=$B212,$C212='Yahoo ADP'!$C$2:$C2766,$D212='Yahoo ADP'!$D$2:$D2766))"),1.4)</f>
        <v>1.4</v>
      </c>
      <c r="G212" s="27">
        <v>227.0</v>
      </c>
      <c r="H212" s="8">
        <f t="shared" si="1"/>
        <v>16</v>
      </c>
    </row>
    <row r="213">
      <c r="A213" s="10">
        <v>212.0</v>
      </c>
      <c r="B213" s="11" t="s">
        <v>3059</v>
      </c>
      <c r="C213" s="10" t="s">
        <v>220</v>
      </c>
      <c r="D213" s="10" t="s">
        <v>31</v>
      </c>
      <c r="E213" s="13">
        <f>IFERROR(__xludf.DUMMYFUNCTION("ifna(filter('Yahoo ADP'!$A$2:$A2766,'Yahoo ADP'!$B$2:$B2766=$B213,$C213='Yahoo ADP'!$C$2:$C2766,$D213='Yahoo ADP'!$D$2:$D2766))"),196.8)</f>
        <v>196.8</v>
      </c>
      <c r="F213" s="13">
        <f>IFERROR(__xludf.DUMMYFUNCTION("ifna(filter('Yahoo ADP'!$E$2:$E2766,'Yahoo ADP'!$B$2:$B2766=$B213,$C213='Yahoo ADP'!$C$2:$C2766,$D213='Yahoo ADP'!$D$2:$D2766))"),3.0)</f>
        <v>3</v>
      </c>
      <c r="G213" s="27">
        <v>241.0</v>
      </c>
      <c r="H213" s="8">
        <f t="shared" si="1"/>
        <v>29</v>
      </c>
    </row>
    <row r="214">
      <c r="A214" s="10">
        <v>213.0</v>
      </c>
      <c r="B214" s="11" t="s">
        <v>3060</v>
      </c>
      <c r="C214" s="10" t="s">
        <v>286</v>
      </c>
      <c r="D214" s="10" t="s">
        <v>12</v>
      </c>
      <c r="E214" s="13">
        <f>IFERROR(__xludf.DUMMYFUNCTION("ifna(filter('Yahoo ADP'!$A$2:$A2766,'Yahoo ADP'!$B$2:$B2766=$B214,$C214='Yahoo ADP'!$C$2:$C2766,$D214='Yahoo ADP'!$D$2:$D2766))"),239.5)</f>
        <v>239.5</v>
      </c>
      <c r="F214" s="13">
        <f>IFERROR(__xludf.DUMMYFUNCTION("ifna(filter('Yahoo ADP'!$E$2:$E2766,'Yahoo ADP'!$B$2:$B2766=$B214,$C214='Yahoo ADP'!$C$2:$C2766,$D214='Yahoo ADP'!$D$2:$D2766))"),1.4)</f>
        <v>1.4</v>
      </c>
      <c r="G214" s="27">
        <v>234.0</v>
      </c>
      <c r="H214" s="8">
        <f t="shared" si="1"/>
        <v>21</v>
      </c>
    </row>
    <row r="215">
      <c r="A215" s="10">
        <v>214.0</v>
      </c>
      <c r="B215" s="11" t="s">
        <v>3061</v>
      </c>
      <c r="C215" s="10" t="s">
        <v>22</v>
      </c>
      <c r="D215" s="10" t="s">
        <v>90</v>
      </c>
      <c r="E215" s="13">
        <f>IFERROR(__xludf.DUMMYFUNCTION("ifna(filter('Yahoo ADP'!$A$2:$A2766,'Yahoo ADP'!$B$2:$B2766=$B215,$C215='Yahoo ADP'!$C$2:$C2766,$D215='Yahoo ADP'!$D$2:$D2766))"),167.6)</f>
        <v>167.6</v>
      </c>
      <c r="F215" s="13">
        <f>IFERROR(__xludf.DUMMYFUNCTION("ifna(filter('Yahoo ADP'!$E$2:$E2766,'Yahoo ADP'!$B$2:$B2766=$B215,$C215='Yahoo ADP'!$C$2:$C2766,$D215='Yahoo ADP'!$D$2:$D2766))"),3.2)</f>
        <v>3.2</v>
      </c>
      <c r="G215" s="27">
        <v>155.0</v>
      </c>
      <c r="H215" s="8">
        <f t="shared" si="1"/>
        <v>-59</v>
      </c>
    </row>
    <row r="216">
      <c r="A216" s="10">
        <v>215.0</v>
      </c>
      <c r="B216" s="11" t="s">
        <v>3062</v>
      </c>
      <c r="C216" s="10" t="s">
        <v>22</v>
      </c>
      <c r="D216" s="10" t="s">
        <v>12</v>
      </c>
      <c r="E216" s="13">
        <f>IFERROR(__xludf.DUMMYFUNCTION("ifna(filter('Yahoo ADP'!$A$2:$A2766,'Yahoo ADP'!$B$2:$B2766=$B216,$C216='Yahoo ADP'!$C$2:$C2766,$D216='Yahoo ADP'!$D$2:$D2766))"),225.4)</f>
        <v>225.4</v>
      </c>
      <c r="F216" s="13">
        <f>IFERROR(__xludf.DUMMYFUNCTION("ifna(filter('Yahoo ADP'!$E$2:$E2766,'Yahoo ADP'!$B$2:$B2766=$B216,$C216='Yahoo ADP'!$C$2:$C2766,$D216='Yahoo ADP'!$D$2:$D2766))"),1.5)</f>
        <v>1.5</v>
      </c>
      <c r="G216" s="27">
        <v>197.0</v>
      </c>
      <c r="H216" s="8">
        <f t="shared" si="1"/>
        <v>-18</v>
      </c>
    </row>
    <row r="217">
      <c r="A217" s="10">
        <v>216.0</v>
      </c>
      <c r="B217" s="11" t="s">
        <v>3063</v>
      </c>
      <c r="C217" s="10" t="s">
        <v>79</v>
      </c>
      <c r="D217" s="10" t="s">
        <v>67</v>
      </c>
      <c r="E217" s="13">
        <f>IFERROR(__xludf.DUMMYFUNCTION("ifna(filter('Yahoo ADP'!$A$2:$A2766,'Yahoo ADP'!$B$2:$B2766=$B217,$C217='Yahoo ADP'!$C$2:$C2766,$D217='Yahoo ADP'!$D$2:$D2766))"),163.2)</f>
        <v>163.2</v>
      </c>
      <c r="F217" s="13">
        <f>IFERROR(__xludf.DUMMYFUNCTION("ifna(filter('Yahoo ADP'!$E$2:$E2766,'Yahoo ADP'!$B$2:$B2766=$B217,$C217='Yahoo ADP'!$C$2:$C2766,$D217='Yahoo ADP'!$D$2:$D2766))"),3.6)</f>
        <v>3.6</v>
      </c>
      <c r="G217" s="27">
        <v>256.0</v>
      </c>
      <c r="H217" s="8">
        <f t="shared" si="1"/>
        <v>40</v>
      </c>
    </row>
    <row r="218">
      <c r="A218" s="10">
        <v>217.0</v>
      </c>
      <c r="B218" s="11" t="s">
        <v>3064</v>
      </c>
      <c r="C218" s="10" t="s">
        <v>262</v>
      </c>
      <c r="D218" s="10" t="s">
        <v>46</v>
      </c>
      <c r="E218" s="13">
        <f>IFERROR(__xludf.DUMMYFUNCTION("ifna(filter('Yahoo ADP'!$A$2:$A2766,'Yahoo ADP'!$B$2:$B2766=$B218,$C218='Yahoo ADP'!$C$2:$C2766,$D218='Yahoo ADP'!$D$2:$D2766))"),229.8)</f>
        <v>229.8</v>
      </c>
      <c r="F218" s="13">
        <f>IFERROR(__xludf.DUMMYFUNCTION("ifna(filter('Yahoo ADP'!$E$2:$E2766,'Yahoo ADP'!$B$2:$B2766=$B218,$C218='Yahoo ADP'!$C$2:$C2766,$D218='Yahoo ADP'!$D$2:$D2766))"),1.7)</f>
        <v>1.7</v>
      </c>
      <c r="G218" s="27">
        <v>185.0</v>
      </c>
      <c r="H218" s="8">
        <f t="shared" si="1"/>
        <v>-32</v>
      </c>
    </row>
    <row r="219">
      <c r="A219" s="10">
        <v>218.0</v>
      </c>
      <c r="B219" s="11" t="s">
        <v>3065</v>
      </c>
      <c r="C219" s="10" t="s">
        <v>22</v>
      </c>
      <c r="D219" s="10" t="s">
        <v>27</v>
      </c>
      <c r="E219" s="13">
        <f>IFERROR(__xludf.DUMMYFUNCTION("ifna(filter('Yahoo ADP'!$A$2:$A2766,'Yahoo ADP'!$B$2:$B2766=$B219,$C219='Yahoo ADP'!$C$2:$C2766,$D219='Yahoo ADP'!$D$2:$D2766))"),164.4)</f>
        <v>164.4</v>
      </c>
      <c r="F219" s="13">
        <f>IFERROR(__xludf.DUMMYFUNCTION("ifna(filter('Yahoo ADP'!$E$2:$E2766,'Yahoo ADP'!$B$2:$B2766=$B219,$C219='Yahoo ADP'!$C$2:$C2766,$D219='Yahoo ADP'!$D$2:$D2766))"),5.7)</f>
        <v>5.7</v>
      </c>
      <c r="G219" s="27">
        <v>161.0</v>
      </c>
      <c r="H219" s="8">
        <f t="shared" si="1"/>
        <v>-57</v>
      </c>
    </row>
    <row r="220">
      <c r="A220" s="10">
        <v>219.0</v>
      </c>
      <c r="B220" s="11" t="s">
        <v>3066</v>
      </c>
      <c r="C220" s="10" t="s">
        <v>69</v>
      </c>
      <c r="D220" s="10" t="s">
        <v>34</v>
      </c>
      <c r="E220" s="13">
        <f>IFERROR(__xludf.DUMMYFUNCTION("ifna(filter('Yahoo ADP'!$A$2:$A2766,'Yahoo ADP'!$B$2:$B2766=$B220,$C220='Yahoo ADP'!$C$2:$C2766,$D220='Yahoo ADP'!$D$2:$D2766))"),233.5)</f>
        <v>233.5</v>
      </c>
      <c r="F220" s="13">
        <f>IFERROR(__xludf.DUMMYFUNCTION("ifna(filter('Yahoo ADP'!$E$2:$E2766,'Yahoo ADP'!$B$2:$B2766=$B220,$C220='Yahoo ADP'!$C$2:$C2766,$D220='Yahoo ADP'!$D$2:$D2766))"),1.5)</f>
        <v>1.5</v>
      </c>
      <c r="G220" s="27">
        <v>186.0</v>
      </c>
      <c r="H220" s="8">
        <f t="shared" si="1"/>
        <v>-33</v>
      </c>
    </row>
    <row r="221">
      <c r="A221" s="10">
        <v>220.0</v>
      </c>
      <c r="B221" s="11" t="s">
        <v>3067</v>
      </c>
      <c r="C221" s="10" t="s">
        <v>77</v>
      </c>
      <c r="D221" s="10" t="s">
        <v>18</v>
      </c>
      <c r="E221" s="13">
        <f>IFERROR(__xludf.DUMMYFUNCTION("ifna(filter('Yahoo ADP'!$A$2:$A2766,'Yahoo ADP'!$B$2:$B2766=$B221,$C221='Yahoo ADP'!$C$2:$C2766,$D221='Yahoo ADP'!$D$2:$D2766))"),199.3)</f>
        <v>199.3</v>
      </c>
      <c r="F221" s="13">
        <f>IFERROR(__xludf.DUMMYFUNCTION("ifna(filter('Yahoo ADP'!$E$2:$E2766,'Yahoo ADP'!$B$2:$B2766=$B221,$C221='Yahoo ADP'!$C$2:$C2766,$D221='Yahoo ADP'!$D$2:$D2766))"),2.0)</f>
        <v>2</v>
      </c>
      <c r="G221" s="27">
        <v>274.0</v>
      </c>
      <c r="H221" s="8">
        <f t="shared" si="1"/>
        <v>54</v>
      </c>
    </row>
    <row r="222">
      <c r="A222" s="10">
        <v>221.0</v>
      </c>
      <c r="B222" s="11" t="s">
        <v>3068</v>
      </c>
      <c r="C222" s="10" t="s">
        <v>17</v>
      </c>
      <c r="D222" s="10" t="s">
        <v>73</v>
      </c>
      <c r="E222" s="13">
        <f>IFERROR(__xludf.DUMMYFUNCTION("ifna(filter('Yahoo ADP'!$A$2:$A2766,'Yahoo ADP'!$B$2:$B2766=$B222,$C222='Yahoo ADP'!$C$2:$C2766,$D222='Yahoo ADP'!$D$2:$D2766))"),250.6)</f>
        <v>250.6</v>
      </c>
      <c r="F222" s="13">
        <f>IFERROR(__xludf.DUMMYFUNCTION("ifna(filter('Yahoo ADP'!$E$2:$E2766,'Yahoo ADP'!$B$2:$B2766=$B222,$C222='Yahoo ADP'!$C$2:$C2766,$D222='Yahoo ADP'!$D$2:$D2766))"),1.2)</f>
        <v>1.2</v>
      </c>
      <c r="G222" s="27">
        <v>221.0</v>
      </c>
      <c r="H222" s="8">
        <f t="shared" si="1"/>
        <v>0</v>
      </c>
    </row>
    <row r="223">
      <c r="A223" s="10">
        <v>222.0</v>
      </c>
      <c r="B223" s="11" t="s">
        <v>3069</v>
      </c>
      <c r="C223" s="10" t="s">
        <v>220</v>
      </c>
      <c r="D223" s="10" t="s">
        <v>42</v>
      </c>
      <c r="E223" s="13">
        <f>IFERROR(__xludf.DUMMYFUNCTION("ifna(filter('Yahoo ADP'!$A$2:$A2766,'Yahoo ADP'!$B$2:$B2766=$B223,$C223='Yahoo ADP'!$C$2:$C2766,$D223='Yahoo ADP'!$D$2:$D2766))"),215.1)</f>
        <v>215.1</v>
      </c>
      <c r="F223" s="13">
        <f>IFERROR(__xludf.DUMMYFUNCTION("ifna(filter('Yahoo ADP'!$E$2:$E2766,'Yahoo ADP'!$B$2:$B2766=$B223,$C223='Yahoo ADP'!$C$2:$C2766,$D223='Yahoo ADP'!$D$2:$D2766))"),1.2)</f>
        <v>1.2</v>
      </c>
      <c r="G223" s="27">
        <v>252.0</v>
      </c>
      <c r="H223" s="8">
        <f t="shared" si="1"/>
        <v>30</v>
      </c>
    </row>
    <row r="224">
      <c r="A224" s="10">
        <v>223.0</v>
      </c>
      <c r="B224" s="11" t="s">
        <v>3070</v>
      </c>
      <c r="C224" s="10" t="s">
        <v>22</v>
      </c>
      <c r="D224" s="10" t="s">
        <v>82</v>
      </c>
      <c r="E224" s="13">
        <f>IFERROR(__xludf.DUMMYFUNCTION("ifna(filter('Yahoo ADP'!$A$2:$A2766,'Yahoo ADP'!$B$2:$B2766=$B224,$C224='Yahoo ADP'!$C$2:$C2766,$D224='Yahoo ADP'!$D$2:$D2766))"),72.2)</f>
        <v>72.2</v>
      </c>
      <c r="F224" s="13">
        <f>IFERROR(__xludf.DUMMYFUNCTION("ifna(filter('Yahoo ADP'!$E$2:$E2766,'Yahoo ADP'!$B$2:$B2766=$B224,$C224='Yahoo ADP'!$C$2:$C2766,$D224='Yahoo ADP'!$D$2:$D2766))"),18.2)</f>
        <v>18.2</v>
      </c>
      <c r="G224" s="27">
        <v>59.0</v>
      </c>
      <c r="H224" s="8">
        <f t="shared" si="1"/>
        <v>-164</v>
      </c>
    </row>
    <row r="225">
      <c r="A225" s="10">
        <v>224.0</v>
      </c>
      <c r="B225" s="11" t="s">
        <v>3071</v>
      </c>
      <c r="C225" s="10" t="s">
        <v>22</v>
      </c>
      <c r="D225" s="10" t="s">
        <v>23</v>
      </c>
      <c r="E225" s="13">
        <f>IFERROR(__xludf.DUMMYFUNCTION("ifna(filter('Yahoo ADP'!$A$2:$A2766,'Yahoo ADP'!$B$2:$B2766=$B225,$C225='Yahoo ADP'!$C$2:$C2766,$D225='Yahoo ADP'!$D$2:$D2766))"),245.9)</f>
        <v>245.9</v>
      </c>
      <c r="F225" s="13">
        <f>IFERROR(__xludf.DUMMYFUNCTION("ifna(filter('Yahoo ADP'!$E$2:$E2766,'Yahoo ADP'!$B$2:$B2766=$B225,$C225='Yahoo ADP'!$C$2:$C2766,$D225='Yahoo ADP'!$D$2:$D2766))"),1.4)</f>
        <v>1.4</v>
      </c>
      <c r="G225" s="27">
        <v>242.0</v>
      </c>
      <c r="H225" s="8">
        <f t="shared" si="1"/>
        <v>18</v>
      </c>
    </row>
    <row r="226">
      <c r="A226" s="10">
        <v>225.0</v>
      </c>
      <c r="B226" s="11" t="s">
        <v>3072</v>
      </c>
      <c r="C226" s="10" t="s">
        <v>22</v>
      </c>
      <c r="D226" s="10" t="s">
        <v>99</v>
      </c>
      <c r="E226" s="13">
        <f>IFERROR(__xludf.DUMMYFUNCTION("ifna(filter('Yahoo ADP'!$A$2:$A2766,'Yahoo ADP'!$B$2:$B2766=$B226,$C226='Yahoo ADP'!$C$2:$C2766,$D226='Yahoo ADP'!$D$2:$D2766))"),231.8)</f>
        <v>231.8</v>
      </c>
      <c r="F226" s="13">
        <f>IFERROR(__xludf.DUMMYFUNCTION("ifna(filter('Yahoo ADP'!$E$2:$E2766,'Yahoo ADP'!$B$2:$B2766=$B226,$C226='Yahoo ADP'!$C$2:$C2766,$D226='Yahoo ADP'!$D$2:$D2766))"),1.7)</f>
        <v>1.7</v>
      </c>
      <c r="G226" s="27">
        <v>287.0</v>
      </c>
      <c r="H226" s="8">
        <f t="shared" si="1"/>
        <v>62</v>
      </c>
    </row>
    <row r="227">
      <c r="A227" s="10">
        <v>226.0</v>
      </c>
      <c r="B227" s="11" t="s">
        <v>3073</v>
      </c>
      <c r="C227" s="10" t="s">
        <v>63</v>
      </c>
      <c r="D227" s="10" t="s">
        <v>122</v>
      </c>
      <c r="E227" s="13">
        <f>IFERROR(__xludf.DUMMYFUNCTION("ifna(filter('Yahoo ADP'!$A$2:$A2766,'Yahoo ADP'!$B$2:$B2766=$B227,$C227='Yahoo ADP'!$C$2:$C2766,$D227='Yahoo ADP'!$D$2:$D2766))"),235.4)</f>
        <v>235.4</v>
      </c>
      <c r="F227" s="13">
        <f>IFERROR(__xludf.DUMMYFUNCTION("ifna(filter('Yahoo ADP'!$E$2:$E2766,'Yahoo ADP'!$B$2:$B2766=$B227,$C227='Yahoo ADP'!$C$2:$C2766,$D227='Yahoo ADP'!$D$2:$D2766))"),1.2)</f>
        <v>1.2</v>
      </c>
      <c r="G227" s="27">
        <v>215.0</v>
      </c>
      <c r="H227" s="8">
        <f t="shared" si="1"/>
        <v>-11</v>
      </c>
    </row>
    <row r="228">
      <c r="A228" s="10">
        <v>227.0</v>
      </c>
      <c r="B228" s="11" t="s">
        <v>3074</v>
      </c>
      <c r="C228" s="10" t="s">
        <v>20</v>
      </c>
      <c r="D228" s="10" t="s">
        <v>71</v>
      </c>
      <c r="E228" s="13">
        <f>IFERROR(__xludf.DUMMYFUNCTION("ifna(filter('Yahoo ADP'!$A$2:$A2766,'Yahoo ADP'!$B$2:$B2766=$B228,$C228='Yahoo ADP'!$C$2:$C2766,$D228='Yahoo ADP'!$D$2:$D2766))"),250.2)</f>
        <v>250.2</v>
      </c>
      <c r="F228" s="13">
        <f>IFERROR(__xludf.DUMMYFUNCTION("ifna(filter('Yahoo ADP'!$E$2:$E2766,'Yahoo ADP'!$B$2:$B2766=$B228,$C228='Yahoo ADP'!$C$2:$C2766,$D228='Yahoo ADP'!$D$2:$D2766))"),1.4)</f>
        <v>1.4</v>
      </c>
      <c r="G228" s="27">
        <v>213.0</v>
      </c>
      <c r="H228" s="8">
        <f t="shared" si="1"/>
        <v>-14</v>
      </c>
    </row>
    <row r="229">
      <c r="A229" s="10">
        <v>228.0</v>
      </c>
      <c r="B229" s="11" t="s">
        <v>3075</v>
      </c>
      <c r="C229" s="10" t="s">
        <v>22</v>
      </c>
      <c r="D229" s="10" t="s">
        <v>34</v>
      </c>
      <c r="E229" s="13">
        <f>IFERROR(__xludf.DUMMYFUNCTION("ifna(filter('Yahoo ADP'!$A$2:$A2766,'Yahoo ADP'!$B$2:$B2766=$B229,$C229='Yahoo ADP'!$C$2:$C2766,$D229='Yahoo ADP'!$D$2:$D2766))"),192.8)</f>
        <v>192.8</v>
      </c>
      <c r="F229" s="13">
        <f>IFERROR(__xludf.DUMMYFUNCTION("ifna(filter('Yahoo ADP'!$E$2:$E2766,'Yahoo ADP'!$B$2:$B2766=$B229,$C229='Yahoo ADP'!$C$2:$C2766,$D229='Yahoo ADP'!$D$2:$D2766))"),2.3)</f>
        <v>2.3</v>
      </c>
      <c r="G229" s="27">
        <v>210.0</v>
      </c>
      <c r="H229" s="8">
        <f t="shared" si="1"/>
        <v>-18</v>
      </c>
    </row>
    <row r="230">
      <c r="A230" s="10">
        <v>229.0</v>
      </c>
      <c r="B230" s="11" t="s">
        <v>3076</v>
      </c>
      <c r="C230" s="10" t="s">
        <v>136</v>
      </c>
      <c r="D230" s="10" t="s">
        <v>113</v>
      </c>
      <c r="E230" s="13">
        <f>IFERROR(__xludf.DUMMYFUNCTION("ifna(filter('Yahoo ADP'!$A$2:$A2766,'Yahoo ADP'!$B$2:$B2766=$B230,$C230='Yahoo ADP'!$C$2:$C2766,$D230='Yahoo ADP'!$D$2:$D2766))"),246.7)</f>
        <v>246.7</v>
      </c>
      <c r="F230" s="13">
        <f>IFERROR(__xludf.DUMMYFUNCTION("ifna(filter('Yahoo ADP'!$E$2:$E2766,'Yahoo ADP'!$B$2:$B2766=$B230,$C230='Yahoo ADP'!$C$2:$C2766,$D230='Yahoo ADP'!$D$2:$D2766))"),1.2)</f>
        <v>1.2</v>
      </c>
      <c r="G230" s="27">
        <v>260.0</v>
      </c>
      <c r="H230" s="8">
        <f t="shared" si="1"/>
        <v>31</v>
      </c>
    </row>
    <row r="231">
      <c r="A231" s="10">
        <v>230.0</v>
      </c>
      <c r="B231" s="11" t="s">
        <v>3077</v>
      </c>
      <c r="C231" s="10" t="s">
        <v>176</v>
      </c>
      <c r="D231" s="10" t="s">
        <v>113</v>
      </c>
      <c r="E231" s="13">
        <f>IFERROR(__xludf.DUMMYFUNCTION("ifna(filter('Yahoo ADP'!$A$2:$A2766,'Yahoo ADP'!$B$2:$B2766=$B231,$C231='Yahoo ADP'!$C$2:$C2766,$D231='Yahoo ADP'!$D$2:$D2766))"),232.1)</f>
        <v>232.1</v>
      </c>
      <c r="F231" s="13">
        <f>IFERROR(__xludf.DUMMYFUNCTION("ifna(filter('Yahoo ADP'!$E$2:$E2766,'Yahoo ADP'!$B$2:$B2766=$B231,$C231='Yahoo ADP'!$C$2:$C2766,$D231='Yahoo ADP'!$D$2:$D2766))"),1.4)</f>
        <v>1.4</v>
      </c>
      <c r="G231" s="27">
        <v>251.0</v>
      </c>
      <c r="H231" s="8">
        <f t="shared" si="1"/>
        <v>21</v>
      </c>
    </row>
    <row r="232">
      <c r="A232" s="10">
        <v>231.0</v>
      </c>
      <c r="B232" s="11" t="s">
        <v>3078</v>
      </c>
      <c r="C232" s="10" t="s">
        <v>22</v>
      </c>
      <c r="D232" s="10" t="s">
        <v>67</v>
      </c>
      <c r="E232" s="13">
        <f>IFERROR(__xludf.DUMMYFUNCTION("ifna(filter('Yahoo ADP'!$A$2:$A2766,'Yahoo ADP'!$B$2:$B2766=$B232,$C232='Yahoo ADP'!$C$2:$C2766,$D232='Yahoo ADP'!$D$2:$D2766))"),238.9)</f>
        <v>238.9</v>
      </c>
      <c r="F232" s="13">
        <f>IFERROR(__xludf.DUMMYFUNCTION("ifna(filter('Yahoo ADP'!$E$2:$E2766,'Yahoo ADP'!$B$2:$B2766=$B232,$C232='Yahoo ADP'!$C$2:$C2766,$D232='Yahoo ADP'!$D$2:$D2766))"),1.2)</f>
        <v>1.2</v>
      </c>
      <c r="G232" s="27">
        <v>216.0</v>
      </c>
      <c r="H232" s="8">
        <f t="shared" si="1"/>
        <v>-15</v>
      </c>
    </row>
    <row r="233">
      <c r="A233" s="10">
        <v>232.0</v>
      </c>
      <c r="B233" s="11" t="s">
        <v>3079</v>
      </c>
      <c r="C233" s="10" t="s">
        <v>77</v>
      </c>
      <c r="D233" s="10" t="s">
        <v>71</v>
      </c>
      <c r="E233" s="13">
        <f>IFERROR(__xludf.DUMMYFUNCTION("ifna(filter('Yahoo ADP'!$A$2:$A2766,'Yahoo ADP'!$B$2:$B2766=$B233,$C233='Yahoo ADP'!$C$2:$C2766,$D233='Yahoo ADP'!$D$2:$D2766))"),211.2)</f>
        <v>211.2</v>
      </c>
      <c r="F233" s="13">
        <f>IFERROR(__xludf.DUMMYFUNCTION("ifna(filter('Yahoo ADP'!$E$2:$E2766,'Yahoo ADP'!$B$2:$B2766=$B233,$C233='Yahoo ADP'!$C$2:$C2766,$D233='Yahoo ADP'!$D$2:$D2766))"),1.5)</f>
        <v>1.5</v>
      </c>
      <c r="G233" s="27">
        <v>277.0</v>
      </c>
      <c r="H233" s="8">
        <f t="shared" si="1"/>
        <v>45</v>
      </c>
    </row>
    <row r="234">
      <c r="A234" s="10">
        <v>233.0</v>
      </c>
      <c r="B234" s="11" t="s">
        <v>3080</v>
      </c>
      <c r="C234" s="10" t="s">
        <v>22</v>
      </c>
      <c r="D234" s="10" t="s">
        <v>49</v>
      </c>
      <c r="E234" s="13">
        <f>IFERROR(__xludf.DUMMYFUNCTION("ifna(filter('Yahoo ADP'!$A$2:$A2766,'Yahoo ADP'!$B$2:$B2766=$B234,$C234='Yahoo ADP'!$C$2:$C2766,$D234='Yahoo ADP'!$D$2:$D2766))"),257.5)</f>
        <v>257.5</v>
      </c>
      <c r="F234" s="13">
        <f>IFERROR(__xludf.DUMMYFUNCTION("ifna(filter('Yahoo ADP'!$E$2:$E2766,'Yahoo ADP'!$B$2:$B2766=$B234,$C234='Yahoo ADP'!$C$2:$C2766,$D234='Yahoo ADP'!$D$2:$D2766))"),1.2)</f>
        <v>1.2</v>
      </c>
      <c r="G234" s="27">
        <v>243.0</v>
      </c>
      <c r="H234" s="8">
        <f t="shared" si="1"/>
        <v>10</v>
      </c>
    </row>
    <row r="235">
      <c r="A235" s="10">
        <v>234.0</v>
      </c>
      <c r="B235" s="11" t="s">
        <v>3081</v>
      </c>
      <c r="C235" s="10" t="s">
        <v>22</v>
      </c>
      <c r="D235" s="10" t="s">
        <v>122</v>
      </c>
      <c r="E235" s="13">
        <f>IFERROR(__xludf.DUMMYFUNCTION("ifna(filter('Yahoo ADP'!$A$2:$A2766,'Yahoo ADP'!$B$2:$B2766=$B235,$C235='Yahoo ADP'!$C$2:$C2766,$D235='Yahoo ADP'!$D$2:$D2766))"),257.0)</f>
        <v>257</v>
      </c>
      <c r="F235" s="13">
        <f>IFERROR(__xludf.DUMMYFUNCTION("ifna(filter('Yahoo ADP'!$E$2:$E2766,'Yahoo ADP'!$B$2:$B2766=$B235,$C235='Yahoo ADP'!$C$2:$C2766,$D235='Yahoo ADP'!$D$2:$D2766))"),1.2)</f>
        <v>1.2</v>
      </c>
      <c r="G235" s="27">
        <v>247.0</v>
      </c>
      <c r="H235" s="8">
        <f t="shared" si="1"/>
        <v>13</v>
      </c>
    </row>
    <row r="236">
      <c r="A236" s="10">
        <v>235.0</v>
      </c>
      <c r="B236" s="11" t="s">
        <v>3082</v>
      </c>
      <c r="C236" s="10" t="s">
        <v>136</v>
      </c>
      <c r="D236" s="10" t="s">
        <v>129</v>
      </c>
      <c r="E236" s="13">
        <f>IFERROR(__xludf.DUMMYFUNCTION("ifna(filter('Yahoo ADP'!$A$2:$A2766,'Yahoo ADP'!$B$2:$B2766=$B236,$C236='Yahoo ADP'!$C$2:$C2766,$D236='Yahoo ADP'!$D$2:$D2766))"),247.9)</f>
        <v>247.9</v>
      </c>
      <c r="F236" s="13">
        <f>IFERROR(__xludf.DUMMYFUNCTION("ifna(filter('Yahoo ADP'!$E$2:$E2766,'Yahoo ADP'!$B$2:$B2766=$B236,$C236='Yahoo ADP'!$C$2:$C2766,$D236='Yahoo ADP'!$D$2:$D2766))"),1.8)</f>
        <v>1.8</v>
      </c>
      <c r="G236" s="27">
        <v>205.0</v>
      </c>
      <c r="H236" s="8">
        <f t="shared" si="1"/>
        <v>-30</v>
      </c>
    </row>
    <row r="237">
      <c r="A237" s="10">
        <v>236.0</v>
      </c>
      <c r="B237" s="11" t="s">
        <v>3083</v>
      </c>
      <c r="C237" s="10" t="s">
        <v>69</v>
      </c>
      <c r="D237" s="10" t="s">
        <v>52</v>
      </c>
      <c r="E237" s="13">
        <f>IFERROR(__xludf.DUMMYFUNCTION("ifna(filter('Yahoo ADP'!$A$2:$A2766,'Yahoo ADP'!$B$2:$B2766=$B237,$C237='Yahoo ADP'!$C$2:$C2766,$D237='Yahoo ADP'!$D$2:$D2766))"),249.0)</f>
        <v>249</v>
      </c>
      <c r="F237" s="13">
        <f>IFERROR(__xludf.DUMMYFUNCTION("ifna(filter('Yahoo ADP'!$E$2:$E2766,'Yahoo ADP'!$B$2:$B2766=$B237,$C237='Yahoo ADP'!$C$2:$C2766,$D237='Yahoo ADP'!$D$2:$D2766))"),1.4)</f>
        <v>1.4</v>
      </c>
      <c r="G237" s="27">
        <v>208.0</v>
      </c>
      <c r="H237" s="8">
        <f t="shared" si="1"/>
        <v>-28</v>
      </c>
    </row>
    <row r="238">
      <c r="A238" s="10">
        <v>237.0</v>
      </c>
      <c r="B238" s="11" t="s">
        <v>3084</v>
      </c>
      <c r="C238" s="10" t="s">
        <v>22</v>
      </c>
      <c r="D238" s="10" t="s">
        <v>15</v>
      </c>
      <c r="E238" s="13">
        <f>IFERROR(__xludf.DUMMYFUNCTION("ifna(filter('Yahoo ADP'!$A$2:$A2766,'Yahoo ADP'!$B$2:$B2766=$B238,$C238='Yahoo ADP'!$C$2:$C2766,$D238='Yahoo ADP'!$D$2:$D2766))"),249.2)</f>
        <v>249.2</v>
      </c>
      <c r="F238" s="13">
        <f>IFERROR(__xludf.DUMMYFUNCTION("ifna(filter('Yahoo ADP'!$E$2:$E2766,'Yahoo ADP'!$B$2:$B2766=$B238,$C238='Yahoo ADP'!$C$2:$C2766,$D238='Yahoo ADP'!$D$2:$D2766))"),1.3)</f>
        <v>1.3</v>
      </c>
      <c r="G238" s="27">
        <v>217.0</v>
      </c>
      <c r="H238" s="8">
        <f t="shared" si="1"/>
        <v>-20</v>
      </c>
    </row>
    <row r="239">
      <c r="A239" s="10">
        <v>238.0</v>
      </c>
      <c r="B239" s="11" t="s">
        <v>3085</v>
      </c>
      <c r="C239" s="10" t="s">
        <v>55</v>
      </c>
      <c r="D239" s="10" t="s">
        <v>49</v>
      </c>
      <c r="E239" s="13">
        <f>IFERROR(__xludf.DUMMYFUNCTION("ifna(filter('Yahoo ADP'!$A$2:$A2766,'Yahoo ADP'!$B$2:$B2766=$B239,$C239='Yahoo ADP'!$C$2:$C2766,$D239='Yahoo ADP'!$D$2:$D2766))"),187.6)</f>
        <v>187.6</v>
      </c>
      <c r="F239" s="13">
        <f>IFERROR(__xludf.DUMMYFUNCTION("ifna(filter('Yahoo ADP'!$E$2:$E2766,'Yahoo ADP'!$B$2:$B2766=$B239,$C239='Yahoo ADP'!$C$2:$C2766,$D239='Yahoo ADP'!$D$2:$D2766))"),3.2)</f>
        <v>3.2</v>
      </c>
      <c r="G239" s="27">
        <v>298.0</v>
      </c>
      <c r="H239" s="8">
        <f t="shared" si="1"/>
        <v>60</v>
      </c>
    </row>
    <row r="240">
      <c r="A240" s="10">
        <v>239.0</v>
      </c>
      <c r="B240" s="11" t="s">
        <v>3086</v>
      </c>
      <c r="C240" s="10" t="s">
        <v>77</v>
      </c>
      <c r="D240" s="10" t="s">
        <v>42</v>
      </c>
      <c r="E240" s="13">
        <f>IFERROR(__xludf.DUMMYFUNCTION("ifna(filter('Yahoo ADP'!$A$2:$A2766,'Yahoo ADP'!$B$2:$B2766=$B240,$C240='Yahoo ADP'!$C$2:$C2766,$D240='Yahoo ADP'!$D$2:$D2766))"),202.4)</f>
        <v>202.4</v>
      </c>
      <c r="F240" s="13">
        <f>IFERROR(__xludf.DUMMYFUNCTION("ifna(filter('Yahoo ADP'!$E$2:$E2766,'Yahoo ADP'!$B$2:$B2766=$B240,$C240='Yahoo ADP'!$C$2:$C2766,$D240='Yahoo ADP'!$D$2:$D2766))"),1.4)</f>
        <v>1.4</v>
      </c>
      <c r="G240" s="27">
        <v>270.0</v>
      </c>
      <c r="H240" s="8">
        <f t="shared" si="1"/>
        <v>31</v>
      </c>
    </row>
    <row r="241">
      <c r="A241" s="10">
        <v>240.0</v>
      </c>
      <c r="B241" s="11" t="s">
        <v>3087</v>
      </c>
      <c r="C241" s="10" t="s">
        <v>148</v>
      </c>
      <c r="D241" s="10" t="s">
        <v>129</v>
      </c>
      <c r="E241" s="13">
        <f>IFERROR(__xludf.DUMMYFUNCTION("ifna(filter('Yahoo ADP'!$A$2:$A2766,'Yahoo ADP'!$B$2:$B2766=$B241,$C241='Yahoo ADP'!$C$2:$C2766,$D241='Yahoo ADP'!$D$2:$D2766))"),192.6)</f>
        <v>192.6</v>
      </c>
      <c r="F241" s="13">
        <f>IFERROR(__xludf.DUMMYFUNCTION("ifna(filter('Yahoo ADP'!$E$2:$E2766,'Yahoo ADP'!$B$2:$B2766=$B241,$C241='Yahoo ADP'!$C$2:$C2766,$D241='Yahoo ADP'!$D$2:$D2766))"),1.8)</f>
        <v>1.8</v>
      </c>
      <c r="G241" s="27">
        <v>264.0</v>
      </c>
      <c r="H241" s="8">
        <f t="shared" si="1"/>
        <v>24</v>
      </c>
    </row>
    <row r="242">
      <c r="A242" s="10">
        <v>241.0</v>
      </c>
      <c r="B242" s="11" t="s">
        <v>3088</v>
      </c>
      <c r="C242" s="10" t="s">
        <v>22</v>
      </c>
      <c r="D242" s="10" t="s">
        <v>82</v>
      </c>
      <c r="E242" s="13">
        <f>IFERROR(__xludf.DUMMYFUNCTION("ifna(filter('Yahoo ADP'!$A$2:$A2766,'Yahoo ADP'!$B$2:$B2766=$B242,$C242='Yahoo ADP'!$C$2:$C2766,$D242='Yahoo ADP'!$D$2:$D2766))"),238.3)</f>
        <v>238.3</v>
      </c>
      <c r="F242" s="13">
        <f>IFERROR(__xludf.DUMMYFUNCTION("ifna(filter('Yahoo ADP'!$E$2:$E2766,'Yahoo ADP'!$B$2:$B2766=$B242,$C242='Yahoo ADP'!$C$2:$C2766,$D242='Yahoo ADP'!$D$2:$D2766))"),1.4)</f>
        <v>1.4</v>
      </c>
      <c r="G242" s="27">
        <v>249.0</v>
      </c>
      <c r="H242" s="8">
        <f t="shared" si="1"/>
        <v>8</v>
      </c>
    </row>
    <row r="243">
      <c r="A243" s="10">
        <v>242.0</v>
      </c>
      <c r="B243" s="11" t="s">
        <v>3089</v>
      </c>
      <c r="C243" s="10" t="s">
        <v>79</v>
      </c>
      <c r="D243" s="10" t="s">
        <v>46</v>
      </c>
      <c r="E243" s="13">
        <f>IFERROR(__xludf.DUMMYFUNCTION("ifna(filter('Yahoo ADP'!$A$2:$A2766,'Yahoo ADP'!$B$2:$B2766=$B243,$C243='Yahoo ADP'!$C$2:$C2766,$D243='Yahoo ADP'!$D$2:$D2766))"),179.8)</f>
        <v>179.8</v>
      </c>
      <c r="F243" s="13">
        <f>IFERROR(__xludf.DUMMYFUNCTION("ifna(filter('Yahoo ADP'!$E$2:$E2766,'Yahoo ADP'!$B$2:$B2766=$B243,$C243='Yahoo ADP'!$C$2:$C2766,$D243='Yahoo ADP'!$D$2:$D2766))"),2.3)</f>
        <v>2.3</v>
      </c>
      <c r="G243" s="27">
        <v>230.0</v>
      </c>
      <c r="H243" s="8">
        <f t="shared" si="1"/>
        <v>-12</v>
      </c>
    </row>
    <row r="244">
      <c r="A244" s="10">
        <v>243.0</v>
      </c>
      <c r="B244" s="11" t="s">
        <v>3090</v>
      </c>
      <c r="C244" s="10" t="s">
        <v>20</v>
      </c>
      <c r="D244" s="10" t="s">
        <v>99</v>
      </c>
      <c r="E244" s="13">
        <f>IFERROR(__xludf.DUMMYFUNCTION("ifna(filter('Yahoo ADP'!$A$2:$A2766,'Yahoo ADP'!$B$2:$B2766=$B244,$C244='Yahoo ADP'!$C$2:$C2766,$D244='Yahoo ADP'!$D$2:$D2766))"),243.0)</f>
        <v>243</v>
      </c>
      <c r="F244" s="13">
        <f>IFERROR(__xludf.DUMMYFUNCTION("ifna(filter('Yahoo ADP'!$E$2:$E2766,'Yahoo ADP'!$B$2:$B2766=$B244,$C244='Yahoo ADP'!$C$2:$C2766,$D244='Yahoo ADP'!$D$2:$D2766))"),1.3)</f>
        <v>1.3</v>
      </c>
      <c r="G244" s="27">
        <v>219.0</v>
      </c>
      <c r="H244" s="8">
        <f t="shared" si="1"/>
        <v>-24</v>
      </c>
    </row>
    <row r="245">
      <c r="A245" s="10">
        <v>244.0</v>
      </c>
      <c r="B245" s="11" t="s">
        <v>3091</v>
      </c>
      <c r="C245" s="10" t="s">
        <v>22</v>
      </c>
      <c r="D245" s="10" t="s">
        <v>52</v>
      </c>
      <c r="E245" s="13">
        <f>IFERROR(__xludf.DUMMYFUNCTION("ifna(filter('Yahoo ADP'!$A$2:$A2766,'Yahoo ADP'!$B$2:$B2766=$B245,$C245='Yahoo ADP'!$C$2:$C2766,$D245='Yahoo ADP'!$D$2:$D2766))"),256.7)</f>
        <v>256.7</v>
      </c>
      <c r="F245" s="13">
        <f>IFERROR(__xludf.DUMMYFUNCTION("ifna(filter('Yahoo ADP'!$E$2:$E2766,'Yahoo ADP'!$B$2:$B2766=$B245,$C245='Yahoo ADP'!$C$2:$C2766,$D245='Yahoo ADP'!$D$2:$D2766))"),1.3)</f>
        <v>1.3</v>
      </c>
      <c r="G245" s="27">
        <v>224.0</v>
      </c>
      <c r="H245" s="8">
        <f t="shared" si="1"/>
        <v>-20</v>
      </c>
    </row>
    <row r="246">
      <c r="A246" s="10">
        <v>245.0</v>
      </c>
      <c r="B246" s="11" t="s">
        <v>3092</v>
      </c>
      <c r="C246" s="10" t="s">
        <v>189</v>
      </c>
      <c r="D246" s="10" t="s">
        <v>36</v>
      </c>
      <c r="E246" s="13">
        <f>IFERROR(__xludf.DUMMYFUNCTION("ifna(filter('Yahoo ADP'!$A$2:$A2766,'Yahoo ADP'!$B$2:$B2766=$B246,$C246='Yahoo ADP'!$C$2:$C2766,$D246='Yahoo ADP'!$D$2:$D2766))"),205.3)</f>
        <v>205.3</v>
      </c>
      <c r="F246" s="13">
        <f>IFERROR(__xludf.DUMMYFUNCTION("ifna(filter('Yahoo ADP'!$E$2:$E2766,'Yahoo ADP'!$B$2:$B2766=$B246,$C246='Yahoo ADP'!$C$2:$C2766,$D246='Yahoo ADP'!$D$2:$D2766))"),2.0)</f>
        <v>2</v>
      </c>
      <c r="G246" s="27">
        <v>255.0</v>
      </c>
      <c r="H246" s="8">
        <f t="shared" si="1"/>
        <v>10</v>
      </c>
    </row>
    <row r="247">
      <c r="A247" s="10">
        <v>246.0</v>
      </c>
      <c r="B247" s="11" t="s">
        <v>3093</v>
      </c>
      <c r="C247" s="10" t="s">
        <v>79</v>
      </c>
      <c r="D247" s="10" t="s">
        <v>23</v>
      </c>
      <c r="E247" s="13">
        <f>IFERROR(__xludf.DUMMYFUNCTION("ifna(filter('Yahoo ADP'!$A$2:$A2766,'Yahoo ADP'!$B$2:$B2766=$B247,$C247='Yahoo ADP'!$C$2:$C2766,$D247='Yahoo ADP'!$D$2:$D2766))"),196.5)</f>
        <v>196.5</v>
      </c>
      <c r="F247" s="13">
        <f>IFERROR(__xludf.DUMMYFUNCTION("ifna(filter('Yahoo ADP'!$E$2:$E2766,'Yahoo ADP'!$B$2:$B2766=$B247,$C247='Yahoo ADP'!$C$2:$C2766,$D247='Yahoo ADP'!$D$2:$D2766))"),3.1)</f>
        <v>3.1</v>
      </c>
      <c r="G247" s="27">
        <v>266.0</v>
      </c>
      <c r="H247" s="8">
        <f t="shared" si="1"/>
        <v>20</v>
      </c>
    </row>
    <row r="248">
      <c r="A248" s="10">
        <v>247.0</v>
      </c>
      <c r="B248" s="11" t="s">
        <v>3094</v>
      </c>
      <c r="C248" s="10" t="s">
        <v>11</v>
      </c>
      <c r="D248" s="10" t="s">
        <v>31</v>
      </c>
      <c r="E248" s="13">
        <f>IFERROR(__xludf.DUMMYFUNCTION("ifna(filter('Yahoo ADP'!$A$2:$A2766,'Yahoo ADP'!$B$2:$B2766=$B248,$C248='Yahoo ADP'!$C$2:$C2766,$D248='Yahoo ADP'!$D$2:$D2766))"),248.1)</f>
        <v>248.1</v>
      </c>
      <c r="F248" s="13">
        <f>IFERROR(__xludf.DUMMYFUNCTION("ifna(filter('Yahoo ADP'!$E$2:$E2766,'Yahoo ADP'!$B$2:$B2766=$B248,$C248='Yahoo ADP'!$C$2:$C2766,$D248='Yahoo ADP'!$D$2:$D2766))"),1.3)</f>
        <v>1.3</v>
      </c>
      <c r="G248" s="27">
        <v>220.0</v>
      </c>
      <c r="H248" s="8">
        <f t="shared" si="1"/>
        <v>-27</v>
      </c>
    </row>
    <row r="249">
      <c r="A249" s="10">
        <v>248.0</v>
      </c>
      <c r="B249" s="11" t="s">
        <v>3095</v>
      </c>
      <c r="C249" s="10" t="s">
        <v>79</v>
      </c>
      <c r="D249" s="10" t="s">
        <v>25</v>
      </c>
      <c r="E249" s="13">
        <f>IFERROR(__xludf.DUMMYFUNCTION("ifna(filter('Yahoo ADP'!$A$2:$A2766,'Yahoo ADP'!$B$2:$B2766=$B249,$C249='Yahoo ADP'!$C$2:$C2766,$D249='Yahoo ADP'!$D$2:$D2766))"),192.8)</f>
        <v>192.8</v>
      </c>
      <c r="F249" s="13">
        <f>IFERROR(__xludf.DUMMYFUNCTION("ifna(filter('Yahoo ADP'!$E$2:$E2766,'Yahoo ADP'!$B$2:$B2766=$B249,$C249='Yahoo ADP'!$C$2:$C2766,$D249='Yahoo ADP'!$D$2:$D2766))"),1.6)</f>
        <v>1.6</v>
      </c>
      <c r="G249" s="27">
        <v>258.0</v>
      </c>
      <c r="H249" s="8">
        <f t="shared" si="1"/>
        <v>10</v>
      </c>
    </row>
    <row r="250">
      <c r="A250" s="10">
        <v>249.0</v>
      </c>
      <c r="B250" s="11" t="s">
        <v>3096</v>
      </c>
      <c r="C250" s="10" t="s">
        <v>22</v>
      </c>
      <c r="D250" s="10" t="s">
        <v>23</v>
      </c>
      <c r="E250" s="13">
        <f>IFERROR(__xludf.DUMMYFUNCTION("ifna(filter('Yahoo ADP'!$A$2:$A2766,'Yahoo ADP'!$B$2:$B2766=$B250,$C250='Yahoo ADP'!$C$2:$C2766,$D250='Yahoo ADP'!$D$2:$D2766))"),259.0)</f>
        <v>259</v>
      </c>
      <c r="F250" s="13">
        <f>IFERROR(__xludf.DUMMYFUNCTION("ifna(filter('Yahoo ADP'!$E$2:$E2766,'Yahoo ADP'!$B$2:$B2766=$B250,$C250='Yahoo ADP'!$C$2:$C2766,$D250='Yahoo ADP'!$D$2:$D2766))"),1.1)</f>
        <v>1.1</v>
      </c>
      <c r="G250" s="27">
        <v>226.0</v>
      </c>
      <c r="H250" s="8">
        <f t="shared" si="1"/>
        <v>-23</v>
      </c>
    </row>
    <row r="251">
      <c r="A251" s="10">
        <v>250.0</v>
      </c>
      <c r="B251" s="11" t="s">
        <v>3097</v>
      </c>
      <c r="C251" s="10" t="s">
        <v>39</v>
      </c>
      <c r="D251" s="10" t="s">
        <v>95</v>
      </c>
      <c r="E251" s="13">
        <f>IFERROR(__xludf.DUMMYFUNCTION("ifna(filter('Yahoo ADP'!$A$2:$A2766,'Yahoo ADP'!$B$2:$B2766=$B251,$C251='Yahoo ADP'!$C$2:$C2766,$D251='Yahoo ADP'!$D$2:$D2766))"),252.2)</f>
        <v>252.2</v>
      </c>
      <c r="F251" s="13">
        <f>IFERROR(__xludf.DUMMYFUNCTION("ifna(filter('Yahoo ADP'!$E$2:$E2766,'Yahoo ADP'!$B$2:$B2766=$B251,$C251='Yahoo ADP'!$C$2:$C2766,$D251='Yahoo ADP'!$D$2:$D2766))"),1.3)</f>
        <v>1.3</v>
      </c>
      <c r="G251" s="27">
        <v>222.0</v>
      </c>
      <c r="H251" s="8">
        <f t="shared" si="1"/>
        <v>-28</v>
      </c>
    </row>
    <row r="252">
      <c r="A252" s="10">
        <v>251.0</v>
      </c>
      <c r="B252" s="11" t="s">
        <v>3098</v>
      </c>
      <c r="C252" s="10" t="s">
        <v>87</v>
      </c>
      <c r="D252" s="10" t="s">
        <v>42</v>
      </c>
      <c r="E252" s="13">
        <f>IFERROR(__xludf.DUMMYFUNCTION("ifna(filter('Yahoo ADP'!$A$2:$A2766,'Yahoo ADP'!$B$2:$B2766=$B252,$C252='Yahoo ADP'!$C$2:$C2766,$D252='Yahoo ADP'!$D$2:$D2766))"),234.6)</f>
        <v>234.6</v>
      </c>
      <c r="F252" s="13">
        <f>IFERROR(__xludf.DUMMYFUNCTION("ifna(filter('Yahoo ADP'!$E$2:$E2766,'Yahoo ADP'!$B$2:$B2766=$B252,$C252='Yahoo ADP'!$C$2:$C2766,$D252='Yahoo ADP'!$D$2:$D2766))"),1.4)</f>
        <v>1.4</v>
      </c>
      <c r="G252" s="27">
        <v>228.0</v>
      </c>
      <c r="H252" s="8">
        <f t="shared" si="1"/>
        <v>-23</v>
      </c>
    </row>
    <row r="253">
      <c r="A253" s="10">
        <v>252.0</v>
      </c>
      <c r="B253" s="11" t="s">
        <v>3099</v>
      </c>
      <c r="C253" s="10" t="s">
        <v>77</v>
      </c>
      <c r="D253" s="10" t="s">
        <v>49</v>
      </c>
      <c r="E253" s="13">
        <f>IFERROR(__xludf.DUMMYFUNCTION("ifna(filter('Yahoo ADP'!$A$2:$A2766,'Yahoo ADP'!$B$2:$B2766=$B253,$C253='Yahoo ADP'!$C$2:$C2766,$D253='Yahoo ADP'!$D$2:$D2766))"),185.8)</f>
        <v>185.8</v>
      </c>
      <c r="F253" s="13">
        <f>IFERROR(__xludf.DUMMYFUNCTION("ifna(filter('Yahoo ADP'!$E$2:$E2766,'Yahoo ADP'!$B$2:$B2766=$B253,$C253='Yahoo ADP'!$C$2:$C2766,$D253='Yahoo ADP'!$D$2:$D2766))"),1.9)</f>
        <v>1.9</v>
      </c>
      <c r="G253" s="27">
        <v>229.0</v>
      </c>
      <c r="H253" s="8">
        <f t="shared" si="1"/>
        <v>-23</v>
      </c>
    </row>
    <row r="254">
      <c r="A254" s="10">
        <v>253.0</v>
      </c>
      <c r="B254" s="11" t="s">
        <v>3100</v>
      </c>
      <c r="C254" s="10" t="s">
        <v>327</v>
      </c>
      <c r="D254" s="10" t="s">
        <v>9</v>
      </c>
      <c r="E254" s="13">
        <f>IFERROR(__xludf.DUMMYFUNCTION("ifna(filter('Yahoo ADP'!$A$2:$A2766,'Yahoo ADP'!$B$2:$B2766=$B254,$C254='Yahoo ADP'!$C$2:$C2766,$D254='Yahoo ADP'!$D$2:$D2766))"),246.9)</f>
        <v>246.9</v>
      </c>
      <c r="F254" s="13">
        <f>IFERROR(__xludf.DUMMYFUNCTION("ifna(filter('Yahoo ADP'!$E$2:$E2766,'Yahoo ADP'!$B$2:$B2766=$B254,$C254='Yahoo ADP'!$C$2:$C2766,$D254='Yahoo ADP'!$D$2:$D2766))"),1.2)</f>
        <v>1.2</v>
      </c>
      <c r="G254" s="27">
        <v>250.0</v>
      </c>
      <c r="H254" s="8">
        <f t="shared" si="1"/>
        <v>-3</v>
      </c>
    </row>
    <row r="255">
      <c r="A255" s="10">
        <v>254.0</v>
      </c>
      <c r="B255" s="11" t="s">
        <v>3101</v>
      </c>
      <c r="C255" s="10" t="s">
        <v>329</v>
      </c>
      <c r="D255" s="10" t="s">
        <v>140</v>
      </c>
      <c r="E255" s="13">
        <f>IFERROR(__xludf.DUMMYFUNCTION("ifna(filter('Yahoo ADP'!$A$2:$A2766,'Yahoo ADP'!$B$2:$B2766=$B255,$C255='Yahoo ADP'!$C$2:$C2766,$D255='Yahoo ADP'!$D$2:$D2766))"),250.0)</f>
        <v>250</v>
      </c>
      <c r="F255" s="13">
        <f>IFERROR(__xludf.DUMMYFUNCTION("ifna(filter('Yahoo ADP'!$E$2:$E2766,'Yahoo ADP'!$B$2:$B2766=$B255,$C255='Yahoo ADP'!$C$2:$C2766,$D255='Yahoo ADP'!$D$2:$D2766))"),1.3)</f>
        <v>1.3</v>
      </c>
      <c r="G255" s="27">
        <v>240.0</v>
      </c>
      <c r="H255" s="8">
        <f t="shared" si="1"/>
        <v>-14</v>
      </c>
    </row>
    <row r="256">
      <c r="A256" s="10">
        <v>255.0</v>
      </c>
      <c r="B256" s="11" t="s">
        <v>3102</v>
      </c>
      <c r="C256" s="10" t="s">
        <v>22</v>
      </c>
      <c r="D256" s="10" t="s">
        <v>36</v>
      </c>
      <c r="E256" s="13">
        <f>IFERROR(__xludf.DUMMYFUNCTION("ifna(filter('Yahoo ADP'!$A$2:$A2766,'Yahoo ADP'!$B$2:$B2766=$B256,$C256='Yahoo ADP'!$C$2:$C2766,$D256='Yahoo ADP'!$D$2:$D2766))"),256.8)</f>
        <v>256.8</v>
      </c>
      <c r="F256" s="13">
        <f>IFERROR(__xludf.DUMMYFUNCTION("ifna(filter('Yahoo ADP'!$E$2:$E2766,'Yahoo ADP'!$B$2:$B2766=$B256,$C256='Yahoo ADP'!$C$2:$C2766,$D256='Yahoo ADP'!$D$2:$D2766))"),1.3)</f>
        <v>1.3</v>
      </c>
      <c r="G256" s="27">
        <v>225.0</v>
      </c>
      <c r="H256" s="8">
        <f t="shared" si="1"/>
        <v>-30</v>
      </c>
    </row>
    <row r="257">
      <c r="A257" s="10">
        <v>256.0</v>
      </c>
      <c r="B257" s="11" t="s">
        <v>3103</v>
      </c>
      <c r="C257" s="10" t="s">
        <v>139</v>
      </c>
      <c r="D257" s="10" t="s">
        <v>42</v>
      </c>
      <c r="E257" s="13">
        <f>IFERROR(__xludf.DUMMYFUNCTION("ifna(filter('Yahoo ADP'!$A$2:$A2766,'Yahoo ADP'!$B$2:$B2766=$B257,$C257='Yahoo ADP'!$C$2:$C2766,$D257='Yahoo ADP'!$D$2:$D2766))"),237.2)</f>
        <v>237.2</v>
      </c>
      <c r="F257" s="13">
        <f>IFERROR(__xludf.DUMMYFUNCTION("ifna(filter('Yahoo ADP'!$E$2:$E2766,'Yahoo ADP'!$B$2:$B2766=$B257,$C257='Yahoo ADP'!$C$2:$C2766,$D257='Yahoo ADP'!$D$2:$D2766))"),1.3)</f>
        <v>1.3</v>
      </c>
      <c r="G257" s="27">
        <v>273.0</v>
      </c>
      <c r="H257" s="8">
        <f t="shared" si="1"/>
        <v>17</v>
      </c>
    </row>
    <row r="258">
      <c r="A258" s="10">
        <v>257.0</v>
      </c>
      <c r="B258" s="11" t="s">
        <v>3104</v>
      </c>
      <c r="C258" s="10" t="s">
        <v>22</v>
      </c>
      <c r="D258" s="10" t="s">
        <v>36</v>
      </c>
      <c r="E258" s="13">
        <f>IFERROR(__xludf.DUMMYFUNCTION("ifna(filter('Yahoo ADP'!$A$2:$A2766,'Yahoo ADP'!$B$2:$B2766=$B258,$C258='Yahoo ADP'!$C$2:$C2766,$D258='Yahoo ADP'!$D$2:$D2766))"),256.2)</f>
        <v>256.2</v>
      </c>
      <c r="F258" s="13">
        <f>IFERROR(__xludf.DUMMYFUNCTION("ifna(filter('Yahoo ADP'!$E$2:$E2766,'Yahoo ADP'!$B$2:$B2766=$B258,$C258='Yahoo ADP'!$C$2:$C2766,$D258='Yahoo ADP'!$D$2:$D2766))"),1.2)</f>
        <v>1.2</v>
      </c>
      <c r="G258" s="27">
        <v>232.0</v>
      </c>
      <c r="H258" s="8">
        <f t="shared" si="1"/>
        <v>-25</v>
      </c>
    </row>
    <row r="259">
      <c r="A259" s="10">
        <v>258.0</v>
      </c>
      <c r="B259" s="11" t="s">
        <v>3105</v>
      </c>
      <c r="C259" s="10" t="s">
        <v>79</v>
      </c>
      <c r="D259" s="10" t="s">
        <v>42</v>
      </c>
      <c r="E259" s="13">
        <f>IFERROR(__xludf.DUMMYFUNCTION("ifna(filter('Yahoo ADP'!$A$2:$A2766,'Yahoo ADP'!$B$2:$B2766=$B259,$C259='Yahoo ADP'!$C$2:$C2766,$D259='Yahoo ADP'!$D$2:$D2766))"),184.0)</f>
        <v>184</v>
      </c>
      <c r="F259" s="13">
        <f>IFERROR(__xludf.DUMMYFUNCTION("ifna(filter('Yahoo ADP'!$E$2:$E2766,'Yahoo ADP'!$B$2:$B2766=$B259,$C259='Yahoo ADP'!$C$2:$C2766,$D259='Yahoo ADP'!$D$2:$D2766))"),2.2)</f>
        <v>2.2</v>
      </c>
      <c r="G259" s="27">
        <v>253.0</v>
      </c>
      <c r="H259" s="8">
        <f t="shared" si="1"/>
        <v>-5</v>
      </c>
    </row>
    <row r="260">
      <c r="A260" s="10">
        <v>259.0</v>
      </c>
      <c r="B260" s="11" t="s">
        <v>3106</v>
      </c>
      <c r="C260" s="10" t="s">
        <v>20</v>
      </c>
      <c r="D260" s="10" t="s">
        <v>52</v>
      </c>
      <c r="E260" s="13">
        <f>IFERROR(__xludf.DUMMYFUNCTION("ifna(filter('Yahoo ADP'!$A$2:$A2766,'Yahoo ADP'!$B$2:$B2766=$B260,$C260='Yahoo ADP'!$C$2:$C2766,$D260='Yahoo ADP'!$D$2:$D2766))"),255.8)</f>
        <v>255.8</v>
      </c>
      <c r="F260" s="13">
        <f>IFERROR(__xludf.DUMMYFUNCTION("ifna(filter('Yahoo ADP'!$E$2:$E2766,'Yahoo ADP'!$B$2:$B2766=$B260,$C260='Yahoo ADP'!$C$2:$C2766,$D260='Yahoo ADP'!$D$2:$D2766))"),1.4)</f>
        <v>1.4</v>
      </c>
      <c r="G260" s="27">
        <v>235.0</v>
      </c>
      <c r="H260" s="8">
        <f t="shared" si="1"/>
        <v>-24</v>
      </c>
    </row>
    <row r="261">
      <c r="A261" s="10">
        <v>260.0</v>
      </c>
      <c r="B261" s="11" t="s">
        <v>3107</v>
      </c>
      <c r="C261" s="10" t="s">
        <v>11</v>
      </c>
      <c r="D261" s="10" t="s">
        <v>113</v>
      </c>
      <c r="E261" s="13">
        <f>IFERROR(__xludf.DUMMYFUNCTION("ifna(filter('Yahoo ADP'!$A$2:$A2766,'Yahoo ADP'!$B$2:$B2766=$B261,$C261='Yahoo ADP'!$C$2:$C2766,$D261='Yahoo ADP'!$D$2:$D2766))"),256.2)</f>
        <v>256.2</v>
      </c>
      <c r="F261" s="13">
        <f>IFERROR(__xludf.DUMMYFUNCTION("ifna(filter('Yahoo ADP'!$E$2:$E2766,'Yahoo ADP'!$B$2:$B2766=$B261,$C261='Yahoo ADP'!$C$2:$C2766,$D261='Yahoo ADP'!$D$2:$D2766))"),1.1)</f>
        <v>1.1</v>
      </c>
      <c r="G261" s="27">
        <v>263.0</v>
      </c>
      <c r="H261" s="8">
        <f t="shared" si="1"/>
        <v>3</v>
      </c>
    </row>
    <row r="262">
      <c r="A262" s="10">
        <v>261.0</v>
      </c>
      <c r="B262" s="11" t="s">
        <v>3108</v>
      </c>
      <c r="C262" s="10" t="s">
        <v>89</v>
      </c>
      <c r="D262" s="10" t="s">
        <v>99</v>
      </c>
      <c r="E262" s="13">
        <f>IFERROR(__xludf.DUMMYFUNCTION("ifna(filter('Yahoo ADP'!$A$2:$A2766,'Yahoo ADP'!$B$2:$B2766=$B262,$C262='Yahoo ADP'!$C$2:$C2766,$D262='Yahoo ADP'!$D$2:$D2766))"),242.9)</f>
        <v>242.9</v>
      </c>
      <c r="F262" s="13">
        <f>IFERROR(__xludf.DUMMYFUNCTION("ifna(filter('Yahoo ADP'!$E$2:$E2766,'Yahoo ADP'!$B$2:$B2766=$B262,$C262='Yahoo ADP'!$C$2:$C2766,$D262='Yahoo ADP'!$D$2:$D2766))"),1.4)</f>
        <v>1.4</v>
      </c>
      <c r="G262" s="27">
        <v>246.0</v>
      </c>
      <c r="H262" s="8">
        <f t="shared" si="1"/>
        <v>-15</v>
      </c>
    </row>
    <row r="263">
      <c r="A263" s="10">
        <v>262.0</v>
      </c>
      <c r="B263" s="11" t="s">
        <v>3109</v>
      </c>
      <c r="C263" s="10" t="s">
        <v>22</v>
      </c>
      <c r="D263" s="10" t="s">
        <v>18</v>
      </c>
      <c r="E263" s="13">
        <f>IFERROR(__xludf.DUMMYFUNCTION("ifna(filter('Yahoo ADP'!$A$2:$A2766,'Yahoo ADP'!$B$2:$B2766=$B263,$C263='Yahoo ADP'!$C$2:$C2766,$D263='Yahoo ADP'!$D$2:$D2766))"),217.6)</f>
        <v>217.6</v>
      </c>
      <c r="F263" s="13">
        <f>IFERROR(__xludf.DUMMYFUNCTION("ifna(filter('Yahoo ADP'!$E$2:$E2766,'Yahoo ADP'!$B$2:$B2766=$B263,$C263='Yahoo ADP'!$C$2:$C2766,$D263='Yahoo ADP'!$D$2:$D2766))"),1.5)</f>
        <v>1.5</v>
      </c>
      <c r="G263" s="27">
        <v>239.0</v>
      </c>
      <c r="H263" s="8">
        <f t="shared" si="1"/>
        <v>-23</v>
      </c>
    </row>
    <row r="264">
      <c r="A264" s="10">
        <v>263.0</v>
      </c>
      <c r="B264" s="11" t="s">
        <v>3110</v>
      </c>
      <c r="C264" s="10" t="s">
        <v>22</v>
      </c>
      <c r="D264" s="10" t="s">
        <v>9</v>
      </c>
      <c r="E264" s="13">
        <f>IFERROR(__xludf.DUMMYFUNCTION("ifna(filter('Yahoo ADP'!$A$2:$A2766,'Yahoo ADP'!$B$2:$B2766=$B264,$C264='Yahoo ADP'!$C$2:$C2766,$D264='Yahoo ADP'!$D$2:$D2766))"),250.6)</f>
        <v>250.6</v>
      </c>
      <c r="F264" s="13">
        <f>IFERROR(__xludf.DUMMYFUNCTION("ifna(filter('Yahoo ADP'!$E$2:$E2766,'Yahoo ADP'!$B$2:$B2766=$B264,$C264='Yahoo ADP'!$C$2:$C2766,$D264='Yahoo ADP'!$D$2:$D2766))"),1.2)</f>
        <v>1.2</v>
      </c>
      <c r="G264" s="27">
        <v>231.0</v>
      </c>
      <c r="H264" s="8">
        <f t="shared" si="1"/>
        <v>-32</v>
      </c>
    </row>
    <row r="265">
      <c r="A265" s="10">
        <v>264.0</v>
      </c>
      <c r="B265" s="11" t="s">
        <v>3111</v>
      </c>
      <c r="C265" s="10" t="s">
        <v>22</v>
      </c>
      <c r="D265" s="10" t="s">
        <v>67</v>
      </c>
      <c r="E265" s="13">
        <f>IFERROR(__xludf.DUMMYFUNCTION("ifna(filter('Yahoo ADP'!$A$2:$A2766,'Yahoo ADP'!$B$2:$B2766=$B265,$C265='Yahoo ADP'!$C$2:$C2766,$D265='Yahoo ADP'!$D$2:$D2766))"),263.8)</f>
        <v>263.8</v>
      </c>
      <c r="F265" s="13">
        <f>IFERROR(__xludf.DUMMYFUNCTION("ifna(filter('Yahoo ADP'!$E$2:$E2766,'Yahoo ADP'!$B$2:$B2766=$B265,$C265='Yahoo ADP'!$C$2:$C2766,$D265='Yahoo ADP'!$D$2:$D2766))"),1.1)</f>
        <v>1.1</v>
      </c>
      <c r="G265" s="27">
        <v>236.0</v>
      </c>
      <c r="H265" s="8">
        <f t="shared" si="1"/>
        <v>-28</v>
      </c>
    </row>
    <row r="266">
      <c r="A266" s="10">
        <v>265.0</v>
      </c>
      <c r="B266" s="11" t="s">
        <v>3112</v>
      </c>
      <c r="C266" s="10" t="s">
        <v>79</v>
      </c>
      <c r="D266" s="10" t="s">
        <v>113</v>
      </c>
      <c r="E266" s="13">
        <f>IFERROR(__xludf.DUMMYFUNCTION("ifna(filter('Yahoo ADP'!$A$2:$A2766,'Yahoo ADP'!$B$2:$B2766=$B266,$C266='Yahoo ADP'!$C$2:$C2766,$D266='Yahoo ADP'!$D$2:$D2766))"),208.2)</f>
        <v>208.2</v>
      </c>
      <c r="F266" s="13">
        <f>IFERROR(__xludf.DUMMYFUNCTION("ifna(filter('Yahoo ADP'!$E$2:$E2766,'Yahoo ADP'!$B$2:$B2766=$B266,$C266='Yahoo ADP'!$C$2:$C2766,$D266='Yahoo ADP'!$D$2:$D2766))"),1.4)</f>
        <v>1.4</v>
      </c>
      <c r="G266" s="27">
        <v>248.0</v>
      </c>
      <c r="H266" s="8">
        <f t="shared" si="1"/>
        <v>-17</v>
      </c>
    </row>
    <row r="267">
      <c r="A267" s="10">
        <v>266.0</v>
      </c>
      <c r="B267" s="11" t="s">
        <v>3113</v>
      </c>
      <c r="C267" s="10" t="s">
        <v>63</v>
      </c>
      <c r="D267" s="10" t="s">
        <v>99</v>
      </c>
      <c r="E267" s="13">
        <f>IFERROR(__xludf.DUMMYFUNCTION("ifna(filter('Yahoo ADP'!$A$2:$A2766,'Yahoo ADP'!$B$2:$B2766=$B267,$C267='Yahoo ADP'!$C$2:$C2766,$D267='Yahoo ADP'!$D$2:$D2766))"),257.0)</f>
        <v>257</v>
      </c>
      <c r="F267" s="13">
        <f>IFERROR(__xludf.DUMMYFUNCTION("ifna(filter('Yahoo ADP'!$E$2:$E2766,'Yahoo ADP'!$B$2:$B2766=$B267,$C267='Yahoo ADP'!$C$2:$C2766,$D267='Yahoo ADP'!$D$2:$D2766))"),1.3)</f>
        <v>1.3</v>
      </c>
      <c r="G267" s="27">
        <v>245.0</v>
      </c>
      <c r="H267" s="8">
        <f t="shared" si="1"/>
        <v>-21</v>
      </c>
    </row>
    <row r="268">
      <c r="A268" s="10">
        <v>267.0</v>
      </c>
      <c r="B268" s="11" t="s">
        <v>3114</v>
      </c>
      <c r="C268" s="10" t="s">
        <v>220</v>
      </c>
      <c r="D268" s="10" t="s">
        <v>12</v>
      </c>
      <c r="E268" s="13">
        <f>IFERROR(__xludf.DUMMYFUNCTION("ifna(filter('Yahoo ADP'!$A$2:$A2766,'Yahoo ADP'!$B$2:$B2766=$B268,$C268='Yahoo ADP'!$C$2:$C2766,$D268='Yahoo ADP'!$D$2:$D2766))"),223.2)</f>
        <v>223.2</v>
      </c>
      <c r="F268" s="13">
        <f>IFERROR(__xludf.DUMMYFUNCTION("ifna(filter('Yahoo ADP'!$E$2:$E2766,'Yahoo ADP'!$B$2:$B2766=$B268,$C268='Yahoo ADP'!$C$2:$C2766,$D268='Yahoo ADP'!$D$2:$D2766))"),1.2)</f>
        <v>1.2</v>
      </c>
      <c r="G268" s="27">
        <v>259.0</v>
      </c>
      <c r="H268" s="8">
        <f t="shared" si="1"/>
        <v>-8</v>
      </c>
    </row>
    <row r="269">
      <c r="A269" s="10">
        <v>268.0</v>
      </c>
      <c r="B269" s="11" t="s">
        <v>3115</v>
      </c>
      <c r="C269" s="10" t="s">
        <v>79</v>
      </c>
      <c r="D269" s="10" t="s">
        <v>42</v>
      </c>
      <c r="E269" s="13">
        <f>IFERROR(__xludf.DUMMYFUNCTION("ifna(filter('Yahoo ADP'!$A$2:$A2766,'Yahoo ADP'!$B$2:$B2766=$B269,$C269='Yahoo ADP'!$C$2:$C2766,$D269='Yahoo ADP'!$D$2:$D2766))"),224.8)</f>
        <v>224.8</v>
      </c>
      <c r="F269" s="13">
        <f>IFERROR(__xludf.DUMMYFUNCTION("ifna(filter('Yahoo ADP'!$E$2:$E2766,'Yahoo ADP'!$B$2:$B2766=$B269,$C269='Yahoo ADP'!$C$2:$C2766,$D269='Yahoo ADP'!$D$2:$D2766))"),1.4)</f>
        <v>1.4</v>
      </c>
      <c r="G269" s="27">
        <v>262.0</v>
      </c>
      <c r="H269" s="8">
        <f t="shared" si="1"/>
        <v>-6</v>
      </c>
    </row>
    <row r="270">
      <c r="A270" s="10">
        <v>269.0</v>
      </c>
      <c r="B270" s="11" t="s">
        <v>3116</v>
      </c>
      <c r="C270" s="10" t="s">
        <v>22</v>
      </c>
      <c r="D270" s="10" t="s">
        <v>71</v>
      </c>
      <c r="E270" s="13">
        <f>IFERROR(__xludf.DUMMYFUNCTION("ifna(filter('Yahoo ADP'!$A$2:$A2766,'Yahoo ADP'!$B$2:$B2766=$B270,$C270='Yahoo ADP'!$C$2:$C2766,$D270='Yahoo ADP'!$D$2:$D2766))"),236.0)</f>
        <v>236</v>
      </c>
      <c r="F270" s="13">
        <f>IFERROR(__xludf.DUMMYFUNCTION("ifna(filter('Yahoo ADP'!$E$2:$E2766,'Yahoo ADP'!$B$2:$B2766=$B270,$C270='Yahoo ADP'!$C$2:$C2766,$D270='Yahoo ADP'!$D$2:$D2766))"),1.4)</f>
        <v>1.4</v>
      </c>
      <c r="G270" s="27">
        <v>271.0</v>
      </c>
      <c r="H270" s="8">
        <f t="shared" si="1"/>
        <v>2</v>
      </c>
    </row>
    <row r="271">
      <c r="A271" s="10">
        <v>270.0</v>
      </c>
      <c r="B271" s="11" t="s">
        <v>3117</v>
      </c>
      <c r="C271" s="10" t="s">
        <v>346</v>
      </c>
      <c r="D271" s="10" t="s">
        <v>36</v>
      </c>
      <c r="E271" s="13">
        <f>IFERROR(__xludf.DUMMYFUNCTION("ifna(filter('Yahoo ADP'!$A$2:$A2766,'Yahoo ADP'!$B$2:$B2766=$B271,$C271='Yahoo ADP'!$C$2:$C2766,$D271='Yahoo ADP'!$D$2:$D2766))"),241.2)</f>
        <v>241.2</v>
      </c>
      <c r="F271" s="13">
        <f>IFERROR(__xludf.DUMMYFUNCTION("ifna(filter('Yahoo ADP'!$E$2:$E2766,'Yahoo ADP'!$B$2:$B2766=$B271,$C271='Yahoo ADP'!$C$2:$C2766,$D271='Yahoo ADP'!$D$2:$D2766))"),1.4)</f>
        <v>1.4</v>
      </c>
      <c r="G271" s="27">
        <v>289.0</v>
      </c>
      <c r="H271" s="8">
        <f t="shared" si="1"/>
        <v>19</v>
      </c>
    </row>
    <row r="272">
      <c r="A272" s="10">
        <v>271.0</v>
      </c>
      <c r="B272" s="11" t="s">
        <v>3118</v>
      </c>
      <c r="C272" s="10" t="s">
        <v>22</v>
      </c>
      <c r="D272" s="10" t="s">
        <v>99</v>
      </c>
      <c r="E272" s="13">
        <f>IFERROR(__xludf.DUMMYFUNCTION("ifna(filter('Yahoo ADP'!$A$2:$A2766,'Yahoo ADP'!$B$2:$B2766=$B272,$C272='Yahoo ADP'!$C$2:$C2766,$D272='Yahoo ADP'!$D$2:$D2766))"),244.2)</f>
        <v>244.2</v>
      </c>
      <c r="F272" s="13">
        <f>IFERROR(__xludf.DUMMYFUNCTION("ifna(filter('Yahoo ADP'!$E$2:$E2766,'Yahoo ADP'!$B$2:$B2766=$B272,$C272='Yahoo ADP'!$C$2:$C2766,$D272='Yahoo ADP'!$D$2:$D2766))"),1.2)</f>
        <v>1.2</v>
      </c>
      <c r="G272" s="27">
        <v>534.0</v>
      </c>
      <c r="H272" s="8">
        <f t="shared" si="1"/>
        <v>263</v>
      </c>
    </row>
    <row r="273">
      <c r="A273" s="10">
        <v>272.0</v>
      </c>
      <c r="B273" s="11" t="s">
        <v>3119</v>
      </c>
      <c r="C273" s="10" t="s">
        <v>77</v>
      </c>
      <c r="D273" s="10" t="s">
        <v>140</v>
      </c>
      <c r="E273" s="13">
        <f>IFERROR(__xludf.DUMMYFUNCTION("ifna(filter('Yahoo ADP'!$A$2:$A2766,'Yahoo ADP'!$B$2:$B2766=$B273,$C273='Yahoo ADP'!$C$2:$C2766,$D273='Yahoo ADP'!$D$2:$D2766))"),230.7)</f>
        <v>230.7</v>
      </c>
      <c r="F273" s="13">
        <f>IFERROR(__xludf.DUMMYFUNCTION("ifna(filter('Yahoo ADP'!$E$2:$E2766,'Yahoo ADP'!$B$2:$B2766=$B273,$C273='Yahoo ADP'!$C$2:$C2766,$D273='Yahoo ADP'!$D$2:$D2766))"),1.0)</f>
        <v>1</v>
      </c>
      <c r="G273" s="27">
        <v>285.0</v>
      </c>
      <c r="H273" s="8">
        <f t="shared" si="1"/>
        <v>13</v>
      </c>
    </row>
    <row r="274">
      <c r="A274" s="10">
        <v>273.0</v>
      </c>
      <c r="B274" s="11" t="s">
        <v>3120</v>
      </c>
      <c r="C274" s="10" t="s">
        <v>22</v>
      </c>
      <c r="D274" s="10" t="s">
        <v>95</v>
      </c>
      <c r="E274" s="13">
        <f>IFERROR(__xludf.DUMMYFUNCTION("ifna(filter('Yahoo ADP'!$A$2:$A2766,'Yahoo ADP'!$B$2:$B2766=$B274,$C274='Yahoo ADP'!$C$2:$C2766,$D274='Yahoo ADP'!$D$2:$D2766))"),241.6)</f>
        <v>241.6</v>
      </c>
      <c r="F274" s="13">
        <f>IFERROR(__xludf.DUMMYFUNCTION("ifna(filter('Yahoo ADP'!$E$2:$E2766,'Yahoo ADP'!$B$2:$B2766=$B274,$C274='Yahoo ADP'!$C$2:$C2766,$D274='Yahoo ADP'!$D$2:$D2766))"),1.6)</f>
        <v>1.6</v>
      </c>
      <c r="G274" s="27">
        <v>372.0</v>
      </c>
      <c r="H274" s="8">
        <f t="shared" si="1"/>
        <v>99</v>
      </c>
    </row>
    <row r="275">
      <c r="A275" s="10">
        <v>274.0</v>
      </c>
      <c r="B275" s="11" t="s">
        <v>2924</v>
      </c>
      <c r="C275" s="10" t="s">
        <v>79</v>
      </c>
      <c r="D275" s="10" t="s">
        <v>49</v>
      </c>
      <c r="E275" s="13">
        <f>IFERROR(__xludf.DUMMYFUNCTION("ifna(filter('Yahoo ADP'!$A$2:$A2766,'Yahoo ADP'!$B$2:$B2766=$B275,$C275='Yahoo ADP'!$C$2:$C2766,$D275='Yahoo ADP'!$D$2:$D2766))"),128.4)</f>
        <v>128.4</v>
      </c>
      <c r="F275" s="13">
        <f>IFERROR(__xludf.DUMMYFUNCTION("ifna(filter('Yahoo ADP'!$E$2:$E2766,'Yahoo ADP'!$B$2:$B2766=$B275,$C275='Yahoo ADP'!$C$2:$C2766,$D275='Yahoo ADP'!$D$2:$D2766))"),6.3)</f>
        <v>6.3</v>
      </c>
      <c r="G275" s="27">
        <v>181.0</v>
      </c>
      <c r="H275" s="8">
        <f t="shared" si="1"/>
        <v>-93</v>
      </c>
    </row>
    <row r="276">
      <c r="A276" s="10">
        <v>275.0</v>
      </c>
      <c r="B276" s="11" t="s">
        <v>3121</v>
      </c>
      <c r="C276" s="10" t="s">
        <v>22</v>
      </c>
      <c r="D276" s="10" t="s">
        <v>31</v>
      </c>
      <c r="E276" s="13">
        <f>IFERROR(__xludf.DUMMYFUNCTION("ifna(filter('Yahoo ADP'!$A$2:$A2766,'Yahoo ADP'!$B$2:$B2766=$B276,$C276='Yahoo ADP'!$C$2:$C2766,$D276='Yahoo ADP'!$D$2:$D2766))"),261.6)</f>
        <v>261.6</v>
      </c>
      <c r="F276" s="13">
        <f>IFERROR(__xludf.DUMMYFUNCTION("ifna(filter('Yahoo ADP'!$E$2:$E2766,'Yahoo ADP'!$B$2:$B2766=$B276,$C276='Yahoo ADP'!$C$2:$C2766,$D276='Yahoo ADP'!$D$2:$D2766))"),1.0)</f>
        <v>1</v>
      </c>
      <c r="G276" s="27">
        <v>265.0</v>
      </c>
      <c r="H276" s="8">
        <f t="shared" si="1"/>
        <v>-10</v>
      </c>
    </row>
    <row r="277">
      <c r="A277" s="10">
        <v>276.0</v>
      </c>
      <c r="B277" s="11" t="s">
        <v>3122</v>
      </c>
      <c r="C277" s="10" t="s">
        <v>136</v>
      </c>
      <c r="D277" s="10" t="s">
        <v>36</v>
      </c>
      <c r="E277" s="13">
        <f>IFERROR(__xludf.DUMMYFUNCTION("ifna(filter('Yahoo ADP'!$A$2:$A2766,'Yahoo ADP'!$B$2:$B2766=$B277,$C277='Yahoo ADP'!$C$2:$C2766,$D277='Yahoo ADP'!$D$2:$D2766))"),254.1)</f>
        <v>254.1</v>
      </c>
      <c r="F277" s="13">
        <f>IFERROR(__xludf.DUMMYFUNCTION("ifna(filter('Yahoo ADP'!$E$2:$E2766,'Yahoo ADP'!$B$2:$B2766=$B277,$C277='Yahoo ADP'!$C$2:$C2766,$D277='Yahoo ADP'!$D$2:$D2766))"),1.1)</f>
        <v>1.1</v>
      </c>
      <c r="G277" s="27">
        <v>254.0</v>
      </c>
      <c r="H277" s="8">
        <f t="shared" si="1"/>
        <v>-22</v>
      </c>
    </row>
    <row r="278">
      <c r="A278" s="10">
        <v>277.0</v>
      </c>
      <c r="B278" s="11" t="s">
        <v>3123</v>
      </c>
      <c r="C278" s="10" t="s">
        <v>220</v>
      </c>
      <c r="D278" s="10" t="s">
        <v>27</v>
      </c>
      <c r="E278" s="13">
        <f>IFERROR(__xludf.DUMMYFUNCTION("ifna(filter('Yahoo ADP'!$A$2:$A2766,'Yahoo ADP'!$B$2:$B2766=$B278,$C278='Yahoo ADP'!$C$2:$C2766,$D278='Yahoo ADP'!$D$2:$D2766))"),213.6)</f>
        <v>213.6</v>
      </c>
      <c r="F278" s="13">
        <f>IFERROR(__xludf.DUMMYFUNCTION("ifna(filter('Yahoo ADP'!$E$2:$E2766,'Yahoo ADP'!$B$2:$B2766=$B278,$C278='Yahoo ADP'!$C$2:$C2766,$D278='Yahoo ADP'!$D$2:$D2766))"),1.4)</f>
        <v>1.4</v>
      </c>
      <c r="G278" s="27">
        <v>282.0</v>
      </c>
      <c r="H278" s="8">
        <f t="shared" si="1"/>
        <v>5</v>
      </c>
    </row>
    <row r="279">
      <c r="A279" s="10">
        <v>278.0</v>
      </c>
      <c r="B279" s="11" t="s">
        <v>3124</v>
      </c>
      <c r="C279" s="10" t="s">
        <v>69</v>
      </c>
      <c r="D279" s="10" t="s">
        <v>85</v>
      </c>
      <c r="E279" s="13">
        <f>IFERROR(__xludf.DUMMYFUNCTION("ifna(filter('Yahoo ADP'!$A$2:$A2766,'Yahoo ADP'!$B$2:$B2766=$B279,$C279='Yahoo ADP'!$C$2:$C2766,$D279='Yahoo ADP'!$D$2:$D2766))"),252.0)</f>
        <v>252</v>
      </c>
      <c r="F279" s="13">
        <f>IFERROR(__xludf.DUMMYFUNCTION("ifna(filter('Yahoo ADP'!$E$2:$E2766,'Yahoo ADP'!$B$2:$B2766=$B279,$C279='Yahoo ADP'!$C$2:$C2766,$D279='Yahoo ADP'!$D$2:$D2766))"),1.1)</f>
        <v>1.1</v>
      </c>
      <c r="G279" s="27">
        <v>320.0</v>
      </c>
      <c r="H279" s="8">
        <f t="shared" si="1"/>
        <v>42</v>
      </c>
    </row>
    <row r="280">
      <c r="A280" s="10">
        <v>279.0</v>
      </c>
      <c r="B280" s="11" t="s">
        <v>3125</v>
      </c>
      <c r="C280" s="10" t="s">
        <v>355</v>
      </c>
      <c r="D280" s="10" t="s">
        <v>15</v>
      </c>
      <c r="E280" s="13">
        <f>IFERROR(__xludf.DUMMYFUNCTION("ifna(filter('Yahoo ADP'!$A$2:$A2766,'Yahoo ADP'!$B$2:$B2766=$B280,$C280='Yahoo ADP'!$C$2:$C2766,$D280='Yahoo ADP'!$D$2:$D2766))"),243.0)</f>
        <v>243</v>
      </c>
      <c r="F280" s="13">
        <f>IFERROR(__xludf.DUMMYFUNCTION("ifna(filter('Yahoo ADP'!$E$2:$E2766,'Yahoo ADP'!$B$2:$B2766=$B280,$C280='Yahoo ADP'!$C$2:$C2766,$D280='Yahoo ADP'!$D$2:$D2766))"),1.3)</f>
        <v>1.3</v>
      </c>
      <c r="G280" s="27">
        <v>268.0</v>
      </c>
      <c r="H280" s="8">
        <f t="shared" si="1"/>
        <v>-11</v>
      </c>
    </row>
    <row r="281">
      <c r="A281" s="10">
        <v>280.0</v>
      </c>
      <c r="B281" s="11" t="s">
        <v>3126</v>
      </c>
      <c r="C281" s="10" t="s">
        <v>79</v>
      </c>
      <c r="D281" s="10" t="s">
        <v>95</v>
      </c>
      <c r="E281" s="13">
        <f>IFERROR(__xludf.DUMMYFUNCTION("ifna(filter('Yahoo ADP'!$A$2:$A2766,'Yahoo ADP'!$B$2:$B2766=$B281,$C281='Yahoo ADP'!$C$2:$C2766,$D281='Yahoo ADP'!$D$2:$D2766))"),219.9)</f>
        <v>219.9</v>
      </c>
      <c r="F281" s="13">
        <f>IFERROR(__xludf.DUMMYFUNCTION("ifna(filter('Yahoo ADP'!$E$2:$E2766,'Yahoo ADP'!$B$2:$B2766=$B281,$C281='Yahoo ADP'!$C$2:$C2766,$D281='Yahoo ADP'!$D$2:$D2766))"),1.7)</f>
        <v>1.7</v>
      </c>
      <c r="G281" s="27">
        <v>280.0</v>
      </c>
      <c r="H281" s="8">
        <f t="shared" si="1"/>
        <v>0</v>
      </c>
    </row>
    <row r="282">
      <c r="A282" s="10">
        <v>281.0</v>
      </c>
      <c r="B282" s="11" t="s">
        <v>3127</v>
      </c>
      <c r="C282" s="10" t="s">
        <v>55</v>
      </c>
      <c r="D282" s="10" t="s">
        <v>25</v>
      </c>
      <c r="E282" s="13">
        <f>IFERROR(__xludf.DUMMYFUNCTION("ifna(filter('Yahoo ADP'!$A$2:$A2766,'Yahoo ADP'!$B$2:$B2766=$B282,$C282='Yahoo ADP'!$C$2:$C2766,$D282='Yahoo ADP'!$D$2:$D2766))"),245.0)</f>
        <v>245</v>
      </c>
      <c r="F282" s="13">
        <f>IFERROR(__xludf.DUMMYFUNCTION("ifna(filter('Yahoo ADP'!$E$2:$E2766,'Yahoo ADP'!$B$2:$B2766=$B282,$C282='Yahoo ADP'!$C$2:$C2766,$D282='Yahoo ADP'!$D$2:$D2766))"),1.4)</f>
        <v>1.4</v>
      </c>
      <c r="G282" s="27">
        <v>290.0</v>
      </c>
      <c r="H282" s="8">
        <f t="shared" si="1"/>
        <v>9</v>
      </c>
    </row>
    <row r="283">
      <c r="A283" s="10">
        <v>282.0</v>
      </c>
      <c r="B283" s="11" t="s">
        <v>3128</v>
      </c>
      <c r="C283" s="10" t="s">
        <v>283</v>
      </c>
      <c r="D283" s="10" t="s">
        <v>206</v>
      </c>
      <c r="E283" s="13">
        <f>IFERROR(__xludf.DUMMYFUNCTION("ifna(filter('Yahoo ADP'!$A$2:$A2766,'Yahoo ADP'!$B$2:$B2766=$B283,$C283='Yahoo ADP'!$C$2:$C2766,$D283='Yahoo ADP'!$D$2:$D2766))"),233.7)</f>
        <v>233.7</v>
      </c>
      <c r="F283" s="13">
        <f>IFERROR(__xludf.DUMMYFUNCTION("ifna(filter('Yahoo ADP'!$E$2:$E2766,'Yahoo ADP'!$B$2:$B2766=$B283,$C283='Yahoo ADP'!$C$2:$C2766,$D283='Yahoo ADP'!$D$2:$D2766))"),1.6)</f>
        <v>1.6</v>
      </c>
      <c r="G283" s="27">
        <v>269.0</v>
      </c>
      <c r="H283" s="8">
        <f t="shared" si="1"/>
        <v>-13</v>
      </c>
    </row>
    <row r="284">
      <c r="A284" s="10">
        <v>283.0</v>
      </c>
      <c r="B284" s="11" t="s">
        <v>3129</v>
      </c>
      <c r="C284" s="10" t="s">
        <v>220</v>
      </c>
      <c r="D284" s="10" t="s">
        <v>23</v>
      </c>
      <c r="E284" s="13">
        <f>IFERROR(__xludf.DUMMYFUNCTION("ifna(filter('Yahoo ADP'!$A$2:$A2766,'Yahoo ADP'!$B$2:$B2766=$B284,$C284='Yahoo ADP'!$C$2:$C2766,$D284='Yahoo ADP'!$D$2:$D2766))"),243.6)</f>
        <v>243.6</v>
      </c>
      <c r="F284" s="13">
        <f>IFERROR(__xludf.DUMMYFUNCTION("ifna(filter('Yahoo ADP'!$E$2:$E2766,'Yahoo ADP'!$B$2:$B2766=$B284,$C284='Yahoo ADP'!$C$2:$C2766,$D284='Yahoo ADP'!$D$2:$D2766))"),1.3)</f>
        <v>1.3</v>
      </c>
      <c r="G284" s="27">
        <v>443.0</v>
      </c>
      <c r="H284" s="8">
        <f t="shared" si="1"/>
        <v>160</v>
      </c>
    </row>
    <row r="285">
      <c r="A285" s="10">
        <v>284.0</v>
      </c>
      <c r="B285" s="11" t="s">
        <v>3130</v>
      </c>
      <c r="C285" s="10" t="s">
        <v>77</v>
      </c>
      <c r="D285" s="10" t="s">
        <v>105</v>
      </c>
      <c r="E285" s="13">
        <f>IFERROR(__xludf.DUMMYFUNCTION("ifna(filter('Yahoo ADP'!$A$2:$A2766,'Yahoo ADP'!$B$2:$B2766=$B285,$C285='Yahoo ADP'!$C$2:$C2766,$D285='Yahoo ADP'!$D$2:$D2766))"),241.8)</f>
        <v>241.8</v>
      </c>
      <c r="F285" s="13">
        <f>IFERROR(__xludf.DUMMYFUNCTION("ifna(filter('Yahoo ADP'!$E$2:$E2766,'Yahoo ADP'!$B$2:$B2766=$B285,$C285='Yahoo ADP'!$C$2:$C2766,$D285='Yahoo ADP'!$D$2:$D2766))"),1.0)</f>
        <v>1</v>
      </c>
      <c r="G285" s="27">
        <v>1311.0</v>
      </c>
      <c r="H285" s="8">
        <f t="shared" si="1"/>
        <v>1027</v>
      </c>
    </row>
    <row r="286">
      <c r="A286" s="10">
        <v>285.0</v>
      </c>
      <c r="B286" s="11" t="s">
        <v>3131</v>
      </c>
      <c r="C286" s="10" t="s">
        <v>77</v>
      </c>
      <c r="D286" s="10" t="s">
        <v>99</v>
      </c>
      <c r="E286" s="13">
        <f>IFERROR(__xludf.DUMMYFUNCTION("ifna(filter('Yahoo ADP'!$A$2:$A2766,'Yahoo ADP'!$B$2:$B2766=$B286,$C286='Yahoo ADP'!$C$2:$C2766,$D286='Yahoo ADP'!$D$2:$D2766))"),209.2)</f>
        <v>209.2</v>
      </c>
      <c r="F286" s="13">
        <f>IFERROR(__xludf.DUMMYFUNCTION("ifna(filter('Yahoo ADP'!$E$2:$E2766,'Yahoo ADP'!$B$2:$B2766=$B286,$C286='Yahoo ADP'!$C$2:$C2766,$D286='Yahoo ADP'!$D$2:$D2766))"),1.8)</f>
        <v>1.8</v>
      </c>
      <c r="G286" s="27">
        <v>295.0</v>
      </c>
      <c r="H286" s="8">
        <f t="shared" si="1"/>
        <v>10</v>
      </c>
    </row>
    <row r="287">
      <c r="A287" s="10">
        <v>286.0</v>
      </c>
      <c r="B287" s="11" t="s">
        <v>3132</v>
      </c>
      <c r="C287" s="10" t="s">
        <v>14</v>
      </c>
      <c r="D287" s="10" t="s">
        <v>137</v>
      </c>
      <c r="E287" s="13">
        <f>IFERROR(__xludf.DUMMYFUNCTION("ifna(filter('Yahoo ADP'!$A$2:$A2766,'Yahoo ADP'!$B$2:$B2766=$B287,$C287='Yahoo ADP'!$C$2:$C2766,$D287='Yahoo ADP'!$D$2:$D2766))"),243.1)</f>
        <v>243.1</v>
      </c>
      <c r="F287" s="13">
        <f>IFERROR(__xludf.DUMMYFUNCTION("ifna(filter('Yahoo ADP'!$E$2:$E2766,'Yahoo ADP'!$B$2:$B2766=$B287,$C287='Yahoo ADP'!$C$2:$C2766,$D287='Yahoo ADP'!$D$2:$D2766))"),1.7)</f>
        <v>1.7</v>
      </c>
      <c r="G287" s="27">
        <v>1965.0</v>
      </c>
      <c r="H287" s="8">
        <f t="shared" si="1"/>
        <v>1679</v>
      </c>
    </row>
    <row r="288">
      <c r="A288" s="10">
        <v>287.0</v>
      </c>
      <c r="B288" s="11" t="s">
        <v>3133</v>
      </c>
      <c r="C288" s="10" t="s">
        <v>14</v>
      </c>
      <c r="D288" s="10" t="s">
        <v>67</v>
      </c>
      <c r="E288" s="13">
        <f>IFERROR(__xludf.DUMMYFUNCTION("ifna(filter('Yahoo ADP'!$A$2:$A2766,'Yahoo ADP'!$B$2:$B2766=$B288,$C288='Yahoo ADP'!$C$2:$C2766,$D288='Yahoo ADP'!$D$2:$D2766))"),239.8)</f>
        <v>239.8</v>
      </c>
      <c r="F288" s="13">
        <f>IFERROR(__xludf.DUMMYFUNCTION("ifna(filter('Yahoo ADP'!$E$2:$E2766,'Yahoo ADP'!$B$2:$B2766=$B288,$C288='Yahoo ADP'!$C$2:$C2766,$D288='Yahoo ADP'!$D$2:$D2766))"),1.4)</f>
        <v>1.4</v>
      </c>
      <c r="G288" s="27">
        <v>279.0</v>
      </c>
      <c r="H288" s="8">
        <f t="shared" si="1"/>
        <v>-8</v>
      </c>
    </row>
    <row r="289">
      <c r="A289" s="10">
        <v>288.0</v>
      </c>
      <c r="B289" s="11" t="s">
        <v>3134</v>
      </c>
      <c r="C289" s="10" t="s">
        <v>22</v>
      </c>
      <c r="D289" s="10" t="s">
        <v>71</v>
      </c>
      <c r="E289" s="13">
        <f>IFERROR(__xludf.DUMMYFUNCTION("ifna(filter('Yahoo ADP'!$A$2:$A2766,'Yahoo ADP'!$B$2:$B2766=$B289,$C289='Yahoo ADP'!$C$2:$C2766,$D289='Yahoo ADP'!$D$2:$D2766))"),264.9)</f>
        <v>264.9</v>
      </c>
      <c r="F289" s="13">
        <f>IFERROR(__xludf.DUMMYFUNCTION("ifna(filter('Yahoo ADP'!$E$2:$E2766,'Yahoo ADP'!$B$2:$B2766=$B289,$C289='Yahoo ADP'!$C$2:$C2766,$D289='Yahoo ADP'!$D$2:$D2766))"),1.0)</f>
        <v>1</v>
      </c>
      <c r="G289" s="27">
        <v>261.0</v>
      </c>
      <c r="H289" s="8">
        <f t="shared" si="1"/>
        <v>-27</v>
      </c>
    </row>
    <row r="290">
      <c r="A290" s="10">
        <v>289.0</v>
      </c>
      <c r="B290" s="11" t="s">
        <v>3135</v>
      </c>
      <c r="C290" s="10" t="s">
        <v>220</v>
      </c>
      <c r="D290" s="10" t="s">
        <v>9</v>
      </c>
      <c r="E290" s="13">
        <f>IFERROR(__xludf.DUMMYFUNCTION("ifna(filter('Yahoo ADP'!$A$2:$A2766,'Yahoo ADP'!$B$2:$B2766=$B290,$C290='Yahoo ADP'!$C$2:$C2766,$D290='Yahoo ADP'!$D$2:$D2766))"),243.5)</f>
        <v>243.5</v>
      </c>
      <c r="F290" s="13">
        <f>IFERROR(__xludf.DUMMYFUNCTION("ifna(filter('Yahoo ADP'!$E$2:$E2766,'Yahoo ADP'!$B$2:$B2766=$B290,$C290='Yahoo ADP'!$C$2:$C2766,$D290='Yahoo ADP'!$D$2:$D2766))"),1.0)</f>
        <v>1</v>
      </c>
      <c r="G290" s="27">
        <v>300.0</v>
      </c>
      <c r="H290" s="8">
        <f t="shared" si="1"/>
        <v>11</v>
      </c>
    </row>
    <row r="291">
      <c r="A291" s="10">
        <v>290.0</v>
      </c>
      <c r="B291" s="11" t="s">
        <v>3136</v>
      </c>
      <c r="C291" s="10" t="s">
        <v>22</v>
      </c>
      <c r="D291" s="10" t="s">
        <v>18</v>
      </c>
      <c r="E291" s="13">
        <f>IFERROR(__xludf.DUMMYFUNCTION("ifna(filter('Yahoo ADP'!$A$2:$A2766,'Yahoo ADP'!$B$2:$B2766=$B291,$C291='Yahoo ADP'!$C$2:$C2766,$D291='Yahoo ADP'!$D$2:$D2766))"),253.3)</f>
        <v>253.3</v>
      </c>
      <c r="F291" s="13">
        <f>IFERROR(__xludf.DUMMYFUNCTION("ifna(filter('Yahoo ADP'!$E$2:$E2766,'Yahoo ADP'!$B$2:$B2766=$B291,$C291='Yahoo ADP'!$C$2:$C2766,$D291='Yahoo ADP'!$D$2:$D2766))"),1.1)</f>
        <v>1.1</v>
      </c>
      <c r="G291" s="27">
        <v>288.0</v>
      </c>
      <c r="H291" s="8">
        <f t="shared" si="1"/>
        <v>-2</v>
      </c>
    </row>
    <row r="292">
      <c r="A292" s="10">
        <v>291.0</v>
      </c>
      <c r="B292" s="11" t="s">
        <v>3137</v>
      </c>
      <c r="C292" s="10" t="s">
        <v>346</v>
      </c>
      <c r="D292" s="10" t="s">
        <v>95</v>
      </c>
      <c r="E292" s="13">
        <f>IFERROR(__xludf.DUMMYFUNCTION("ifna(filter('Yahoo ADP'!$A$2:$A2766,'Yahoo ADP'!$B$2:$B2766=$B292,$C292='Yahoo ADP'!$C$2:$C2766,$D292='Yahoo ADP'!$D$2:$D2766))"),240.7)</f>
        <v>240.7</v>
      </c>
      <c r="F292" s="13">
        <f>IFERROR(__xludf.DUMMYFUNCTION("ifna(filter('Yahoo ADP'!$E$2:$E2766,'Yahoo ADP'!$B$2:$B2766=$B292,$C292='Yahoo ADP'!$C$2:$C2766,$D292='Yahoo ADP'!$D$2:$D2766))"),1.5)</f>
        <v>1.5</v>
      </c>
      <c r="G292" s="27">
        <v>275.0</v>
      </c>
      <c r="H292" s="8">
        <f t="shared" si="1"/>
        <v>-16</v>
      </c>
    </row>
    <row r="293">
      <c r="A293" s="10">
        <v>292.0</v>
      </c>
      <c r="B293" s="11" t="s">
        <v>3138</v>
      </c>
      <c r="C293" s="10" t="s">
        <v>220</v>
      </c>
      <c r="D293" s="10" t="s">
        <v>25</v>
      </c>
      <c r="E293" s="13">
        <f>IFERROR(__xludf.DUMMYFUNCTION("ifna(filter('Yahoo ADP'!$A$2:$A2766,'Yahoo ADP'!$B$2:$B2766=$B293,$C293='Yahoo ADP'!$C$2:$C2766,$D293='Yahoo ADP'!$D$2:$D2766))"),243.4)</f>
        <v>243.4</v>
      </c>
      <c r="F293" s="13">
        <f>IFERROR(__xludf.DUMMYFUNCTION("ifna(filter('Yahoo ADP'!$E$2:$E2766,'Yahoo ADP'!$B$2:$B2766=$B293,$C293='Yahoo ADP'!$C$2:$C2766,$D293='Yahoo ADP'!$D$2:$D2766))"),1.3)</f>
        <v>1.3</v>
      </c>
      <c r="G293" s="27">
        <v>357.0</v>
      </c>
      <c r="H293" s="8">
        <f t="shared" si="1"/>
        <v>65</v>
      </c>
    </row>
    <row r="294">
      <c r="A294" s="10">
        <v>293.0</v>
      </c>
      <c r="B294" s="11" t="s">
        <v>3139</v>
      </c>
      <c r="C294" s="10" t="s">
        <v>220</v>
      </c>
      <c r="D294" s="10" t="s">
        <v>90</v>
      </c>
      <c r="E294" s="13">
        <f>IFERROR(__xludf.DUMMYFUNCTION("ifna(filter('Yahoo ADP'!$A$2:$A2766,'Yahoo ADP'!$B$2:$B2766=$B294,$C294='Yahoo ADP'!$C$2:$C2766,$D294='Yahoo ADP'!$D$2:$D2766))"),235.7)</f>
        <v>235.7</v>
      </c>
      <c r="F294" s="13">
        <f>IFERROR(__xludf.DUMMYFUNCTION("ifna(filter('Yahoo ADP'!$E$2:$E2766,'Yahoo ADP'!$B$2:$B2766=$B294,$C294='Yahoo ADP'!$C$2:$C2766,$D294='Yahoo ADP'!$D$2:$D2766))"),2.2)</f>
        <v>2.2</v>
      </c>
      <c r="G294" s="27">
        <v>349.0</v>
      </c>
      <c r="H294" s="8">
        <f t="shared" si="1"/>
        <v>56</v>
      </c>
    </row>
    <row r="295">
      <c r="A295" s="10">
        <v>294.0</v>
      </c>
      <c r="B295" s="11" t="s">
        <v>3140</v>
      </c>
      <c r="C295" s="10" t="s">
        <v>22</v>
      </c>
      <c r="D295" s="10" t="s">
        <v>9</v>
      </c>
      <c r="E295" s="13">
        <f>IFERROR(__xludf.DUMMYFUNCTION("ifna(filter('Yahoo ADP'!$A$2:$A2766,'Yahoo ADP'!$B$2:$B2766=$B295,$C295='Yahoo ADP'!$C$2:$C2766,$D295='Yahoo ADP'!$D$2:$D2766))"),191.6)</f>
        <v>191.6</v>
      </c>
      <c r="F295" s="13">
        <f>IFERROR(__xludf.DUMMYFUNCTION("ifna(filter('Yahoo ADP'!$E$2:$E2766,'Yahoo ADP'!$B$2:$B2766=$B295,$C295='Yahoo ADP'!$C$2:$C2766,$D295='Yahoo ADP'!$D$2:$D2766))"),4.8)</f>
        <v>4.8</v>
      </c>
      <c r="G295" s="27">
        <v>276.0</v>
      </c>
      <c r="H295" s="8">
        <f t="shared" si="1"/>
        <v>-18</v>
      </c>
    </row>
    <row r="296">
      <c r="A296" s="10">
        <v>295.0</v>
      </c>
      <c r="B296" s="11" t="s">
        <v>3141</v>
      </c>
      <c r="C296" s="10" t="s">
        <v>77</v>
      </c>
      <c r="D296" s="10" t="s">
        <v>120</v>
      </c>
      <c r="E296" s="13">
        <f>IFERROR(__xludf.DUMMYFUNCTION("ifna(filter('Yahoo ADP'!$A$2:$A2766,'Yahoo ADP'!$B$2:$B2766=$B296,$C296='Yahoo ADP'!$C$2:$C2766,$D296='Yahoo ADP'!$D$2:$D2766))"),243.5)</f>
        <v>243.5</v>
      </c>
      <c r="F296" s="13">
        <f>IFERROR(__xludf.DUMMYFUNCTION("ifna(filter('Yahoo ADP'!$E$2:$E2766,'Yahoo ADP'!$B$2:$B2766=$B296,$C296='Yahoo ADP'!$C$2:$C2766,$D296='Yahoo ADP'!$D$2:$D2766))"),1.3)</f>
        <v>1.3</v>
      </c>
      <c r="G296" s="27">
        <v>297.0</v>
      </c>
      <c r="H296" s="8">
        <f t="shared" si="1"/>
        <v>2</v>
      </c>
    </row>
    <row r="297">
      <c r="A297" s="10">
        <v>296.0</v>
      </c>
      <c r="B297" s="11" t="s">
        <v>3142</v>
      </c>
      <c r="C297" s="10" t="s">
        <v>17</v>
      </c>
      <c r="D297" s="10" t="s">
        <v>95</v>
      </c>
      <c r="E297" s="13">
        <f>IFERROR(__xludf.DUMMYFUNCTION("ifna(filter('Yahoo ADP'!$A$2:$A2766,'Yahoo ADP'!$B$2:$B2766=$B297,$C297='Yahoo ADP'!$C$2:$C2766,$D297='Yahoo ADP'!$D$2:$D2766))"),238.3)</f>
        <v>238.3</v>
      </c>
      <c r="F297" s="13">
        <f>IFERROR(__xludf.DUMMYFUNCTION("ifna(filter('Yahoo ADP'!$E$2:$E2766,'Yahoo ADP'!$B$2:$B2766=$B297,$C297='Yahoo ADP'!$C$2:$C2766,$D297='Yahoo ADP'!$D$2:$D2766))"),3.1)</f>
        <v>3.1</v>
      </c>
      <c r="G297" s="27">
        <v>2579.0</v>
      </c>
      <c r="H297" s="8">
        <f t="shared" si="1"/>
        <v>2283</v>
      </c>
    </row>
    <row r="298">
      <c r="A298" s="10">
        <v>297.0</v>
      </c>
      <c r="B298" s="11" t="s">
        <v>3143</v>
      </c>
      <c r="C298" s="10" t="s">
        <v>139</v>
      </c>
      <c r="D298" s="10" t="s">
        <v>105</v>
      </c>
      <c r="E298" s="13">
        <f>IFERROR(__xludf.DUMMYFUNCTION("ifna(filter('Yahoo ADP'!$A$2:$A2766,'Yahoo ADP'!$B$2:$B2766=$B298,$C298='Yahoo ADP'!$C$2:$C2766,$D298='Yahoo ADP'!$D$2:$D2766))"),249.1)</f>
        <v>249.1</v>
      </c>
      <c r="F298" s="13">
        <f>IFERROR(__xludf.DUMMYFUNCTION("ifna(filter('Yahoo ADP'!$E$2:$E2766,'Yahoo ADP'!$B$2:$B2766=$B298,$C298='Yahoo ADP'!$C$2:$C2766,$D298='Yahoo ADP'!$D$2:$D2766))"),1.2)</f>
        <v>1.2</v>
      </c>
      <c r="G298" s="27">
        <v>278.0</v>
      </c>
      <c r="H298" s="8">
        <f t="shared" si="1"/>
        <v>-19</v>
      </c>
    </row>
    <row r="299">
      <c r="A299" s="10">
        <v>298.0</v>
      </c>
      <c r="B299" s="11" t="s">
        <v>3144</v>
      </c>
      <c r="C299" s="10" t="s">
        <v>375</v>
      </c>
      <c r="D299" s="10" t="s">
        <v>46</v>
      </c>
      <c r="E299" s="13">
        <f>IFERROR(__xludf.DUMMYFUNCTION("ifna(filter('Yahoo ADP'!$A$2:$A2766,'Yahoo ADP'!$B$2:$B2766=$B299,$C299='Yahoo ADP'!$C$2:$C2766,$D299='Yahoo ADP'!$D$2:$D2766))"),242.5)</f>
        <v>242.5</v>
      </c>
      <c r="F299" s="13">
        <f>IFERROR(__xludf.DUMMYFUNCTION("ifna(filter('Yahoo ADP'!$E$2:$E2766,'Yahoo ADP'!$B$2:$B2766=$B299,$C299='Yahoo ADP'!$C$2:$C2766,$D299='Yahoo ADP'!$D$2:$D2766))"),1.2)</f>
        <v>1.2</v>
      </c>
      <c r="G299" s="27">
        <v>412.0</v>
      </c>
      <c r="H299" s="8">
        <f t="shared" si="1"/>
        <v>114</v>
      </c>
    </row>
    <row r="300">
      <c r="A300" s="10">
        <v>299.0</v>
      </c>
      <c r="B300" s="11" t="s">
        <v>3145</v>
      </c>
      <c r="C300" s="10" t="s">
        <v>22</v>
      </c>
      <c r="D300" s="10" t="s">
        <v>31</v>
      </c>
      <c r="E300" s="13">
        <f>IFERROR(__xludf.DUMMYFUNCTION("ifna(filter('Yahoo ADP'!$A$2:$A2766,'Yahoo ADP'!$B$2:$B2766=$B300,$C300='Yahoo ADP'!$C$2:$C2766,$D300='Yahoo ADP'!$D$2:$D2766))"),245.2)</f>
        <v>245.2</v>
      </c>
      <c r="F300" s="13">
        <f>IFERROR(__xludf.DUMMYFUNCTION("ifna(filter('Yahoo ADP'!$E$2:$E2766,'Yahoo ADP'!$B$2:$B2766=$B300,$C300='Yahoo ADP'!$C$2:$C2766,$D300='Yahoo ADP'!$D$2:$D2766))"),1.1)</f>
        <v>1.1</v>
      </c>
      <c r="G300" s="27">
        <v>311.0</v>
      </c>
      <c r="H300" s="8">
        <f t="shared" si="1"/>
        <v>12</v>
      </c>
    </row>
    <row r="301">
      <c r="A301" s="10">
        <v>300.0</v>
      </c>
      <c r="B301" s="11" t="s">
        <v>3146</v>
      </c>
      <c r="C301" s="10" t="s">
        <v>218</v>
      </c>
      <c r="D301" s="10" t="s">
        <v>122</v>
      </c>
      <c r="E301" s="13">
        <f>IFERROR(__xludf.DUMMYFUNCTION("ifna(filter('Yahoo ADP'!$A$2:$A2766,'Yahoo ADP'!$B$2:$B2766=$B301,$C301='Yahoo ADP'!$C$2:$C2766,$D301='Yahoo ADP'!$D$2:$D2766))"),241.3)</f>
        <v>241.3</v>
      </c>
      <c r="F301" s="13">
        <f>IFERROR(__xludf.DUMMYFUNCTION("ifna(filter('Yahoo ADP'!$E$2:$E2766,'Yahoo ADP'!$B$2:$B2766=$B301,$C301='Yahoo ADP'!$C$2:$C2766,$D301='Yahoo ADP'!$D$2:$D2766))"),1.0)</f>
        <v>1</v>
      </c>
      <c r="G301" s="27">
        <v>281.0</v>
      </c>
      <c r="H301" s="8">
        <f t="shared" si="1"/>
        <v>-19</v>
      </c>
    </row>
    <row r="302">
      <c r="A302" s="10">
        <v>301.0</v>
      </c>
      <c r="B302" s="11" t="s">
        <v>3147</v>
      </c>
      <c r="C302" s="10" t="s">
        <v>11</v>
      </c>
      <c r="D302" s="10" t="s">
        <v>113</v>
      </c>
      <c r="E302" s="13">
        <f>IFERROR(__xludf.DUMMYFUNCTION("ifna(filter('Yahoo ADP'!$A$2:$A2766,'Yahoo ADP'!$B$2:$B2766=$B302,$C302='Yahoo ADP'!$C$2:$C2766,$D302='Yahoo ADP'!$D$2:$D2766))"),238.4)</f>
        <v>238.4</v>
      </c>
      <c r="F302" s="13">
        <f>IFERROR(__xludf.DUMMYFUNCTION("ifna(filter('Yahoo ADP'!$E$2:$E2766,'Yahoo ADP'!$B$2:$B2766=$B302,$C302='Yahoo ADP'!$C$2:$C2766,$D302='Yahoo ADP'!$D$2:$D2766))"),1.8)</f>
        <v>1.8</v>
      </c>
      <c r="G302" s="27">
        <v>344.0</v>
      </c>
      <c r="H302" s="8">
        <f t="shared" si="1"/>
        <v>43</v>
      </c>
    </row>
    <row r="303">
      <c r="A303" s="10">
        <v>302.0</v>
      </c>
      <c r="B303" s="11" t="s">
        <v>3148</v>
      </c>
      <c r="C303" s="10" t="s">
        <v>48</v>
      </c>
      <c r="D303" s="10" t="s">
        <v>18</v>
      </c>
      <c r="E303" s="13">
        <f>IFERROR(__xludf.DUMMYFUNCTION("ifna(filter('Yahoo ADP'!$A$2:$A2766,'Yahoo ADP'!$B$2:$B2766=$B303,$C303='Yahoo ADP'!$C$2:$C2766,$D303='Yahoo ADP'!$D$2:$D2766))"),246.1)</f>
        <v>246.1</v>
      </c>
      <c r="F303" s="13">
        <f>IFERROR(__xludf.DUMMYFUNCTION("ifna(filter('Yahoo ADP'!$E$2:$E2766,'Yahoo ADP'!$B$2:$B2766=$B303,$C303='Yahoo ADP'!$C$2:$C2766,$D303='Yahoo ADP'!$D$2:$D2766))"),1.0)</f>
        <v>1</v>
      </c>
      <c r="G303" s="27">
        <v>337.0</v>
      </c>
      <c r="H303" s="8">
        <f t="shared" si="1"/>
        <v>35</v>
      </c>
    </row>
    <row r="304">
      <c r="A304" s="10">
        <v>303.0</v>
      </c>
      <c r="B304" s="11" t="s">
        <v>3149</v>
      </c>
      <c r="C304" s="10" t="s">
        <v>77</v>
      </c>
      <c r="D304" s="10" t="s">
        <v>90</v>
      </c>
      <c r="E304" s="13">
        <f>IFERROR(__xludf.DUMMYFUNCTION("ifna(filter('Yahoo ADP'!$A$2:$A2766,'Yahoo ADP'!$B$2:$B2766=$B304,$C304='Yahoo ADP'!$C$2:$C2766,$D304='Yahoo ADP'!$D$2:$D2766))"),220.0)</f>
        <v>220</v>
      </c>
      <c r="F304" s="13">
        <f>IFERROR(__xludf.DUMMYFUNCTION("ifna(filter('Yahoo ADP'!$E$2:$E2766,'Yahoo ADP'!$B$2:$B2766=$B304,$C304='Yahoo ADP'!$C$2:$C2766,$D304='Yahoo ADP'!$D$2:$D2766))"),1.2)</f>
        <v>1.2</v>
      </c>
      <c r="G304" s="27">
        <v>286.0</v>
      </c>
      <c r="H304" s="8">
        <f t="shared" si="1"/>
        <v>-17</v>
      </c>
    </row>
    <row r="305">
      <c r="A305" s="10">
        <v>304.0</v>
      </c>
      <c r="B305" s="11" t="s">
        <v>3150</v>
      </c>
      <c r="C305" s="10" t="s">
        <v>22</v>
      </c>
      <c r="D305" s="10" t="s">
        <v>85</v>
      </c>
      <c r="E305" s="13" t="str">
        <f>IFERROR(__xludf.DUMMYFUNCTION("ifna(filter('Yahoo ADP'!$A$2:$A2766,'Yahoo ADP'!$B$2:$B2766=$B305,$C305='Yahoo ADP'!$C$2:$C2766,$D305='Yahoo ADP'!$D$2:$D2766))"),"")</f>
        <v/>
      </c>
      <c r="F305" s="13" t="str">
        <f>IFERROR(__xludf.DUMMYFUNCTION("ifna(filter('Yahoo ADP'!$E$2:$E2766,'Yahoo ADP'!$B$2:$B2766=$B305,$C305='Yahoo ADP'!$C$2:$C2766,$D305='Yahoo ADP'!$D$2:$D2766))"),"-")</f>
        <v>-</v>
      </c>
      <c r="G305" s="27">
        <v>316.0</v>
      </c>
      <c r="H305" s="8">
        <f t="shared" si="1"/>
        <v>12</v>
      </c>
    </row>
    <row r="306">
      <c r="A306" s="10">
        <v>305.0</v>
      </c>
      <c r="B306" s="11" t="s">
        <v>3151</v>
      </c>
      <c r="C306" s="10" t="s">
        <v>22</v>
      </c>
      <c r="D306" s="10" t="s">
        <v>90</v>
      </c>
      <c r="E306" s="13">
        <f>IFERROR(__xludf.DUMMYFUNCTION("ifna(filter('Yahoo ADP'!$A$2:$A2766,'Yahoo ADP'!$B$2:$B2766=$B306,$C306='Yahoo ADP'!$C$2:$C2766,$D306='Yahoo ADP'!$D$2:$D2766))"),240.4)</f>
        <v>240.4</v>
      </c>
      <c r="F306" s="13">
        <f>IFERROR(__xludf.DUMMYFUNCTION("ifna(filter('Yahoo ADP'!$E$2:$E2766,'Yahoo ADP'!$B$2:$B2766=$B306,$C306='Yahoo ADP'!$C$2:$C2766,$D306='Yahoo ADP'!$D$2:$D2766))"),1.8)</f>
        <v>1.8</v>
      </c>
      <c r="G306" s="27">
        <v>283.0</v>
      </c>
      <c r="H306" s="8">
        <f t="shared" si="1"/>
        <v>-22</v>
      </c>
    </row>
    <row r="307">
      <c r="A307" s="10">
        <v>306.0</v>
      </c>
      <c r="B307" s="11" t="s">
        <v>3152</v>
      </c>
      <c r="C307" s="10" t="s">
        <v>262</v>
      </c>
      <c r="D307" s="10" t="s">
        <v>122</v>
      </c>
      <c r="E307" s="13">
        <f>IFERROR(__xludf.DUMMYFUNCTION("ifna(filter('Yahoo ADP'!$A$2:$A2766,'Yahoo ADP'!$B$2:$B2766=$B307,$C307='Yahoo ADP'!$C$2:$C2766,$D307='Yahoo ADP'!$D$2:$D2766))"),249.7)</f>
        <v>249.7</v>
      </c>
      <c r="F307" s="13">
        <f>IFERROR(__xludf.DUMMYFUNCTION("ifna(filter('Yahoo ADP'!$E$2:$E2766,'Yahoo ADP'!$B$2:$B2766=$B307,$C307='Yahoo ADP'!$C$2:$C2766,$D307='Yahoo ADP'!$D$2:$D2766))"),1.1)</f>
        <v>1.1</v>
      </c>
      <c r="G307" s="27">
        <v>291.0</v>
      </c>
      <c r="H307" s="8">
        <f t="shared" si="1"/>
        <v>-15</v>
      </c>
    </row>
    <row r="308">
      <c r="A308" s="10">
        <v>307.0</v>
      </c>
      <c r="B308" s="11" t="s">
        <v>3153</v>
      </c>
      <c r="C308" s="10" t="s">
        <v>48</v>
      </c>
      <c r="D308" s="10" t="s">
        <v>71</v>
      </c>
      <c r="E308" s="13" t="str">
        <f>IFERROR(__xludf.DUMMYFUNCTION("ifna(filter('Yahoo ADP'!$A$2:$A2766,'Yahoo ADP'!$B$2:$B2766=$B308,$C308='Yahoo ADP'!$C$2:$C2766,$D308='Yahoo ADP'!$D$2:$D2766))"),"")</f>
        <v/>
      </c>
      <c r="F308" s="13" t="str">
        <f>IFERROR(__xludf.DUMMYFUNCTION("ifna(filter('Yahoo ADP'!$E$2:$E2766,'Yahoo ADP'!$B$2:$B2766=$B308,$C308='Yahoo ADP'!$C$2:$C2766,$D308='Yahoo ADP'!$D$2:$D2766))"),"-")</f>
        <v>-</v>
      </c>
      <c r="G308" s="27">
        <v>293.0</v>
      </c>
      <c r="H308" s="8">
        <f t="shared" si="1"/>
        <v>-14</v>
      </c>
    </row>
    <row r="309">
      <c r="A309" s="10">
        <v>308.0</v>
      </c>
      <c r="B309" s="11" t="s">
        <v>3154</v>
      </c>
      <c r="C309" s="10" t="s">
        <v>77</v>
      </c>
      <c r="D309" s="10" t="s">
        <v>15</v>
      </c>
      <c r="E309" s="13">
        <f>IFERROR(__xludf.DUMMYFUNCTION("ifna(filter('Yahoo ADP'!$A$2:$A2766,'Yahoo ADP'!$B$2:$B2766=$B309,$C309='Yahoo ADP'!$C$2:$C2766,$D309='Yahoo ADP'!$D$2:$D2766))"),236.0)</f>
        <v>236</v>
      </c>
      <c r="F309" s="13">
        <f>IFERROR(__xludf.DUMMYFUNCTION("ifna(filter('Yahoo ADP'!$E$2:$E2766,'Yahoo ADP'!$B$2:$B2766=$B309,$C309='Yahoo ADP'!$C$2:$C2766,$D309='Yahoo ADP'!$D$2:$D2766))"),1.6)</f>
        <v>1.6</v>
      </c>
      <c r="G309" s="27">
        <v>351.0</v>
      </c>
      <c r="H309" s="8">
        <f t="shared" si="1"/>
        <v>43</v>
      </c>
    </row>
    <row r="310">
      <c r="A310" s="10">
        <v>309.0</v>
      </c>
      <c r="B310" s="11" t="s">
        <v>3155</v>
      </c>
      <c r="C310" s="10" t="s">
        <v>79</v>
      </c>
      <c r="D310" s="10" t="s">
        <v>122</v>
      </c>
      <c r="E310" s="13">
        <f>IFERROR(__xludf.DUMMYFUNCTION("ifna(filter('Yahoo ADP'!$A$2:$A2766,'Yahoo ADP'!$B$2:$B2766=$B310,$C310='Yahoo ADP'!$C$2:$C2766,$D310='Yahoo ADP'!$D$2:$D2766))"),156.8)</f>
        <v>156.8</v>
      </c>
      <c r="F310" s="13">
        <f>IFERROR(__xludf.DUMMYFUNCTION("ifna(filter('Yahoo ADP'!$E$2:$E2766,'Yahoo ADP'!$B$2:$B2766=$B310,$C310='Yahoo ADP'!$C$2:$C2766,$D310='Yahoo ADP'!$D$2:$D2766))"),3.3)</f>
        <v>3.3</v>
      </c>
      <c r="G310" s="27">
        <v>296.0</v>
      </c>
      <c r="H310" s="8">
        <f t="shared" si="1"/>
        <v>-13</v>
      </c>
    </row>
    <row r="311">
      <c r="A311" s="10">
        <v>310.0</v>
      </c>
      <c r="B311" s="11" t="s">
        <v>3156</v>
      </c>
      <c r="C311" s="10" t="s">
        <v>20</v>
      </c>
      <c r="D311" s="10" t="s">
        <v>25</v>
      </c>
      <c r="E311" s="13">
        <f>IFERROR(__xludf.DUMMYFUNCTION("ifna(filter('Yahoo ADP'!$A$2:$A2766,'Yahoo ADP'!$B$2:$B2766=$B311,$C311='Yahoo ADP'!$C$2:$C2766,$D311='Yahoo ADP'!$D$2:$D2766))"),239.9)</f>
        <v>239.9</v>
      </c>
      <c r="F311" s="13">
        <f>IFERROR(__xludf.DUMMYFUNCTION("ifna(filter('Yahoo ADP'!$E$2:$E2766,'Yahoo ADP'!$B$2:$B2766=$B311,$C311='Yahoo ADP'!$C$2:$C2766,$D311='Yahoo ADP'!$D$2:$D2766))"),1.0)</f>
        <v>1</v>
      </c>
      <c r="G311" s="27">
        <v>294.0</v>
      </c>
      <c r="H311" s="8">
        <f t="shared" si="1"/>
        <v>-16</v>
      </c>
    </row>
    <row r="312">
      <c r="A312" s="10">
        <v>311.0</v>
      </c>
      <c r="B312" s="11" t="s">
        <v>3157</v>
      </c>
      <c r="C312" s="10" t="s">
        <v>79</v>
      </c>
      <c r="D312" s="10" t="s">
        <v>85</v>
      </c>
      <c r="E312" s="13">
        <f>IFERROR(__xludf.DUMMYFUNCTION("ifna(filter('Yahoo ADP'!$A$2:$A2766,'Yahoo ADP'!$B$2:$B2766=$B312,$C312='Yahoo ADP'!$C$2:$C2766,$D312='Yahoo ADP'!$D$2:$D2766))"),236.2)</f>
        <v>236.2</v>
      </c>
      <c r="F312" s="13">
        <f>IFERROR(__xludf.DUMMYFUNCTION("ifna(filter('Yahoo ADP'!$E$2:$E2766,'Yahoo ADP'!$B$2:$B2766=$B312,$C312='Yahoo ADP'!$C$2:$C2766,$D312='Yahoo ADP'!$D$2:$D2766))"),1.9)</f>
        <v>1.9</v>
      </c>
      <c r="G312" s="27">
        <v>343.0</v>
      </c>
      <c r="H312" s="8">
        <f t="shared" si="1"/>
        <v>32</v>
      </c>
    </row>
    <row r="313">
      <c r="A313" s="10">
        <v>312.0</v>
      </c>
      <c r="B313" s="11" t="s">
        <v>3158</v>
      </c>
      <c r="C313" s="10" t="s">
        <v>11</v>
      </c>
      <c r="D313" s="10" t="s">
        <v>122</v>
      </c>
      <c r="E313" s="13">
        <f>IFERROR(__xludf.DUMMYFUNCTION("ifna(filter('Yahoo ADP'!$A$2:$A2766,'Yahoo ADP'!$B$2:$B2766=$B313,$C313='Yahoo ADP'!$C$2:$C2766,$D313='Yahoo ADP'!$D$2:$D2766))"),237.2)</f>
        <v>237.2</v>
      </c>
      <c r="F313" s="13">
        <f>IFERROR(__xludf.DUMMYFUNCTION("ifna(filter('Yahoo ADP'!$E$2:$E2766,'Yahoo ADP'!$B$2:$B2766=$B313,$C313='Yahoo ADP'!$C$2:$C2766,$D313='Yahoo ADP'!$D$2:$D2766))"),1.0)</f>
        <v>1</v>
      </c>
      <c r="G313" s="27">
        <v>284.0</v>
      </c>
      <c r="H313" s="8">
        <f t="shared" si="1"/>
        <v>-28</v>
      </c>
    </row>
    <row r="314">
      <c r="A314" s="10">
        <v>313.0</v>
      </c>
      <c r="B314" s="11" t="s">
        <v>3159</v>
      </c>
      <c r="C314" s="10" t="s">
        <v>20</v>
      </c>
      <c r="D314" s="10" t="s">
        <v>140</v>
      </c>
      <c r="E314" s="13" t="str">
        <f>IFERROR(__xludf.DUMMYFUNCTION("ifna(filter('Yahoo ADP'!$A$2:$A2766,'Yahoo ADP'!$B$2:$B2766=$B314,$C314='Yahoo ADP'!$C$2:$C2766,$D314='Yahoo ADP'!$D$2:$D2766))"),"")</f>
        <v/>
      </c>
      <c r="F314" s="13" t="str">
        <f>IFERROR(__xludf.DUMMYFUNCTION("ifna(filter('Yahoo ADP'!$E$2:$E2766,'Yahoo ADP'!$B$2:$B2766=$B314,$C314='Yahoo ADP'!$C$2:$C2766,$D314='Yahoo ADP'!$D$2:$D2766))"),"-")</f>
        <v>-</v>
      </c>
      <c r="G314" s="27">
        <v>299.0</v>
      </c>
      <c r="H314" s="8">
        <f t="shared" si="1"/>
        <v>-14</v>
      </c>
    </row>
    <row r="315">
      <c r="A315" s="10">
        <v>314.0</v>
      </c>
      <c r="B315" s="11" t="s">
        <v>3160</v>
      </c>
      <c r="C315" s="10" t="s">
        <v>79</v>
      </c>
      <c r="D315" s="10" t="s">
        <v>23</v>
      </c>
      <c r="E315" s="13">
        <f>IFERROR(__xludf.DUMMYFUNCTION("ifna(filter('Yahoo ADP'!$A$2:$A2766,'Yahoo ADP'!$B$2:$B2766=$B315,$C315='Yahoo ADP'!$C$2:$C2766,$D315='Yahoo ADP'!$D$2:$D2766))"),234.1)</f>
        <v>234.1</v>
      </c>
      <c r="F315" s="13">
        <f>IFERROR(__xludf.DUMMYFUNCTION("ifna(filter('Yahoo ADP'!$E$2:$E2766,'Yahoo ADP'!$B$2:$B2766=$B315,$C315='Yahoo ADP'!$C$2:$C2766,$D315='Yahoo ADP'!$D$2:$D2766))"),1.2)</f>
        <v>1.2</v>
      </c>
      <c r="G315" s="27">
        <v>364.0</v>
      </c>
      <c r="H315" s="8">
        <f t="shared" si="1"/>
        <v>50</v>
      </c>
    </row>
    <row r="316">
      <c r="A316" s="10">
        <v>315.0</v>
      </c>
      <c r="B316" s="11" t="s">
        <v>3161</v>
      </c>
      <c r="C316" s="10" t="s">
        <v>39</v>
      </c>
      <c r="D316" s="10" t="s">
        <v>25</v>
      </c>
      <c r="E316" s="13">
        <f>IFERROR(__xludf.DUMMYFUNCTION("ifna(filter('Yahoo ADP'!$A$2:$A2766,'Yahoo ADP'!$B$2:$B2766=$B316,$C316='Yahoo ADP'!$C$2:$C2766,$D316='Yahoo ADP'!$D$2:$D2766))"),240.4)</f>
        <v>240.4</v>
      </c>
      <c r="F316" s="13">
        <f>IFERROR(__xludf.DUMMYFUNCTION("ifna(filter('Yahoo ADP'!$E$2:$E2766,'Yahoo ADP'!$B$2:$B2766=$B316,$C316='Yahoo ADP'!$C$2:$C2766,$D316='Yahoo ADP'!$D$2:$D2766))"),1.1)</f>
        <v>1.1</v>
      </c>
      <c r="G316" s="27">
        <v>1333.0</v>
      </c>
      <c r="H316" s="8">
        <f t="shared" si="1"/>
        <v>1018</v>
      </c>
    </row>
    <row r="317">
      <c r="A317" s="10">
        <v>316.0</v>
      </c>
      <c r="B317" s="11" t="s">
        <v>3162</v>
      </c>
      <c r="C317" s="10" t="s">
        <v>77</v>
      </c>
      <c r="D317" s="10" t="s">
        <v>25</v>
      </c>
      <c r="E317" s="13">
        <f>IFERROR(__xludf.DUMMYFUNCTION("ifna(filter('Yahoo ADP'!$A$2:$A2766,'Yahoo ADP'!$B$2:$B2766=$B317,$C317='Yahoo ADP'!$C$2:$C2766,$D317='Yahoo ADP'!$D$2:$D2766))"),245.1)</f>
        <v>245.1</v>
      </c>
      <c r="F317" s="13">
        <f>IFERROR(__xludf.DUMMYFUNCTION("ifna(filter('Yahoo ADP'!$E$2:$E2766,'Yahoo ADP'!$B$2:$B2766=$B317,$C317='Yahoo ADP'!$C$2:$C2766,$D317='Yahoo ADP'!$D$2:$D2766))"),1.2)</f>
        <v>1.2</v>
      </c>
      <c r="G317" s="27">
        <v>318.0</v>
      </c>
      <c r="H317" s="8">
        <f t="shared" si="1"/>
        <v>2</v>
      </c>
    </row>
    <row r="318">
      <c r="A318" s="10">
        <v>317.0</v>
      </c>
      <c r="B318" s="11" t="s">
        <v>3163</v>
      </c>
      <c r="C318" s="10" t="s">
        <v>20</v>
      </c>
      <c r="D318" s="10" t="s">
        <v>12</v>
      </c>
      <c r="E318" s="13" t="str">
        <f>IFERROR(__xludf.DUMMYFUNCTION("ifna(filter('Yahoo ADP'!$A$2:$A2766,'Yahoo ADP'!$B$2:$B2766=$B318,$C318='Yahoo ADP'!$C$2:$C2766,$D318='Yahoo ADP'!$D$2:$D2766))"),"")</f>
        <v/>
      </c>
      <c r="F318" s="13" t="str">
        <f>IFERROR(__xludf.DUMMYFUNCTION("ifna(filter('Yahoo ADP'!$E$2:$E2766,'Yahoo ADP'!$B$2:$B2766=$B318,$C318='Yahoo ADP'!$C$2:$C2766,$D318='Yahoo ADP'!$D$2:$D2766))"),"-")</f>
        <v>-</v>
      </c>
      <c r="G318" s="27">
        <v>302.0</v>
      </c>
      <c r="H318" s="8">
        <f t="shared" si="1"/>
        <v>-15</v>
      </c>
    </row>
    <row r="319">
      <c r="A319" s="10">
        <v>318.0</v>
      </c>
      <c r="B319" s="11" t="s">
        <v>3164</v>
      </c>
      <c r="C319" s="10" t="s">
        <v>79</v>
      </c>
      <c r="D319" s="10" t="s">
        <v>120</v>
      </c>
      <c r="E319" s="13">
        <f>IFERROR(__xludf.DUMMYFUNCTION("ifna(filter('Yahoo ADP'!$A$2:$A2766,'Yahoo ADP'!$B$2:$B2766=$B319,$C319='Yahoo ADP'!$C$2:$C2766,$D319='Yahoo ADP'!$D$2:$D2766))"),200.9)</f>
        <v>200.9</v>
      </c>
      <c r="F319" s="13">
        <f>IFERROR(__xludf.DUMMYFUNCTION("ifna(filter('Yahoo ADP'!$E$2:$E2766,'Yahoo ADP'!$B$2:$B2766=$B319,$C319='Yahoo ADP'!$C$2:$C2766,$D319='Yahoo ADP'!$D$2:$D2766))"),2.9)</f>
        <v>2.9</v>
      </c>
      <c r="G319" s="27">
        <v>348.0</v>
      </c>
      <c r="H319" s="8">
        <f t="shared" si="1"/>
        <v>30</v>
      </c>
    </row>
    <row r="320">
      <c r="A320" s="10">
        <v>319.0</v>
      </c>
      <c r="B320" s="11" t="s">
        <v>3165</v>
      </c>
      <c r="C320" s="10" t="s">
        <v>14</v>
      </c>
      <c r="D320" s="10" t="s">
        <v>23</v>
      </c>
      <c r="E320" s="13">
        <f>IFERROR(__xludf.DUMMYFUNCTION("ifna(filter('Yahoo ADP'!$A$2:$A2766,'Yahoo ADP'!$B$2:$B2766=$B320,$C320='Yahoo ADP'!$C$2:$C2766,$D320='Yahoo ADP'!$D$2:$D2766))"),243.0)</f>
        <v>243</v>
      </c>
      <c r="F320" s="13">
        <f>IFERROR(__xludf.DUMMYFUNCTION("ifna(filter('Yahoo ADP'!$E$2:$E2766,'Yahoo ADP'!$B$2:$B2766=$B320,$C320='Yahoo ADP'!$C$2:$C2766,$D320='Yahoo ADP'!$D$2:$D2766))"),1.4)</f>
        <v>1.4</v>
      </c>
      <c r="G320" s="27">
        <v>238.0</v>
      </c>
      <c r="H320" s="8">
        <f t="shared" si="1"/>
        <v>-81</v>
      </c>
    </row>
    <row r="321">
      <c r="A321" s="10">
        <v>320.0</v>
      </c>
      <c r="B321" s="11" t="s">
        <v>3166</v>
      </c>
      <c r="C321" s="10" t="s">
        <v>283</v>
      </c>
      <c r="D321" s="10" t="s">
        <v>85</v>
      </c>
      <c r="E321" s="13">
        <f>IFERROR(__xludf.DUMMYFUNCTION("ifna(filter('Yahoo ADP'!$A$2:$A2766,'Yahoo ADP'!$B$2:$B2766=$B321,$C321='Yahoo ADP'!$C$2:$C2766,$D321='Yahoo ADP'!$D$2:$D2766))"),246.6)</f>
        <v>246.6</v>
      </c>
      <c r="F321" s="13">
        <f>IFERROR(__xludf.DUMMYFUNCTION("ifna(filter('Yahoo ADP'!$E$2:$E2766,'Yahoo ADP'!$B$2:$B2766=$B321,$C321='Yahoo ADP'!$C$2:$C2766,$D321='Yahoo ADP'!$D$2:$D2766))"),1.3)</f>
        <v>1.3</v>
      </c>
      <c r="G321" s="27">
        <v>307.0</v>
      </c>
      <c r="H321" s="8">
        <f t="shared" si="1"/>
        <v>-13</v>
      </c>
    </row>
    <row r="322">
      <c r="A322" s="10">
        <v>321.0</v>
      </c>
      <c r="B322" s="11" t="s">
        <v>3167</v>
      </c>
      <c r="C322" s="10" t="s">
        <v>22</v>
      </c>
      <c r="D322" s="10" t="s">
        <v>25</v>
      </c>
      <c r="E322" s="13">
        <f>IFERROR(__xludf.DUMMYFUNCTION("ifna(filter('Yahoo ADP'!$A$2:$A2766,'Yahoo ADP'!$B$2:$B2766=$B322,$C322='Yahoo ADP'!$C$2:$C2766,$D322='Yahoo ADP'!$D$2:$D2766))"),246.9)</f>
        <v>246.9</v>
      </c>
      <c r="F322" s="13">
        <f>IFERROR(__xludf.DUMMYFUNCTION("ifna(filter('Yahoo ADP'!$E$2:$E2766,'Yahoo ADP'!$B$2:$B2766=$B322,$C322='Yahoo ADP'!$C$2:$C2766,$D322='Yahoo ADP'!$D$2:$D2766))"),1.1)</f>
        <v>1.1</v>
      </c>
      <c r="G322" s="27">
        <v>417.0</v>
      </c>
      <c r="H322" s="8">
        <f t="shared" si="1"/>
        <v>96</v>
      </c>
    </row>
    <row r="323">
      <c r="A323" s="10">
        <v>322.0</v>
      </c>
      <c r="B323" s="11" t="s">
        <v>3168</v>
      </c>
      <c r="C323" s="10" t="s">
        <v>79</v>
      </c>
      <c r="D323" s="10" t="s">
        <v>31</v>
      </c>
      <c r="E323" s="13">
        <f>IFERROR(__xludf.DUMMYFUNCTION("ifna(filter('Yahoo ADP'!$A$2:$A2766,'Yahoo ADP'!$B$2:$B2766=$B323,$C323='Yahoo ADP'!$C$2:$C2766,$D323='Yahoo ADP'!$D$2:$D2766))"),239.2)</f>
        <v>239.2</v>
      </c>
      <c r="F323" s="13">
        <f>IFERROR(__xludf.DUMMYFUNCTION("ifna(filter('Yahoo ADP'!$E$2:$E2766,'Yahoo ADP'!$B$2:$B2766=$B323,$C323='Yahoo ADP'!$C$2:$C2766,$D323='Yahoo ADP'!$D$2:$D2766))"),1.0)</f>
        <v>1</v>
      </c>
      <c r="G323" s="27">
        <v>304.0</v>
      </c>
      <c r="H323" s="8">
        <f t="shared" si="1"/>
        <v>-18</v>
      </c>
    </row>
    <row r="324">
      <c r="A324" s="10">
        <v>323.0</v>
      </c>
      <c r="B324" s="11" t="s">
        <v>3169</v>
      </c>
      <c r="C324" s="10" t="s">
        <v>262</v>
      </c>
      <c r="D324" s="10" t="s">
        <v>137</v>
      </c>
      <c r="E324" s="13" t="str">
        <f>IFERROR(__xludf.DUMMYFUNCTION("ifna(filter('Yahoo ADP'!$A$2:$A2766,'Yahoo ADP'!$B$2:$B2766=$B324,$C324='Yahoo ADP'!$C$2:$C2766,$D324='Yahoo ADP'!$D$2:$D2766))"),"")</f>
        <v/>
      </c>
      <c r="F324" s="13" t="str">
        <f>IFERROR(__xludf.DUMMYFUNCTION("ifna(filter('Yahoo ADP'!$E$2:$E2766,'Yahoo ADP'!$B$2:$B2766=$B324,$C324='Yahoo ADP'!$C$2:$C2766,$D324='Yahoo ADP'!$D$2:$D2766))"),"-")</f>
        <v>-</v>
      </c>
      <c r="G324" s="27">
        <v>1697.0</v>
      </c>
      <c r="H324" s="8">
        <f t="shared" si="1"/>
        <v>1374</v>
      </c>
    </row>
    <row r="325">
      <c r="A325" s="10">
        <v>324.0</v>
      </c>
      <c r="B325" s="11" t="s">
        <v>3170</v>
      </c>
      <c r="C325" s="10" t="s">
        <v>22</v>
      </c>
      <c r="D325" s="10" t="s">
        <v>42</v>
      </c>
      <c r="E325" s="13">
        <f>IFERROR(__xludf.DUMMYFUNCTION("ifna(filter('Yahoo ADP'!$A$2:$A2766,'Yahoo ADP'!$B$2:$B2766=$B325,$C325='Yahoo ADP'!$C$2:$C2766,$D325='Yahoo ADP'!$D$2:$D2766))"),244.0)</f>
        <v>244</v>
      </c>
      <c r="F325" s="13">
        <f>IFERROR(__xludf.DUMMYFUNCTION("ifna(filter('Yahoo ADP'!$E$2:$E2766,'Yahoo ADP'!$B$2:$B2766=$B325,$C325='Yahoo ADP'!$C$2:$C2766,$D325='Yahoo ADP'!$D$2:$D2766))"),1.3)</f>
        <v>1.3</v>
      </c>
      <c r="G325" s="27">
        <v>533.0</v>
      </c>
      <c r="H325" s="8">
        <f t="shared" si="1"/>
        <v>209</v>
      </c>
    </row>
    <row r="326">
      <c r="A326" s="10">
        <v>325.0</v>
      </c>
      <c r="B326" s="11" t="s">
        <v>3171</v>
      </c>
      <c r="C326" s="10" t="s">
        <v>150</v>
      </c>
      <c r="D326" s="10" t="s">
        <v>36</v>
      </c>
      <c r="E326" s="13">
        <f>IFERROR(__xludf.DUMMYFUNCTION("ifna(filter('Yahoo ADP'!$A$2:$A2766,'Yahoo ADP'!$B$2:$B2766=$B326,$C326='Yahoo ADP'!$C$2:$C2766,$D326='Yahoo ADP'!$D$2:$D2766))"),241.7)</f>
        <v>241.7</v>
      </c>
      <c r="F326" s="13">
        <f>IFERROR(__xludf.DUMMYFUNCTION("ifna(filter('Yahoo ADP'!$E$2:$E2766,'Yahoo ADP'!$B$2:$B2766=$B326,$C326='Yahoo ADP'!$C$2:$C2766,$D326='Yahoo ADP'!$D$2:$D2766))"),1.0)</f>
        <v>1</v>
      </c>
      <c r="G326" s="27">
        <v>306.0</v>
      </c>
      <c r="H326" s="8">
        <f t="shared" si="1"/>
        <v>-19</v>
      </c>
    </row>
    <row r="327">
      <c r="A327" s="10">
        <v>326.0</v>
      </c>
      <c r="B327" s="11" t="s">
        <v>3172</v>
      </c>
      <c r="C327" s="10" t="s">
        <v>8</v>
      </c>
      <c r="D327" s="10" t="s">
        <v>34</v>
      </c>
      <c r="E327" s="13">
        <f>IFERROR(__xludf.DUMMYFUNCTION("ifna(filter('Yahoo ADP'!$A$2:$A2766,'Yahoo ADP'!$B$2:$B2766=$B327,$C327='Yahoo ADP'!$C$2:$C2766,$D327='Yahoo ADP'!$D$2:$D2766))"),239.0)</f>
        <v>239</v>
      </c>
      <c r="F327" s="13">
        <f>IFERROR(__xludf.DUMMYFUNCTION("ifna(filter('Yahoo ADP'!$E$2:$E2766,'Yahoo ADP'!$B$2:$B2766=$B327,$C327='Yahoo ADP'!$C$2:$C2766,$D327='Yahoo ADP'!$D$2:$D2766))"),1.3)</f>
        <v>1.3</v>
      </c>
      <c r="G327" s="27">
        <v>312.0</v>
      </c>
      <c r="H327" s="8">
        <f t="shared" si="1"/>
        <v>-14</v>
      </c>
    </row>
    <row r="328">
      <c r="A328" s="10">
        <v>327.0</v>
      </c>
      <c r="B328" s="11" t="s">
        <v>3173</v>
      </c>
      <c r="C328" s="10" t="s">
        <v>63</v>
      </c>
      <c r="D328" s="10" t="s">
        <v>15</v>
      </c>
      <c r="E328" s="13">
        <f>IFERROR(__xludf.DUMMYFUNCTION("ifna(filter('Yahoo ADP'!$A$2:$A2766,'Yahoo ADP'!$B$2:$B2766=$B328,$C328='Yahoo ADP'!$C$2:$C2766,$D328='Yahoo ADP'!$D$2:$D2766))"),246.1)</f>
        <v>246.1</v>
      </c>
      <c r="F328" s="13">
        <f>IFERROR(__xludf.DUMMYFUNCTION("ifna(filter('Yahoo ADP'!$E$2:$E2766,'Yahoo ADP'!$B$2:$B2766=$B328,$C328='Yahoo ADP'!$C$2:$C2766,$D328='Yahoo ADP'!$D$2:$D2766))"),2.8)</f>
        <v>2.8</v>
      </c>
      <c r="G328" s="27">
        <v>303.0</v>
      </c>
      <c r="H328" s="8">
        <f t="shared" si="1"/>
        <v>-24</v>
      </c>
    </row>
    <row r="329">
      <c r="A329" s="10">
        <v>328.0</v>
      </c>
      <c r="B329" s="11" t="s">
        <v>3174</v>
      </c>
      <c r="C329" s="10" t="s">
        <v>8</v>
      </c>
      <c r="D329" s="10" t="s">
        <v>12</v>
      </c>
      <c r="E329" s="13">
        <f>IFERROR(__xludf.DUMMYFUNCTION("ifna(filter('Yahoo ADP'!$A$2:$A2766,'Yahoo ADP'!$B$2:$B2766=$B329,$C329='Yahoo ADP'!$C$2:$C2766,$D329='Yahoo ADP'!$D$2:$D2766))"),245.5)</f>
        <v>245.5</v>
      </c>
      <c r="F329" s="13">
        <f>IFERROR(__xludf.DUMMYFUNCTION("ifna(filter('Yahoo ADP'!$E$2:$E2766,'Yahoo ADP'!$B$2:$B2766=$B329,$C329='Yahoo ADP'!$C$2:$C2766,$D329='Yahoo ADP'!$D$2:$D2766))"),1.1)</f>
        <v>1.1</v>
      </c>
      <c r="G329" s="27">
        <v>1650.0</v>
      </c>
      <c r="H329" s="8">
        <f t="shared" si="1"/>
        <v>1322</v>
      </c>
    </row>
    <row r="330">
      <c r="A330" s="10">
        <v>329.0</v>
      </c>
      <c r="B330" s="11" t="s">
        <v>3175</v>
      </c>
      <c r="C330" s="10" t="s">
        <v>240</v>
      </c>
      <c r="D330" s="10" t="s">
        <v>95</v>
      </c>
      <c r="E330" s="13">
        <f>IFERROR(__xludf.DUMMYFUNCTION("ifna(filter('Yahoo ADP'!$A$2:$A2766,'Yahoo ADP'!$B$2:$B2766=$B330,$C330='Yahoo ADP'!$C$2:$C2766,$D330='Yahoo ADP'!$D$2:$D2766))"),241.5)</f>
        <v>241.5</v>
      </c>
      <c r="F330" s="13">
        <f>IFERROR(__xludf.DUMMYFUNCTION("ifna(filter('Yahoo ADP'!$E$2:$E2766,'Yahoo ADP'!$B$2:$B2766=$B330,$C330='Yahoo ADP'!$C$2:$C2766,$D330='Yahoo ADP'!$D$2:$D2766))"),2.0)</f>
        <v>2</v>
      </c>
      <c r="G330" s="27">
        <v>355.0</v>
      </c>
      <c r="H330" s="8">
        <f t="shared" si="1"/>
        <v>26</v>
      </c>
    </row>
    <row r="331">
      <c r="A331" s="10">
        <v>330.0</v>
      </c>
      <c r="B331" s="11" t="s">
        <v>3176</v>
      </c>
      <c r="C331" s="10" t="s">
        <v>48</v>
      </c>
      <c r="D331" s="10" t="s">
        <v>206</v>
      </c>
      <c r="E331" s="13">
        <f>IFERROR(__xludf.DUMMYFUNCTION("ifna(filter('Yahoo ADP'!$A$2:$A2766,'Yahoo ADP'!$B$2:$B2766=$B331,$C331='Yahoo ADP'!$C$2:$C2766,$D331='Yahoo ADP'!$D$2:$D2766))"),241.5)</f>
        <v>241.5</v>
      </c>
      <c r="F331" s="13">
        <f>IFERROR(__xludf.DUMMYFUNCTION("ifna(filter('Yahoo ADP'!$E$2:$E2766,'Yahoo ADP'!$B$2:$B2766=$B331,$C331='Yahoo ADP'!$C$2:$C2766,$D331='Yahoo ADP'!$D$2:$D2766))"),1.0)</f>
        <v>1</v>
      </c>
      <c r="G331" s="27">
        <v>317.0</v>
      </c>
      <c r="H331" s="8">
        <f t="shared" si="1"/>
        <v>-13</v>
      </c>
    </row>
    <row r="332">
      <c r="A332" s="10">
        <v>331.0</v>
      </c>
      <c r="B332" s="11" t="s">
        <v>3177</v>
      </c>
      <c r="C332" s="10" t="s">
        <v>79</v>
      </c>
      <c r="D332" s="10" t="s">
        <v>95</v>
      </c>
      <c r="E332" s="13">
        <f>IFERROR(__xludf.DUMMYFUNCTION("ifna(filter('Yahoo ADP'!$A$2:$A2766,'Yahoo ADP'!$B$2:$B2766=$B332,$C332='Yahoo ADP'!$C$2:$C2766,$D332='Yahoo ADP'!$D$2:$D2766))"),240.0)</f>
        <v>240</v>
      </c>
      <c r="F332" s="13">
        <f>IFERROR(__xludf.DUMMYFUNCTION("ifna(filter('Yahoo ADP'!$E$2:$E2766,'Yahoo ADP'!$B$2:$B2766=$B332,$C332='Yahoo ADP'!$C$2:$C2766,$D332='Yahoo ADP'!$D$2:$D2766))"),1.4)</f>
        <v>1.4</v>
      </c>
      <c r="G332" s="27">
        <v>329.0</v>
      </c>
      <c r="H332" s="8">
        <f t="shared" si="1"/>
        <v>-2</v>
      </c>
    </row>
    <row r="333">
      <c r="A333" s="10">
        <v>332.0</v>
      </c>
      <c r="B333" s="11" t="s">
        <v>3178</v>
      </c>
      <c r="C333" s="10" t="s">
        <v>55</v>
      </c>
      <c r="D333" s="10" t="s">
        <v>140</v>
      </c>
      <c r="E333" s="13" t="str">
        <f>IFERROR(__xludf.DUMMYFUNCTION("ifna(filter('Yahoo ADP'!$A$2:$A2766,'Yahoo ADP'!$B$2:$B2766=$B333,$C333='Yahoo ADP'!$C$2:$C2766,$D333='Yahoo ADP'!$D$2:$D2766))"),"")</f>
        <v/>
      </c>
      <c r="F333" s="13" t="str">
        <f>IFERROR(__xludf.DUMMYFUNCTION("ifna(filter('Yahoo ADP'!$E$2:$E2766,'Yahoo ADP'!$B$2:$B2766=$B333,$C333='Yahoo ADP'!$C$2:$C2766,$D333='Yahoo ADP'!$D$2:$D2766))"),"-")</f>
        <v>-</v>
      </c>
      <c r="G333" s="27">
        <v>310.0</v>
      </c>
      <c r="H333" s="8">
        <f t="shared" si="1"/>
        <v>-22</v>
      </c>
    </row>
    <row r="334">
      <c r="A334" s="10">
        <v>333.0</v>
      </c>
      <c r="B334" s="11" t="s">
        <v>3179</v>
      </c>
      <c r="C334" s="10" t="s">
        <v>150</v>
      </c>
      <c r="D334" s="10" t="s">
        <v>105</v>
      </c>
      <c r="E334" s="13">
        <f>IFERROR(__xludf.DUMMYFUNCTION("ifna(filter('Yahoo ADP'!$A$2:$A2766,'Yahoo ADP'!$B$2:$B2766=$B334,$C334='Yahoo ADP'!$C$2:$C2766,$D334='Yahoo ADP'!$D$2:$D2766))"),252.3)</f>
        <v>252.3</v>
      </c>
      <c r="F334" s="13">
        <f>IFERROR(__xludf.DUMMYFUNCTION("ifna(filter('Yahoo ADP'!$E$2:$E2766,'Yahoo ADP'!$B$2:$B2766=$B334,$C334='Yahoo ADP'!$C$2:$C2766,$D334='Yahoo ADP'!$D$2:$D2766))"),1.2)</f>
        <v>1.2</v>
      </c>
      <c r="G334" s="27">
        <v>1696.0</v>
      </c>
      <c r="H334" s="8">
        <f t="shared" si="1"/>
        <v>1363</v>
      </c>
    </row>
    <row r="335">
      <c r="A335" s="10">
        <v>334.0</v>
      </c>
      <c r="B335" s="11" t="s">
        <v>3180</v>
      </c>
      <c r="C335" s="10" t="s">
        <v>22</v>
      </c>
      <c r="D335" s="10" t="s">
        <v>137</v>
      </c>
      <c r="E335" s="13">
        <f>IFERROR(__xludf.DUMMYFUNCTION("ifna(filter('Yahoo ADP'!$A$2:$A2766,'Yahoo ADP'!$B$2:$B2766=$B335,$C335='Yahoo ADP'!$C$2:$C2766,$D335='Yahoo ADP'!$D$2:$D2766))"),251.2)</f>
        <v>251.2</v>
      </c>
      <c r="F335" s="13">
        <f>IFERROR(__xludf.DUMMYFUNCTION("ifna(filter('Yahoo ADP'!$E$2:$E2766,'Yahoo ADP'!$B$2:$B2766=$B335,$C335='Yahoo ADP'!$C$2:$C2766,$D335='Yahoo ADP'!$D$2:$D2766))"),1.0)</f>
        <v>1</v>
      </c>
      <c r="G335" s="27">
        <v>323.0</v>
      </c>
      <c r="H335" s="8">
        <f t="shared" si="1"/>
        <v>-11</v>
      </c>
    </row>
    <row r="336">
      <c r="A336" s="10">
        <v>335.0</v>
      </c>
      <c r="B336" s="11" t="s">
        <v>3181</v>
      </c>
      <c r="C336" s="10" t="s">
        <v>22</v>
      </c>
      <c r="D336" s="10" t="s">
        <v>120</v>
      </c>
      <c r="E336" s="13">
        <f>IFERROR(__xludf.DUMMYFUNCTION("ifna(filter('Yahoo ADP'!$A$2:$A2766,'Yahoo ADP'!$B$2:$B2766=$B336,$C336='Yahoo ADP'!$C$2:$C2766,$D336='Yahoo ADP'!$D$2:$D2766))"),244.5)</f>
        <v>244.5</v>
      </c>
      <c r="F336" s="13">
        <f>IFERROR(__xludf.DUMMYFUNCTION("ifna(filter('Yahoo ADP'!$E$2:$E2766,'Yahoo ADP'!$B$2:$B2766=$B336,$C336='Yahoo ADP'!$C$2:$C2766,$D336='Yahoo ADP'!$D$2:$D2766))"),1.2)</f>
        <v>1.2</v>
      </c>
      <c r="G336" s="27">
        <v>334.0</v>
      </c>
      <c r="H336" s="8">
        <f t="shared" si="1"/>
        <v>-1</v>
      </c>
    </row>
    <row r="337">
      <c r="A337" s="10">
        <v>336.0</v>
      </c>
      <c r="B337" s="11" t="s">
        <v>3182</v>
      </c>
      <c r="C337" s="10" t="s">
        <v>55</v>
      </c>
      <c r="D337" s="10" t="s">
        <v>71</v>
      </c>
      <c r="E337" s="13" t="str">
        <f>IFERROR(__xludf.DUMMYFUNCTION("ifna(filter('Yahoo ADP'!$A$2:$A2766,'Yahoo ADP'!$B$2:$B2766=$B337,$C337='Yahoo ADP'!$C$2:$C2766,$D337='Yahoo ADP'!$D$2:$D2766))"),"")</f>
        <v/>
      </c>
      <c r="F337" s="13" t="str">
        <f>IFERROR(__xludf.DUMMYFUNCTION("ifna(filter('Yahoo ADP'!$E$2:$E2766,'Yahoo ADP'!$B$2:$B2766=$B337,$C337='Yahoo ADP'!$C$2:$C2766,$D337='Yahoo ADP'!$D$2:$D2766))"),"-")</f>
        <v>-</v>
      </c>
      <c r="G337" s="27">
        <v>313.0</v>
      </c>
      <c r="H337" s="8">
        <f t="shared" si="1"/>
        <v>-23</v>
      </c>
    </row>
    <row r="338">
      <c r="A338" s="10">
        <v>337.0</v>
      </c>
      <c r="B338" s="11" t="s">
        <v>3183</v>
      </c>
      <c r="C338" s="10" t="s">
        <v>218</v>
      </c>
      <c r="D338" s="10" t="s">
        <v>18</v>
      </c>
      <c r="E338" s="13" t="str">
        <f>IFERROR(__xludf.DUMMYFUNCTION("ifna(filter('Yahoo ADP'!$A$2:$A2766,'Yahoo ADP'!$B$2:$B2766=$B338,$C338='Yahoo ADP'!$C$2:$C2766,$D338='Yahoo ADP'!$D$2:$D2766))"),"")</f>
        <v/>
      </c>
      <c r="F338" s="13" t="str">
        <f>IFERROR(__xludf.DUMMYFUNCTION("ifna(filter('Yahoo ADP'!$E$2:$E2766,'Yahoo ADP'!$B$2:$B2766=$B338,$C338='Yahoo ADP'!$C$2:$C2766,$D338='Yahoo ADP'!$D$2:$D2766))"),"-")</f>
        <v>-</v>
      </c>
      <c r="G338" s="27">
        <v>1703.0</v>
      </c>
      <c r="H338" s="8">
        <f t="shared" si="1"/>
        <v>1366</v>
      </c>
    </row>
    <row r="339">
      <c r="A339" s="10">
        <v>338.0</v>
      </c>
      <c r="B339" s="11" t="s">
        <v>3184</v>
      </c>
      <c r="C339" s="10" t="s">
        <v>22</v>
      </c>
      <c r="D339" s="10" t="s">
        <v>52</v>
      </c>
      <c r="E339" s="13" t="str">
        <f>IFERROR(__xludf.DUMMYFUNCTION("ifna(filter('Yahoo ADP'!$A$2:$A2766,'Yahoo ADP'!$B$2:$B2766=$B339,$C339='Yahoo ADP'!$C$2:$C2766,$D339='Yahoo ADP'!$D$2:$D2766))"),"")</f>
        <v/>
      </c>
      <c r="F339" s="13" t="str">
        <f>IFERROR(__xludf.DUMMYFUNCTION("ifna(filter('Yahoo ADP'!$E$2:$E2766,'Yahoo ADP'!$B$2:$B2766=$B339,$C339='Yahoo ADP'!$C$2:$C2766,$D339='Yahoo ADP'!$D$2:$D2766))"),"-")</f>
        <v>-</v>
      </c>
      <c r="G339" s="27">
        <v>1063.0</v>
      </c>
      <c r="H339" s="8">
        <f t="shared" si="1"/>
        <v>725</v>
      </c>
    </row>
    <row r="340">
      <c r="A340" s="10">
        <v>339.0</v>
      </c>
      <c r="B340" s="11" t="s">
        <v>3185</v>
      </c>
      <c r="C340" s="10" t="s">
        <v>79</v>
      </c>
      <c r="D340" s="10" t="s">
        <v>90</v>
      </c>
      <c r="E340" s="13">
        <f>IFERROR(__xludf.DUMMYFUNCTION("ifna(filter('Yahoo ADP'!$A$2:$A2766,'Yahoo ADP'!$B$2:$B2766=$B340,$C340='Yahoo ADP'!$C$2:$C2766,$D340='Yahoo ADP'!$D$2:$D2766))"),241.8)</f>
        <v>241.8</v>
      </c>
      <c r="F340" s="13">
        <f>IFERROR(__xludf.DUMMYFUNCTION("ifna(filter('Yahoo ADP'!$E$2:$E2766,'Yahoo ADP'!$B$2:$B2766=$B340,$C340='Yahoo ADP'!$C$2:$C2766,$D340='Yahoo ADP'!$D$2:$D2766))"),1.0)</f>
        <v>1</v>
      </c>
      <c r="G340" s="27">
        <v>326.0</v>
      </c>
      <c r="H340" s="8">
        <f t="shared" si="1"/>
        <v>-13</v>
      </c>
    </row>
    <row r="341">
      <c r="A341" s="10">
        <v>340.0</v>
      </c>
      <c r="B341" s="11" t="s">
        <v>3186</v>
      </c>
      <c r="C341" s="10" t="s">
        <v>419</v>
      </c>
      <c r="D341" s="10" t="s">
        <v>206</v>
      </c>
      <c r="E341" s="13">
        <f>IFERROR(__xludf.DUMMYFUNCTION("ifna(filter('Yahoo ADP'!$A$2:$A2766,'Yahoo ADP'!$B$2:$B2766=$B341,$C341='Yahoo ADP'!$C$2:$C2766,$D341='Yahoo ADP'!$D$2:$D2766))"),233.0)</f>
        <v>233</v>
      </c>
      <c r="F341" s="13">
        <f>IFERROR(__xludf.DUMMYFUNCTION("ifna(filter('Yahoo ADP'!$E$2:$E2766,'Yahoo ADP'!$B$2:$B2766=$B341,$C341='Yahoo ADP'!$C$2:$C2766,$D341='Yahoo ADP'!$D$2:$D2766))"),1.6)</f>
        <v>1.6</v>
      </c>
      <c r="G341" s="27">
        <v>308.0</v>
      </c>
      <c r="H341" s="8">
        <f t="shared" si="1"/>
        <v>-32</v>
      </c>
    </row>
    <row r="342">
      <c r="A342" s="10">
        <v>341.0</v>
      </c>
      <c r="B342" s="11" t="s">
        <v>3187</v>
      </c>
      <c r="C342" s="10" t="s">
        <v>14</v>
      </c>
      <c r="D342" s="10" t="s">
        <v>31</v>
      </c>
      <c r="E342" s="13">
        <f>IFERROR(__xludf.DUMMYFUNCTION("ifna(filter('Yahoo ADP'!$A$2:$A2766,'Yahoo ADP'!$B$2:$B2766=$B342,$C342='Yahoo ADP'!$C$2:$C2766,$D342='Yahoo ADP'!$D$2:$D2766))"),237.7)</f>
        <v>237.7</v>
      </c>
      <c r="F342" s="13">
        <f>IFERROR(__xludf.DUMMYFUNCTION("ifna(filter('Yahoo ADP'!$E$2:$E2766,'Yahoo ADP'!$B$2:$B2766=$B342,$C342='Yahoo ADP'!$C$2:$C2766,$D342='Yahoo ADP'!$D$2:$D2766))"),1.0)</f>
        <v>1</v>
      </c>
      <c r="G342" s="27">
        <v>322.0</v>
      </c>
      <c r="H342" s="8">
        <f t="shared" si="1"/>
        <v>-19</v>
      </c>
    </row>
    <row r="343">
      <c r="A343" s="10">
        <v>342.0</v>
      </c>
      <c r="B343" s="11" t="s">
        <v>3188</v>
      </c>
      <c r="C343" s="10" t="s">
        <v>22</v>
      </c>
      <c r="D343" s="10" t="s">
        <v>85</v>
      </c>
      <c r="E343" s="13" t="str">
        <f>IFERROR(__xludf.DUMMYFUNCTION("ifna(filter('Yahoo ADP'!$A$2:$A2766,'Yahoo ADP'!$B$2:$B2766=$B343,$C343='Yahoo ADP'!$C$2:$C2766,$D343='Yahoo ADP'!$D$2:$D2766))"),"")</f>
        <v/>
      </c>
      <c r="F343" s="13" t="str">
        <f>IFERROR(__xludf.DUMMYFUNCTION("ifna(filter('Yahoo ADP'!$E$2:$E2766,'Yahoo ADP'!$B$2:$B2766=$B343,$C343='Yahoo ADP'!$C$2:$C2766,$D343='Yahoo ADP'!$D$2:$D2766))"),"-")</f>
        <v>-</v>
      </c>
      <c r="G343" s="27">
        <v>1565.0</v>
      </c>
      <c r="H343" s="8">
        <f t="shared" si="1"/>
        <v>1223</v>
      </c>
    </row>
    <row r="344">
      <c r="A344" s="10">
        <v>343.0</v>
      </c>
      <c r="B344" s="11" t="s">
        <v>3189</v>
      </c>
      <c r="C344" s="10" t="s">
        <v>139</v>
      </c>
      <c r="D344" s="10" t="s">
        <v>129</v>
      </c>
      <c r="E344" s="13">
        <f>IFERROR(__xludf.DUMMYFUNCTION("ifna(filter('Yahoo ADP'!$A$2:$A2766,'Yahoo ADP'!$B$2:$B2766=$B344,$C344='Yahoo ADP'!$C$2:$C2766,$D344='Yahoo ADP'!$D$2:$D2766))"),249.0)</f>
        <v>249</v>
      </c>
      <c r="F344" s="13">
        <f>IFERROR(__xludf.DUMMYFUNCTION("ifna(filter('Yahoo ADP'!$E$2:$E2766,'Yahoo ADP'!$B$2:$B2766=$B344,$C344='Yahoo ADP'!$C$2:$C2766,$D344='Yahoo ADP'!$D$2:$D2766))"),1.0)</f>
        <v>1</v>
      </c>
      <c r="G344" s="27">
        <v>325.0</v>
      </c>
      <c r="H344" s="8">
        <f t="shared" si="1"/>
        <v>-18</v>
      </c>
    </row>
    <row r="345">
      <c r="A345" s="10">
        <v>344.0</v>
      </c>
      <c r="B345" s="11" t="s">
        <v>3190</v>
      </c>
      <c r="C345" s="10" t="s">
        <v>220</v>
      </c>
      <c r="D345" s="10" t="s">
        <v>90</v>
      </c>
      <c r="E345" s="13">
        <f>IFERROR(__xludf.DUMMYFUNCTION("ifna(filter('Yahoo ADP'!$A$2:$A2766,'Yahoo ADP'!$B$2:$B2766=$B345,$C345='Yahoo ADP'!$C$2:$C2766,$D345='Yahoo ADP'!$D$2:$D2766))"),242.4)</f>
        <v>242.4</v>
      </c>
      <c r="F345" s="13">
        <f>IFERROR(__xludf.DUMMYFUNCTION("ifna(filter('Yahoo ADP'!$E$2:$E2766,'Yahoo ADP'!$B$2:$B2766=$B345,$C345='Yahoo ADP'!$C$2:$C2766,$D345='Yahoo ADP'!$D$2:$D2766))"),1.2)</f>
        <v>1.2</v>
      </c>
      <c r="G345" s="27">
        <v>410.0</v>
      </c>
      <c r="H345" s="8">
        <f t="shared" si="1"/>
        <v>66</v>
      </c>
    </row>
    <row r="346">
      <c r="A346" s="10">
        <v>345.0</v>
      </c>
      <c r="B346" s="11" t="s">
        <v>3191</v>
      </c>
      <c r="C346" s="10" t="s">
        <v>220</v>
      </c>
      <c r="D346" s="10" t="s">
        <v>113</v>
      </c>
      <c r="E346" s="13">
        <f>IFERROR(__xludf.DUMMYFUNCTION("ifna(filter('Yahoo ADP'!$A$2:$A2766,'Yahoo ADP'!$B$2:$B2766=$B346,$C346='Yahoo ADP'!$C$2:$C2766,$D346='Yahoo ADP'!$D$2:$D2766))"),228.9)</f>
        <v>228.9</v>
      </c>
      <c r="F346" s="13">
        <f>IFERROR(__xludf.DUMMYFUNCTION("ifna(filter('Yahoo ADP'!$E$2:$E2766,'Yahoo ADP'!$B$2:$B2766=$B346,$C346='Yahoo ADP'!$C$2:$C2766,$D346='Yahoo ADP'!$D$2:$D2766))"),1.9)</f>
        <v>1.9</v>
      </c>
      <c r="G346" s="27">
        <v>478.0</v>
      </c>
      <c r="H346" s="8">
        <f t="shared" si="1"/>
        <v>133</v>
      </c>
    </row>
    <row r="347">
      <c r="A347" s="10">
        <v>346.0</v>
      </c>
      <c r="B347" s="11" t="s">
        <v>3192</v>
      </c>
      <c r="C347" s="10" t="s">
        <v>14</v>
      </c>
      <c r="D347" s="10" t="s">
        <v>85</v>
      </c>
      <c r="E347" s="13" t="str">
        <f>IFERROR(__xludf.DUMMYFUNCTION("ifna(filter('Yahoo ADP'!$A$2:$A2766,'Yahoo ADP'!$B$2:$B2766=$B347,$C347='Yahoo ADP'!$C$2:$C2766,$D347='Yahoo ADP'!$D$2:$D2766))"),"")</f>
        <v/>
      </c>
      <c r="F347" s="13" t="str">
        <f>IFERROR(__xludf.DUMMYFUNCTION("ifna(filter('Yahoo ADP'!$E$2:$E2766,'Yahoo ADP'!$B$2:$B2766=$B347,$C347='Yahoo ADP'!$C$2:$C2766,$D347='Yahoo ADP'!$D$2:$D2766))"),"-")</f>
        <v>-</v>
      </c>
      <c r="G347" s="27">
        <v>384.0</v>
      </c>
      <c r="H347" s="8">
        <f t="shared" si="1"/>
        <v>38</v>
      </c>
    </row>
    <row r="348">
      <c r="A348" s="10">
        <v>347.0</v>
      </c>
      <c r="B348" s="11" t="s">
        <v>3193</v>
      </c>
      <c r="C348" s="10" t="s">
        <v>14</v>
      </c>
      <c r="D348" s="10" t="s">
        <v>82</v>
      </c>
      <c r="E348" s="13">
        <f>IFERROR(__xludf.DUMMYFUNCTION("ifna(filter('Yahoo ADP'!$A$2:$A2766,'Yahoo ADP'!$B$2:$B2766=$B348,$C348='Yahoo ADP'!$C$2:$C2766,$D348='Yahoo ADP'!$D$2:$D2766))"),239.8)</f>
        <v>239.8</v>
      </c>
      <c r="F348" s="13">
        <f>IFERROR(__xludf.DUMMYFUNCTION("ifna(filter('Yahoo ADP'!$E$2:$E2766,'Yahoo ADP'!$B$2:$B2766=$B348,$C348='Yahoo ADP'!$C$2:$C2766,$D348='Yahoo ADP'!$D$2:$D2766))"),1.4)</f>
        <v>1.4</v>
      </c>
      <c r="G348" s="27">
        <v>327.0</v>
      </c>
      <c r="H348" s="8">
        <f t="shared" si="1"/>
        <v>-20</v>
      </c>
    </row>
    <row r="349">
      <c r="A349" s="10">
        <v>348.0</v>
      </c>
      <c r="B349" s="11" t="s">
        <v>3194</v>
      </c>
      <c r="C349" s="10" t="s">
        <v>77</v>
      </c>
      <c r="D349" s="10" t="s">
        <v>73</v>
      </c>
      <c r="E349" s="13">
        <f>IFERROR(__xludf.DUMMYFUNCTION("ifna(filter('Yahoo ADP'!$A$2:$A2766,'Yahoo ADP'!$B$2:$B2766=$B349,$C349='Yahoo ADP'!$C$2:$C2766,$D349='Yahoo ADP'!$D$2:$D2766))"),223.8)</f>
        <v>223.8</v>
      </c>
      <c r="F349" s="13">
        <f>IFERROR(__xludf.DUMMYFUNCTION("ifna(filter('Yahoo ADP'!$E$2:$E2766,'Yahoo ADP'!$B$2:$B2766=$B349,$C349='Yahoo ADP'!$C$2:$C2766,$D349='Yahoo ADP'!$D$2:$D2766))"),2.1)</f>
        <v>2.1</v>
      </c>
      <c r="G349" s="27">
        <v>301.0</v>
      </c>
      <c r="H349" s="8">
        <f t="shared" si="1"/>
        <v>-47</v>
      </c>
    </row>
    <row r="350">
      <c r="A350" s="10">
        <v>349.0</v>
      </c>
      <c r="B350" s="11" t="s">
        <v>3195</v>
      </c>
      <c r="C350" s="10" t="s">
        <v>14</v>
      </c>
      <c r="D350" s="10" t="s">
        <v>95</v>
      </c>
      <c r="E350" s="13">
        <f>IFERROR(__xludf.DUMMYFUNCTION("ifna(filter('Yahoo ADP'!$A$2:$A2766,'Yahoo ADP'!$B$2:$B2766=$B350,$C350='Yahoo ADP'!$C$2:$C2766,$D350='Yahoo ADP'!$D$2:$D2766))"),239.0)</f>
        <v>239</v>
      </c>
      <c r="F350" s="13">
        <f>IFERROR(__xludf.DUMMYFUNCTION("ifna(filter('Yahoo ADP'!$E$2:$E2766,'Yahoo ADP'!$B$2:$B2766=$B350,$C350='Yahoo ADP'!$C$2:$C2766,$D350='Yahoo ADP'!$D$2:$D2766))"),1.4)</f>
        <v>1.4</v>
      </c>
      <c r="G350" s="27">
        <v>374.0</v>
      </c>
      <c r="H350" s="8">
        <f t="shared" si="1"/>
        <v>25</v>
      </c>
    </row>
    <row r="351">
      <c r="A351" s="10">
        <v>350.0</v>
      </c>
      <c r="B351" s="11" t="s">
        <v>3196</v>
      </c>
      <c r="C351" s="10" t="s">
        <v>79</v>
      </c>
      <c r="D351" s="10" t="s">
        <v>129</v>
      </c>
      <c r="E351" s="13">
        <f>IFERROR(__xludf.DUMMYFUNCTION("ifna(filter('Yahoo ADP'!$A$2:$A2766,'Yahoo ADP'!$B$2:$B2766=$B351,$C351='Yahoo ADP'!$C$2:$C2766,$D351='Yahoo ADP'!$D$2:$D2766))"),240.3)</f>
        <v>240.3</v>
      </c>
      <c r="F351" s="13">
        <f>IFERROR(__xludf.DUMMYFUNCTION("ifna(filter('Yahoo ADP'!$E$2:$E2766,'Yahoo ADP'!$B$2:$B2766=$B351,$C351='Yahoo ADP'!$C$2:$C2766,$D351='Yahoo ADP'!$D$2:$D2766))"),1.6)</f>
        <v>1.6</v>
      </c>
      <c r="G351" s="27">
        <v>338.0</v>
      </c>
      <c r="H351" s="8">
        <f t="shared" si="1"/>
        <v>-12</v>
      </c>
    </row>
    <row r="352">
      <c r="A352" s="10">
        <v>351.0</v>
      </c>
      <c r="B352" s="11" t="s">
        <v>3197</v>
      </c>
      <c r="C352" s="10" t="s">
        <v>220</v>
      </c>
      <c r="D352" s="10" t="s">
        <v>49</v>
      </c>
      <c r="E352" s="13">
        <f>IFERROR(__xludf.DUMMYFUNCTION("ifna(filter('Yahoo ADP'!$A$2:$A2766,'Yahoo ADP'!$B$2:$B2766=$B352,$C352='Yahoo ADP'!$C$2:$C2766,$D352='Yahoo ADP'!$D$2:$D2766))"),237.1)</f>
        <v>237.1</v>
      </c>
      <c r="F352" s="13">
        <f>IFERROR(__xludf.DUMMYFUNCTION("ifna(filter('Yahoo ADP'!$E$2:$E2766,'Yahoo ADP'!$B$2:$B2766=$B352,$C352='Yahoo ADP'!$C$2:$C2766,$D352='Yahoo ADP'!$D$2:$D2766))"),1.1)</f>
        <v>1.1</v>
      </c>
      <c r="G352" s="27">
        <v>369.0</v>
      </c>
      <c r="H352" s="8">
        <f t="shared" si="1"/>
        <v>18</v>
      </c>
    </row>
    <row r="353">
      <c r="A353" s="10">
        <v>352.0</v>
      </c>
      <c r="B353" s="11" t="s">
        <v>3198</v>
      </c>
      <c r="C353" s="10" t="s">
        <v>79</v>
      </c>
      <c r="D353" s="10" t="s">
        <v>12</v>
      </c>
      <c r="E353" s="13">
        <f>IFERROR(__xludf.DUMMYFUNCTION("ifna(filter('Yahoo ADP'!$A$2:$A2766,'Yahoo ADP'!$B$2:$B2766=$B353,$C353='Yahoo ADP'!$C$2:$C2766,$D353='Yahoo ADP'!$D$2:$D2766))"),241.7)</f>
        <v>241.7</v>
      </c>
      <c r="F353" s="13">
        <f>IFERROR(__xludf.DUMMYFUNCTION("ifna(filter('Yahoo ADP'!$E$2:$E2766,'Yahoo ADP'!$B$2:$B2766=$B353,$C353='Yahoo ADP'!$C$2:$C2766,$D353='Yahoo ADP'!$D$2:$D2766))"),1.3)</f>
        <v>1.3</v>
      </c>
      <c r="G353" s="27">
        <v>331.0</v>
      </c>
      <c r="H353" s="8">
        <f t="shared" si="1"/>
        <v>-21</v>
      </c>
    </row>
    <row r="354">
      <c r="A354" s="10">
        <v>353.0</v>
      </c>
      <c r="B354" s="11" t="s">
        <v>3199</v>
      </c>
      <c r="C354" s="10" t="s">
        <v>220</v>
      </c>
      <c r="D354" s="10" t="s">
        <v>85</v>
      </c>
      <c r="E354" s="13">
        <f>IFERROR(__xludf.DUMMYFUNCTION("ifna(filter('Yahoo ADP'!$A$2:$A2766,'Yahoo ADP'!$B$2:$B2766=$B354,$C354='Yahoo ADP'!$C$2:$C2766,$D354='Yahoo ADP'!$D$2:$D2766))"),246.8)</f>
        <v>246.8</v>
      </c>
      <c r="F354" s="13">
        <f>IFERROR(__xludf.DUMMYFUNCTION("ifna(filter('Yahoo ADP'!$E$2:$E2766,'Yahoo ADP'!$B$2:$B2766=$B354,$C354='Yahoo ADP'!$C$2:$C2766,$D354='Yahoo ADP'!$D$2:$D2766))"),1.1)</f>
        <v>1.1</v>
      </c>
      <c r="G354" s="27">
        <v>360.0</v>
      </c>
      <c r="H354" s="8">
        <f t="shared" si="1"/>
        <v>7</v>
      </c>
    </row>
    <row r="355">
      <c r="A355" s="10">
        <v>354.0</v>
      </c>
      <c r="B355" s="11" t="s">
        <v>3200</v>
      </c>
      <c r="C355" s="10" t="s">
        <v>434</v>
      </c>
      <c r="D355" s="10" t="s">
        <v>99</v>
      </c>
      <c r="E355" s="13">
        <f>IFERROR(__xludf.DUMMYFUNCTION("ifna(filter('Yahoo ADP'!$A$2:$A2766,'Yahoo ADP'!$B$2:$B2766=$B355,$C355='Yahoo ADP'!$C$2:$C2766,$D355='Yahoo ADP'!$D$2:$D2766))"),236.0)</f>
        <v>236</v>
      </c>
      <c r="F355" s="13">
        <f>IFERROR(__xludf.DUMMYFUNCTION("ifna(filter('Yahoo ADP'!$E$2:$E2766,'Yahoo ADP'!$B$2:$B2766=$B355,$C355='Yahoo ADP'!$C$2:$C2766,$D355='Yahoo ADP'!$D$2:$D2766))"),1.2)</f>
        <v>1.2</v>
      </c>
      <c r="G355" s="27">
        <v>314.0</v>
      </c>
      <c r="H355" s="8">
        <f t="shared" si="1"/>
        <v>-40</v>
      </c>
    </row>
    <row r="356">
      <c r="A356" s="10">
        <v>355.0</v>
      </c>
      <c r="B356" s="11" t="s">
        <v>3201</v>
      </c>
      <c r="C356" s="10" t="s">
        <v>79</v>
      </c>
      <c r="D356" s="10" t="s">
        <v>27</v>
      </c>
      <c r="E356" s="13">
        <f>IFERROR(__xludf.DUMMYFUNCTION("ifna(filter('Yahoo ADP'!$A$2:$A2766,'Yahoo ADP'!$B$2:$B2766=$B356,$C356='Yahoo ADP'!$C$2:$C2766,$D356='Yahoo ADP'!$D$2:$D2766))"),242.6)</f>
        <v>242.6</v>
      </c>
      <c r="F356" s="13">
        <f>IFERROR(__xludf.DUMMYFUNCTION("ifna(filter('Yahoo ADP'!$E$2:$E2766,'Yahoo ADP'!$B$2:$B2766=$B356,$C356='Yahoo ADP'!$C$2:$C2766,$D356='Yahoo ADP'!$D$2:$D2766))"),1.2)</f>
        <v>1.2</v>
      </c>
      <c r="G356" s="27">
        <v>332.0</v>
      </c>
      <c r="H356" s="8">
        <f t="shared" si="1"/>
        <v>-23</v>
      </c>
    </row>
    <row r="357">
      <c r="A357" s="10">
        <v>356.0</v>
      </c>
      <c r="B357" s="11" t="s">
        <v>3202</v>
      </c>
      <c r="C357" s="10" t="s">
        <v>20</v>
      </c>
      <c r="D357" s="10" t="s">
        <v>67</v>
      </c>
      <c r="E357" s="13">
        <f>IFERROR(__xludf.DUMMYFUNCTION("ifna(filter('Yahoo ADP'!$A$2:$A2766,'Yahoo ADP'!$B$2:$B2766=$B357,$C357='Yahoo ADP'!$C$2:$C2766,$D357='Yahoo ADP'!$D$2:$D2766))"),248.6)</f>
        <v>248.6</v>
      </c>
      <c r="F357" s="13">
        <f>IFERROR(__xludf.DUMMYFUNCTION("ifna(filter('Yahoo ADP'!$E$2:$E2766,'Yahoo ADP'!$B$2:$B2766=$B357,$C357='Yahoo ADP'!$C$2:$C2766,$D357='Yahoo ADP'!$D$2:$D2766))"),1.2)</f>
        <v>1.2</v>
      </c>
      <c r="G357" s="27">
        <v>333.0</v>
      </c>
      <c r="H357" s="8">
        <f t="shared" si="1"/>
        <v>-23</v>
      </c>
    </row>
    <row r="358">
      <c r="A358" s="10">
        <v>357.0</v>
      </c>
      <c r="B358" s="11" t="s">
        <v>3203</v>
      </c>
      <c r="C358" s="10" t="s">
        <v>22</v>
      </c>
      <c r="D358" s="10" t="s">
        <v>90</v>
      </c>
      <c r="E358" s="13">
        <f>IFERROR(__xludf.DUMMYFUNCTION("ifna(filter('Yahoo ADP'!$A$2:$A2766,'Yahoo ADP'!$B$2:$B2766=$B358,$C358='Yahoo ADP'!$C$2:$C2766,$D358='Yahoo ADP'!$D$2:$D2766))"),249.8)</f>
        <v>249.8</v>
      </c>
      <c r="F358" s="13">
        <f>IFERROR(__xludf.DUMMYFUNCTION("ifna(filter('Yahoo ADP'!$E$2:$E2766,'Yahoo ADP'!$B$2:$B2766=$B358,$C358='Yahoo ADP'!$C$2:$C2766,$D358='Yahoo ADP'!$D$2:$D2766))"),1.4)</f>
        <v>1.4</v>
      </c>
      <c r="G358" s="27">
        <v>593.0</v>
      </c>
      <c r="H358" s="8">
        <f t="shared" si="1"/>
        <v>236</v>
      </c>
    </row>
    <row r="359">
      <c r="A359" s="10">
        <v>358.0</v>
      </c>
      <c r="B359" s="11" t="s">
        <v>3204</v>
      </c>
      <c r="C359" s="10" t="s">
        <v>439</v>
      </c>
      <c r="D359" s="10" t="s">
        <v>140</v>
      </c>
      <c r="E359" s="13">
        <f>IFERROR(__xludf.DUMMYFUNCTION("ifna(filter('Yahoo ADP'!$A$2:$A2766,'Yahoo ADP'!$B$2:$B2766=$B359,$C359='Yahoo ADP'!$C$2:$C2766,$D359='Yahoo ADP'!$D$2:$D2766))"),236.6)</f>
        <v>236.6</v>
      </c>
      <c r="F359" s="13">
        <f>IFERROR(__xludf.DUMMYFUNCTION("ifna(filter('Yahoo ADP'!$E$2:$E2766,'Yahoo ADP'!$B$2:$B2766=$B359,$C359='Yahoo ADP'!$C$2:$C2766,$D359='Yahoo ADP'!$D$2:$D2766))"),1.0)</f>
        <v>1</v>
      </c>
      <c r="G359" s="27">
        <v>336.0</v>
      </c>
      <c r="H359" s="8">
        <f t="shared" si="1"/>
        <v>-22</v>
      </c>
    </row>
    <row r="360">
      <c r="A360" s="10">
        <v>359.0</v>
      </c>
      <c r="B360" s="11" t="s">
        <v>3205</v>
      </c>
      <c r="C360" s="10" t="s">
        <v>189</v>
      </c>
      <c r="D360" s="10" t="s">
        <v>122</v>
      </c>
      <c r="E360" s="13">
        <f>IFERROR(__xludf.DUMMYFUNCTION("ifna(filter('Yahoo ADP'!$A$2:$A2766,'Yahoo ADP'!$B$2:$B2766=$B360,$C360='Yahoo ADP'!$C$2:$C2766,$D360='Yahoo ADP'!$D$2:$D2766))"),247.3)</f>
        <v>247.3</v>
      </c>
      <c r="F360" s="13">
        <f>IFERROR(__xludf.DUMMYFUNCTION("ifna(filter('Yahoo ADP'!$E$2:$E2766,'Yahoo ADP'!$B$2:$B2766=$B360,$C360='Yahoo ADP'!$C$2:$C2766,$D360='Yahoo ADP'!$D$2:$D2766))"),1.1)</f>
        <v>1.1</v>
      </c>
      <c r="G360" s="27">
        <v>392.0</v>
      </c>
      <c r="H360" s="8">
        <f t="shared" si="1"/>
        <v>33</v>
      </c>
    </row>
    <row r="361">
      <c r="A361" s="10">
        <v>360.0</v>
      </c>
      <c r="B361" s="11" t="s">
        <v>3206</v>
      </c>
      <c r="C361" s="10" t="s">
        <v>39</v>
      </c>
      <c r="D361" s="10" t="s">
        <v>18</v>
      </c>
      <c r="E361" s="13" t="str">
        <f>IFERROR(__xludf.DUMMYFUNCTION("ifna(filter('Yahoo ADP'!$A$2:$A2766,'Yahoo ADP'!$B$2:$B2766=$B361,$C361='Yahoo ADP'!$C$2:$C2766,$D361='Yahoo ADP'!$D$2:$D2766))"),"")</f>
        <v/>
      </c>
      <c r="F361" s="13" t="str">
        <f>IFERROR(__xludf.DUMMYFUNCTION("ifna(filter('Yahoo ADP'!$E$2:$E2766,'Yahoo ADP'!$B$2:$B2766=$B361,$C361='Yahoo ADP'!$C$2:$C2766,$D361='Yahoo ADP'!$D$2:$D2766))"),"-")</f>
        <v>-</v>
      </c>
      <c r="G361" s="27">
        <v>340.0</v>
      </c>
      <c r="H361" s="8">
        <f t="shared" si="1"/>
        <v>-20</v>
      </c>
    </row>
    <row r="362">
      <c r="A362" s="10">
        <v>361.0</v>
      </c>
      <c r="B362" s="11" t="s">
        <v>3207</v>
      </c>
      <c r="C362" s="10" t="s">
        <v>218</v>
      </c>
      <c r="D362" s="10" t="s">
        <v>90</v>
      </c>
      <c r="E362" s="13" t="str">
        <f>IFERROR(__xludf.DUMMYFUNCTION("ifna(filter('Yahoo ADP'!$A$2:$A2766,'Yahoo ADP'!$B$2:$B2766=$B362,$C362='Yahoo ADP'!$C$2:$C2766,$D362='Yahoo ADP'!$D$2:$D2766))"),"")</f>
        <v/>
      </c>
      <c r="F362" s="13" t="str">
        <f>IFERROR(__xludf.DUMMYFUNCTION("ifna(filter('Yahoo ADP'!$E$2:$E2766,'Yahoo ADP'!$B$2:$B2766=$B362,$C362='Yahoo ADP'!$C$2:$C2766,$D362='Yahoo ADP'!$D$2:$D2766))"),"-")</f>
        <v>-</v>
      </c>
      <c r="G362" s="27">
        <v>335.0</v>
      </c>
      <c r="H362" s="8">
        <f t="shared" si="1"/>
        <v>-26</v>
      </c>
    </row>
    <row r="363">
      <c r="A363" s="10">
        <v>362.0</v>
      </c>
      <c r="B363" s="11" t="s">
        <v>3208</v>
      </c>
      <c r="C363" s="10" t="s">
        <v>33</v>
      </c>
      <c r="D363" s="10" t="s">
        <v>90</v>
      </c>
      <c r="E363" s="13" t="str">
        <f>IFERROR(__xludf.DUMMYFUNCTION("ifna(filter('Yahoo ADP'!$A$2:$A2766,'Yahoo ADP'!$B$2:$B2766=$B363,$C363='Yahoo ADP'!$C$2:$C2766,$D363='Yahoo ADP'!$D$2:$D2766))"),"")</f>
        <v/>
      </c>
      <c r="F363" s="13" t="str">
        <f>IFERROR(__xludf.DUMMYFUNCTION("ifna(filter('Yahoo ADP'!$E$2:$E2766,'Yahoo ADP'!$B$2:$B2766=$B363,$C363='Yahoo ADP'!$C$2:$C2766,$D363='Yahoo ADP'!$D$2:$D2766))"),"-")</f>
        <v>-</v>
      </c>
      <c r="G363" s="27">
        <v>341.0</v>
      </c>
      <c r="H363" s="8">
        <f t="shared" si="1"/>
        <v>-21</v>
      </c>
    </row>
    <row r="364">
      <c r="A364" s="10">
        <v>363.0</v>
      </c>
      <c r="B364" s="11" t="s">
        <v>3209</v>
      </c>
      <c r="C364" s="10" t="s">
        <v>48</v>
      </c>
      <c r="D364" s="10" t="s">
        <v>90</v>
      </c>
      <c r="E364" s="13">
        <f>IFERROR(__xludf.DUMMYFUNCTION("ifna(filter('Yahoo ADP'!$A$2:$A2766,'Yahoo ADP'!$B$2:$B2766=$B364,$C364='Yahoo ADP'!$C$2:$C2766,$D364='Yahoo ADP'!$D$2:$D2766))"),245.6)</f>
        <v>245.6</v>
      </c>
      <c r="F364" s="13">
        <f>IFERROR(__xludf.DUMMYFUNCTION("ifna(filter('Yahoo ADP'!$E$2:$E2766,'Yahoo ADP'!$B$2:$B2766=$B364,$C364='Yahoo ADP'!$C$2:$C2766,$D364='Yahoo ADP'!$D$2:$D2766))"),1.3)</f>
        <v>1.3</v>
      </c>
      <c r="G364" s="27">
        <v>342.0</v>
      </c>
      <c r="H364" s="8">
        <f t="shared" si="1"/>
        <v>-21</v>
      </c>
    </row>
    <row r="365">
      <c r="A365" s="10">
        <v>364.0</v>
      </c>
      <c r="B365" s="11" t="s">
        <v>3210</v>
      </c>
      <c r="C365" s="10" t="s">
        <v>79</v>
      </c>
      <c r="D365" s="10" t="s">
        <v>82</v>
      </c>
      <c r="E365" s="13">
        <f>IFERROR(__xludf.DUMMYFUNCTION("ifna(filter('Yahoo ADP'!$A$2:$A2766,'Yahoo ADP'!$B$2:$B2766=$B365,$C365='Yahoo ADP'!$C$2:$C2766,$D365='Yahoo ADP'!$D$2:$D2766))"),220.4)</f>
        <v>220.4</v>
      </c>
      <c r="F365" s="13">
        <f>IFERROR(__xludf.DUMMYFUNCTION("ifna(filter('Yahoo ADP'!$E$2:$E2766,'Yahoo ADP'!$B$2:$B2766=$B365,$C365='Yahoo ADP'!$C$2:$C2766,$D365='Yahoo ADP'!$D$2:$D2766))"),1.4)</f>
        <v>1.4</v>
      </c>
      <c r="G365" s="27">
        <v>305.0</v>
      </c>
      <c r="H365" s="8">
        <f t="shared" si="1"/>
        <v>-59</v>
      </c>
    </row>
    <row r="366">
      <c r="A366" s="10">
        <v>365.0</v>
      </c>
      <c r="B366" s="11" t="s">
        <v>3211</v>
      </c>
      <c r="C366" s="10" t="s">
        <v>11</v>
      </c>
      <c r="D366" s="10" t="s">
        <v>71</v>
      </c>
      <c r="E366" s="13" t="str">
        <f>IFERROR(__xludf.DUMMYFUNCTION("ifna(filter('Yahoo ADP'!$A$2:$A2766,'Yahoo ADP'!$B$2:$B2766=$B366,$C366='Yahoo ADP'!$C$2:$C2766,$D366='Yahoo ADP'!$D$2:$D2766))"),"")</f>
        <v/>
      </c>
      <c r="F366" s="13" t="str">
        <f>IFERROR(__xludf.DUMMYFUNCTION("ifna(filter('Yahoo ADP'!$E$2:$E2766,'Yahoo ADP'!$B$2:$B2766=$B366,$C366='Yahoo ADP'!$C$2:$C2766,$D366='Yahoo ADP'!$D$2:$D2766))"),"-")</f>
        <v>-</v>
      </c>
      <c r="G366" s="27">
        <v>347.0</v>
      </c>
      <c r="H366" s="8">
        <f t="shared" si="1"/>
        <v>-18</v>
      </c>
    </row>
    <row r="367">
      <c r="A367" s="10">
        <v>366.0</v>
      </c>
      <c r="B367" s="11" t="s">
        <v>3212</v>
      </c>
      <c r="C367" s="10" t="s">
        <v>79</v>
      </c>
      <c r="D367" s="10" t="s">
        <v>71</v>
      </c>
      <c r="E367" s="13">
        <f>IFERROR(__xludf.DUMMYFUNCTION("ifna(filter('Yahoo ADP'!$A$2:$A2766,'Yahoo ADP'!$B$2:$B2766=$B367,$C367='Yahoo ADP'!$C$2:$C2766,$D367='Yahoo ADP'!$D$2:$D2766))"),185.2)</f>
        <v>185.2</v>
      </c>
      <c r="F367" s="13">
        <f>IFERROR(__xludf.DUMMYFUNCTION("ifna(filter('Yahoo ADP'!$E$2:$E2766,'Yahoo ADP'!$B$2:$B2766=$B367,$C367='Yahoo ADP'!$C$2:$C2766,$D367='Yahoo ADP'!$D$2:$D2766))"),3.6)</f>
        <v>3.6</v>
      </c>
      <c r="G367" s="27">
        <v>339.0</v>
      </c>
      <c r="H367" s="8">
        <f t="shared" si="1"/>
        <v>-27</v>
      </c>
    </row>
    <row r="368">
      <c r="A368" s="10">
        <v>367.0</v>
      </c>
      <c r="B368" s="11" t="s">
        <v>3213</v>
      </c>
      <c r="C368" s="10" t="s">
        <v>22</v>
      </c>
      <c r="D368" s="10" t="s">
        <v>36</v>
      </c>
      <c r="E368" s="13">
        <f>IFERROR(__xludf.DUMMYFUNCTION("ifna(filter('Yahoo ADP'!$A$2:$A2766,'Yahoo ADP'!$B$2:$B2766=$B368,$C368='Yahoo ADP'!$C$2:$C2766,$D368='Yahoo ADP'!$D$2:$D2766))"),248.1)</f>
        <v>248.1</v>
      </c>
      <c r="F368" s="13">
        <f>IFERROR(__xludf.DUMMYFUNCTION("ifna(filter('Yahoo ADP'!$E$2:$E2766,'Yahoo ADP'!$B$2:$B2766=$B368,$C368='Yahoo ADP'!$C$2:$C2766,$D368='Yahoo ADP'!$D$2:$D2766))"),1.0)</f>
        <v>1</v>
      </c>
      <c r="G368" s="27">
        <v>603.0</v>
      </c>
      <c r="H368" s="8">
        <f t="shared" si="1"/>
        <v>236</v>
      </c>
    </row>
    <row r="369">
      <c r="A369" s="10">
        <v>368.0</v>
      </c>
      <c r="B369" s="11" t="s">
        <v>3214</v>
      </c>
      <c r="C369" s="10" t="s">
        <v>79</v>
      </c>
      <c r="D369" s="10" t="s">
        <v>206</v>
      </c>
      <c r="E369" s="13">
        <f>IFERROR(__xludf.DUMMYFUNCTION("ifna(filter('Yahoo ADP'!$A$2:$A2766,'Yahoo ADP'!$B$2:$B2766=$B369,$C369='Yahoo ADP'!$C$2:$C2766,$D369='Yahoo ADP'!$D$2:$D2766))"),243.8)</f>
        <v>243.8</v>
      </c>
      <c r="F369" s="13">
        <f>IFERROR(__xludf.DUMMYFUNCTION("ifna(filter('Yahoo ADP'!$E$2:$E2766,'Yahoo ADP'!$B$2:$B2766=$B369,$C369='Yahoo ADP'!$C$2:$C2766,$D369='Yahoo ADP'!$D$2:$D2766))"),1.3)</f>
        <v>1.3</v>
      </c>
      <c r="G369" s="27">
        <v>358.0</v>
      </c>
      <c r="H369" s="8">
        <f t="shared" si="1"/>
        <v>-10</v>
      </c>
    </row>
    <row r="370">
      <c r="A370" s="10">
        <v>369.0</v>
      </c>
      <c r="B370" s="11" t="s">
        <v>3215</v>
      </c>
      <c r="C370" s="10" t="s">
        <v>77</v>
      </c>
      <c r="D370" s="10" t="s">
        <v>82</v>
      </c>
      <c r="E370" s="13">
        <f>IFERROR(__xludf.DUMMYFUNCTION("ifna(filter('Yahoo ADP'!$A$2:$A2766,'Yahoo ADP'!$B$2:$B2766=$B370,$C370='Yahoo ADP'!$C$2:$C2766,$D370='Yahoo ADP'!$D$2:$D2766))"),227.5)</f>
        <v>227.5</v>
      </c>
      <c r="F370" s="13">
        <f>IFERROR(__xludf.DUMMYFUNCTION("ifna(filter('Yahoo ADP'!$E$2:$E2766,'Yahoo ADP'!$B$2:$B2766=$B370,$C370='Yahoo ADP'!$C$2:$C2766,$D370='Yahoo ADP'!$D$2:$D2766))"),1.1)</f>
        <v>1.1</v>
      </c>
      <c r="G370" s="27">
        <v>350.0</v>
      </c>
      <c r="H370" s="8">
        <f t="shared" si="1"/>
        <v>-19</v>
      </c>
    </row>
    <row r="371">
      <c r="A371" s="10">
        <v>370.0</v>
      </c>
      <c r="B371" s="11" t="s">
        <v>3216</v>
      </c>
      <c r="C371" s="10" t="s">
        <v>8</v>
      </c>
      <c r="D371" s="10" t="s">
        <v>206</v>
      </c>
      <c r="E371" s="13">
        <f>IFERROR(__xludf.DUMMYFUNCTION("ifna(filter('Yahoo ADP'!$A$2:$A2766,'Yahoo ADP'!$B$2:$B2766=$B371,$C371='Yahoo ADP'!$C$2:$C2766,$D371='Yahoo ADP'!$D$2:$D2766))"),241.2)</f>
        <v>241.2</v>
      </c>
      <c r="F371" s="13">
        <f>IFERROR(__xludf.DUMMYFUNCTION("ifna(filter('Yahoo ADP'!$E$2:$E2766,'Yahoo ADP'!$B$2:$B2766=$B371,$C371='Yahoo ADP'!$C$2:$C2766,$D371='Yahoo ADP'!$D$2:$D2766))"),1.0)</f>
        <v>1</v>
      </c>
      <c r="G371" s="27">
        <v>319.0</v>
      </c>
      <c r="H371" s="8">
        <f t="shared" si="1"/>
        <v>-51</v>
      </c>
    </row>
    <row r="372">
      <c r="A372" s="10">
        <v>371.0</v>
      </c>
      <c r="B372" s="11" t="s">
        <v>3217</v>
      </c>
      <c r="C372" s="10" t="s">
        <v>79</v>
      </c>
      <c r="D372" s="10" t="s">
        <v>105</v>
      </c>
      <c r="E372" s="13">
        <f>IFERROR(__xludf.DUMMYFUNCTION("ifna(filter('Yahoo ADP'!$A$2:$A2766,'Yahoo ADP'!$B$2:$B2766=$B372,$C372='Yahoo ADP'!$C$2:$C2766,$D372='Yahoo ADP'!$D$2:$D2766))"),238.1)</f>
        <v>238.1</v>
      </c>
      <c r="F372" s="13">
        <f>IFERROR(__xludf.DUMMYFUNCTION("ifna(filter('Yahoo ADP'!$E$2:$E2766,'Yahoo ADP'!$B$2:$B2766=$B372,$C372='Yahoo ADP'!$C$2:$C2766,$D372='Yahoo ADP'!$D$2:$D2766))"),1.6)</f>
        <v>1.6</v>
      </c>
      <c r="G372" s="27">
        <v>385.0</v>
      </c>
      <c r="H372" s="8">
        <f t="shared" si="1"/>
        <v>14</v>
      </c>
    </row>
    <row r="373">
      <c r="A373" s="10">
        <v>372.0</v>
      </c>
      <c r="B373" s="11" t="s">
        <v>3218</v>
      </c>
      <c r="C373" s="10" t="s">
        <v>79</v>
      </c>
      <c r="D373" s="10" t="s">
        <v>73</v>
      </c>
      <c r="E373" s="13">
        <f>IFERROR(__xludf.DUMMYFUNCTION("ifna(filter('Yahoo ADP'!$A$2:$A2766,'Yahoo ADP'!$B$2:$B2766=$B373,$C373='Yahoo ADP'!$C$2:$C2766,$D373='Yahoo ADP'!$D$2:$D2766))"),239.0)</f>
        <v>239</v>
      </c>
      <c r="F373" s="13">
        <f>IFERROR(__xludf.DUMMYFUNCTION("ifna(filter('Yahoo ADP'!$E$2:$E2766,'Yahoo ADP'!$B$2:$B2766=$B373,$C373='Yahoo ADP'!$C$2:$C2766,$D373='Yahoo ADP'!$D$2:$D2766))"),1.6)</f>
        <v>1.6</v>
      </c>
      <c r="G373" s="27">
        <v>378.0</v>
      </c>
      <c r="H373" s="8">
        <f t="shared" si="1"/>
        <v>6</v>
      </c>
    </row>
    <row r="374">
      <c r="A374" s="10">
        <v>373.0</v>
      </c>
      <c r="B374" s="11" t="s">
        <v>3219</v>
      </c>
      <c r="C374" s="10" t="s">
        <v>39</v>
      </c>
      <c r="D374" s="10" t="s">
        <v>42</v>
      </c>
      <c r="E374" s="13">
        <f>IFERROR(__xludf.DUMMYFUNCTION("ifna(filter('Yahoo ADP'!$A$2:$A2766,'Yahoo ADP'!$B$2:$B2766=$B374,$C374='Yahoo ADP'!$C$2:$C2766,$D374='Yahoo ADP'!$D$2:$D2766))"),242.4)</f>
        <v>242.4</v>
      </c>
      <c r="F374" s="13">
        <f>IFERROR(__xludf.DUMMYFUNCTION("ifna(filter('Yahoo ADP'!$E$2:$E2766,'Yahoo ADP'!$B$2:$B2766=$B374,$C374='Yahoo ADP'!$C$2:$C2766,$D374='Yahoo ADP'!$D$2:$D2766))"),1.4)</f>
        <v>1.4</v>
      </c>
      <c r="G374" s="27">
        <v>346.0</v>
      </c>
      <c r="H374" s="8">
        <f t="shared" si="1"/>
        <v>-27</v>
      </c>
    </row>
    <row r="375">
      <c r="A375" s="10">
        <v>374.0</v>
      </c>
      <c r="B375" s="11" t="s">
        <v>3220</v>
      </c>
      <c r="C375" s="10" t="s">
        <v>33</v>
      </c>
      <c r="D375" s="10" t="s">
        <v>140</v>
      </c>
      <c r="E375" s="13" t="str">
        <f>IFERROR(__xludf.DUMMYFUNCTION("ifna(filter('Yahoo ADP'!$A$2:$A2766,'Yahoo ADP'!$B$2:$B2766=$B375,$C375='Yahoo ADP'!$C$2:$C2766,$D375='Yahoo ADP'!$D$2:$D2766))"),"")</f>
        <v/>
      </c>
      <c r="F375" s="13" t="str">
        <f>IFERROR(__xludf.DUMMYFUNCTION("ifna(filter('Yahoo ADP'!$E$2:$E2766,'Yahoo ADP'!$B$2:$B2766=$B375,$C375='Yahoo ADP'!$C$2:$C2766,$D375='Yahoo ADP'!$D$2:$D2766))"),"-")</f>
        <v>-</v>
      </c>
      <c r="G375" s="27">
        <v>352.0</v>
      </c>
      <c r="H375" s="8">
        <f t="shared" si="1"/>
        <v>-22</v>
      </c>
    </row>
    <row r="376">
      <c r="A376" s="10">
        <v>375.0</v>
      </c>
      <c r="B376" s="11" t="s">
        <v>3221</v>
      </c>
      <c r="C376" s="10" t="s">
        <v>22</v>
      </c>
      <c r="D376" s="10" t="s">
        <v>95</v>
      </c>
      <c r="E376" s="13">
        <f>IFERROR(__xludf.DUMMYFUNCTION("ifna(filter('Yahoo ADP'!$A$2:$A2766,'Yahoo ADP'!$B$2:$B2766=$B376,$C376='Yahoo ADP'!$C$2:$C2766,$D376='Yahoo ADP'!$D$2:$D2766))"),240.0)</f>
        <v>240</v>
      </c>
      <c r="F376" s="13">
        <f>IFERROR(__xludf.DUMMYFUNCTION("ifna(filter('Yahoo ADP'!$E$2:$E2766,'Yahoo ADP'!$B$2:$B2766=$B376,$C376='Yahoo ADP'!$C$2:$C2766,$D376='Yahoo ADP'!$D$2:$D2766))"),1.8)</f>
        <v>1.8</v>
      </c>
      <c r="G376" s="27">
        <v>387.0</v>
      </c>
      <c r="H376" s="8">
        <f t="shared" si="1"/>
        <v>12</v>
      </c>
    </row>
    <row r="377">
      <c r="A377" s="10">
        <v>376.0</v>
      </c>
      <c r="B377" s="11" t="s">
        <v>3222</v>
      </c>
      <c r="C377" s="10" t="s">
        <v>87</v>
      </c>
      <c r="D377" s="10" t="s">
        <v>129</v>
      </c>
      <c r="E377" s="13">
        <f>IFERROR(__xludf.DUMMYFUNCTION("ifna(filter('Yahoo ADP'!$A$2:$A2766,'Yahoo ADP'!$B$2:$B2766=$B377,$C377='Yahoo ADP'!$C$2:$C2766,$D377='Yahoo ADP'!$D$2:$D2766))"),249.5)</f>
        <v>249.5</v>
      </c>
      <c r="F377" s="13">
        <f>IFERROR(__xludf.DUMMYFUNCTION("ifna(filter('Yahoo ADP'!$E$2:$E2766,'Yahoo ADP'!$B$2:$B2766=$B377,$C377='Yahoo ADP'!$C$2:$C2766,$D377='Yahoo ADP'!$D$2:$D2766))"),1.5)</f>
        <v>1.5</v>
      </c>
      <c r="G377" s="27">
        <v>1763.0</v>
      </c>
      <c r="H377" s="8">
        <f t="shared" si="1"/>
        <v>1387</v>
      </c>
    </row>
    <row r="378">
      <c r="A378" s="10">
        <v>377.0</v>
      </c>
      <c r="B378" s="11" t="s">
        <v>3223</v>
      </c>
      <c r="C378" s="10" t="s">
        <v>77</v>
      </c>
      <c r="D378" s="10" t="s">
        <v>52</v>
      </c>
      <c r="E378" s="13">
        <f>IFERROR(__xludf.DUMMYFUNCTION("ifna(filter('Yahoo ADP'!$A$2:$A2766,'Yahoo ADP'!$B$2:$B2766=$B378,$C378='Yahoo ADP'!$C$2:$C2766,$D378='Yahoo ADP'!$D$2:$D2766))"),245.1)</f>
        <v>245.1</v>
      </c>
      <c r="F378" s="13">
        <f>IFERROR(__xludf.DUMMYFUNCTION("ifna(filter('Yahoo ADP'!$E$2:$E2766,'Yahoo ADP'!$B$2:$B2766=$B378,$C378='Yahoo ADP'!$C$2:$C2766,$D378='Yahoo ADP'!$D$2:$D2766))"),1.0)</f>
        <v>1</v>
      </c>
      <c r="G378" s="27">
        <v>1670.0</v>
      </c>
      <c r="H378" s="8">
        <f t="shared" si="1"/>
        <v>1293</v>
      </c>
    </row>
    <row r="379">
      <c r="A379" s="10">
        <v>378.0</v>
      </c>
      <c r="B379" s="11" t="s">
        <v>3224</v>
      </c>
      <c r="C379" s="10" t="s">
        <v>77</v>
      </c>
      <c r="D379" s="10" t="s">
        <v>113</v>
      </c>
      <c r="E379" s="13">
        <f>IFERROR(__xludf.DUMMYFUNCTION("ifna(filter('Yahoo ADP'!$A$2:$A2766,'Yahoo ADP'!$B$2:$B2766=$B379,$C379='Yahoo ADP'!$C$2:$C2766,$D379='Yahoo ADP'!$D$2:$D2766))"),233.5)</f>
        <v>233.5</v>
      </c>
      <c r="F379" s="13">
        <f>IFERROR(__xludf.DUMMYFUNCTION("ifna(filter('Yahoo ADP'!$E$2:$E2766,'Yahoo ADP'!$B$2:$B2766=$B379,$C379='Yahoo ADP'!$C$2:$C2766,$D379='Yahoo ADP'!$D$2:$D2766))"),1.0)</f>
        <v>1</v>
      </c>
      <c r="G379" s="27">
        <v>354.0</v>
      </c>
      <c r="H379" s="8">
        <f t="shared" si="1"/>
        <v>-24</v>
      </c>
    </row>
    <row r="380">
      <c r="A380" s="10">
        <v>379.0</v>
      </c>
      <c r="B380" s="11" t="s">
        <v>3225</v>
      </c>
      <c r="C380" s="10" t="s">
        <v>79</v>
      </c>
      <c r="D380" s="10" t="s">
        <v>85</v>
      </c>
      <c r="E380" s="13">
        <f>IFERROR(__xludf.DUMMYFUNCTION("ifna(filter('Yahoo ADP'!$A$2:$A2766,'Yahoo ADP'!$B$2:$B2766=$B380,$C380='Yahoo ADP'!$C$2:$C2766,$D380='Yahoo ADP'!$D$2:$D2766))"),243.5)</f>
        <v>243.5</v>
      </c>
      <c r="F380" s="13">
        <f>IFERROR(__xludf.DUMMYFUNCTION("ifna(filter('Yahoo ADP'!$E$2:$E2766,'Yahoo ADP'!$B$2:$B2766=$B380,$C380='Yahoo ADP'!$C$2:$C2766,$D380='Yahoo ADP'!$D$2:$D2766))"),1.4)</f>
        <v>1.4</v>
      </c>
      <c r="G380" s="27">
        <v>397.0</v>
      </c>
      <c r="H380" s="8">
        <f t="shared" si="1"/>
        <v>18</v>
      </c>
    </row>
    <row r="381">
      <c r="A381" s="10">
        <v>380.0</v>
      </c>
      <c r="B381" s="11" t="s">
        <v>3226</v>
      </c>
      <c r="C381" s="10" t="s">
        <v>218</v>
      </c>
      <c r="D381" s="10" t="s">
        <v>206</v>
      </c>
      <c r="E381" s="13">
        <f>IFERROR(__xludf.DUMMYFUNCTION("ifna(filter('Yahoo ADP'!$A$2:$A2766,'Yahoo ADP'!$B$2:$B2766=$B381,$C381='Yahoo ADP'!$C$2:$C2766,$D381='Yahoo ADP'!$D$2:$D2766))"),247.0)</f>
        <v>247</v>
      </c>
      <c r="F381" s="13">
        <f>IFERROR(__xludf.DUMMYFUNCTION("ifna(filter('Yahoo ADP'!$E$2:$E2766,'Yahoo ADP'!$B$2:$B2766=$B381,$C381='Yahoo ADP'!$C$2:$C2766,$D381='Yahoo ADP'!$D$2:$D2766))"),1.0)</f>
        <v>1</v>
      </c>
      <c r="G381" s="27">
        <v>562.0</v>
      </c>
      <c r="H381" s="8">
        <f t="shared" si="1"/>
        <v>182</v>
      </c>
    </row>
    <row r="382">
      <c r="A382" s="10">
        <v>381.0</v>
      </c>
      <c r="B382" s="11" t="s">
        <v>3227</v>
      </c>
      <c r="C382" s="10" t="s">
        <v>218</v>
      </c>
      <c r="D382" s="10" t="s">
        <v>206</v>
      </c>
      <c r="E382" s="13" t="str">
        <f>IFERROR(__xludf.DUMMYFUNCTION("ifna(filter('Yahoo ADP'!$A$2:$A2766,'Yahoo ADP'!$B$2:$B2766=$B382,$C382='Yahoo ADP'!$C$2:$C2766,$D382='Yahoo ADP'!$D$2:$D2766))"),"")</f>
        <v/>
      </c>
      <c r="F382" s="13" t="str">
        <f>IFERROR(__xludf.DUMMYFUNCTION("ifna(filter('Yahoo ADP'!$E$2:$E2766,'Yahoo ADP'!$B$2:$B2766=$B382,$C382='Yahoo ADP'!$C$2:$C2766,$D382='Yahoo ADP'!$D$2:$D2766))"),"-")</f>
        <v>-</v>
      </c>
      <c r="G382" s="27">
        <v>356.0</v>
      </c>
      <c r="H382" s="8">
        <f t="shared" si="1"/>
        <v>-25</v>
      </c>
    </row>
    <row r="383">
      <c r="A383" s="10">
        <v>382.0</v>
      </c>
      <c r="B383" s="11" t="s">
        <v>3228</v>
      </c>
      <c r="C383" s="10" t="s">
        <v>148</v>
      </c>
      <c r="D383" s="10" t="s">
        <v>36</v>
      </c>
      <c r="E383" s="13">
        <f>IFERROR(__xludf.DUMMYFUNCTION("ifna(filter('Yahoo ADP'!$A$2:$A2766,'Yahoo ADP'!$B$2:$B2766=$B383,$C383='Yahoo ADP'!$C$2:$C2766,$D383='Yahoo ADP'!$D$2:$D2766))"),241.9)</f>
        <v>241.9</v>
      </c>
      <c r="F383" s="13">
        <f>IFERROR(__xludf.DUMMYFUNCTION("ifna(filter('Yahoo ADP'!$E$2:$E2766,'Yahoo ADP'!$B$2:$B2766=$B383,$C383='Yahoo ADP'!$C$2:$C2766,$D383='Yahoo ADP'!$D$2:$D2766))"),1.3)</f>
        <v>1.3</v>
      </c>
      <c r="G383" s="27">
        <v>1595.0</v>
      </c>
      <c r="H383" s="8">
        <f t="shared" si="1"/>
        <v>1213</v>
      </c>
    </row>
    <row r="384">
      <c r="A384" s="10">
        <v>383.0</v>
      </c>
      <c r="B384" s="11" t="s">
        <v>3229</v>
      </c>
      <c r="C384" s="10" t="s">
        <v>22</v>
      </c>
      <c r="D384" s="10" t="s">
        <v>23</v>
      </c>
      <c r="E384" s="13">
        <f>IFERROR(__xludf.DUMMYFUNCTION("ifna(filter('Yahoo ADP'!$A$2:$A2766,'Yahoo ADP'!$B$2:$B2766=$B384,$C384='Yahoo ADP'!$C$2:$C2766,$D384='Yahoo ADP'!$D$2:$D2766))"),240.9)</f>
        <v>240.9</v>
      </c>
      <c r="F384" s="13">
        <f>IFERROR(__xludf.DUMMYFUNCTION("ifna(filter('Yahoo ADP'!$E$2:$E2766,'Yahoo ADP'!$B$2:$B2766=$B384,$C384='Yahoo ADP'!$C$2:$C2766,$D384='Yahoo ADP'!$D$2:$D2766))"),1.0)</f>
        <v>1</v>
      </c>
      <c r="G384" s="27">
        <v>552.0</v>
      </c>
      <c r="H384" s="8">
        <f t="shared" si="1"/>
        <v>169</v>
      </c>
    </row>
    <row r="385">
      <c r="A385" s="10">
        <v>384.0</v>
      </c>
      <c r="B385" s="11" t="s">
        <v>3230</v>
      </c>
      <c r="C385" s="10" t="s">
        <v>79</v>
      </c>
      <c r="D385" s="10" t="s">
        <v>23</v>
      </c>
      <c r="E385" s="13">
        <f>IFERROR(__xludf.DUMMYFUNCTION("ifna(filter('Yahoo ADP'!$A$2:$A2766,'Yahoo ADP'!$B$2:$B2766=$B385,$C385='Yahoo ADP'!$C$2:$C2766,$D385='Yahoo ADP'!$D$2:$D2766))"),232.8)</f>
        <v>232.8</v>
      </c>
      <c r="F385" s="13">
        <f>IFERROR(__xludf.DUMMYFUNCTION("ifna(filter('Yahoo ADP'!$E$2:$E2766,'Yahoo ADP'!$B$2:$B2766=$B385,$C385='Yahoo ADP'!$C$2:$C2766,$D385='Yahoo ADP'!$D$2:$D2766))"),1.3)</f>
        <v>1.3</v>
      </c>
      <c r="G385" s="27">
        <v>365.0</v>
      </c>
      <c r="H385" s="8">
        <f t="shared" si="1"/>
        <v>-19</v>
      </c>
    </row>
    <row r="386">
      <c r="A386" s="10">
        <v>385.0</v>
      </c>
      <c r="B386" s="11" t="s">
        <v>3231</v>
      </c>
      <c r="C386" s="10" t="s">
        <v>22</v>
      </c>
      <c r="D386" s="10" t="s">
        <v>129</v>
      </c>
      <c r="E386" s="13" t="str">
        <f>IFERROR(__xludf.DUMMYFUNCTION("ifna(filter('Yahoo ADP'!$A$2:$A2766,'Yahoo ADP'!$B$2:$B2766=$B386,$C386='Yahoo ADP'!$C$2:$C2766,$D386='Yahoo ADP'!$D$2:$D2766))"),"")</f>
        <v/>
      </c>
      <c r="F386" s="13" t="str">
        <f>IFERROR(__xludf.DUMMYFUNCTION("ifna(filter('Yahoo ADP'!$E$2:$E2766,'Yahoo ADP'!$B$2:$B2766=$B386,$C386='Yahoo ADP'!$C$2:$C2766,$D386='Yahoo ADP'!$D$2:$D2766))"),"-")</f>
        <v>-</v>
      </c>
      <c r="G386" s="27">
        <v>789.0</v>
      </c>
      <c r="H386" s="8">
        <f t="shared" si="1"/>
        <v>404</v>
      </c>
    </row>
    <row r="387">
      <c r="A387" s="10">
        <v>386.0</v>
      </c>
      <c r="B387" s="11" t="s">
        <v>3232</v>
      </c>
      <c r="C387" s="10" t="s">
        <v>22</v>
      </c>
      <c r="D387" s="10" t="s">
        <v>137</v>
      </c>
      <c r="E387" s="13" t="str">
        <f>IFERROR(__xludf.DUMMYFUNCTION("ifna(filter('Yahoo ADP'!$A$2:$A2766,'Yahoo ADP'!$B$2:$B2766=$B387,$C387='Yahoo ADP'!$C$2:$C2766,$D387='Yahoo ADP'!$D$2:$D2766))"),"")</f>
        <v/>
      </c>
      <c r="F387" s="13" t="str">
        <f>IFERROR(__xludf.DUMMYFUNCTION("ifna(filter('Yahoo ADP'!$E$2:$E2766,'Yahoo ADP'!$B$2:$B2766=$B387,$C387='Yahoo ADP'!$C$2:$C2766,$D387='Yahoo ADP'!$D$2:$D2766))"),"-")</f>
        <v>-</v>
      </c>
      <c r="G387" s="27">
        <v>1633.0</v>
      </c>
      <c r="H387" s="8">
        <f t="shared" si="1"/>
        <v>1247</v>
      </c>
    </row>
    <row r="388">
      <c r="A388" s="10">
        <v>387.0</v>
      </c>
      <c r="B388" s="11" t="s">
        <v>3233</v>
      </c>
      <c r="C388" s="10" t="s">
        <v>79</v>
      </c>
      <c r="D388" s="10" t="s">
        <v>15</v>
      </c>
      <c r="E388" s="13">
        <f>IFERROR(__xludf.DUMMYFUNCTION("ifna(filter('Yahoo ADP'!$A$2:$A2766,'Yahoo ADP'!$B$2:$B2766=$B388,$C388='Yahoo ADP'!$C$2:$C2766,$D388='Yahoo ADP'!$D$2:$D2766))"),237.7)</f>
        <v>237.7</v>
      </c>
      <c r="F388" s="13">
        <f>IFERROR(__xludf.DUMMYFUNCTION("ifna(filter('Yahoo ADP'!$E$2:$E2766,'Yahoo ADP'!$B$2:$B2766=$B388,$C388='Yahoo ADP'!$C$2:$C2766,$D388='Yahoo ADP'!$D$2:$D2766))"),1.3)</f>
        <v>1.3</v>
      </c>
      <c r="G388" s="27">
        <v>362.0</v>
      </c>
      <c r="H388" s="8">
        <f t="shared" si="1"/>
        <v>-25</v>
      </c>
    </row>
    <row r="389">
      <c r="A389" s="10">
        <v>388.0</v>
      </c>
      <c r="B389" s="11" t="s">
        <v>3234</v>
      </c>
      <c r="C389" s="10" t="s">
        <v>470</v>
      </c>
      <c r="D389" s="10" t="s">
        <v>113</v>
      </c>
      <c r="E389" s="13">
        <f>IFERROR(__xludf.DUMMYFUNCTION("ifna(filter('Yahoo ADP'!$A$2:$A2766,'Yahoo ADP'!$B$2:$B2766=$B389,$C389='Yahoo ADP'!$C$2:$C2766,$D389='Yahoo ADP'!$D$2:$D2766))"),242.7)</f>
        <v>242.7</v>
      </c>
      <c r="F389" s="13">
        <f>IFERROR(__xludf.DUMMYFUNCTION("ifna(filter('Yahoo ADP'!$E$2:$E2766,'Yahoo ADP'!$B$2:$B2766=$B389,$C389='Yahoo ADP'!$C$2:$C2766,$D389='Yahoo ADP'!$D$2:$D2766))"),1.4)</f>
        <v>1.4</v>
      </c>
      <c r="G389" s="27">
        <v>669.0</v>
      </c>
      <c r="H389" s="8">
        <f t="shared" si="1"/>
        <v>281</v>
      </c>
    </row>
    <row r="390">
      <c r="A390" s="10">
        <v>389.0</v>
      </c>
      <c r="B390" s="11" t="s">
        <v>3235</v>
      </c>
      <c r="C390" s="10" t="s">
        <v>22</v>
      </c>
      <c r="D390" s="10" t="s">
        <v>85</v>
      </c>
      <c r="E390" s="13">
        <f>IFERROR(__xludf.DUMMYFUNCTION("ifna(filter('Yahoo ADP'!$A$2:$A2766,'Yahoo ADP'!$B$2:$B2766=$B390,$C390='Yahoo ADP'!$C$2:$C2766,$D390='Yahoo ADP'!$D$2:$D2766))"),247.2)</f>
        <v>247.2</v>
      </c>
      <c r="F390" s="13">
        <f>IFERROR(__xludf.DUMMYFUNCTION("ifna(filter('Yahoo ADP'!$E$2:$E2766,'Yahoo ADP'!$B$2:$B2766=$B390,$C390='Yahoo ADP'!$C$2:$C2766,$D390='Yahoo ADP'!$D$2:$D2766))"),1.1)</f>
        <v>1.1</v>
      </c>
      <c r="G390" s="27">
        <v>272.0</v>
      </c>
      <c r="H390" s="8">
        <f t="shared" si="1"/>
        <v>-117</v>
      </c>
    </row>
    <row r="391">
      <c r="A391" s="10">
        <v>390.0</v>
      </c>
      <c r="B391" s="11" t="s">
        <v>3236</v>
      </c>
      <c r="C391" s="10" t="s">
        <v>22</v>
      </c>
      <c r="D391" s="10" t="s">
        <v>113</v>
      </c>
      <c r="E391" s="13">
        <f>IFERROR(__xludf.DUMMYFUNCTION("ifna(filter('Yahoo ADP'!$A$2:$A2766,'Yahoo ADP'!$B$2:$B2766=$B391,$C391='Yahoo ADP'!$C$2:$C2766,$D391='Yahoo ADP'!$D$2:$D2766))"),236.8)</f>
        <v>236.8</v>
      </c>
      <c r="F391" s="13">
        <f>IFERROR(__xludf.DUMMYFUNCTION("ifna(filter('Yahoo ADP'!$E$2:$E2766,'Yahoo ADP'!$B$2:$B2766=$B391,$C391='Yahoo ADP'!$C$2:$C2766,$D391='Yahoo ADP'!$D$2:$D2766))"),1.0)</f>
        <v>1</v>
      </c>
      <c r="G391" s="27">
        <v>401.0</v>
      </c>
      <c r="H391" s="8">
        <f t="shared" si="1"/>
        <v>11</v>
      </c>
    </row>
    <row r="392">
      <c r="A392" s="10">
        <v>391.0</v>
      </c>
      <c r="B392" s="11" t="s">
        <v>3237</v>
      </c>
      <c r="C392" s="10" t="s">
        <v>77</v>
      </c>
      <c r="D392" s="10" t="s">
        <v>206</v>
      </c>
      <c r="E392" s="13">
        <f>IFERROR(__xludf.DUMMYFUNCTION("ifna(filter('Yahoo ADP'!$A$2:$A2766,'Yahoo ADP'!$B$2:$B2766=$B392,$C392='Yahoo ADP'!$C$2:$C2766,$D392='Yahoo ADP'!$D$2:$D2766))"),242.7)</f>
        <v>242.7</v>
      </c>
      <c r="F392" s="13">
        <f>IFERROR(__xludf.DUMMYFUNCTION("ifna(filter('Yahoo ADP'!$E$2:$E2766,'Yahoo ADP'!$B$2:$B2766=$B392,$C392='Yahoo ADP'!$C$2:$C2766,$D392='Yahoo ADP'!$D$2:$D2766))"),1.0)</f>
        <v>1</v>
      </c>
      <c r="G392" s="27">
        <v>363.0</v>
      </c>
      <c r="H392" s="8">
        <f t="shared" si="1"/>
        <v>-28</v>
      </c>
    </row>
    <row r="393">
      <c r="A393" s="10">
        <v>392.0</v>
      </c>
      <c r="B393" s="11" t="s">
        <v>3238</v>
      </c>
      <c r="C393" s="10" t="s">
        <v>22</v>
      </c>
      <c r="D393" s="10" t="s">
        <v>140</v>
      </c>
      <c r="E393" s="13">
        <f>IFERROR(__xludf.DUMMYFUNCTION("ifna(filter('Yahoo ADP'!$A$2:$A2766,'Yahoo ADP'!$B$2:$B2766=$B393,$C393='Yahoo ADP'!$C$2:$C2766,$D393='Yahoo ADP'!$D$2:$D2766))"),239.3)</f>
        <v>239.3</v>
      </c>
      <c r="F393" s="13">
        <f>IFERROR(__xludf.DUMMYFUNCTION("ifna(filter('Yahoo ADP'!$E$2:$E2766,'Yahoo ADP'!$B$2:$B2766=$B393,$C393='Yahoo ADP'!$C$2:$C2766,$D393='Yahoo ADP'!$D$2:$D2766))"),1.1)</f>
        <v>1.1</v>
      </c>
      <c r="G393" s="27">
        <v>315.0</v>
      </c>
      <c r="H393" s="8">
        <f t="shared" si="1"/>
        <v>-77</v>
      </c>
    </row>
    <row r="394">
      <c r="A394" s="10">
        <v>393.0</v>
      </c>
      <c r="B394" s="11" t="s">
        <v>3239</v>
      </c>
      <c r="C394" s="10" t="s">
        <v>218</v>
      </c>
      <c r="D394" s="10" t="s">
        <v>129</v>
      </c>
      <c r="E394" s="13" t="str">
        <f>IFERROR(__xludf.DUMMYFUNCTION("ifna(filter('Yahoo ADP'!$A$2:$A2766,'Yahoo ADP'!$B$2:$B2766=$B394,$C394='Yahoo ADP'!$C$2:$C2766,$D394='Yahoo ADP'!$D$2:$D2766))"),"")</f>
        <v/>
      </c>
      <c r="F394" s="13" t="str">
        <f>IFERROR(__xludf.DUMMYFUNCTION("ifna(filter('Yahoo ADP'!$E$2:$E2766,'Yahoo ADP'!$B$2:$B2766=$B394,$C394='Yahoo ADP'!$C$2:$C2766,$D394='Yahoo ADP'!$D$2:$D2766))"),"-")</f>
        <v>-</v>
      </c>
      <c r="G394" s="27">
        <v>399.0</v>
      </c>
      <c r="H394" s="8">
        <f t="shared" si="1"/>
        <v>6</v>
      </c>
    </row>
    <row r="395">
      <c r="A395" s="10">
        <v>394.0</v>
      </c>
      <c r="B395" s="11" t="s">
        <v>3240</v>
      </c>
      <c r="C395" s="10" t="s">
        <v>87</v>
      </c>
      <c r="D395" s="10" t="s">
        <v>90</v>
      </c>
      <c r="E395" s="13" t="str">
        <f>IFERROR(__xludf.DUMMYFUNCTION("ifna(filter('Yahoo ADP'!$A$2:$A2766,'Yahoo ADP'!$B$2:$B2766=$B395,$C395='Yahoo ADP'!$C$2:$C2766,$D395='Yahoo ADP'!$D$2:$D2766))"),"")</f>
        <v/>
      </c>
      <c r="F395" s="13" t="str">
        <f>IFERROR(__xludf.DUMMYFUNCTION("ifna(filter('Yahoo ADP'!$E$2:$E2766,'Yahoo ADP'!$B$2:$B2766=$B395,$C395='Yahoo ADP'!$C$2:$C2766,$D395='Yahoo ADP'!$D$2:$D2766))"),"-")</f>
        <v>-</v>
      </c>
      <c r="G395" s="27">
        <v>471.0</v>
      </c>
      <c r="H395" s="8">
        <f t="shared" si="1"/>
        <v>77</v>
      </c>
    </row>
    <row r="396">
      <c r="A396" s="10">
        <v>395.0</v>
      </c>
      <c r="B396" s="11" t="s">
        <v>3241</v>
      </c>
      <c r="C396" s="10" t="s">
        <v>478</v>
      </c>
      <c r="D396" s="10" t="s">
        <v>52</v>
      </c>
      <c r="E396" s="13" t="str">
        <f>IFERROR(__xludf.DUMMYFUNCTION("ifna(filter('Yahoo ADP'!$A$2:$A2766,'Yahoo ADP'!$B$2:$B2766=$B396,$C396='Yahoo ADP'!$C$2:$C2766,$D396='Yahoo ADP'!$D$2:$D2766))"),"")</f>
        <v/>
      </c>
      <c r="F396" s="13" t="str">
        <f>IFERROR(__xludf.DUMMYFUNCTION("ifna(filter('Yahoo ADP'!$E$2:$E2766,'Yahoo ADP'!$B$2:$B2766=$B396,$C396='Yahoo ADP'!$C$2:$C2766,$D396='Yahoo ADP'!$D$2:$D2766))"),"-")</f>
        <v>-</v>
      </c>
      <c r="G396" s="27">
        <v>642.0</v>
      </c>
      <c r="H396" s="8">
        <f t="shared" si="1"/>
        <v>247</v>
      </c>
    </row>
    <row r="397">
      <c r="A397" s="10">
        <v>396.0</v>
      </c>
      <c r="B397" s="11" t="s">
        <v>3242</v>
      </c>
      <c r="C397" s="10" t="s">
        <v>79</v>
      </c>
      <c r="D397" s="10" t="s">
        <v>18</v>
      </c>
      <c r="E397" s="13" t="str">
        <f>IFERROR(__xludf.DUMMYFUNCTION("ifna(filter('Yahoo ADP'!$A$2:$A2766,'Yahoo ADP'!$B$2:$B2766=$B397,$C397='Yahoo ADP'!$C$2:$C2766,$D397='Yahoo ADP'!$D$2:$D2766))"),"")</f>
        <v/>
      </c>
      <c r="F397" s="13" t="str">
        <f>IFERROR(__xludf.DUMMYFUNCTION("ifna(filter('Yahoo ADP'!$E$2:$E2766,'Yahoo ADP'!$B$2:$B2766=$B397,$C397='Yahoo ADP'!$C$2:$C2766,$D397='Yahoo ADP'!$D$2:$D2766))"),"-")</f>
        <v>-</v>
      </c>
      <c r="G397" s="27">
        <v>1474.0</v>
      </c>
      <c r="H397" s="8">
        <f t="shared" si="1"/>
        <v>1078</v>
      </c>
    </row>
    <row r="398">
      <c r="A398" s="10">
        <v>397.0</v>
      </c>
      <c r="B398" s="11" t="s">
        <v>3243</v>
      </c>
      <c r="C398" s="10" t="s">
        <v>22</v>
      </c>
      <c r="D398" s="10" t="s">
        <v>27</v>
      </c>
      <c r="E398" s="13" t="str">
        <f>IFERROR(__xludf.DUMMYFUNCTION("ifna(filter('Yahoo ADP'!$A$2:$A2766,'Yahoo ADP'!$B$2:$B2766=$B398,$C398='Yahoo ADP'!$C$2:$C2766,$D398='Yahoo ADP'!$D$2:$D2766))"),"")</f>
        <v/>
      </c>
      <c r="F398" s="13" t="str">
        <f>IFERROR(__xludf.DUMMYFUNCTION("ifna(filter('Yahoo ADP'!$E$2:$E2766,'Yahoo ADP'!$B$2:$B2766=$B398,$C398='Yahoo ADP'!$C$2:$C2766,$D398='Yahoo ADP'!$D$2:$D2766))"),"-")</f>
        <v>-</v>
      </c>
      <c r="G398" s="27">
        <v>569.0</v>
      </c>
      <c r="H398" s="8">
        <f t="shared" si="1"/>
        <v>172</v>
      </c>
    </row>
    <row r="399">
      <c r="A399" s="10">
        <v>398.0</v>
      </c>
      <c r="B399" s="11" t="s">
        <v>3244</v>
      </c>
      <c r="C399" s="10" t="s">
        <v>22</v>
      </c>
      <c r="D399" s="10" t="s">
        <v>140</v>
      </c>
      <c r="E399" s="13">
        <f>IFERROR(__xludf.DUMMYFUNCTION("ifna(filter('Yahoo ADP'!$A$2:$A2766,'Yahoo ADP'!$B$2:$B2766=$B399,$C399='Yahoo ADP'!$C$2:$C2766,$D399='Yahoo ADP'!$D$2:$D2766))"),252.2)</f>
        <v>252.2</v>
      </c>
      <c r="F399" s="13">
        <f>IFERROR(__xludf.DUMMYFUNCTION("ifna(filter('Yahoo ADP'!$E$2:$E2766,'Yahoo ADP'!$B$2:$B2766=$B399,$C399='Yahoo ADP'!$C$2:$C2766,$D399='Yahoo ADP'!$D$2:$D2766))"),1.5)</f>
        <v>1.5</v>
      </c>
      <c r="G399" s="27">
        <v>549.0</v>
      </c>
      <c r="H399" s="8">
        <f t="shared" si="1"/>
        <v>151</v>
      </c>
    </row>
    <row r="400">
      <c r="A400" s="10">
        <v>399.0</v>
      </c>
      <c r="B400" s="11" t="s">
        <v>3245</v>
      </c>
      <c r="C400" s="10" t="s">
        <v>22</v>
      </c>
      <c r="D400" s="10" t="s">
        <v>23</v>
      </c>
      <c r="E400" s="13" t="str">
        <f>IFERROR(__xludf.DUMMYFUNCTION("ifna(filter('Yahoo ADP'!$A$2:$A2766,'Yahoo ADP'!$B$2:$B2766=$B400,$C400='Yahoo ADP'!$C$2:$C2766,$D400='Yahoo ADP'!$D$2:$D2766))"),"")</f>
        <v/>
      </c>
      <c r="F400" s="13" t="str">
        <f>IFERROR(__xludf.DUMMYFUNCTION("ifna(filter('Yahoo ADP'!$E$2:$E2766,'Yahoo ADP'!$B$2:$B2766=$B400,$C400='Yahoo ADP'!$C$2:$C2766,$D400='Yahoo ADP'!$D$2:$D2766))"),"-")</f>
        <v>-</v>
      </c>
      <c r="G400" s="27">
        <v>567.0</v>
      </c>
      <c r="H400" s="8">
        <f t="shared" si="1"/>
        <v>168</v>
      </c>
    </row>
    <row r="401">
      <c r="A401" s="10">
        <v>400.0</v>
      </c>
      <c r="B401" s="11" t="s">
        <v>3246</v>
      </c>
      <c r="C401" s="10" t="s">
        <v>218</v>
      </c>
      <c r="D401" s="10" t="s">
        <v>105</v>
      </c>
      <c r="E401" s="13" t="str">
        <f>IFERROR(__xludf.DUMMYFUNCTION("ifna(filter('Yahoo ADP'!$A$2:$A2766,'Yahoo ADP'!$B$2:$B2766=$B401,$C401='Yahoo ADP'!$C$2:$C2766,$D401='Yahoo ADP'!$D$2:$D2766))"),"")</f>
        <v/>
      </c>
      <c r="F401" s="13" t="str">
        <f>IFERROR(__xludf.DUMMYFUNCTION("ifna(filter('Yahoo ADP'!$E$2:$E2766,'Yahoo ADP'!$B$2:$B2766=$B401,$C401='Yahoo ADP'!$C$2:$C2766,$D401='Yahoo ADP'!$D$2:$D2766))"),"-")</f>
        <v>-</v>
      </c>
      <c r="G401" s="27">
        <v>1578.0</v>
      </c>
      <c r="H401" s="8">
        <f t="shared" si="1"/>
        <v>1178</v>
      </c>
    </row>
    <row r="402">
      <c r="A402" s="10">
        <v>401.0</v>
      </c>
      <c r="B402" s="11" t="s">
        <v>3247</v>
      </c>
      <c r="C402" s="10" t="s">
        <v>22</v>
      </c>
      <c r="D402" s="10" t="s">
        <v>90</v>
      </c>
      <c r="E402" s="13">
        <f>IFERROR(__xludf.DUMMYFUNCTION("ifna(filter('Yahoo ADP'!$A$2:$A2766,'Yahoo ADP'!$B$2:$B2766=$B402,$C402='Yahoo ADP'!$C$2:$C2766,$D402='Yahoo ADP'!$D$2:$D2766))"),239.7)</f>
        <v>239.7</v>
      </c>
      <c r="F402" s="13">
        <f>IFERROR(__xludf.DUMMYFUNCTION("ifna(filter('Yahoo ADP'!$E$2:$E2766,'Yahoo ADP'!$B$2:$B2766=$B402,$C402='Yahoo ADP'!$C$2:$C2766,$D402='Yahoo ADP'!$D$2:$D2766))"),1.1)</f>
        <v>1.1</v>
      </c>
      <c r="G402" s="27">
        <v>309.0</v>
      </c>
      <c r="H402" s="8">
        <f t="shared" si="1"/>
        <v>-92</v>
      </c>
    </row>
    <row r="403">
      <c r="A403" s="10">
        <v>402.0</v>
      </c>
      <c r="B403" s="11" t="s">
        <v>3248</v>
      </c>
      <c r="C403" s="10" t="s">
        <v>79</v>
      </c>
      <c r="D403" s="10" t="s">
        <v>34</v>
      </c>
      <c r="E403" s="13" t="str">
        <f>IFERROR(__xludf.DUMMYFUNCTION("ifna(filter('Yahoo ADP'!$A$2:$A2766,'Yahoo ADP'!$B$2:$B2766=$B403,$C403='Yahoo ADP'!$C$2:$C2766,$D403='Yahoo ADP'!$D$2:$D2766))"),"")</f>
        <v/>
      </c>
      <c r="F403" s="13" t="str">
        <f>IFERROR(__xludf.DUMMYFUNCTION("ifna(filter('Yahoo ADP'!$E$2:$E2766,'Yahoo ADP'!$B$2:$B2766=$B403,$C403='Yahoo ADP'!$C$2:$C2766,$D403='Yahoo ADP'!$D$2:$D2766))"),"-")</f>
        <v>-</v>
      </c>
      <c r="G403" s="27">
        <v>366.0</v>
      </c>
      <c r="H403" s="8">
        <f t="shared" si="1"/>
        <v>-36</v>
      </c>
    </row>
    <row r="404">
      <c r="A404" s="10">
        <v>403.0</v>
      </c>
      <c r="B404" s="11" t="s">
        <v>3249</v>
      </c>
      <c r="C404" s="10" t="s">
        <v>79</v>
      </c>
      <c r="D404" s="10" t="s">
        <v>49</v>
      </c>
      <c r="E404" s="13" t="str">
        <f>IFERROR(__xludf.DUMMYFUNCTION("ifna(filter('Yahoo ADP'!$A$2:$A2766,'Yahoo ADP'!$B$2:$B2766=$B404,$C404='Yahoo ADP'!$C$2:$C2766,$D404='Yahoo ADP'!$D$2:$D2766))"),"")</f>
        <v/>
      </c>
      <c r="F404" s="13" t="str">
        <f>IFERROR(__xludf.DUMMYFUNCTION("ifna(filter('Yahoo ADP'!$E$2:$E2766,'Yahoo ADP'!$B$2:$B2766=$B404,$C404='Yahoo ADP'!$C$2:$C2766,$D404='Yahoo ADP'!$D$2:$D2766))"),"-")</f>
        <v>-</v>
      </c>
      <c r="G404" s="27">
        <v>345.0</v>
      </c>
      <c r="H404" s="8">
        <f t="shared" si="1"/>
        <v>-58</v>
      </c>
    </row>
    <row r="405">
      <c r="A405" s="10">
        <v>404.0</v>
      </c>
      <c r="B405" s="11" t="s">
        <v>3250</v>
      </c>
      <c r="C405" s="10" t="s">
        <v>79</v>
      </c>
      <c r="D405" s="10" t="s">
        <v>122</v>
      </c>
      <c r="E405" s="13">
        <f>IFERROR(__xludf.DUMMYFUNCTION("ifna(filter('Yahoo ADP'!$A$2:$A2766,'Yahoo ADP'!$B$2:$B2766=$B405,$C405='Yahoo ADP'!$C$2:$C2766,$D405='Yahoo ADP'!$D$2:$D2766))"),234.7)</f>
        <v>234.7</v>
      </c>
      <c r="F405" s="13">
        <f>IFERROR(__xludf.DUMMYFUNCTION("ifna(filter('Yahoo ADP'!$E$2:$E2766,'Yahoo ADP'!$B$2:$B2766=$B405,$C405='Yahoo ADP'!$C$2:$C2766,$D405='Yahoo ADP'!$D$2:$D2766))"),1.1)</f>
        <v>1.1</v>
      </c>
      <c r="G405" s="27">
        <v>367.0</v>
      </c>
      <c r="H405" s="8">
        <f t="shared" si="1"/>
        <v>-37</v>
      </c>
    </row>
    <row r="406">
      <c r="A406" s="10">
        <v>405.0</v>
      </c>
      <c r="B406" s="11" t="s">
        <v>3251</v>
      </c>
      <c r="C406" s="10" t="s">
        <v>79</v>
      </c>
      <c r="D406" s="10" t="s">
        <v>95</v>
      </c>
      <c r="E406" s="13">
        <f>IFERROR(__xludf.DUMMYFUNCTION("ifna(filter('Yahoo ADP'!$A$2:$A2766,'Yahoo ADP'!$B$2:$B2766=$B406,$C406='Yahoo ADP'!$C$2:$C2766,$D406='Yahoo ADP'!$D$2:$D2766))"),239.9)</f>
        <v>239.9</v>
      </c>
      <c r="F406" s="13">
        <f>IFERROR(__xludf.DUMMYFUNCTION("ifna(filter('Yahoo ADP'!$E$2:$E2766,'Yahoo ADP'!$B$2:$B2766=$B406,$C406='Yahoo ADP'!$C$2:$C2766,$D406='Yahoo ADP'!$D$2:$D2766))"),1.7)</f>
        <v>1.7</v>
      </c>
      <c r="G406" s="27">
        <v>368.0</v>
      </c>
      <c r="H406" s="8">
        <f t="shared" si="1"/>
        <v>-37</v>
      </c>
    </row>
    <row r="407">
      <c r="A407" s="10">
        <v>406.0</v>
      </c>
      <c r="B407" s="11" t="s">
        <v>3252</v>
      </c>
      <c r="C407" s="10" t="s">
        <v>79</v>
      </c>
      <c r="D407" s="10" t="s">
        <v>122</v>
      </c>
      <c r="E407" s="13" t="str">
        <f>IFERROR(__xludf.DUMMYFUNCTION("ifna(filter('Yahoo ADP'!$A$2:$A2766,'Yahoo ADP'!$B$2:$B2766=$B407,$C407='Yahoo ADP'!$C$2:$C2766,$D407='Yahoo ADP'!$D$2:$D2766))"),"")</f>
        <v/>
      </c>
      <c r="F407" s="13" t="str">
        <f>IFERROR(__xludf.DUMMYFUNCTION("ifna(filter('Yahoo ADP'!$E$2:$E2766,'Yahoo ADP'!$B$2:$B2766=$B407,$C407='Yahoo ADP'!$C$2:$C2766,$D407='Yahoo ADP'!$D$2:$D2766))"),"-")</f>
        <v>-</v>
      </c>
      <c r="G407" s="27">
        <v>370.0</v>
      </c>
      <c r="H407" s="8">
        <f t="shared" si="1"/>
        <v>-36</v>
      </c>
    </row>
    <row r="408">
      <c r="A408" s="10">
        <v>407.0</v>
      </c>
      <c r="B408" s="11" t="s">
        <v>3253</v>
      </c>
      <c r="C408" s="10" t="s">
        <v>79</v>
      </c>
      <c r="D408" s="10" t="s">
        <v>46</v>
      </c>
      <c r="E408" s="13">
        <f>IFERROR(__xludf.DUMMYFUNCTION("ifna(filter('Yahoo ADP'!$A$2:$A2766,'Yahoo ADP'!$B$2:$B2766=$B408,$C408='Yahoo ADP'!$C$2:$C2766,$D408='Yahoo ADP'!$D$2:$D2766))"),233.4)</f>
        <v>233.4</v>
      </c>
      <c r="F408" s="13">
        <f>IFERROR(__xludf.DUMMYFUNCTION("ifna(filter('Yahoo ADP'!$E$2:$E2766,'Yahoo ADP'!$B$2:$B2766=$B408,$C408='Yahoo ADP'!$C$2:$C2766,$D408='Yahoo ADP'!$D$2:$D2766))"),1.2)</f>
        <v>1.2</v>
      </c>
      <c r="G408" s="27">
        <v>371.0</v>
      </c>
      <c r="H408" s="8">
        <f t="shared" si="1"/>
        <v>-36</v>
      </c>
    </row>
    <row r="409">
      <c r="A409" s="10">
        <v>408.0</v>
      </c>
      <c r="B409" s="11" t="s">
        <v>3254</v>
      </c>
      <c r="C409" s="10" t="s">
        <v>79</v>
      </c>
      <c r="D409" s="10" t="s">
        <v>25</v>
      </c>
      <c r="E409" s="13" t="str">
        <f>IFERROR(__xludf.DUMMYFUNCTION("ifna(filter('Yahoo ADP'!$A$2:$A2766,'Yahoo ADP'!$B$2:$B2766=$B409,$C409='Yahoo ADP'!$C$2:$C2766,$D409='Yahoo ADP'!$D$2:$D2766))"),"")</f>
        <v/>
      </c>
      <c r="F409" s="13" t="str">
        <f>IFERROR(__xludf.DUMMYFUNCTION("ifna(filter('Yahoo ADP'!$E$2:$E2766,'Yahoo ADP'!$B$2:$B2766=$B409,$C409='Yahoo ADP'!$C$2:$C2766,$D409='Yahoo ADP'!$D$2:$D2766))"),"-")</f>
        <v>-</v>
      </c>
      <c r="G409" s="27">
        <v>373.0</v>
      </c>
      <c r="H409" s="8">
        <f t="shared" si="1"/>
        <v>-35</v>
      </c>
    </row>
    <row r="410">
      <c r="A410" s="10">
        <v>409.0</v>
      </c>
      <c r="B410" s="11" t="s">
        <v>3255</v>
      </c>
      <c r="C410" s="10" t="s">
        <v>79</v>
      </c>
      <c r="D410" s="10" t="s">
        <v>113</v>
      </c>
      <c r="E410" s="13">
        <f>IFERROR(__xludf.DUMMYFUNCTION("ifna(filter('Yahoo ADP'!$A$2:$A2766,'Yahoo ADP'!$B$2:$B2766=$B410,$C410='Yahoo ADP'!$C$2:$C2766,$D410='Yahoo ADP'!$D$2:$D2766))"),234.0)</f>
        <v>234</v>
      </c>
      <c r="F410" s="13">
        <f>IFERROR(__xludf.DUMMYFUNCTION("ifna(filter('Yahoo ADP'!$E$2:$E2766,'Yahoo ADP'!$B$2:$B2766=$B410,$C410='Yahoo ADP'!$C$2:$C2766,$D410='Yahoo ADP'!$D$2:$D2766))"),1.0)</f>
        <v>1</v>
      </c>
      <c r="G410" s="27">
        <v>375.0</v>
      </c>
      <c r="H410" s="8">
        <f t="shared" si="1"/>
        <v>-34</v>
      </c>
    </row>
    <row r="411">
      <c r="A411" s="10">
        <v>410.0</v>
      </c>
      <c r="B411" s="11" t="s">
        <v>3256</v>
      </c>
      <c r="C411" s="10" t="s">
        <v>220</v>
      </c>
      <c r="D411" s="10" t="s">
        <v>52</v>
      </c>
      <c r="E411" s="13" t="str">
        <f>IFERROR(__xludf.DUMMYFUNCTION("ifna(filter('Yahoo ADP'!$A$2:$A2766,'Yahoo ADP'!$B$2:$B2766=$B411,$C411='Yahoo ADP'!$C$2:$C2766,$D411='Yahoo ADP'!$D$2:$D2766))"),"")</f>
        <v/>
      </c>
      <c r="F411" s="13" t="str">
        <f>IFERROR(__xludf.DUMMYFUNCTION("ifna(filter('Yahoo ADP'!$E$2:$E2766,'Yahoo ADP'!$B$2:$B2766=$B411,$C411='Yahoo ADP'!$C$2:$C2766,$D411='Yahoo ADP'!$D$2:$D2766))"),"-")</f>
        <v>-</v>
      </c>
      <c r="G411" s="27">
        <v>376.0</v>
      </c>
      <c r="H411" s="8">
        <f t="shared" si="1"/>
        <v>-34</v>
      </c>
    </row>
    <row r="412">
      <c r="A412" s="10">
        <v>411.0</v>
      </c>
      <c r="B412" s="11" t="s">
        <v>3257</v>
      </c>
      <c r="C412" s="10" t="s">
        <v>79</v>
      </c>
      <c r="D412" s="10" t="s">
        <v>67</v>
      </c>
      <c r="E412" s="13">
        <f>IFERROR(__xludf.DUMMYFUNCTION("ifna(filter('Yahoo ADP'!$A$2:$A2766,'Yahoo ADP'!$B$2:$B2766=$B412,$C412='Yahoo ADP'!$C$2:$C2766,$D412='Yahoo ADP'!$D$2:$D2766))"),244.2)</f>
        <v>244.2</v>
      </c>
      <c r="F412" s="13">
        <f>IFERROR(__xludf.DUMMYFUNCTION("ifna(filter('Yahoo ADP'!$E$2:$E2766,'Yahoo ADP'!$B$2:$B2766=$B412,$C412='Yahoo ADP'!$C$2:$C2766,$D412='Yahoo ADP'!$D$2:$D2766))"),1.1)</f>
        <v>1.1</v>
      </c>
      <c r="G412" s="27">
        <v>377.0</v>
      </c>
      <c r="H412" s="8">
        <f t="shared" si="1"/>
        <v>-34</v>
      </c>
    </row>
    <row r="413">
      <c r="A413" s="10">
        <v>412.0</v>
      </c>
      <c r="B413" s="11" t="s">
        <v>3258</v>
      </c>
      <c r="C413" s="10" t="s">
        <v>79</v>
      </c>
      <c r="D413" s="10" t="s">
        <v>15</v>
      </c>
      <c r="E413" s="13" t="str">
        <f>IFERROR(__xludf.DUMMYFUNCTION("ifna(filter('Yahoo ADP'!$A$2:$A2766,'Yahoo ADP'!$B$2:$B2766=$B413,$C413='Yahoo ADP'!$C$2:$C2766,$D413='Yahoo ADP'!$D$2:$D2766))"),"")</f>
        <v/>
      </c>
      <c r="F413" s="13" t="str">
        <f>IFERROR(__xludf.DUMMYFUNCTION("ifna(filter('Yahoo ADP'!$E$2:$E2766,'Yahoo ADP'!$B$2:$B2766=$B413,$C413='Yahoo ADP'!$C$2:$C2766,$D413='Yahoo ADP'!$D$2:$D2766))"),"-")</f>
        <v>-</v>
      </c>
      <c r="G413" s="27">
        <v>379.0</v>
      </c>
      <c r="H413" s="8">
        <f t="shared" si="1"/>
        <v>-33</v>
      </c>
    </row>
    <row r="414">
      <c r="A414" s="10">
        <v>413.0</v>
      </c>
      <c r="B414" s="11" t="s">
        <v>3259</v>
      </c>
      <c r="C414" s="10" t="s">
        <v>79</v>
      </c>
      <c r="D414" s="10" t="s">
        <v>140</v>
      </c>
      <c r="E414" s="13">
        <f>IFERROR(__xludf.DUMMYFUNCTION("ifna(filter('Yahoo ADP'!$A$2:$A2766,'Yahoo ADP'!$B$2:$B2766=$B414,$C414='Yahoo ADP'!$C$2:$C2766,$D414='Yahoo ADP'!$D$2:$D2766))"),238.4)</f>
        <v>238.4</v>
      </c>
      <c r="F414" s="13">
        <f>IFERROR(__xludf.DUMMYFUNCTION("ifna(filter('Yahoo ADP'!$E$2:$E2766,'Yahoo ADP'!$B$2:$B2766=$B414,$C414='Yahoo ADP'!$C$2:$C2766,$D414='Yahoo ADP'!$D$2:$D2766))"),1.0)</f>
        <v>1</v>
      </c>
      <c r="G414" s="27">
        <v>380.0</v>
      </c>
      <c r="H414" s="8">
        <f t="shared" si="1"/>
        <v>-33</v>
      </c>
    </row>
    <row r="415">
      <c r="A415" s="10">
        <v>414.0</v>
      </c>
      <c r="B415" s="11" t="s">
        <v>3260</v>
      </c>
      <c r="C415" s="10" t="s">
        <v>79</v>
      </c>
      <c r="D415" s="10" t="s">
        <v>9</v>
      </c>
      <c r="E415" s="13" t="str">
        <f>IFERROR(__xludf.DUMMYFUNCTION("ifna(filter('Yahoo ADP'!$A$2:$A2766,'Yahoo ADP'!$B$2:$B2766=$B415,$C415='Yahoo ADP'!$C$2:$C2766,$D415='Yahoo ADP'!$D$2:$D2766))"),"")</f>
        <v/>
      </c>
      <c r="F415" s="13" t="str">
        <f>IFERROR(__xludf.DUMMYFUNCTION("ifna(filter('Yahoo ADP'!$E$2:$E2766,'Yahoo ADP'!$B$2:$B2766=$B415,$C415='Yahoo ADP'!$C$2:$C2766,$D415='Yahoo ADP'!$D$2:$D2766))"),"-")</f>
        <v>-</v>
      </c>
      <c r="G415" s="27">
        <v>381.0</v>
      </c>
      <c r="H415" s="8">
        <f t="shared" si="1"/>
        <v>-33</v>
      </c>
    </row>
    <row r="416">
      <c r="A416" s="10">
        <v>415.0</v>
      </c>
      <c r="B416" s="11" t="s">
        <v>3261</v>
      </c>
      <c r="C416" s="10" t="s">
        <v>79</v>
      </c>
      <c r="D416" s="10" t="s">
        <v>99</v>
      </c>
      <c r="E416" s="13" t="str">
        <f>IFERROR(__xludf.DUMMYFUNCTION("ifna(filter('Yahoo ADP'!$A$2:$A2766,'Yahoo ADP'!$B$2:$B2766=$B416,$C416='Yahoo ADP'!$C$2:$C2766,$D416='Yahoo ADP'!$D$2:$D2766))"),"")</f>
        <v/>
      </c>
      <c r="F416" s="13" t="str">
        <f>IFERROR(__xludf.DUMMYFUNCTION("ifna(filter('Yahoo ADP'!$E$2:$E2766,'Yahoo ADP'!$B$2:$B2766=$B416,$C416='Yahoo ADP'!$C$2:$C2766,$D416='Yahoo ADP'!$D$2:$D2766))"),"-")</f>
        <v>-</v>
      </c>
      <c r="G416" s="27">
        <v>382.0</v>
      </c>
      <c r="H416" s="8">
        <f t="shared" si="1"/>
        <v>-33</v>
      </c>
    </row>
    <row r="417">
      <c r="A417" s="10">
        <v>416.0</v>
      </c>
      <c r="B417" s="11" t="s">
        <v>3262</v>
      </c>
      <c r="C417" s="10" t="s">
        <v>79</v>
      </c>
      <c r="D417" s="10" t="s">
        <v>25</v>
      </c>
      <c r="E417" s="13" t="str">
        <f>IFERROR(__xludf.DUMMYFUNCTION("ifna(filter('Yahoo ADP'!$A$2:$A2766,'Yahoo ADP'!$B$2:$B2766=$B417,$C417='Yahoo ADP'!$C$2:$C2766,$D417='Yahoo ADP'!$D$2:$D2766))"),"")</f>
        <v/>
      </c>
      <c r="F417" s="13" t="str">
        <f>IFERROR(__xludf.DUMMYFUNCTION("ifna(filter('Yahoo ADP'!$E$2:$E2766,'Yahoo ADP'!$B$2:$B2766=$B417,$C417='Yahoo ADP'!$C$2:$C2766,$D417='Yahoo ADP'!$D$2:$D2766))"),"-")</f>
        <v>-</v>
      </c>
      <c r="G417" s="27">
        <v>383.0</v>
      </c>
      <c r="H417" s="8">
        <f t="shared" si="1"/>
        <v>-33</v>
      </c>
    </row>
    <row r="418">
      <c r="A418" s="10">
        <v>417.0</v>
      </c>
      <c r="B418" s="11" t="s">
        <v>3263</v>
      </c>
      <c r="C418" s="10" t="s">
        <v>79</v>
      </c>
      <c r="D418" s="10" t="s">
        <v>120</v>
      </c>
      <c r="E418" s="13" t="str">
        <f>IFERROR(__xludf.DUMMYFUNCTION("ifna(filter('Yahoo ADP'!$A$2:$A2766,'Yahoo ADP'!$B$2:$B2766=$B418,$C418='Yahoo ADP'!$C$2:$C2766,$D418='Yahoo ADP'!$D$2:$D2766))"),"")</f>
        <v/>
      </c>
      <c r="F418" s="13" t="str">
        <f>IFERROR(__xludf.DUMMYFUNCTION("ifna(filter('Yahoo ADP'!$E$2:$E2766,'Yahoo ADP'!$B$2:$B2766=$B418,$C418='Yahoo ADP'!$C$2:$C2766,$D418='Yahoo ADP'!$D$2:$D2766))"),"-")</f>
        <v>-</v>
      </c>
      <c r="G418" s="27">
        <v>386.0</v>
      </c>
      <c r="H418" s="8">
        <f t="shared" si="1"/>
        <v>-31</v>
      </c>
    </row>
    <row r="419">
      <c r="A419" s="10">
        <v>418.0</v>
      </c>
      <c r="B419" s="11" t="s">
        <v>3264</v>
      </c>
      <c r="C419" s="10" t="s">
        <v>79</v>
      </c>
      <c r="D419" s="10" t="s">
        <v>36</v>
      </c>
      <c r="E419" s="13" t="str">
        <f>IFERROR(__xludf.DUMMYFUNCTION("ifna(filter('Yahoo ADP'!$A$2:$A2766,'Yahoo ADP'!$B$2:$B2766=$B419,$C419='Yahoo ADP'!$C$2:$C2766,$D419='Yahoo ADP'!$D$2:$D2766))"),"")</f>
        <v/>
      </c>
      <c r="F419" s="13" t="str">
        <f>IFERROR(__xludf.DUMMYFUNCTION("ifna(filter('Yahoo ADP'!$E$2:$E2766,'Yahoo ADP'!$B$2:$B2766=$B419,$C419='Yahoo ADP'!$C$2:$C2766,$D419='Yahoo ADP'!$D$2:$D2766))"),"-")</f>
        <v>-</v>
      </c>
      <c r="G419" s="27">
        <v>388.0</v>
      </c>
      <c r="H419" s="8">
        <f t="shared" si="1"/>
        <v>-30</v>
      </c>
    </row>
    <row r="420">
      <c r="A420" s="10">
        <v>419.0</v>
      </c>
      <c r="B420" s="11" t="s">
        <v>3265</v>
      </c>
      <c r="C420" s="10" t="s">
        <v>79</v>
      </c>
      <c r="D420" s="10" t="s">
        <v>122</v>
      </c>
      <c r="E420" s="13" t="str">
        <f>IFERROR(__xludf.DUMMYFUNCTION("ifna(filter('Yahoo ADP'!$A$2:$A2766,'Yahoo ADP'!$B$2:$B2766=$B420,$C420='Yahoo ADP'!$C$2:$C2766,$D420='Yahoo ADP'!$D$2:$D2766))"),"")</f>
        <v/>
      </c>
      <c r="F420" s="13" t="str">
        <f>IFERROR(__xludf.DUMMYFUNCTION("ifna(filter('Yahoo ADP'!$E$2:$E2766,'Yahoo ADP'!$B$2:$B2766=$B420,$C420='Yahoo ADP'!$C$2:$C2766,$D420='Yahoo ADP'!$D$2:$D2766))"),"-")</f>
        <v>-</v>
      </c>
      <c r="G420" s="27">
        <v>389.0</v>
      </c>
      <c r="H420" s="8">
        <f t="shared" si="1"/>
        <v>-30</v>
      </c>
    </row>
    <row r="421">
      <c r="A421" s="10">
        <v>420.0</v>
      </c>
      <c r="B421" s="11" t="s">
        <v>3266</v>
      </c>
      <c r="C421" s="10" t="s">
        <v>79</v>
      </c>
      <c r="D421" s="10" t="s">
        <v>90</v>
      </c>
      <c r="E421" s="13" t="str">
        <f>IFERROR(__xludf.DUMMYFUNCTION("ifna(filter('Yahoo ADP'!$A$2:$A2766,'Yahoo ADP'!$B$2:$B2766=$B421,$C421='Yahoo ADP'!$C$2:$C2766,$D421='Yahoo ADP'!$D$2:$D2766))"),"")</f>
        <v/>
      </c>
      <c r="F421" s="13" t="str">
        <f>IFERROR(__xludf.DUMMYFUNCTION("ifna(filter('Yahoo ADP'!$E$2:$E2766,'Yahoo ADP'!$B$2:$B2766=$B421,$C421='Yahoo ADP'!$C$2:$C2766,$D421='Yahoo ADP'!$D$2:$D2766))"),"-")</f>
        <v>-</v>
      </c>
      <c r="G421" s="27">
        <v>390.0</v>
      </c>
      <c r="H421" s="8">
        <f t="shared" si="1"/>
        <v>-30</v>
      </c>
    </row>
    <row r="422">
      <c r="A422" s="10">
        <v>421.0</v>
      </c>
      <c r="B422" s="11" t="s">
        <v>3267</v>
      </c>
      <c r="C422" s="10" t="s">
        <v>79</v>
      </c>
      <c r="D422" s="10" t="s">
        <v>129</v>
      </c>
      <c r="E422" s="13" t="str">
        <f>IFERROR(__xludf.DUMMYFUNCTION("ifna(filter('Yahoo ADP'!$A$2:$A2766,'Yahoo ADP'!$B$2:$B2766=$B422,$C422='Yahoo ADP'!$C$2:$C2766,$D422='Yahoo ADP'!$D$2:$D2766))"),"")</f>
        <v/>
      </c>
      <c r="F422" s="13" t="str">
        <f>IFERROR(__xludf.DUMMYFUNCTION("ifna(filter('Yahoo ADP'!$E$2:$E2766,'Yahoo ADP'!$B$2:$B2766=$B422,$C422='Yahoo ADP'!$C$2:$C2766,$D422='Yahoo ADP'!$D$2:$D2766))"),"-")</f>
        <v>-</v>
      </c>
      <c r="G422" s="27">
        <v>391.0</v>
      </c>
      <c r="H422" s="8">
        <f t="shared" si="1"/>
        <v>-30</v>
      </c>
    </row>
    <row r="423">
      <c r="A423" s="10">
        <v>422.0</v>
      </c>
      <c r="B423" s="11" t="s">
        <v>3268</v>
      </c>
      <c r="C423" s="10" t="s">
        <v>79</v>
      </c>
      <c r="D423" s="10" t="s">
        <v>137</v>
      </c>
      <c r="E423" s="13" t="str">
        <f>IFERROR(__xludf.DUMMYFUNCTION("ifna(filter('Yahoo ADP'!$A$2:$A2766,'Yahoo ADP'!$B$2:$B2766=$B423,$C423='Yahoo ADP'!$C$2:$C2766,$D423='Yahoo ADP'!$D$2:$D2766))"),"")</f>
        <v/>
      </c>
      <c r="F423" s="13" t="str">
        <f>IFERROR(__xludf.DUMMYFUNCTION("ifna(filter('Yahoo ADP'!$E$2:$E2766,'Yahoo ADP'!$B$2:$B2766=$B423,$C423='Yahoo ADP'!$C$2:$C2766,$D423='Yahoo ADP'!$D$2:$D2766))"),"-")</f>
        <v>-</v>
      </c>
      <c r="G423" s="27">
        <v>393.0</v>
      </c>
      <c r="H423" s="8">
        <f t="shared" si="1"/>
        <v>-29</v>
      </c>
    </row>
    <row r="424">
      <c r="A424" s="10">
        <v>423.0</v>
      </c>
      <c r="B424" s="11" t="s">
        <v>3269</v>
      </c>
      <c r="C424" s="10" t="s">
        <v>220</v>
      </c>
      <c r="D424" s="10" t="s">
        <v>82</v>
      </c>
      <c r="E424" s="13" t="str">
        <f>IFERROR(__xludf.DUMMYFUNCTION("ifna(filter('Yahoo ADP'!$A$2:$A2766,'Yahoo ADP'!$B$2:$B2766=$B424,$C424='Yahoo ADP'!$C$2:$C2766,$D424='Yahoo ADP'!$D$2:$D2766))"),"")</f>
        <v/>
      </c>
      <c r="F424" s="13" t="str">
        <f>IFERROR(__xludf.DUMMYFUNCTION("ifna(filter('Yahoo ADP'!$E$2:$E2766,'Yahoo ADP'!$B$2:$B2766=$B424,$C424='Yahoo ADP'!$C$2:$C2766,$D424='Yahoo ADP'!$D$2:$D2766))"),"-")</f>
        <v>-</v>
      </c>
      <c r="G424" s="27">
        <v>394.0</v>
      </c>
      <c r="H424" s="8">
        <f t="shared" si="1"/>
        <v>-29</v>
      </c>
    </row>
    <row r="425">
      <c r="A425" s="10">
        <v>424.0</v>
      </c>
      <c r="B425" s="11" t="s">
        <v>3270</v>
      </c>
      <c r="C425" s="10" t="s">
        <v>79</v>
      </c>
      <c r="D425" s="10" t="s">
        <v>23</v>
      </c>
      <c r="E425" s="13" t="str">
        <f>IFERROR(__xludf.DUMMYFUNCTION("ifna(filter('Yahoo ADP'!$A$2:$A2766,'Yahoo ADP'!$B$2:$B2766=$B425,$C425='Yahoo ADP'!$C$2:$C2766,$D425='Yahoo ADP'!$D$2:$D2766))"),"")</f>
        <v/>
      </c>
      <c r="F425" s="13" t="str">
        <f>IFERROR(__xludf.DUMMYFUNCTION("ifna(filter('Yahoo ADP'!$E$2:$E2766,'Yahoo ADP'!$B$2:$B2766=$B425,$C425='Yahoo ADP'!$C$2:$C2766,$D425='Yahoo ADP'!$D$2:$D2766))"),"-")</f>
        <v>-</v>
      </c>
      <c r="G425" s="27">
        <v>395.0</v>
      </c>
      <c r="H425" s="8">
        <f t="shared" si="1"/>
        <v>-29</v>
      </c>
    </row>
    <row r="426">
      <c r="A426" s="10">
        <v>425.0</v>
      </c>
      <c r="B426" s="11" t="s">
        <v>3271</v>
      </c>
      <c r="C426" s="10" t="s">
        <v>22</v>
      </c>
      <c r="D426" s="10" t="s">
        <v>99</v>
      </c>
      <c r="E426" s="13" t="str">
        <f>IFERROR(__xludf.DUMMYFUNCTION("ifna(filter('Yahoo ADP'!$A$2:$A2766,'Yahoo ADP'!$B$2:$B2766=$B426,$C426='Yahoo ADP'!$C$2:$C2766,$D426='Yahoo ADP'!$D$2:$D2766))"),"")</f>
        <v/>
      </c>
      <c r="F426" s="13" t="str">
        <f>IFERROR(__xludf.DUMMYFUNCTION("ifna(filter('Yahoo ADP'!$E$2:$E2766,'Yahoo ADP'!$B$2:$B2766=$B426,$C426='Yahoo ADP'!$C$2:$C2766,$D426='Yahoo ADP'!$D$2:$D2766))"),"-")</f>
        <v>-</v>
      </c>
      <c r="G426" s="27">
        <v>396.0</v>
      </c>
      <c r="H426" s="8">
        <f t="shared" si="1"/>
        <v>-29</v>
      </c>
    </row>
    <row r="427">
      <c r="A427" s="10">
        <v>426.0</v>
      </c>
      <c r="B427" s="11" t="s">
        <v>3272</v>
      </c>
      <c r="C427" s="10" t="s">
        <v>79</v>
      </c>
      <c r="D427" s="10" t="s">
        <v>95</v>
      </c>
      <c r="E427" s="13" t="str">
        <f>IFERROR(__xludf.DUMMYFUNCTION("ifna(filter('Yahoo ADP'!$A$2:$A2766,'Yahoo ADP'!$B$2:$B2766=$B427,$C427='Yahoo ADP'!$C$2:$C2766,$D427='Yahoo ADP'!$D$2:$D2766))"),"")</f>
        <v/>
      </c>
      <c r="F427" s="13" t="str">
        <f>IFERROR(__xludf.DUMMYFUNCTION("ifna(filter('Yahoo ADP'!$E$2:$E2766,'Yahoo ADP'!$B$2:$B2766=$B427,$C427='Yahoo ADP'!$C$2:$C2766,$D427='Yahoo ADP'!$D$2:$D2766))"),"-")</f>
        <v>-</v>
      </c>
      <c r="G427" s="27">
        <v>398.0</v>
      </c>
      <c r="H427" s="8">
        <f t="shared" si="1"/>
        <v>-28</v>
      </c>
    </row>
    <row r="428">
      <c r="A428" s="10">
        <v>427.0</v>
      </c>
      <c r="B428" s="11" t="s">
        <v>3273</v>
      </c>
      <c r="C428" s="10" t="s">
        <v>79</v>
      </c>
      <c r="D428" s="10" t="s">
        <v>23</v>
      </c>
      <c r="E428" s="13" t="str">
        <f>IFERROR(__xludf.DUMMYFUNCTION("ifna(filter('Yahoo ADP'!$A$2:$A2766,'Yahoo ADP'!$B$2:$B2766=$B428,$C428='Yahoo ADP'!$C$2:$C2766,$D428='Yahoo ADP'!$D$2:$D2766))"),"")</f>
        <v/>
      </c>
      <c r="F428" s="13" t="str">
        <f>IFERROR(__xludf.DUMMYFUNCTION("ifna(filter('Yahoo ADP'!$E$2:$E2766,'Yahoo ADP'!$B$2:$B2766=$B428,$C428='Yahoo ADP'!$C$2:$C2766,$D428='Yahoo ADP'!$D$2:$D2766))"),"-")</f>
        <v>-</v>
      </c>
      <c r="G428" s="27">
        <v>400.0</v>
      </c>
      <c r="H428" s="8">
        <f t="shared" si="1"/>
        <v>-27</v>
      </c>
    </row>
    <row r="429">
      <c r="A429" s="10">
        <v>428.0</v>
      </c>
      <c r="B429" s="11" t="s">
        <v>3274</v>
      </c>
      <c r="C429" s="10" t="s">
        <v>79</v>
      </c>
      <c r="D429" s="10" t="s">
        <v>34</v>
      </c>
      <c r="E429" s="13" t="str">
        <f>IFERROR(__xludf.DUMMYFUNCTION("ifna(filter('Yahoo ADP'!$A$2:$A2766,'Yahoo ADP'!$B$2:$B2766=$B429,$C429='Yahoo ADP'!$C$2:$C2766,$D429='Yahoo ADP'!$D$2:$D2766))"),"")</f>
        <v/>
      </c>
      <c r="F429" s="13" t="str">
        <f>IFERROR(__xludf.DUMMYFUNCTION("ifna(filter('Yahoo ADP'!$E$2:$E2766,'Yahoo ADP'!$B$2:$B2766=$B429,$C429='Yahoo ADP'!$C$2:$C2766,$D429='Yahoo ADP'!$D$2:$D2766))"),"-")</f>
        <v>-</v>
      </c>
      <c r="G429" s="27">
        <v>402.0</v>
      </c>
      <c r="H429" s="8">
        <f t="shared" si="1"/>
        <v>-26</v>
      </c>
    </row>
    <row r="430">
      <c r="A430" s="10">
        <v>429.0</v>
      </c>
      <c r="B430" s="11" t="s">
        <v>3275</v>
      </c>
      <c r="C430" s="10" t="s">
        <v>220</v>
      </c>
      <c r="D430" s="10" t="s">
        <v>122</v>
      </c>
      <c r="E430" s="13" t="str">
        <f>IFERROR(__xludf.DUMMYFUNCTION("ifna(filter('Yahoo ADP'!$A$2:$A2766,'Yahoo ADP'!$B$2:$B2766=$B430,$C430='Yahoo ADP'!$C$2:$C2766,$D430='Yahoo ADP'!$D$2:$D2766))"),"")</f>
        <v/>
      </c>
      <c r="F430" s="13" t="str">
        <f>IFERROR(__xludf.DUMMYFUNCTION("ifna(filter('Yahoo ADP'!$E$2:$E2766,'Yahoo ADP'!$B$2:$B2766=$B430,$C430='Yahoo ADP'!$C$2:$C2766,$D430='Yahoo ADP'!$D$2:$D2766))"),"-")</f>
        <v>-</v>
      </c>
      <c r="G430" s="27">
        <v>403.0</v>
      </c>
      <c r="H430" s="8">
        <f t="shared" si="1"/>
        <v>-26</v>
      </c>
    </row>
    <row r="431">
      <c r="A431" s="10">
        <v>430.0</v>
      </c>
      <c r="B431" s="11" t="s">
        <v>3276</v>
      </c>
      <c r="C431" s="10" t="s">
        <v>79</v>
      </c>
      <c r="D431" s="10" t="s">
        <v>15</v>
      </c>
      <c r="E431" s="13" t="str">
        <f>IFERROR(__xludf.DUMMYFUNCTION("ifna(filter('Yahoo ADP'!$A$2:$A2766,'Yahoo ADP'!$B$2:$B2766=$B431,$C431='Yahoo ADP'!$C$2:$C2766,$D431='Yahoo ADP'!$D$2:$D2766))"),"")</f>
        <v/>
      </c>
      <c r="F431" s="13" t="str">
        <f>IFERROR(__xludf.DUMMYFUNCTION("ifna(filter('Yahoo ADP'!$E$2:$E2766,'Yahoo ADP'!$B$2:$B2766=$B431,$C431='Yahoo ADP'!$C$2:$C2766,$D431='Yahoo ADP'!$D$2:$D2766))"),"-")</f>
        <v>-</v>
      </c>
      <c r="G431" s="27">
        <v>404.0</v>
      </c>
      <c r="H431" s="8">
        <f t="shared" si="1"/>
        <v>-26</v>
      </c>
    </row>
    <row r="432">
      <c r="A432" s="10">
        <v>431.0</v>
      </c>
      <c r="B432" s="11" t="s">
        <v>3277</v>
      </c>
      <c r="C432" s="10" t="s">
        <v>79</v>
      </c>
      <c r="D432" s="10" t="s">
        <v>129</v>
      </c>
      <c r="E432" s="13" t="str">
        <f>IFERROR(__xludf.DUMMYFUNCTION("ifna(filter('Yahoo ADP'!$A$2:$A2766,'Yahoo ADP'!$B$2:$B2766=$B432,$C432='Yahoo ADP'!$C$2:$C2766,$D432='Yahoo ADP'!$D$2:$D2766))"),"")</f>
        <v/>
      </c>
      <c r="F432" s="13" t="str">
        <f>IFERROR(__xludf.DUMMYFUNCTION("ifna(filter('Yahoo ADP'!$E$2:$E2766,'Yahoo ADP'!$B$2:$B2766=$B432,$C432='Yahoo ADP'!$C$2:$C2766,$D432='Yahoo ADP'!$D$2:$D2766))"),"-")</f>
        <v>-</v>
      </c>
      <c r="G432" s="27">
        <v>405.0</v>
      </c>
      <c r="H432" s="8">
        <f t="shared" si="1"/>
        <v>-26</v>
      </c>
    </row>
    <row r="433">
      <c r="A433" s="10">
        <v>432.0</v>
      </c>
      <c r="B433" s="11" t="s">
        <v>3278</v>
      </c>
      <c r="C433" s="10" t="s">
        <v>79</v>
      </c>
      <c r="D433" s="10" t="s">
        <v>34</v>
      </c>
      <c r="E433" s="13" t="str">
        <f>IFERROR(__xludf.DUMMYFUNCTION("ifna(filter('Yahoo ADP'!$A$2:$A2766,'Yahoo ADP'!$B$2:$B2766=$B433,$C433='Yahoo ADP'!$C$2:$C2766,$D433='Yahoo ADP'!$D$2:$D2766))"),"")</f>
        <v/>
      </c>
      <c r="F433" s="13" t="str">
        <f>IFERROR(__xludf.DUMMYFUNCTION("ifna(filter('Yahoo ADP'!$E$2:$E2766,'Yahoo ADP'!$B$2:$B2766=$B433,$C433='Yahoo ADP'!$C$2:$C2766,$D433='Yahoo ADP'!$D$2:$D2766))"),"-")</f>
        <v>-</v>
      </c>
      <c r="G433" s="27">
        <v>406.0</v>
      </c>
      <c r="H433" s="8">
        <f t="shared" si="1"/>
        <v>-26</v>
      </c>
    </row>
    <row r="434">
      <c r="A434" s="10">
        <v>433.0</v>
      </c>
      <c r="B434" s="11" t="s">
        <v>3279</v>
      </c>
      <c r="C434" s="10" t="s">
        <v>79</v>
      </c>
      <c r="D434" s="10" t="s">
        <v>122</v>
      </c>
      <c r="E434" s="13" t="str">
        <f>IFERROR(__xludf.DUMMYFUNCTION("ifna(filter('Yahoo ADP'!$A$2:$A2766,'Yahoo ADP'!$B$2:$B2766=$B434,$C434='Yahoo ADP'!$C$2:$C2766,$D434='Yahoo ADP'!$D$2:$D2766))"),"")</f>
        <v/>
      </c>
      <c r="F434" s="13" t="str">
        <f>IFERROR(__xludf.DUMMYFUNCTION("ifna(filter('Yahoo ADP'!$E$2:$E2766,'Yahoo ADP'!$B$2:$B2766=$B434,$C434='Yahoo ADP'!$C$2:$C2766,$D434='Yahoo ADP'!$D$2:$D2766))"),"-")</f>
        <v>-</v>
      </c>
      <c r="G434" s="27">
        <v>407.0</v>
      </c>
      <c r="H434" s="8">
        <f t="shared" si="1"/>
        <v>-26</v>
      </c>
    </row>
    <row r="435">
      <c r="A435" s="10">
        <v>434.0</v>
      </c>
      <c r="B435" s="11" t="s">
        <v>3280</v>
      </c>
      <c r="C435" s="10" t="s">
        <v>79</v>
      </c>
      <c r="D435" s="10" t="s">
        <v>15</v>
      </c>
      <c r="E435" s="13" t="str">
        <f>IFERROR(__xludf.DUMMYFUNCTION("ifna(filter('Yahoo ADP'!$A$2:$A2766,'Yahoo ADP'!$B$2:$B2766=$B435,$C435='Yahoo ADP'!$C$2:$C2766,$D435='Yahoo ADP'!$D$2:$D2766))"),"")</f>
        <v/>
      </c>
      <c r="F435" s="13" t="str">
        <f>IFERROR(__xludf.DUMMYFUNCTION("ifna(filter('Yahoo ADP'!$E$2:$E2766,'Yahoo ADP'!$B$2:$B2766=$B435,$C435='Yahoo ADP'!$C$2:$C2766,$D435='Yahoo ADP'!$D$2:$D2766))"),"-")</f>
        <v>-</v>
      </c>
      <c r="G435" s="27">
        <v>408.0</v>
      </c>
      <c r="H435" s="8">
        <f t="shared" si="1"/>
        <v>-26</v>
      </c>
    </row>
    <row r="436">
      <c r="A436" s="10">
        <v>435.0</v>
      </c>
      <c r="B436" s="11" t="s">
        <v>3281</v>
      </c>
      <c r="C436" s="10" t="s">
        <v>79</v>
      </c>
      <c r="D436" s="10" t="s">
        <v>15</v>
      </c>
      <c r="E436" s="13" t="str">
        <f>IFERROR(__xludf.DUMMYFUNCTION("ifna(filter('Yahoo ADP'!$A$2:$A2766,'Yahoo ADP'!$B$2:$B2766=$B436,$C436='Yahoo ADP'!$C$2:$C2766,$D436='Yahoo ADP'!$D$2:$D2766))"),"")</f>
        <v/>
      </c>
      <c r="F436" s="13" t="str">
        <f>IFERROR(__xludf.DUMMYFUNCTION("ifna(filter('Yahoo ADP'!$E$2:$E2766,'Yahoo ADP'!$B$2:$B2766=$B436,$C436='Yahoo ADP'!$C$2:$C2766,$D436='Yahoo ADP'!$D$2:$D2766))"),"-")</f>
        <v>-</v>
      </c>
      <c r="G436" s="27">
        <v>409.0</v>
      </c>
      <c r="H436" s="8">
        <f t="shared" si="1"/>
        <v>-26</v>
      </c>
    </row>
    <row r="437">
      <c r="A437" s="10">
        <v>436.0</v>
      </c>
      <c r="B437" s="11" t="s">
        <v>3282</v>
      </c>
      <c r="C437" s="10" t="s">
        <v>22</v>
      </c>
      <c r="D437" s="10" t="s">
        <v>113</v>
      </c>
      <c r="E437" s="13" t="str">
        <f>IFERROR(__xludf.DUMMYFUNCTION("ifna(filter('Yahoo ADP'!$A$2:$A2766,'Yahoo ADP'!$B$2:$B2766=$B437,$C437='Yahoo ADP'!$C$2:$C2766,$D437='Yahoo ADP'!$D$2:$D2766))"),"")</f>
        <v/>
      </c>
      <c r="F437" s="13" t="str">
        <f>IFERROR(__xludf.DUMMYFUNCTION("ifna(filter('Yahoo ADP'!$E$2:$E2766,'Yahoo ADP'!$B$2:$B2766=$B437,$C437='Yahoo ADP'!$C$2:$C2766,$D437='Yahoo ADP'!$D$2:$D2766))"),"-")</f>
        <v>-</v>
      </c>
      <c r="G437" s="27">
        <v>411.0</v>
      </c>
      <c r="H437" s="8">
        <f t="shared" si="1"/>
        <v>-25</v>
      </c>
    </row>
    <row r="438">
      <c r="A438" s="10">
        <v>437.0</v>
      </c>
      <c r="B438" s="11" t="s">
        <v>3283</v>
      </c>
      <c r="C438" s="10" t="s">
        <v>8</v>
      </c>
      <c r="D438" s="10" t="s">
        <v>105</v>
      </c>
      <c r="E438" s="13" t="str">
        <f>IFERROR(__xludf.DUMMYFUNCTION("ifna(filter('Yahoo ADP'!$A$2:$A2766,'Yahoo ADP'!$B$2:$B2766=$B438,$C438='Yahoo ADP'!$C$2:$C2766,$D438='Yahoo ADP'!$D$2:$D2766))"),"")</f>
        <v/>
      </c>
      <c r="F438" s="13" t="str">
        <f>IFERROR(__xludf.DUMMYFUNCTION("ifna(filter('Yahoo ADP'!$E$2:$E2766,'Yahoo ADP'!$B$2:$B2766=$B438,$C438='Yahoo ADP'!$C$2:$C2766,$D438='Yahoo ADP'!$D$2:$D2766))"),"-")</f>
        <v>-</v>
      </c>
      <c r="G438" s="27">
        <v>413.0</v>
      </c>
      <c r="H438" s="8">
        <f t="shared" si="1"/>
        <v>-24</v>
      </c>
    </row>
    <row r="439">
      <c r="A439" s="10">
        <v>438.0</v>
      </c>
      <c r="B439" s="11" t="s">
        <v>3284</v>
      </c>
      <c r="C439" s="10" t="s">
        <v>79</v>
      </c>
      <c r="D439" s="10" t="s">
        <v>85</v>
      </c>
      <c r="E439" s="13" t="str">
        <f>IFERROR(__xludf.DUMMYFUNCTION("ifna(filter('Yahoo ADP'!$A$2:$A2766,'Yahoo ADP'!$B$2:$B2766=$B439,$C439='Yahoo ADP'!$C$2:$C2766,$D439='Yahoo ADP'!$D$2:$D2766))"),"")</f>
        <v/>
      </c>
      <c r="F439" s="13" t="str">
        <f>IFERROR(__xludf.DUMMYFUNCTION("ifna(filter('Yahoo ADP'!$E$2:$E2766,'Yahoo ADP'!$B$2:$B2766=$B439,$C439='Yahoo ADP'!$C$2:$C2766,$D439='Yahoo ADP'!$D$2:$D2766))"),"-")</f>
        <v>-</v>
      </c>
      <c r="G439" s="27">
        <v>414.0</v>
      </c>
      <c r="H439" s="8">
        <f t="shared" si="1"/>
        <v>-24</v>
      </c>
    </row>
    <row r="440">
      <c r="A440" s="10">
        <v>439.0</v>
      </c>
      <c r="B440" s="11" t="s">
        <v>3285</v>
      </c>
      <c r="C440" s="10" t="s">
        <v>22</v>
      </c>
      <c r="D440" s="10" t="s">
        <v>42</v>
      </c>
      <c r="E440" s="13">
        <f>IFERROR(__xludf.DUMMYFUNCTION("ifna(filter('Yahoo ADP'!$A$2:$A2766,'Yahoo ADP'!$B$2:$B2766=$B440,$C440='Yahoo ADP'!$C$2:$C2766,$D440='Yahoo ADP'!$D$2:$D2766))"),235.0)</f>
        <v>235</v>
      </c>
      <c r="F440" s="13">
        <f>IFERROR(__xludf.DUMMYFUNCTION("ifna(filter('Yahoo ADP'!$E$2:$E2766,'Yahoo ADP'!$B$2:$B2766=$B440,$C440='Yahoo ADP'!$C$2:$C2766,$D440='Yahoo ADP'!$D$2:$D2766))"),1.3)</f>
        <v>1.3</v>
      </c>
      <c r="G440" s="27">
        <v>415.0</v>
      </c>
      <c r="H440" s="8">
        <f t="shared" si="1"/>
        <v>-24</v>
      </c>
    </row>
    <row r="441">
      <c r="A441" s="10">
        <v>440.0</v>
      </c>
      <c r="B441" s="11" t="s">
        <v>3286</v>
      </c>
      <c r="C441" s="10" t="s">
        <v>79</v>
      </c>
      <c r="D441" s="10" t="s">
        <v>99</v>
      </c>
      <c r="E441" s="13" t="str">
        <f>IFERROR(__xludf.DUMMYFUNCTION("ifna(filter('Yahoo ADP'!$A$2:$A2766,'Yahoo ADP'!$B$2:$B2766=$B441,$C441='Yahoo ADP'!$C$2:$C2766,$D441='Yahoo ADP'!$D$2:$D2766))"),"")</f>
        <v/>
      </c>
      <c r="F441" s="13" t="str">
        <f>IFERROR(__xludf.DUMMYFUNCTION("ifna(filter('Yahoo ADP'!$E$2:$E2766,'Yahoo ADP'!$B$2:$B2766=$B441,$C441='Yahoo ADP'!$C$2:$C2766,$D441='Yahoo ADP'!$D$2:$D2766))"),"-")</f>
        <v>-</v>
      </c>
      <c r="G441" s="27">
        <v>416.0</v>
      </c>
      <c r="H441" s="8">
        <f t="shared" si="1"/>
        <v>-24</v>
      </c>
    </row>
    <row r="442">
      <c r="A442" s="10">
        <v>441.0</v>
      </c>
      <c r="B442" s="11" t="s">
        <v>3287</v>
      </c>
      <c r="C442" s="10" t="s">
        <v>79</v>
      </c>
      <c r="D442" s="10" t="s">
        <v>42</v>
      </c>
      <c r="E442" s="13" t="str">
        <f>IFERROR(__xludf.DUMMYFUNCTION("ifna(filter('Yahoo ADP'!$A$2:$A2766,'Yahoo ADP'!$B$2:$B2766=$B442,$C442='Yahoo ADP'!$C$2:$C2766,$D442='Yahoo ADP'!$D$2:$D2766))"),"")</f>
        <v/>
      </c>
      <c r="F442" s="13" t="str">
        <f>IFERROR(__xludf.DUMMYFUNCTION("ifna(filter('Yahoo ADP'!$E$2:$E2766,'Yahoo ADP'!$B$2:$B2766=$B442,$C442='Yahoo ADP'!$C$2:$C2766,$D442='Yahoo ADP'!$D$2:$D2766))"),"-")</f>
        <v>-</v>
      </c>
      <c r="G442" s="27">
        <v>418.0</v>
      </c>
      <c r="H442" s="8">
        <f t="shared" si="1"/>
        <v>-23</v>
      </c>
    </row>
    <row r="443">
      <c r="A443" s="10">
        <v>442.0</v>
      </c>
      <c r="B443" s="11" t="s">
        <v>3288</v>
      </c>
      <c r="C443" s="10" t="s">
        <v>20</v>
      </c>
      <c r="D443" s="10" t="s">
        <v>113</v>
      </c>
      <c r="E443" s="13">
        <f>IFERROR(__xludf.DUMMYFUNCTION("ifna(filter('Yahoo ADP'!$A$2:$A2766,'Yahoo ADP'!$B$2:$B2766=$B443,$C443='Yahoo ADP'!$C$2:$C2766,$D443='Yahoo ADP'!$D$2:$D2766))"),230.3)</f>
        <v>230.3</v>
      </c>
      <c r="F443" s="13">
        <f>IFERROR(__xludf.DUMMYFUNCTION("ifna(filter('Yahoo ADP'!$E$2:$E2766,'Yahoo ADP'!$B$2:$B2766=$B443,$C443='Yahoo ADP'!$C$2:$C2766,$D443='Yahoo ADP'!$D$2:$D2766))"),1.4)</f>
        <v>1.4</v>
      </c>
      <c r="G443" s="27">
        <v>419.0</v>
      </c>
      <c r="H443" s="8">
        <f t="shared" si="1"/>
        <v>-23</v>
      </c>
    </row>
    <row r="444">
      <c r="A444" s="10">
        <v>443.0</v>
      </c>
      <c r="B444" s="11" t="s">
        <v>3289</v>
      </c>
      <c r="C444" s="10" t="s">
        <v>79</v>
      </c>
      <c r="D444" s="10" t="s">
        <v>99</v>
      </c>
      <c r="E444" s="13" t="str">
        <f>IFERROR(__xludf.DUMMYFUNCTION("ifna(filter('Yahoo ADP'!$A$2:$A2766,'Yahoo ADP'!$B$2:$B2766=$B444,$C444='Yahoo ADP'!$C$2:$C2766,$D444='Yahoo ADP'!$D$2:$D2766))"),"")</f>
        <v/>
      </c>
      <c r="F444" s="13" t="str">
        <f>IFERROR(__xludf.DUMMYFUNCTION("ifna(filter('Yahoo ADP'!$E$2:$E2766,'Yahoo ADP'!$B$2:$B2766=$B444,$C444='Yahoo ADP'!$C$2:$C2766,$D444='Yahoo ADP'!$D$2:$D2766))"),"-")</f>
        <v>-</v>
      </c>
      <c r="G444" s="27">
        <v>420.0</v>
      </c>
      <c r="H444" s="8">
        <f t="shared" si="1"/>
        <v>-23</v>
      </c>
    </row>
    <row r="445">
      <c r="A445" s="10">
        <v>444.0</v>
      </c>
      <c r="B445" s="11" t="s">
        <v>3290</v>
      </c>
      <c r="C445" s="10" t="s">
        <v>79</v>
      </c>
      <c r="D445" s="10" t="s">
        <v>90</v>
      </c>
      <c r="E445" s="13" t="str">
        <f>IFERROR(__xludf.DUMMYFUNCTION("ifna(filter('Yahoo ADP'!$A$2:$A2766,'Yahoo ADP'!$B$2:$B2766=$B445,$C445='Yahoo ADP'!$C$2:$C2766,$D445='Yahoo ADP'!$D$2:$D2766))"),"")</f>
        <v/>
      </c>
      <c r="F445" s="13" t="str">
        <f>IFERROR(__xludf.DUMMYFUNCTION("ifna(filter('Yahoo ADP'!$E$2:$E2766,'Yahoo ADP'!$B$2:$B2766=$B445,$C445='Yahoo ADP'!$C$2:$C2766,$D445='Yahoo ADP'!$D$2:$D2766))"),"-")</f>
        <v>-</v>
      </c>
      <c r="G445" s="27">
        <v>421.0</v>
      </c>
      <c r="H445" s="8">
        <f t="shared" si="1"/>
        <v>-23</v>
      </c>
    </row>
    <row r="446">
      <c r="A446" s="10">
        <v>445.0</v>
      </c>
      <c r="B446" s="11" t="s">
        <v>3291</v>
      </c>
      <c r="C446" s="10" t="s">
        <v>79</v>
      </c>
      <c r="D446" s="10" t="s">
        <v>46</v>
      </c>
      <c r="E446" s="13" t="str">
        <f>IFERROR(__xludf.DUMMYFUNCTION("ifna(filter('Yahoo ADP'!$A$2:$A2766,'Yahoo ADP'!$B$2:$B2766=$B446,$C446='Yahoo ADP'!$C$2:$C2766,$D446='Yahoo ADP'!$D$2:$D2766))"),"")</f>
        <v/>
      </c>
      <c r="F446" s="13" t="str">
        <f>IFERROR(__xludf.DUMMYFUNCTION("ifna(filter('Yahoo ADP'!$E$2:$E2766,'Yahoo ADP'!$B$2:$B2766=$B446,$C446='Yahoo ADP'!$C$2:$C2766,$D446='Yahoo ADP'!$D$2:$D2766))"),"-")</f>
        <v>-</v>
      </c>
      <c r="G446" s="27">
        <v>422.0</v>
      </c>
      <c r="H446" s="8">
        <f t="shared" si="1"/>
        <v>-23</v>
      </c>
    </row>
    <row r="447">
      <c r="A447" s="10">
        <v>446.0</v>
      </c>
      <c r="B447" s="11" t="s">
        <v>3292</v>
      </c>
      <c r="C447" s="10" t="s">
        <v>79</v>
      </c>
      <c r="D447" s="10" t="s">
        <v>31</v>
      </c>
      <c r="E447" s="13" t="str">
        <f>IFERROR(__xludf.DUMMYFUNCTION("ifna(filter('Yahoo ADP'!$A$2:$A2766,'Yahoo ADP'!$B$2:$B2766=$B447,$C447='Yahoo ADP'!$C$2:$C2766,$D447='Yahoo ADP'!$D$2:$D2766))"),"")</f>
        <v/>
      </c>
      <c r="F447" s="13" t="str">
        <f>IFERROR(__xludf.DUMMYFUNCTION("ifna(filter('Yahoo ADP'!$E$2:$E2766,'Yahoo ADP'!$B$2:$B2766=$B447,$C447='Yahoo ADP'!$C$2:$C2766,$D447='Yahoo ADP'!$D$2:$D2766))"),"-")</f>
        <v>-</v>
      </c>
      <c r="G447" s="27">
        <v>423.0</v>
      </c>
      <c r="H447" s="8">
        <f t="shared" si="1"/>
        <v>-23</v>
      </c>
    </row>
    <row r="448">
      <c r="A448" s="10">
        <v>447.0</v>
      </c>
      <c r="B448" s="11" t="s">
        <v>3293</v>
      </c>
      <c r="C448" s="10" t="s">
        <v>79</v>
      </c>
      <c r="D448" s="10" t="s">
        <v>49</v>
      </c>
      <c r="E448" s="13">
        <f>IFERROR(__xludf.DUMMYFUNCTION("ifna(filter('Yahoo ADP'!$A$2:$A2766,'Yahoo ADP'!$B$2:$B2766=$B448,$C448='Yahoo ADP'!$C$2:$C2766,$D448='Yahoo ADP'!$D$2:$D2766))"),234.0)</f>
        <v>234</v>
      </c>
      <c r="F448" s="13">
        <f>IFERROR(__xludf.DUMMYFUNCTION("ifna(filter('Yahoo ADP'!$E$2:$E2766,'Yahoo ADP'!$B$2:$B2766=$B448,$C448='Yahoo ADP'!$C$2:$C2766,$D448='Yahoo ADP'!$D$2:$D2766))"),1.1)</f>
        <v>1.1</v>
      </c>
      <c r="G448" s="27">
        <v>424.0</v>
      </c>
      <c r="H448" s="8">
        <f t="shared" si="1"/>
        <v>-23</v>
      </c>
    </row>
    <row r="449">
      <c r="A449" s="10">
        <v>448.0</v>
      </c>
      <c r="B449" s="11" t="s">
        <v>3294</v>
      </c>
      <c r="C449" s="10" t="s">
        <v>79</v>
      </c>
      <c r="D449" s="10" t="s">
        <v>206</v>
      </c>
      <c r="E449" s="13" t="str">
        <f>IFERROR(__xludf.DUMMYFUNCTION("ifna(filter('Yahoo ADP'!$A$2:$A2766,'Yahoo ADP'!$B$2:$B2766=$B449,$C449='Yahoo ADP'!$C$2:$C2766,$D449='Yahoo ADP'!$D$2:$D2766))"),"")</f>
        <v/>
      </c>
      <c r="F449" s="13" t="str">
        <f>IFERROR(__xludf.DUMMYFUNCTION("ifna(filter('Yahoo ADP'!$E$2:$E2766,'Yahoo ADP'!$B$2:$B2766=$B449,$C449='Yahoo ADP'!$C$2:$C2766,$D449='Yahoo ADP'!$D$2:$D2766))"),"-")</f>
        <v>-</v>
      </c>
      <c r="G449" s="27">
        <v>425.0</v>
      </c>
      <c r="H449" s="8">
        <f t="shared" si="1"/>
        <v>-23</v>
      </c>
    </row>
    <row r="450">
      <c r="A450" s="10">
        <v>449.0</v>
      </c>
      <c r="B450" s="11" t="s">
        <v>3295</v>
      </c>
      <c r="C450" s="10" t="s">
        <v>79</v>
      </c>
      <c r="D450" s="10" t="s">
        <v>9</v>
      </c>
      <c r="E450" s="13" t="str">
        <f>IFERROR(__xludf.DUMMYFUNCTION("ifna(filter('Yahoo ADP'!$A$2:$A2766,'Yahoo ADP'!$B$2:$B2766=$B450,$C450='Yahoo ADP'!$C$2:$C2766,$D450='Yahoo ADP'!$D$2:$D2766))"),"")</f>
        <v/>
      </c>
      <c r="F450" s="13" t="str">
        <f>IFERROR(__xludf.DUMMYFUNCTION("ifna(filter('Yahoo ADP'!$E$2:$E2766,'Yahoo ADP'!$B$2:$B2766=$B450,$C450='Yahoo ADP'!$C$2:$C2766,$D450='Yahoo ADP'!$D$2:$D2766))"),"-")</f>
        <v>-</v>
      </c>
      <c r="G450" s="27">
        <v>426.0</v>
      </c>
      <c r="H450" s="8">
        <f t="shared" si="1"/>
        <v>-23</v>
      </c>
    </row>
    <row r="451">
      <c r="A451" s="10">
        <v>450.0</v>
      </c>
      <c r="B451" s="11" t="s">
        <v>3296</v>
      </c>
      <c r="C451" s="10" t="s">
        <v>79</v>
      </c>
      <c r="D451" s="10" t="s">
        <v>105</v>
      </c>
      <c r="E451" s="13" t="str">
        <f>IFERROR(__xludf.DUMMYFUNCTION("ifna(filter('Yahoo ADP'!$A$2:$A2766,'Yahoo ADP'!$B$2:$B2766=$B451,$C451='Yahoo ADP'!$C$2:$C2766,$D451='Yahoo ADP'!$D$2:$D2766))"),"")</f>
        <v/>
      </c>
      <c r="F451" s="13" t="str">
        <f>IFERROR(__xludf.DUMMYFUNCTION("ifna(filter('Yahoo ADP'!$E$2:$E2766,'Yahoo ADP'!$B$2:$B2766=$B451,$C451='Yahoo ADP'!$C$2:$C2766,$D451='Yahoo ADP'!$D$2:$D2766))"),"-")</f>
        <v>-</v>
      </c>
      <c r="G451" s="27">
        <v>427.0</v>
      </c>
      <c r="H451" s="8">
        <f t="shared" si="1"/>
        <v>-23</v>
      </c>
    </row>
    <row r="452">
      <c r="A452" s="10">
        <v>451.0</v>
      </c>
      <c r="B452" s="11" t="s">
        <v>3297</v>
      </c>
      <c r="C452" s="10" t="s">
        <v>22</v>
      </c>
      <c r="D452" s="10" t="s">
        <v>9</v>
      </c>
      <c r="E452" s="13">
        <f>IFERROR(__xludf.DUMMYFUNCTION("ifna(filter('Yahoo ADP'!$A$2:$A2766,'Yahoo ADP'!$B$2:$B2766=$B452,$C452='Yahoo ADP'!$C$2:$C2766,$D452='Yahoo ADP'!$D$2:$D2766))"),250.4)</f>
        <v>250.4</v>
      </c>
      <c r="F452" s="13">
        <f>IFERROR(__xludf.DUMMYFUNCTION("ifna(filter('Yahoo ADP'!$E$2:$E2766,'Yahoo ADP'!$B$2:$B2766=$B452,$C452='Yahoo ADP'!$C$2:$C2766,$D452='Yahoo ADP'!$D$2:$D2766))"),1.0)</f>
        <v>1</v>
      </c>
      <c r="G452" s="27">
        <v>292.0</v>
      </c>
      <c r="H452" s="8">
        <f t="shared" si="1"/>
        <v>-159</v>
      </c>
    </row>
    <row r="453">
      <c r="A453" s="10">
        <v>452.0</v>
      </c>
      <c r="B453" s="11" t="s">
        <v>3298</v>
      </c>
      <c r="C453" s="10" t="s">
        <v>79</v>
      </c>
      <c r="D453" s="10" t="s">
        <v>73</v>
      </c>
      <c r="E453" s="13" t="str">
        <f>IFERROR(__xludf.DUMMYFUNCTION("ifna(filter('Yahoo ADP'!$A$2:$A2766,'Yahoo ADP'!$B$2:$B2766=$B453,$C453='Yahoo ADP'!$C$2:$C2766,$D453='Yahoo ADP'!$D$2:$D2766))"),"")</f>
        <v/>
      </c>
      <c r="F453" s="13" t="str">
        <f>IFERROR(__xludf.DUMMYFUNCTION("ifna(filter('Yahoo ADP'!$E$2:$E2766,'Yahoo ADP'!$B$2:$B2766=$B453,$C453='Yahoo ADP'!$C$2:$C2766,$D453='Yahoo ADP'!$D$2:$D2766))"),"-")</f>
        <v>-</v>
      </c>
      <c r="G453" s="27">
        <v>428.0</v>
      </c>
      <c r="H453" s="8">
        <f t="shared" si="1"/>
        <v>-24</v>
      </c>
    </row>
    <row r="454">
      <c r="A454" s="10">
        <v>453.0</v>
      </c>
      <c r="B454" s="11" t="s">
        <v>3299</v>
      </c>
      <c r="C454" s="10" t="s">
        <v>79</v>
      </c>
      <c r="D454" s="10" t="s">
        <v>82</v>
      </c>
      <c r="E454" s="13" t="str">
        <f>IFERROR(__xludf.DUMMYFUNCTION("ifna(filter('Yahoo ADP'!$A$2:$A2766,'Yahoo ADP'!$B$2:$B2766=$B454,$C454='Yahoo ADP'!$C$2:$C2766,$D454='Yahoo ADP'!$D$2:$D2766))"),"")</f>
        <v/>
      </c>
      <c r="F454" s="13" t="str">
        <f>IFERROR(__xludf.DUMMYFUNCTION("ifna(filter('Yahoo ADP'!$E$2:$E2766,'Yahoo ADP'!$B$2:$B2766=$B454,$C454='Yahoo ADP'!$C$2:$C2766,$D454='Yahoo ADP'!$D$2:$D2766))"),"-")</f>
        <v>-</v>
      </c>
      <c r="G454" s="27">
        <v>429.0</v>
      </c>
      <c r="H454" s="8">
        <f t="shared" si="1"/>
        <v>-24</v>
      </c>
    </row>
    <row r="455">
      <c r="A455" s="10">
        <v>454.0</v>
      </c>
      <c r="B455" s="11" t="s">
        <v>3300</v>
      </c>
      <c r="C455" s="10" t="s">
        <v>220</v>
      </c>
      <c r="D455" s="10" t="s">
        <v>25</v>
      </c>
      <c r="E455" s="13" t="str">
        <f>IFERROR(__xludf.DUMMYFUNCTION("ifna(filter('Yahoo ADP'!$A$2:$A2766,'Yahoo ADP'!$B$2:$B2766=$B455,$C455='Yahoo ADP'!$C$2:$C2766,$D455='Yahoo ADP'!$D$2:$D2766))"),"")</f>
        <v/>
      </c>
      <c r="F455" s="13" t="str">
        <f>IFERROR(__xludf.DUMMYFUNCTION("ifna(filter('Yahoo ADP'!$E$2:$E2766,'Yahoo ADP'!$B$2:$B2766=$B455,$C455='Yahoo ADP'!$C$2:$C2766,$D455='Yahoo ADP'!$D$2:$D2766))"),"-")</f>
        <v>-</v>
      </c>
      <c r="G455" s="27">
        <v>430.0</v>
      </c>
      <c r="H455" s="8">
        <f t="shared" si="1"/>
        <v>-24</v>
      </c>
    </row>
    <row r="456">
      <c r="A456" s="10">
        <v>455.0</v>
      </c>
      <c r="B456" s="11" t="s">
        <v>3301</v>
      </c>
      <c r="C456" s="10" t="s">
        <v>79</v>
      </c>
      <c r="D456" s="10" t="s">
        <v>129</v>
      </c>
      <c r="E456" s="13" t="str">
        <f>IFERROR(__xludf.DUMMYFUNCTION("ifna(filter('Yahoo ADP'!$A$2:$A2766,'Yahoo ADP'!$B$2:$B2766=$B456,$C456='Yahoo ADP'!$C$2:$C2766,$D456='Yahoo ADP'!$D$2:$D2766))"),"")</f>
        <v/>
      </c>
      <c r="F456" s="13" t="str">
        <f>IFERROR(__xludf.DUMMYFUNCTION("ifna(filter('Yahoo ADP'!$E$2:$E2766,'Yahoo ADP'!$B$2:$B2766=$B456,$C456='Yahoo ADP'!$C$2:$C2766,$D456='Yahoo ADP'!$D$2:$D2766))"),"-")</f>
        <v>-</v>
      </c>
      <c r="G456" s="27">
        <v>431.0</v>
      </c>
      <c r="H456" s="8">
        <f t="shared" si="1"/>
        <v>-24</v>
      </c>
    </row>
    <row r="457">
      <c r="A457" s="10">
        <v>456.0</v>
      </c>
      <c r="B457" s="11" t="s">
        <v>3302</v>
      </c>
      <c r="C457" s="10" t="s">
        <v>79</v>
      </c>
      <c r="D457" s="10" t="s">
        <v>46</v>
      </c>
      <c r="E457" s="13" t="str">
        <f>IFERROR(__xludf.DUMMYFUNCTION("ifna(filter('Yahoo ADP'!$A$2:$A2766,'Yahoo ADP'!$B$2:$B2766=$B457,$C457='Yahoo ADP'!$C$2:$C2766,$D457='Yahoo ADP'!$D$2:$D2766))"),"")</f>
        <v/>
      </c>
      <c r="F457" s="13" t="str">
        <f>IFERROR(__xludf.DUMMYFUNCTION("ifna(filter('Yahoo ADP'!$E$2:$E2766,'Yahoo ADP'!$B$2:$B2766=$B457,$C457='Yahoo ADP'!$C$2:$C2766,$D457='Yahoo ADP'!$D$2:$D2766))"),"-")</f>
        <v>-</v>
      </c>
      <c r="G457" s="27">
        <v>432.0</v>
      </c>
      <c r="H457" s="8">
        <f t="shared" si="1"/>
        <v>-24</v>
      </c>
    </row>
    <row r="458">
      <c r="A458" s="10">
        <v>457.0</v>
      </c>
      <c r="B458" s="11" t="s">
        <v>3303</v>
      </c>
      <c r="C458" s="10" t="s">
        <v>22</v>
      </c>
      <c r="D458" s="10" t="s">
        <v>9</v>
      </c>
      <c r="E458" s="13" t="str">
        <f>IFERROR(__xludf.DUMMYFUNCTION("ifna(filter('Yahoo ADP'!$A$2:$A2766,'Yahoo ADP'!$B$2:$B2766=$B458,$C458='Yahoo ADP'!$C$2:$C2766,$D458='Yahoo ADP'!$D$2:$D2766))"),"")</f>
        <v/>
      </c>
      <c r="F458" s="13" t="str">
        <f>IFERROR(__xludf.DUMMYFUNCTION("ifna(filter('Yahoo ADP'!$E$2:$E2766,'Yahoo ADP'!$B$2:$B2766=$B458,$C458='Yahoo ADP'!$C$2:$C2766,$D458='Yahoo ADP'!$D$2:$D2766))"),"-")</f>
        <v>-</v>
      </c>
      <c r="G458" s="27">
        <v>433.0</v>
      </c>
      <c r="H458" s="8">
        <f t="shared" si="1"/>
        <v>-24</v>
      </c>
    </row>
    <row r="459">
      <c r="A459" s="10">
        <v>458.0</v>
      </c>
      <c r="B459" s="11" t="s">
        <v>3304</v>
      </c>
      <c r="C459" s="10" t="s">
        <v>79</v>
      </c>
      <c r="D459" s="10" t="s">
        <v>52</v>
      </c>
      <c r="E459" s="13">
        <f>IFERROR(__xludf.DUMMYFUNCTION("ifna(filter('Yahoo ADP'!$A$2:$A2766,'Yahoo ADP'!$B$2:$B2766=$B459,$C459='Yahoo ADP'!$C$2:$C2766,$D459='Yahoo ADP'!$D$2:$D2766))"),251.7)</f>
        <v>251.7</v>
      </c>
      <c r="F459" s="13">
        <f>IFERROR(__xludf.DUMMYFUNCTION("ifna(filter('Yahoo ADP'!$E$2:$E2766,'Yahoo ADP'!$B$2:$B2766=$B459,$C459='Yahoo ADP'!$C$2:$C2766,$D459='Yahoo ADP'!$D$2:$D2766))"),2.4)</f>
        <v>2.4</v>
      </c>
      <c r="G459" s="27">
        <v>434.0</v>
      </c>
      <c r="H459" s="8">
        <f t="shared" si="1"/>
        <v>-24</v>
      </c>
    </row>
    <row r="460">
      <c r="A460" s="10">
        <v>459.0</v>
      </c>
      <c r="B460" s="11" t="s">
        <v>3305</v>
      </c>
      <c r="C460" s="10" t="s">
        <v>79</v>
      </c>
      <c r="D460" s="10" t="s">
        <v>34</v>
      </c>
      <c r="E460" s="13" t="str">
        <f>IFERROR(__xludf.DUMMYFUNCTION("ifna(filter('Yahoo ADP'!$A$2:$A2766,'Yahoo ADP'!$B$2:$B2766=$B460,$C460='Yahoo ADP'!$C$2:$C2766,$D460='Yahoo ADP'!$D$2:$D2766))"),"")</f>
        <v/>
      </c>
      <c r="F460" s="13" t="str">
        <f>IFERROR(__xludf.DUMMYFUNCTION("ifna(filter('Yahoo ADP'!$E$2:$E2766,'Yahoo ADP'!$B$2:$B2766=$B460,$C460='Yahoo ADP'!$C$2:$C2766,$D460='Yahoo ADP'!$D$2:$D2766))"),"-")</f>
        <v>-</v>
      </c>
      <c r="G460" s="27">
        <v>435.0</v>
      </c>
      <c r="H460" s="8">
        <f t="shared" si="1"/>
        <v>-24</v>
      </c>
    </row>
    <row r="461">
      <c r="A461" s="10">
        <v>460.0</v>
      </c>
      <c r="B461" s="11" t="s">
        <v>3306</v>
      </c>
      <c r="C461" s="10" t="s">
        <v>79</v>
      </c>
      <c r="D461" s="10" t="s">
        <v>52</v>
      </c>
      <c r="E461" s="13" t="str">
        <f>IFERROR(__xludf.DUMMYFUNCTION("ifna(filter('Yahoo ADP'!$A$2:$A2766,'Yahoo ADP'!$B$2:$B2766=$B461,$C461='Yahoo ADP'!$C$2:$C2766,$D461='Yahoo ADP'!$D$2:$D2766))"),"")</f>
        <v/>
      </c>
      <c r="F461" s="13" t="str">
        <f>IFERROR(__xludf.DUMMYFUNCTION("ifna(filter('Yahoo ADP'!$E$2:$E2766,'Yahoo ADP'!$B$2:$B2766=$B461,$C461='Yahoo ADP'!$C$2:$C2766,$D461='Yahoo ADP'!$D$2:$D2766))"),"-")</f>
        <v>-</v>
      </c>
      <c r="G461" s="27">
        <v>436.0</v>
      </c>
      <c r="H461" s="8">
        <f t="shared" si="1"/>
        <v>-24</v>
      </c>
    </row>
    <row r="462">
      <c r="A462" s="10">
        <v>461.0</v>
      </c>
      <c r="B462" s="11" t="s">
        <v>3307</v>
      </c>
      <c r="C462" s="10" t="s">
        <v>79</v>
      </c>
      <c r="D462" s="10" t="s">
        <v>52</v>
      </c>
      <c r="E462" s="13" t="str">
        <f>IFERROR(__xludf.DUMMYFUNCTION("ifna(filter('Yahoo ADP'!$A$2:$A2766,'Yahoo ADP'!$B$2:$B2766=$B462,$C462='Yahoo ADP'!$C$2:$C2766,$D462='Yahoo ADP'!$D$2:$D2766))"),"")</f>
        <v/>
      </c>
      <c r="F462" s="13" t="str">
        <f>IFERROR(__xludf.DUMMYFUNCTION("ifna(filter('Yahoo ADP'!$E$2:$E2766,'Yahoo ADP'!$B$2:$B2766=$B462,$C462='Yahoo ADP'!$C$2:$C2766,$D462='Yahoo ADP'!$D$2:$D2766))"),"-")</f>
        <v>-</v>
      </c>
      <c r="G462" s="27">
        <v>437.0</v>
      </c>
      <c r="H462" s="8">
        <f t="shared" si="1"/>
        <v>-24</v>
      </c>
    </row>
    <row r="463">
      <c r="A463" s="10">
        <v>462.0</v>
      </c>
      <c r="B463" s="11" t="s">
        <v>3308</v>
      </c>
      <c r="C463" s="10" t="s">
        <v>22</v>
      </c>
      <c r="D463" s="10" t="s">
        <v>206</v>
      </c>
      <c r="E463" s="13">
        <f>IFERROR(__xludf.DUMMYFUNCTION("ifna(filter('Yahoo ADP'!$A$2:$A2766,'Yahoo ADP'!$B$2:$B2766=$B463,$C463='Yahoo ADP'!$C$2:$C2766,$D463='Yahoo ADP'!$D$2:$D2766))"),250.2)</f>
        <v>250.2</v>
      </c>
      <c r="F463" s="13">
        <f>IFERROR(__xludf.DUMMYFUNCTION("ifna(filter('Yahoo ADP'!$E$2:$E2766,'Yahoo ADP'!$B$2:$B2766=$B463,$C463='Yahoo ADP'!$C$2:$C2766,$D463='Yahoo ADP'!$D$2:$D2766))"),1.1)</f>
        <v>1.1</v>
      </c>
      <c r="G463" s="27">
        <v>438.0</v>
      </c>
      <c r="H463" s="8">
        <f t="shared" si="1"/>
        <v>-24</v>
      </c>
    </row>
    <row r="464">
      <c r="A464" s="10">
        <v>463.0</v>
      </c>
      <c r="B464" s="11" t="s">
        <v>3309</v>
      </c>
      <c r="C464" s="10" t="s">
        <v>79</v>
      </c>
      <c r="D464" s="10" t="s">
        <v>85</v>
      </c>
      <c r="E464" s="13" t="str">
        <f>IFERROR(__xludf.DUMMYFUNCTION("ifna(filter('Yahoo ADP'!$A$2:$A2766,'Yahoo ADP'!$B$2:$B2766=$B464,$C464='Yahoo ADP'!$C$2:$C2766,$D464='Yahoo ADP'!$D$2:$D2766))"),"")</f>
        <v/>
      </c>
      <c r="F464" s="13" t="str">
        <f>IFERROR(__xludf.DUMMYFUNCTION("ifna(filter('Yahoo ADP'!$E$2:$E2766,'Yahoo ADP'!$B$2:$B2766=$B464,$C464='Yahoo ADP'!$C$2:$C2766,$D464='Yahoo ADP'!$D$2:$D2766))"),"-")</f>
        <v>-</v>
      </c>
      <c r="G464" s="27">
        <v>439.0</v>
      </c>
      <c r="H464" s="8">
        <f t="shared" si="1"/>
        <v>-24</v>
      </c>
    </row>
    <row r="465">
      <c r="A465" s="10">
        <v>464.0</v>
      </c>
      <c r="B465" s="11" t="s">
        <v>3310</v>
      </c>
      <c r="C465" s="10" t="s">
        <v>79</v>
      </c>
      <c r="D465" s="10" t="s">
        <v>90</v>
      </c>
      <c r="E465" s="13" t="str">
        <f>IFERROR(__xludf.DUMMYFUNCTION("ifna(filter('Yahoo ADP'!$A$2:$A2766,'Yahoo ADP'!$B$2:$B2766=$B465,$C465='Yahoo ADP'!$C$2:$C2766,$D465='Yahoo ADP'!$D$2:$D2766))"),"")</f>
        <v/>
      </c>
      <c r="F465" s="13" t="str">
        <f>IFERROR(__xludf.DUMMYFUNCTION("ifna(filter('Yahoo ADP'!$E$2:$E2766,'Yahoo ADP'!$B$2:$B2766=$B465,$C465='Yahoo ADP'!$C$2:$C2766,$D465='Yahoo ADP'!$D$2:$D2766))"),"-")</f>
        <v>-</v>
      </c>
      <c r="G465" s="27">
        <v>440.0</v>
      </c>
      <c r="H465" s="8">
        <f t="shared" si="1"/>
        <v>-24</v>
      </c>
    </row>
    <row r="466">
      <c r="A466" s="10">
        <v>465.0</v>
      </c>
      <c r="B466" s="11" t="s">
        <v>3311</v>
      </c>
      <c r="C466" s="10" t="s">
        <v>79</v>
      </c>
      <c r="D466" s="10" t="s">
        <v>71</v>
      </c>
      <c r="E466" s="13" t="str">
        <f>IFERROR(__xludf.DUMMYFUNCTION("ifna(filter('Yahoo ADP'!$A$2:$A2766,'Yahoo ADP'!$B$2:$B2766=$B466,$C466='Yahoo ADP'!$C$2:$C2766,$D466='Yahoo ADP'!$D$2:$D2766))"),"")</f>
        <v/>
      </c>
      <c r="F466" s="13" t="str">
        <f>IFERROR(__xludf.DUMMYFUNCTION("ifna(filter('Yahoo ADP'!$E$2:$E2766,'Yahoo ADP'!$B$2:$B2766=$B466,$C466='Yahoo ADP'!$C$2:$C2766,$D466='Yahoo ADP'!$D$2:$D2766))"),"-")</f>
        <v>-</v>
      </c>
      <c r="G466" s="27">
        <v>441.0</v>
      </c>
      <c r="H466" s="8">
        <f t="shared" si="1"/>
        <v>-24</v>
      </c>
    </row>
    <row r="467">
      <c r="A467" s="10">
        <v>466.0</v>
      </c>
      <c r="B467" s="11" t="s">
        <v>3312</v>
      </c>
      <c r="C467" s="10" t="s">
        <v>79</v>
      </c>
      <c r="D467" s="10" t="s">
        <v>206</v>
      </c>
      <c r="E467" s="13" t="str">
        <f>IFERROR(__xludf.DUMMYFUNCTION("ifna(filter('Yahoo ADP'!$A$2:$A2766,'Yahoo ADP'!$B$2:$B2766=$B467,$C467='Yahoo ADP'!$C$2:$C2766,$D467='Yahoo ADP'!$D$2:$D2766))"),"")</f>
        <v/>
      </c>
      <c r="F467" s="13" t="str">
        <f>IFERROR(__xludf.DUMMYFUNCTION("ifna(filter('Yahoo ADP'!$E$2:$E2766,'Yahoo ADP'!$B$2:$B2766=$B467,$C467='Yahoo ADP'!$C$2:$C2766,$D467='Yahoo ADP'!$D$2:$D2766))"),"-")</f>
        <v>-</v>
      </c>
      <c r="G467" s="27">
        <v>442.0</v>
      </c>
      <c r="H467" s="8">
        <f t="shared" si="1"/>
        <v>-24</v>
      </c>
    </row>
    <row r="468">
      <c r="A468" s="10">
        <v>467.0</v>
      </c>
      <c r="B468" s="11" t="s">
        <v>3313</v>
      </c>
      <c r="C468" s="10" t="s">
        <v>22</v>
      </c>
      <c r="D468" s="10" t="s">
        <v>105</v>
      </c>
      <c r="E468" s="13" t="str">
        <f>IFERROR(__xludf.DUMMYFUNCTION("ifna(filter('Yahoo ADP'!$A$2:$A2766,'Yahoo ADP'!$B$2:$B2766=$B468,$C468='Yahoo ADP'!$C$2:$C2766,$D468='Yahoo ADP'!$D$2:$D2766))"),"")</f>
        <v/>
      </c>
      <c r="F468" s="13" t="str">
        <f>IFERROR(__xludf.DUMMYFUNCTION("ifna(filter('Yahoo ADP'!$E$2:$E2766,'Yahoo ADP'!$B$2:$B2766=$B468,$C468='Yahoo ADP'!$C$2:$C2766,$D468='Yahoo ADP'!$D$2:$D2766))"),"-")</f>
        <v>-</v>
      </c>
      <c r="G468" s="27">
        <v>444.0</v>
      </c>
      <c r="H468" s="8">
        <f t="shared" si="1"/>
        <v>-23</v>
      </c>
    </row>
    <row r="469">
      <c r="A469" s="10">
        <v>468.0</v>
      </c>
      <c r="B469" s="11" t="s">
        <v>3314</v>
      </c>
      <c r="C469" s="10" t="s">
        <v>79</v>
      </c>
      <c r="D469" s="10" t="s">
        <v>113</v>
      </c>
      <c r="E469" s="13" t="str">
        <f>IFERROR(__xludf.DUMMYFUNCTION("ifna(filter('Yahoo ADP'!$A$2:$A2766,'Yahoo ADP'!$B$2:$B2766=$B469,$C469='Yahoo ADP'!$C$2:$C2766,$D469='Yahoo ADP'!$D$2:$D2766))"),"")</f>
        <v/>
      </c>
      <c r="F469" s="13" t="str">
        <f>IFERROR(__xludf.DUMMYFUNCTION("ifna(filter('Yahoo ADP'!$E$2:$E2766,'Yahoo ADP'!$B$2:$B2766=$B469,$C469='Yahoo ADP'!$C$2:$C2766,$D469='Yahoo ADP'!$D$2:$D2766))"),"-")</f>
        <v>-</v>
      </c>
      <c r="G469" s="27">
        <v>445.0</v>
      </c>
      <c r="H469" s="8">
        <f t="shared" si="1"/>
        <v>-23</v>
      </c>
    </row>
    <row r="470">
      <c r="A470" s="10">
        <v>469.0</v>
      </c>
      <c r="B470" s="11" t="s">
        <v>3315</v>
      </c>
      <c r="C470" s="10" t="s">
        <v>79</v>
      </c>
      <c r="D470" s="10" t="s">
        <v>36</v>
      </c>
      <c r="E470" s="13" t="str">
        <f>IFERROR(__xludf.DUMMYFUNCTION("ifna(filter('Yahoo ADP'!$A$2:$A2766,'Yahoo ADP'!$B$2:$B2766=$B470,$C470='Yahoo ADP'!$C$2:$C2766,$D470='Yahoo ADP'!$D$2:$D2766))"),"")</f>
        <v/>
      </c>
      <c r="F470" s="13" t="str">
        <f>IFERROR(__xludf.DUMMYFUNCTION("ifna(filter('Yahoo ADP'!$E$2:$E2766,'Yahoo ADP'!$B$2:$B2766=$B470,$C470='Yahoo ADP'!$C$2:$C2766,$D470='Yahoo ADP'!$D$2:$D2766))"),"-")</f>
        <v>-</v>
      </c>
      <c r="G470" s="27">
        <v>446.0</v>
      </c>
      <c r="H470" s="8">
        <f t="shared" si="1"/>
        <v>-23</v>
      </c>
    </row>
    <row r="471">
      <c r="A471" s="10">
        <v>470.0</v>
      </c>
      <c r="B471" s="11" t="s">
        <v>3316</v>
      </c>
      <c r="C471" s="10" t="s">
        <v>79</v>
      </c>
      <c r="D471" s="10" t="s">
        <v>31</v>
      </c>
      <c r="E471" s="13" t="str">
        <f>IFERROR(__xludf.DUMMYFUNCTION("ifna(filter('Yahoo ADP'!$A$2:$A2766,'Yahoo ADP'!$B$2:$B2766=$B471,$C471='Yahoo ADP'!$C$2:$C2766,$D471='Yahoo ADP'!$D$2:$D2766))"),"")</f>
        <v/>
      </c>
      <c r="F471" s="13" t="str">
        <f>IFERROR(__xludf.DUMMYFUNCTION("ifna(filter('Yahoo ADP'!$E$2:$E2766,'Yahoo ADP'!$B$2:$B2766=$B471,$C471='Yahoo ADP'!$C$2:$C2766,$D471='Yahoo ADP'!$D$2:$D2766))"),"-")</f>
        <v>-</v>
      </c>
      <c r="G471" s="27">
        <v>447.0</v>
      </c>
      <c r="H471" s="8">
        <f t="shared" si="1"/>
        <v>-23</v>
      </c>
    </row>
    <row r="472">
      <c r="A472" s="10">
        <v>471.0</v>
      </c>
      <c r="B472" s="11" t="s">
        <v>3317</v>
      </c>
      <c r="C472" s="10" t="s">
        <v>79</v>
      </c>
      <c r="D472" s="10" t="s">
        <v>9</v>
      </c>
      <c r="E472" s="13" t="str">
        <f>IFERROR(__xludf.DUMMYFUNCTION("ifna(filter('Yahoo ADP'!$A$2:$A2766,'Yahoo ADP'!$B$2:$B2766=$B472,$C472='Yahoo ADP'!$C$2:$C2766,$D472='Yahoo ADP'!$D$2:$D2766))"),"")</f>
        <v/>
      </c>
      <c r="F472" s="13" t="str">
        <f>IFERROR(__xludf.DUMMYFUNCTION("ifna(filter('Yahoo ADP'!$E$2:$E2766,'Yahoo ADP'!$B$2:$B2766=$B472,$C472='Yahoo ADP'!$C$2:$C2766,$D472='Yahoo ADP'!$D$2:$D2766))"),"-")</f>
        <v>-</v>
      </c>
      <c r="G472" s="27">
        <v>448.0</v>
      </c>
      <c r="H472" s="8">
        <f t="shared" si="1"/>
        <v>-23</v>
      </c>
    </row>
    <row r="473">
      <c r="A473" s="10">
        <v>472.0</v>
      </c>
      <c r="B473" s="11" t="s">
        <v>3318</v>
      </c>
      <c r="C473" s="10" t="s">
        <v>79</v>
      </c>
      <c r="D473" s="10" t="s">
        <v>46</v>
      </c>
      <c r="E473" s="13" t="str">
        <f>IFERROR(__xludf.DUMMYFUNCTION("ifna(filter('Yahoo ADP'!$A$2:$A2766,'Yahoo ADP'!$B$2:$B2766=$B473,$C473='Yahoo ADP'!$C$2:$C2766,$D473='Yahoo ADP'!$D$2:$D2766))"),"")</f>
        <v/>
      </c>
      <c r="F473" s="13" t="str">
        <f>IFERROR(__xludf.DUMMYFUNCTION("ifna(filter('Yahoo ADP'!$E$2:$E2766,'Yahoo ADP'!$B$2:$B2766=$B473,$C473='Yahoo ADP'!$C$2:$C2766,$D473='Yahoo ADP'!$D$2:$D2766))"),"-")</f>
        <v>-</v>
      </c>
      <c r="G473" s="27">
        <v>449.0</v>
      </c>
      <c r="H473" s="8">
        <f t="shared" si="1"/>
        <v>-23</v>
      </c>
    </row>
    <row r="474">
      <c r="A474" s="10">
        <v>473.0</v>
      </c>
      <c r="B474" s="11" t="s">
        <v>3319</v>
      </c>
      <c r="C474" s="10" t="s">
        <v>220</v>
      </c>
      <c r="D474" s="10" t="s">
        <v>52</v>
      </c>
      <c r="E474" s="13">
        <f>IFERROR(__xludf.DUMMYFUNCTION("ifna(filter('Yahoo ADP'!$A$2:$A2766,'Yahoo ADP'!$B$2:$B2766=$B474,$C474='Yahoo ADP'!$C$2:$C2766,$D474='Yahoo ADP'!$D$2:$D2766))"),242.7)</f>
        <v>242.7</v>
      </c>
      <c r="F474" s="13">
        <f>IFERROR(__xludf.DUMMYFUNCTION("ifna(filter('Yahoo ADP'!$E$2:$E2766,'Yahoo ADP'!$B$2:$B2766=$B474,$C474='Yahoo ADP'!$C$2:$C2766,$D474='Yahoo ADP'!$D$2:$D2766))"),1.1)</f>
        <v>1.1</v>
      </c>
      <c r="G474" s="27">
        <v>328.0</v>
      </c>
      <c r="H474" s="8">
        <f t="shared" si="1"/>
        <v>-145</v>
      </c>
    </row>
    <row r="475">
      <c r="A475" s="10">
        <v>474.0</v>
      </c>
      <c r="B475" s="11" t="s">
        <v>3320</v>
      </c>
      <c r="C475" s="10" t="s">
        <v>79</v>
      </c>
      <c r="D475" s="10" t="s">
        <v>71</v>
      </c>
      <c r="E475" s="13" t="str">
        <f>IFERROR(__xludf.DUMMYFUNCTION("ifna(filter('Yahoo ADP'!$A$2:$A2766,'Yahoo ADP'!$B$2:$B2766=$B475,$C475='Yahoo ADP'!$C$2:$C2766,$D475='Yahoo ADP'!$D$2:$D2766))"),"")</f>
        <v/>
      </c>
      <c r="F475" s="13" t="str">
        <f>IFERROR(__xludf.DUMMYFUNCTION("ifna(filter('Yahoo ADP'!$E$2:$E2766,'Yahoo ADP'!$B$2:$B2766=$B475,$C475='Yahoo ADP'!$C$2:$C2766,$D475='Yahoo ADP'!$D$2:$D2766))"),"-")</f>
        <v>-</v>
      </c>
      <c r="G475" s="27">
        <v>450.0</v>
      </c>
      <c r="H475" s="8">
        <f t="shared" si="1"/>
        <v>-24</v>
      </c>
    </row>
    <row r="476">
      <c r="A476" s="10">
        <v>475.0</v>
      </c>
      <c r="B476" s="11" t="s">
        <v>3321</v>
      </c>
      <c r="C476" s="10" t="s">
        <v>79</v>
      </c>
      <c r="D476" s="10" t="s">
        <v>140</v>
      </c>
      <c r="E476" s="13" t="str">
        <f>IFERROR(__xludf.DUMMYFUNCTION("ifna(filter('Yahoo ADP'!$A$2:$A2766,'Yahoo ADP'!$B$2:$B2766=$B476,$C476='Yahoo ADP'!$C$2:$C2766,$D476='Yahoo ADP'!$D$2:$D2766))"),"")</f>
        <v/>
      </c>
      <c r="F476" s="13" t="str">
        <f>IFERROR(__xludf.DUMMYFUNCTION("ifna(filter('Yahoo ADP'!$E$2:$E2766,'Yahoo ADP'!$B$2:$B2766=$B476,$C476='Yahoo ADP'!$C$2:$C2766,$D476='Yahoo ADP'!$D$2:$D2766))"),"-")</f>
        <v>-</v>
      </c>
      <c r="G476" s="27">
        <v>451.0</v>
      </c>
      <c r="H476" s="8">
        <f t="shared" si="1"/>
        <v>-24</v>
      </c>
    </row>
    <row r="477">
      <c r="A477" s="10">
        <v>476.0</v>
      </c>
      <c r="B477" s="11" t="s">
        <v>3322</v>
      </c>
      <c r="C477" s="10" t="s">
        <v>79</v>
      </c>
      <c r="D477" s="10" t="s">
        <v>85</v>
      </c>
      <c r="E477" s="13" t="str">
        <f>IFERROR(__xludf.DUMMYFUNCTION("ifna(filter('Yahoo ADP'!$A$2:$A2766,'Yahoo ADP'!$B$2:$B2766=$B477,$C477='Yahoo ADP'!$C$2:$C2766,$D477='Yahoo ADP'!$D$2:$D2766))"),"")</f>
        <v/>
      </c>
      <c r="F477" s="13" t="str">
        <f>IFERROR(__xludf.DUMMYFUNCTION("ifna(filter('Yahoo ADP'!$E$2:$E2766,'Yahoo ADP'!$B$2:$B2766=$B477,$C477='Yahoo ADP'!$C$2:$C2766,$D477='Yahoo ADP'!$D$2:$D2766))"),"-")</f>
        <v>-</v>
      </c>
      <c r="G477" s="27">
        <v>452.0</v>
      </c>
      <c r="H477" s="8">
        <f t="shared" si="1"/>
        <v>-24</v>
      </c>
    </row>
    <row r="478">
      <c r="A478" s="10">
        <v>477.0</v>
      </c>
      <c r="B478" s="11" t="s">
        <v>3323</v>
      </c>
      <c r="C478" s="10" t="s">
        <v>79</v>
      </c>
      <c r="D478" s="10" t="s">
        <v>9</v>
      </c>
      <c r="E478" s="13" t="str">
        <f>IFERROR(__xludf.DUMMYFUNCTION("ifna(filter('Yahoo ADP'!$A$2:$A2766,'Yahoo ADP'!$B$2:$B2766=$B478,$C478='Yahoo ADP'!$C$2:$C2766,$D478='Yahoo ADP'!$D$2:$D2766))"),"")</f>
        <v/>
      </c>
      <c r="F478" s="13" t="str">
        <f>IFERROR(__xludf.DUMMYFUNCTION("ifna(filter('Yahoo ADP'!$E$2:$E2766,'Yahoo ADP'!$B$2:$B2766=$B478,$C478='Yahoo ADP'!$C$2:$C2766,$D478='Yahoo ADP'!$D$2:$D2766))"),"-")</f>
        <v>-</v>
      </c>
      <c r="G478" s="27">
        <v>453.0</v>
      </c>
      <c r="H478" s="8">
        <f t="shared" si="1"/>
        <v>-24</v>
      </c>
    </row>
    <row r="479">
      <c r="A479" s="10">
        <v>478.0</v>
      </c>
      <c r="B479" s="11" t="s">
        <v>3324</v>
      </c>
      <c r="C479" s="10" t="s">
        <v>79</v>
      </c>
      <c r="D479" s="10" t="s">
        <v>122</v>
      </c>
      <c r="E479" s="13" t="str">
        <f>IFERROR(__xludf.DUMMYFUNCTION("ifna(filter('Yahoo ADP'!$A$2:$A2766,'Yahoo ADP'!$B$2:$B2766=$B479,$C479='Yahoo ADP'!$C$2:$C2766,$D479='Yahoo ADP'!$D$2:$D2766))"),"")</f>
        <v/>
      </c>
      <c r="F479" s="13" t="str">
        <f>IFERROR(__xludf.DUMMYFUNCTION("ifna(filter('Yahoo ADP'!$E$2:$E2766,'Yahoo ADP'!$B$2:$B2766=$B479,$C479='Yahoo ADP'!$C$2:$C2766,$D479='Yahoo ADP'!$D$2:$D2766))"),"-")</f>
        <v>-</v>
      </c>
      <c r="G479" s="27">
        <v>454.0</v>
      </c>
      <c r="H479" s="8">
        <f t="shared" si="1"/>
        <v>-24</v>
      </c>
    </row>
    <row r="480">
      <c r="A480" s="10">
        <v>479.0</v>
      </c>
      <c r="B480" s="11" t="s">
        <v>3325</v>
      </c>
      <c r="C480" s="10" t="s">
        <v>79</v>
      </c>
      <c r="D480" s="10" t="s">
        <v>129</v>
      </c>
      <c r="E480" s="13" t="str">
        <f>IFERROR(__xludf.DUMMYFUNCTION("ifna(filter('Yahoo ADP'!$A$2:$A2766,'Yahoo ADP'!$B$2:$B2766=$B480,$C480='Yahoo ADP'!$C$2:$C2766,$D480='Yahoo ADP'!$D$2:$D2766))"),"")</f>
        <v/>
      </c>
      <c r="F480" s="13" t="str">
        <f>IFERROR(__xludf.DUMMYFUNCTION("ifna(filter('Yahoo ADP'!$E$2:$E2766,'Yahoo ADP'!$B$2:$B2766=$B480,$C480='Yahoo ADP'!$C$2:$C2766,$D480='Yahoo ADP'!$D$2:$D2766))"),"-")</f>
        <v>-</v>
      </c>
      <c r="G480" s="27">
        <v>455.0</v>
      </c>
      <c r="H480" s="8">
        <f t="shared" si="1"/>
        <v>-24</v>
      </c>
    </row>
    <row r="481">
      <c r="A481" s="10">
        <v>480.0</v>
      </c>
      <c r="B481" s="11" t="s">
        <v>3326</v>
      </c>
      <c r="C481" s="10" t="s">
        <v>79</v>
      </c>
      <c r="D481" s="10" t="s">
        <v>90</v>
      </c>
      <c r="E481" s="13" t="str">
        <f>IFERROR(__xludf.DUMMYFUNCTION("ifna(filter('Yahoo ADP'!$A$2:$A2766,'Yahoo ADP'!$B$2:$B2766=$B481,$C481='Yahoo ADP'!$C$2:$C2766,$D481='Yahoo ADP'!$D$2:$D2766))"),"")</f>
        <v/>
      </c>
      <c r="F481" s="13" t="str">
        <f>IFERROR(__xludf.DUMMYFUNCTION("ifna(filter('Yahoo ADP'!$E$2:$E2766,'Yahoo ADP'!$B$2:$B2766=$B481,$C481='Yahoo ADP'!$C$2:$C2766,$D481='Yahoo ADP'!$D$2:$D2766))"),"-")</f>
        <v>-</v>
      </c>
      <c r="G481" s="27">
        <v>456.0</v>
      </c>
      <c r="H481" s="8">
        <f t="shared" si="1"/>
        <v>-24</v>
      </c>
    </row>
    <row r="482">
      <c r="A482" s="10">
        <v>481.0</v>
      </c>
      <c r="B482" s="11" t="s">
        <v>3327</v>
      </c>
      <c r="C482" s="10" t="s">
        <v>79</v>
      </c>
      <c r="D482" s="10" t="s">
        <v>36</v>
      </c>
      <c r="E482" s="13" t="str">
        <f>IFERROR(__xludf.DUMMYFUNCTION("ifna(filter('Yahoo ADP'!$A$2:$A2766,'Yahoo ADP'!$B$2:$B2766=$B482,$C482='Yahoo ADP'!$C$2:$C2766,$D482='Yahoo ADP'!$D$2:$D2766))"),"")</f>
        <v/>
      </c>
      <c r="F482" s="13" t="str">
        <f>IFERROR(__xludf.DUMMYFUNCTION("ifna(filter('Yahoo ADP'!$E$2:$E2766,'Yahoo ADP'!$B$2:$B2766=$B482,$C482='Yahoo ADP'!$C$2:$C2766,$D482='Yahoo ADP'!$D$2:$D2766))"),"-")</f>
        <v>-</v>
      </c>
      <c r="G482" s="27">
        <v>457.0</v>
      </c>
      <c r="H482" s="8">
        <f t="shared" si="1"/>
        <v>-24</v>
      </c>
    </row>
    <row r="483">
      <c r="A483" s="10">
        <v>482.0</v>
      </c>
      <c r="B483" s="11" t="s">
        <v>3328</v>
      </c>
      <c r="C483" s="10" t="s">
        <v>220</v>
      </c>
      <c r="D483" s="10" t="s">
        <v>46</v>
      </c>
      <c r="E483" s="13" t="str">
        <f>IFERROR(__xludf.DUMMYFUNCTION("ifna(filter('Yahoo ADP'!$A$2:$A2766,'Yahoo ADP'!$B$2:$B2766=$B483,$C483='Yahoo ADP'!$C$2:$C2766,$D483='Yahoo ADP'!$D$2:$D2766))"),"")</f>
        <v/>
      </c>
      <c r="F483" s="13" t="str">
        <f>IFERROR(__xludf.DUMMYFUNCTION("ifna(filter('Yahoo ADP'!$E$2:$E2766,'Yahoo ADP'!$B$2:$B2766=$B483,$C483='Yahoo ADP'!$C$2:$C2766,$D483='Yahoo ADP'!$D$2:$D2766))"),"-")</f>
        <v>-</v>
      </c>
      <c r="G483" s="27">
        <v>458.0</v>
      </c>
      <c r="H483" s="8">
        <f t="shared" si="1"/>
        <v>-24</v>
      </c>
    </row>
    <row r="484">
      <c r="A484" s="10">
        <v>483.0</v>
      </c>
      <c r="B484" s="11" t="s">
        <v>3329</v>
      </c>
      <c r="C484" s="10" t="s">
        <v>79</v>
      </c>
      <c r="D484" s="10" t="s">
        <v>67</v>
      </c>
      <c r="E484" s="13" t="str">
        <f>IFERROR(__xludf.DUMMYFUNCTION("ifna(filter('Yahoo ADP'!$A$2:$A2766,'Yahoo ADP'!$B$2:$B2766=$B484,$C484='Yahoo ADP'!$C$2:$C2766,$D484='Yahoo ADP'!$D$2:$D2766))"),"")</f>
        <v/>
      </c>
      <c r="F484" s="13" t="str">
        <f>IFERROR(__xludf.DUMMYFUNCTION("ifna(filter('Yahoo ADP'!$E$2:$E2766,'Yahoo ADP'!$B$2:$B2766=$B484,$C484='Yahoo ADP'!$C$2:$C2766,$D484='Yahoo ADP'!$D$2:$D2766))"),"-")</f>
        <v>-</v>
      </c>
      <c r="G484" s="27">
        <v>459.0</v>
      </c>
      <c r="H484" s="8">
        <f t="shared" si="1"/>
        <v>-24</v>
      </c>
    </row>
    <row r="485">
      <c r="A485" s="10">
        <v>484.0</v>
      </c>
      <c r="B485" s="11" t="s">
        <v>3330</v>
      </c>
      <c r="C485" s="10" t="s">
        <v>79</v>
      </c>
      <c r="D485" s="10" t="s">
        <v>23</v>
      </c>
      <c r="E485" s="13" t="str">
        <f>IFERROR(__xludf.DUMMYFUNCTION("ifna(filter('Yahoo ADP'!$A$2:$A2766,'Yahoo ADP'!$B$2:$B2766=$B485,$C485='Yahoo ADP'!$C$2:$C2766,$D485='Yahoo ADP'!$D$2:$D2766))"),"")</f>
        <v/>
      </c>
      <c r="F485" s="13" t="str">
        <f>IFERROR(__xludf.DUMMYFUNCTION("ifna(filter('Yahoo ADP'!$E$2:$E2766,'Yahoo ADP'!$B$2:$B2766=$B485,$C485='Yahoo ADP'!$C$2:$C2766,$D485='Yahoo ADP'!$D$2:$D2766))"),"-")</f>
        <v>-</v>
      </c>
      <c r="G485" s="27">
        <v>460.0</v>
      </c>
      <c r="H485" s="8">
        <f t="shared" si="1"/>
        <v>-24</v>
      </c>
    </row>
    <row r="486">
      <c r="A486" s="10">
        <v>485.0</v>
      </c>
      <c r="B486" s="11" t="s">
        <v>3331</v>
      </c>
      <c r="C486" s="10" t="s">
        <v>79</v>
      </c>
      <c r="D486" s="10" t="s">
        <v>82</v>
      </c>
      <c r="E486" s="13" t="str">
        <f>IFERROR(__xludf.DUMMYFUNCTION("ifna(filter('Yahoo ADP'!$A$2:$A2766,'Yahoo ADP'!$B$2:$B2766=$B486,$C486='Yahoo ADP'!$C$2:$C2766,$D486='Yahoo ADP'!$D$2:$D2766))"),"")</f>
        <v/>
      </c>
      <c r="F486" s="13" t="str">
        <f>IFERROR(__xludf.DUMMYFUNCTION("ifna(filter('Yahoo ADP'!$E$2:$E2766,'Yahoo ADP'!$B$2:$B2766=$B486,$C486='Yahoo ADP'!$C$2:$C2766,$D486='Yahoo ADP'!$D$2:$D2766))"),"-")</f>
        <v>-</v>
      </c>
      <c r="G486" s="27">
        <v>461.0</v>
      </c>
      <c r="H486" s="8">
        <f t="shared" si="1"/>
        <v>-24</v>
      </c>
    </row>
    <row r="487">
      <c r="A487" s="10">
        <v>486.0</v>
      </c>
      <c r="B487" s="11" t="s">
        <v>3332</v>
      </c>
      <c r="C487" s="10" t="s">
        <v>79</v>
      </c>
      <c r="D487" s="10" t="s">
        <v>18</v>
      </c>
      <c r="E487" s="13">
        <f>IFERROR(__xludf.DUMMYFUNCTION("ifna(filter('Yahoo ADP'!$A$2:$A2766,'Yahoo ADP'!$B$2:$B2766=$B487,$C487='Yahoo ADP'!$C$2:$C2766,$D487='Yahoo ADP'!$D$2:$D2766))"),245.2)</f>
        <v>245.2</v>
      </c>
      <c r="F487" s="13">
        <f>IFERROR(__xludf.DUMMYFUNCTION("ifna(filter('Yahoo ADP'!$E$2:$E2766,'Yahoo ADP'!$B$2:$B2766=$B487,$C487='Yahoo ADP'!$C$2:$C2766,$D487='Yahoo ADP'!$D$2:$D2766))"),1.4)</f>
        <v>1.4</v>
      </c>
      <c r="G487" s="27">
        <v>462.0</v>
      </c>
      <c r="H487" s="8">
        <f t="shared" si="1"/>
        <v>-24</v>
      </c>
    </row>
    <row r="488">
      <c r="A488" s="10">
        <v>487.0</v>
      </c>
      <c r="B488" s="11" t="s">
        <v>3333</v>
      </c>
      <c r="C488" s="10" t="s">
        <v>79</v>
      </c>
      <c r="D488" s="10" t="s">
        <v>90</v>
      </c>
      <c r="E488" s="13" t="str">
        <f>IFERROR(__xludf.DUMMYFUNCTION("ifna(filter('Yahoo ADP'!$A$2:$A2766,'Yahoo ADP'!$B$2:$B2766=$B488,$C488='Yahoo ADP'!$C$2:$C2766,$D488='Yahoo ADP'!$D$2:$D2766))"),"")</f>
        <v/>
      </c>
      <c r="F488" s="13" t="str">
        <f>IFERROR(__xludf.DUMMYFUNCTION("ifna(filter('Yahoo ADP'!$E$2:$E2766,'Yahoo ADP'!$B$2:$B2766=$B488,$C488='Yahoo ADP'!$C$2:$C2766,$D488='Yahoo ADP'!$D$2:$D2766))"),"-")</f>
        <v>-</v>
      </c>
      <c r="G488" s="27">
        <v>463.0</v>
      </c>
      <c r="H488" s="8">
        <f t="shared" si="1"/>
        <v>-24</v>
      </c>
    </row>
    <row r="489">
      <c r="A489" s="10">
        <v>488.0</v>
      </c>
      <c r="B489" s="11" t="s">
        <v>3334</v>
      </c>
      <c r="C489" s="10" t="s">
        <v>79</v>
      </c>
      <c r="D489" s="10" t="s">
        <v>34</v>
      </c>
      <c r="E489" s="13" t="str">
        <f>IFERROR(__xludf.DUMMYFUNCTION("ifna(filter('Yahoo ADP'!$A$2:$A2766,'Yahoo ADP'!$B$2:$B2766=$B489,$C489='Yahoo ADP'!$C$2:$C2766,$D489='Yahoo ADP'!$D$2:$D2766))"),"")</f>
        <v/>
      </c>
      <c r="F489" s="13" t="str">
        <f>IFERROR(__xludf.DUMMYFUNCTION("ifna(filter('Yahoo ADP'!$E$2:$E2766,'Yahoo ADP'!$B$2:$B2766=$B489,$C489='Yahoo ADP'!$C$2:$C2766,$D489='Yahoo ADP'!$D$2:$D2766))"),"-")</f>
        <v>-</v>
      </c>
      <c r="G489" s="27">
        <v>464.0</v>
      </c>
      <c r="H489" s="8">
        <f t="shared" si="1"/>
        <v>-24</v>
      </c>
    </row>
    <row r="490">
      <c r="A490" s="10">
        <v>489.0</v>
      </c>
      <c r="B490" s="11" t="s">
        <v>3335</v>
      </c>
      <c r="C490" s="10" t="s">
        <v>79</v>
      </c>
      <c r="D490" s="10" t="s">
        <v>49</v>
      </c>
      <c r="E490" s="13" t="str">
        <f>IFERROR(__xludf.DUMMYFUNCTION("ifna(filter('Yahoo ADP'!$A$2:$A2766,'Yahoo ADP'!$B$2:$B2766=$B490,$C490='Yahoo ADP'!$C$2:$C2766,$D490='Yahoo ADP'!$D$2:$D2766))"),"")</f>
        <v/>
      </c>
      <c r="F490" s="13" t="str">
        <f>IFERROR(__xludf.DUMMYFUNCTION("ifna(filter('Yahoo ADP'!$E$2:$E2766,'Yahoo ADP'!$B$2:$B2766=$B490,$C490='Yahoo ADP'!$C$2:$C2766,$D490='Yahoo ADP'!$D$2:$D2766))"),"-")</f>
        <v>-</v>
      </c>
      <c r="G490" s="27">
        <v>465.0</v>
      </c>
      <c r="H490" s="8">
        <f t="shared" si="1"/>
        <v>-24</v>
      </c>
    </row>
    <row r="491">
      <c r="A491" s="10">
        <v>490.0</v>
      </c>
      <c r="B491" s="11" t="s">
        <v>3336</v>
      </c>
      <c r="C491" s="10" t="s">
        <v>79</v>
      </c>
      <c r="D491" s="10" t="s">
        <v>140</v>
      </c>
      <c r="E491" s="13" t="str">
        <f>IFERROR(__xludf.DUMMYFUNCTION("ifna(filter('Yahoo ADP'!$A$2:$A2766,'Yahoo ADP'!$B$2:$B2766=$B491,$C491='Yahoo ADP'!$C$2:$C2766,$D491='Yahoo ADP'!$D$2:$D2766))"),"")</f>
        <v/>
      </c>
      <c r="F491" s="13" t="str">
        <f>IFERROR(__xludf.DUMMYFUNCTION("ifna(filter('Yahoo ADP'!$E$2:$E2766,'Yahoo ADP'!$B$2:$B2766=$B491,$C491='Yahoo ADP'!$C$2:$C2766,$D491='Yahoo ADP'!$D$2:$D2766))"),"-")</f>
        <v>-</v>
      </c>
      <c r="G491" s="27">
        <v>466.0</v>
      </c>
      <c r="H491" s="8">
        <f t="shared" si="1"/>
        <v>-24</v>
      </c>
    </row>
    <row r="492">
      <c r="A492" s="10">
        <v>491.0</v>
      </c>
      <c r="B492" s="11" t="s">
        <v>3337</v>
      </c>
      <c r="C492" s="10" t="s">
        <v>79</v>
      </c>
      <c r="D492" s="10" t="s">
        <v>9</v>
      </c>
      <c r="E492" s="13" t="str">
        <f>IFERROR(__xludf.DUMMYFUNCTION("ifna(filter('Yahoo ADP'!$A$2:$A2766,'Yahoo ADP'!$B$2:$B2766=$B492,$C492='Yahoo ADP'!$C$2:$C2766,$D492='Yahoo ADP'!$D$2:$D2766))"),"")</f>
        <v/>
      </c>
      <c r="F492" s="13" t="str">
        <f>IFERROR(__xludf.DUMMYFUNCTION("ifna(filter('Yahoo ADP'!$E$2:$E2766,'Yahoo ADP'!$B$2:$B2766=$B492,$C492='Yahoo ADP'!$C$2:$C2766,$D492='Yahoo ADP'!$D$2:$D2766))"),"-")</f>
        <v>-</v>
      </c>
      <c r="G492" s="27">
        <v>467.0</v>
      </c>
      <c r="H492" s="8">
        <f t="shared" si="1"/>
        <v>-24</v>
      </c>
    </row>
    <row r="493">
      <c r="A493" s="10">
        <v>492.0</v>
      </c>
      <c r="B493" s="11" t="s">
        <v>3338</v>
      </c>
      <c r="C493" s="10" t="s">
        <v>79</v>
      </c>
      <c r="D493" s="10" t="s">
        <v>120</v>
      </c>
      <c r="E493" s="13" t="str">
        <f>IFERROR(__xludf.DUMMYFUNCTION("ifna(filter('Yahoo ADP'!$A$2:$A2766,'Yahoo ADP'!$B$2:$B2766=$B493,$C493='Yahoo ADP'!$C$2:$C2766,$D493='Yahoo ADP'!$D$2:$D2766))"),"")</f>
        <v/>
      </c>
      <c r="F493" s="13" t="str">
        <f>IFERROR(__xludf.DUMMYFUNCTION("ifna(filter('Yahoo ADP'!$E$2:$E2766,'Yahoo ADP'!$B$2:$B2766=$B493,$C493='Yahoo ADP'!$C$2:$C2766,$D493='Yahoo ADP'!$D$2:$D2766))"),"-")</f>
        <v>-</v>
      </c>
      <c r="G493" s="27">
        <v>468.0</v>
      </c>
      <c r="H493" s="8">
        <f t="shared" si="1"/>
        <v>-24</v>
      </c>
    </row>
    <row r="494">
      <c r="A494" s="10">
        <v>493.0</v>
      </c>
      <c r="B494" s="11" t="s">
        <v>3339</v>
      </c>
      <c r="C494" s="10" t="s">
        <v>79</v>
      </c>
      <c r="D494" s="10" t="s">
        <v>90</v>
      </c>
      <c r="E494" s="13" t="str">
        <f>IFERROR(__xludf.DUMMYFUNCTION("ifna(filter('Yahoo ADP'!$A$2:$A2766,'Yahoo ADP'!$B$2:$B2766=$B494,$C494='Yahoo ADP'!$C$2:$C2766,$D494='Yahoo ADP'!$D$2:$D2766))"),"")</f>
        <v/>
      </c>
      <c r="F494" s="13" t="str">
        <f>IFERROR(__xludf.DUMMYFUNCTION("ifna(filter('Yahoo ADP'!$E$2:$E2766,'Yahoo ADP'!$B$2:$B2766=$B494,$C494='Yahoo ADP'!$C$2:$C2766,$D494='Yahoo ADP'!$D$2:$D2766))"),"-")</f>
        <v>-</v>
      </c>
      <c r="G494" s="27">
        <v>469.0</v>
      </c>
      <c r="H494" s="8">
        <f t="shared" si="1"/>
        <v>-24</v>
      </c>
    </row>
    <row r="495">
      <c r="A495" s="10">
        <v>494.0</v>
      </c>
      <c r="B495" s="11" t="s">
        <v>3340</v>
      </c>
      <c r="C495" s="10" t="s">
        <v>22</v>
      </c>
      <c r="D495" s="10" t="s">
        <v>25</v>
      </c>
      <c r="E495" s="13">
        <f>IFERROR(__xludf.DUMMYFUNCTION("ifna(filter('Yahoo ADP'!$A$2:$A2766,'Yahoo ADP'!$B$2:$B2766=$B495,$C495='Yahoo ADP'!$C$2:$C2766,$D495='Yahoo ADP'!$D$2:$D2766))"),245.9)</f>
        <v>245.9</v>
      </c>
      <c r="F495" s="13">
        <f>IFERROR(__xludf.DUMMYFUNCTION("ifna(filter('Yahoo ADP'!$E$2:$E2766,'Yahoo ADP'!$B$2:$B2766=$B495,$C495='Yahoo ADP'!$C$2:$C2766,$D495='Yahoo ADP'!$D$2:$D2766))"),1.2)</f>
        <v>1.2</v>
      </c>
      <c r="G495" s="27">
        <v>330.0</v>
      </c>
      <c r="H495" s="8">
        <f t="shared" si="1"/>
        <v>-164</v>
      </c>
    </row>
    <row r="496">
      <c r="A496" s="10">
        <v>495.0</v>
      </c>
      <c r="B496" s="11" t="s">
        <v>3341</v>
      </c>
      <c r="C496" s="10" t="s">
        <v>79</v>
      </c>
      <c r="D496" s="10" t="s">
        <v>18</v>
      </c>
      <c r="E496" s="13" t="str">
        <f>IFERROR(__xludf.DUMMYFUNCTION("ifna(filter('Yahoo ADP'!$A$2:$A2766,'Yahoo ADP'!$B$2:$B2766=$B496,$C496='Yahoo ADP'!$C$2:$C2766,$D496='Yahoo ADP'!$D$2:$D2766))"),"")</f>
        <v/>
      </c>
      <c r="F496" s="13" t="str">
        <f>IFERROR(__xludf.DUMMYFUNCTION("ifna(filter('Yahoo ADP'!$E$2:$E2766,'Yahoo ADP'!$B$2:$B2766=$B496,$C496='Yahoo ADP'!$C$2:$C2766,$D496='Yahoo ADP'!$D$2:$D2766))"),"-")</f>
        <v>-</v>
      </c>
      <c r="G496" s="27">
        <v>470.0</v>
      </c>
      <c r="H496" s="8">
        <f t="shared" si="1"/>
        <v>-25</v>
      </c>
    </row>
    <row r="497">
      <c r="A497" s="10">
        <v>496.0</v>
      </c>
      <c r="B497" s="11" t="s">
        <v>3342</v>
      </c>
      <c r="C497" s="10" t="s">
        <v>79</v>
      </c>
      <c r="D497" s="10" t="s">
        <v>36</v>
      </c>
      <c r="E497" s="13" t="str">
        <f>IFERROR(__xludf.DUMMYFUNCTION("ifna(filter('Yahoo ADP'!$A$2:$A2766,'Yahoo ADP'!$B$2:$B2766=$B497,$C497='Yahoo ADP'!$C$2:$C2766,$D497='Yahoo ADP'!$D$2:$D2766))"),"")</f>
        <v/>
      </c>
      <c r="F497" s="13" t="str">
        <f>IFERROR(__xludf.DUMMYFUNCTION("ifna(filter('Yahoo ADP'!$E$2:$E2766,'Yahoo ADP'!$B$2:$B2766=$B497,$C497='Yahoo ADP'!$C$2:$C2766,$D497='Yahoo ADP'!$D$2:$D2766))"),"-")</f>
        <v>-</v>
      </c>
      <c r="G497" s="27">
        <v>472.0</v>
      </c>
      <c r="H497" s="8">
        <f t="shared" si="1"/>
        <v>-24</v>
      </c>
    </row>
    <row r="498">
      <c r="A498" s="10">
        <v>497.0</v>
      </c>
      <c r="B498" s="11" t="s">
        <v>3343</v>
      </c>
      <c r="C498" s="10" t="s">
        <v>79</v>
      </c>
      <c r="D498" s="10" t="s">
        <v>67</v>
      </c>
      <c r="E498" s="13" t="str">
        <f>IFERROR(__xludf.DUMMYFUNCTION("ifna(filter('Yahoo ADP'!$A$2:$A2766,'Yahoo ADP'!$B$2:$B2766=$B498,$C498='Yahoo ADP'!$C$2:$C2766,$D498='Yahoo ADP'!$D$2:$D2766))"),"")</f>
        <v/>
      </c>
      <c r="F498" s="13" t="str">
        <f>IFERROR(__xludf.DUMMYFUNCTION("ifna(filter('Yahoo ADP'!$E$2:$E2766,'Yahoo ADP'!$B$2:$B2766=$B498,$C498='Yahoo ADP'!$C$2:$C2766,$D498='Yahoo ADP'!$D$2:$D2766))"),"-")</f>
        <v>-</v>
      </c>
      <c r="G498" s="27">
        <v>473.0</v>
      </c>
      <c r="H498" s="8">
        <f t="shared" si="1"/>
        <v>-24</v>
      </c>
    </row>
    <row r="499">
      <c r="A499" s="10">
        <v>498.0</v>
      </c>
      <c r="B499" s="11" t="s">
        <v>3344</v>
      </c>
      <c r="C499" s="10" t="s">
        <v>220</v>
      </c>
      <c r="D499" s="10" t="s">
        <v>206</v>
      </c>
      <c r="E499" s="13" t="str">
        <f>IFERROR(__xludf.DUMMYFUNCTION("ifna(filter('Yahoo ADP'!$A$2:$A2766,'Yahoo ADP'!$B$2:$B2766=$B499,$C499='Yahoo ADP'!$C$2:$C2766,$D499='Yahoo ADP'!$D$2:$D2766))"),"")</f>
        <v/>
      </c>
      <c r="F499" s="13" t="str">
        <f>IFERROR(__xludf.DUMMYFUNCTION("ifna(filter('Yahoo ADP'!$E$2:$E2766,'Yahoo ADP'!$B$2:$B2766=$B499,$C499='Yahoo ADP'!$C$2:$C2766,$D499='Yahoo ADP'!$D$2:$D2766))"),"-")</f>
        <v>-</v>
      </c>
      <c r="G499" s="27">
        <v>474.0</v>
      </c>
      <c r="H499" s="8">
        <f t="shared" si="1"/>
        <v>-24</v>
      </c>
    </row>
    <row r="500">
      <c r="A500" s="10">
        <v>499.0</v>
      </c>
      <c r="B500" s="11" t="s">
        <v>3345</v>
      </c>
      <c r="C500" s="10" t="s">
        <v>39</v>
      </c>
      <c r="D500" s="10" t="s">
        <v>67</v>
      </c>
      <c r="E500" s="13" t="str">
        <f>IFERROR(__xludf.DUMMYFUNCTION("ifna(filter('Yahoo ADP'!$A$2:$A2766,'Yahoo ADP'!$B$2:$B2766=$B500,$C500='Yahoo ADP'!$C$2:$C2766,$D500='Yahoo ADP'!$D$2:$D2766))"),"")</f>
        <v/>
      </c>
      <c r="F500" s="13" t="str">
        <f>IFERROR(__xludf.DUMMYFUNCTION("ifna(filter('Yahoo ADP'!$E$2:$E2766,'Yahoo ADP'!$B$2:$B2766=$B500,$C500='Yahoo ADP'!$C$2:$C2766,$D500='Yahoo ADP'!$D$2:$D2766))"),"-")</f>
        <v>-</v>
      </c>
      <c r="G500" s="27">
        <v>475.0</v>
      </c>
      <c r="H500" s="8">
        <f t="shared" si="1"/>
        <v>-24</v>
      </c>
    </row>
    <row r="501">
      <c r="A501" s="10">
        <v>500.0</v>
      </c>
      <c r="B501" s="11" t="s">
        <v>3346</v>
      </c>
      <c r="C501" s="10" t="s">
        <v>79</v>
      </c>
      <c r="D501" s="10" t="s">
        <v>85</v>
      </c>
      <c r="E501" s="13" t="str">
        <f>IFERROR(__xludf.DUMMYFUNCTION("ifna(filter('Yahoo ADP'!$A$2:$A2766,'Yahoo ADP'!$B$2:$B2766=$B501,$C501='Yahoo ADP'!$C$2:$C2766,$D501='Yahoo ADP'!$D$2:$D2766))"),"")</f>
        <v/>
      </c>
      <c r="F501" s="13" t="str">
        <f>IFERROR(__xludf.DUMMYFUNCTION("ifna(filter('Yahoo ADP'!$E$2:$E2766,'Yahoo ADP'!$B$2:$B2766=$B501,$C501='Yahoo ADP'!$C$2:$C2766,$D501='Yahoo ADP'!$D$2:$D2766))"),"-")</f>
        <v>-</v>
      </c>
      <c r="G501" s="27">
        <v>476.0</v>
      </c>
      <c r="H501" s="8">
        <f t="shared" si="1"/>
        <v>-24</v>
      </c>
    </row>
    <row r="502">
      <c r="A502" s="10">
        <v>501.0</v>
      </c>
      <c r="B502" s="11" t="s">
        <v>3347</v>
      </c>
      <c r="C502" s="10" t="s">
        <v>585</v>
      </c>
      <c r="D502" s="10" t="s">
        <v>82</v>
      </c>
      <c r="E502" s="13">
        <f>IFERROR(__xludf.DUMMYFUNCTION("ifna(filter('Yahoo ADP'!$A$2:$A2766,'Yahoo ADP'!$B$2:$B2766=$B502,$C502='Yahoo ADP'!$C$2:$C2766,$D502='Yahoo ADP'!$D$2:$D2766))"),246.9)</f>
        <v>246.9</v>
      </c>
      <c r="F502" s="13">
        <f>IFERROR(__xludf.DUMMYFUNCTION("ifna(filter('Yahoo ADP'!$E$2:$E2766,'Yahoo ADP'!$B$2:$B2766=$B502,$C502='Yahoo ADP'!$C$2:$C2766,$D502='Yahoo ADP'!$D$2:$D2766))"),1.3)</f>
        <v>1.3</v>
      </c>
      <c r="G502" s="27">
        <v>477.0</v>
      </c>
      <c r="H502" s="8">
        <f t="shared" si="1"/>
        <v>-24</v>
      </c>
    </row>
    <row r="503">
      <c r="A503" s="10">
        <v>502.0</v>
      </c>
      <c r="B503" s="11" t="s">
        <v>3348</v>
      </c>
      <c r="C503" s="10" t="s">
        <v>220</v>
      </c>
      <c r="D503" s="10" t="s">
        <v>206</v>
      </c>
      <c r="E503" s="13">
        <f>IFERROR(__xludf.DUMMYFUNCTION("ifna(filter('Yahoo ADP'!$A$2:$A2766,'Yahoo ADP'!$B$2:$B2766=$B503,$C503='Yahoo ADP'!$C$2:$C2766,$D503='Yahoo ADP'!$D$2:$D2766))"),219.9)</f>
        <v>219.9</v>
      </c>
      <c r="F503" s="13">
        <f>IFERROR(__xludf.DUMMYFUNCTION("ifna(filter('Yahoo ADP'!$E$2:$E2766,'Yahoo ADP'!$B$2:$B2766=$B503,$C503='Yahoo ADP'!$C$2:$C2766,$D503='Yahoo ADP'!$D$2:$D2766))"),1.0)</f>
        <v>1</v>
      </c>
      <c r="G503" s="27">
        <v>267.0</v>
      </c>
      <c r="H503" s="8">
        <f t="shared" si="1"/>
        <v>-235</v>
      </c>
    </row>
    <row r="504">
      <c r="A504" s="10">
        <v>503.0</v>
      </c>
      <c r="B504" s="11" t="s">
        <v>3349</v>
      </c>
      <c r="C504" s="10" t="s">
        <v>79</v>
      </c>
      <c r="D504" s="10" t="s">
        <v>49</v>
      </c>
      <c r="E504" s="13" t="str">
        <f>IFERROR(__xludf.DUMMYFUNCTION("ifna(filter('Yahoo ADP'!$A$2:$A2766,'Yahoo ADP'!$B$2:$B2766=$B504,$C504='Yahoo ADP'!$C$2:$C2766,$D504='Yahoo ADP'!$D$2:$D2766))"),"")</f>
        <v/>
      </c>
      <c r="F504" s="13" t="str">
        <f>IFERROR(__xludf.DUMMYFUNCTION("ifna(filter('Yahoo ADP'!$E$2:$E2766,'Yahoo ADP'!$B$2:$B2766=$B504,$C504='Yahoo ADP'!$C$2:$C2766,$D504='Yahoo ADP'!$D$2:$D2766))"),"-")</f>
        <v>-</v>
      </c>
      <c r="G504" s="27">
        <v>479.0</v>
      </c>
      <c r="H504" s="8">
        <f t="shared" si="1"/>
        <v>-24</v>
      </c>
    </row>
    <row r="505">
      <c r="A505" s="10">
        <v>504.0</v>
      </c>
      <c r="B505" s="11" t="s">
        <v>3350</v>
      </c>
      <c r="C505" s="10" t="s">
        <v>79</v>
      </c>
      <c r="D505" s="10" t="s">
        <v>99</v>
      </c>
      <c r="E505" s="13" t="str">
        <f>IFERROR(__xludf.DUMMYFUNCTION("ifna(filter('Yahoo ADP'!$A$2:$A2766,'Yahoo ADP'!$B$2:$B2766=$B505,$C505='Yahoo ADP'!$C$2:$C2766,$D505='Yahoo ADP'!$D$2:$D2766))"),"")</f>
        <v/>
      </c>
      <c r="F505" s="13" t="str">
        <f>IFERROR(__xludf.DUMMYFUNCTION("ifna(filter('Yahoo ADP'!$E$2:$E2766,'Yahoo ADP'!$B$2:$B2766=$B505,$C505='Yahoo ADP'!$C$2:$C2766,$D505='Yahoo ADP'!$D$2:$D2766))"),"-")</f>
        <v>-</v>
      </c>
      <c r="G505" s="27">
        <v>480.0</v>
      </c>
      <c r="H505" s="8">
        <f t="shared" si="1"/>
        <v>-24</v>
      </c>
    </row>
    <row r="506">
      <c r="A506" s="10">
        <v>505.0</v>
      </c>
      <c r="B506" s="11" t="s">
        <v>3351</v>
      </c>
      <c r="C506" s="10" t="s">
        <v>79</v>
      </c>
      <c r="D506" s="10" t="s">
        <v>27</v>
      </c>
      <c r="E506" s="13" t="str">
        <f>IFERROR(__xludf.DUMMYFUNCTION("ifna(filter('Yahoo ADP'!$A$2:$A2766,'Yahoo ADP'!$B$2:$B2766=$B506,$C506='Yahoo ADP'!$C$2:$C2766,$D506='Yahoo ADP'!$D$2:$D2766))"),"")</f>
        <v/>
      </c>
      <c r="F506" s="13" t="str">
        <f>IFERROR(__xludf.DUMMYFUNCTION("ifna(filter('Yahoo ADP'!$E$2:$E2766,'Yahoo ADP'!$B$2:$B2766=$B506,$C506='Yahoo ADP'!$C$2:$C2766,$D506='Yahoo ADP'!$D$2:$D2766))"),"-")</f>
        <v>-</v>
      </c>
      <c r="G506" s="27">
        <v>481.0</v>
      </c>
      <c r="H506" s="8">
        <f t="shared" si="1"/>
        <v>-24</v>
      </c>
    </row>
    <row r="507">
      <c r="A507" s="10">
        <v>506.0</v>
      </c>
      <c r="B507" s="11" t="s">
        <v>3352</v>
      </c>
      <c r="C507" s="10" t="s">
        <v>89</v>
      </c>
      <c r="D507" s="10" t="s">
        <v>129</v>
      </c>
      <c r="E507" s="13">
        <f>IFERROR(__xludf.DUMMYFUNCTION("ifna(filter('Yahoo ADP'!$A$2:$A2766,'Yahoo ADP'!$B$2:$B2766=$B507,$C507='Yahoo ADP'!$C$2:$C2766,$D507='Yahoo ADP'!$D$2:$D2766))"),239.7)</f>
        <v>239.7</v>
      </c>
      <c r="F507" s="13">
        <f>IFERROR(__xludf.DUMMYFUNCTION("ifna(filter('Yahoo ADP'!$E$2:$E2766,'Yahoo ADP'!$B$2:$B2766=$B507,$C507='Yahoo ADP'!$C$2:$C2766,$D507='Yahoo ADP'!$D$2:$D2766))"),1.0)</f>
        <v>1</v>
      </c>
      <c r="G507" s="27">
        <v>353.0</v>
      </c>
      <c r="H507" s="8">
        <f t="shared" si="1"/>
        <v>-153</v>
      </c>
    </row>
    <row r="508">
      <c r="A508" s="10">
        <v>507.0</v>
      </c>
      <c r="B508" s="11" t="s">
        <v>3353</v>
      </c>
      <c r="C508" s="10" t="s">
        <v>220</v>
      </c>
      <c r="D508" s="10" t="s">
        <v>137</v>
      </c>
      <c r="E508" s="13" t="str">
        <f>IFERROR(__xludf.DUMMYFUNCTION("ifna(filter('Yahoo ADP'!$A$2:$A2766,'Yahoo ADP'!$B$2:$B2766=$B508,$C508='Yahoo ADP'!$C$2:$C2766,$D508='Yahoo ADP'!$D$2:$D2766))"),"")</f>
        <v/>
      </c>
      <c r="F508" s="13" t="str">
        <f>IFERROR(__xludf.DUMMYFUNCTION("ifna(filter('Yahoo ADP'!$E$2:$E2766,'Yahoo ADP'!$B$2:$B2766=$B508,$C508='Yahoo ADP'!$C$2:$C2766,$D508='Yahoo ADP'!$D$2:$D2766))"),"-")</f>
        <v>-</v>
      </c>
      <c r="G508" s="27">
        <v>482.0</v>
      </c>
      <c r="H508" s="8">
        <f t="shared" si="1"/>
        <v>-25</v>
      </c>
    </row>
    <row r="509">
      <c r="A509" s="10">
        <v>508.0</v>
      </c>
      <c r="B509" s="11" t="s">
        <v>3354</v>
      </c>
      <c r="C509" s="10" t="s">
        <v>79</v>
      </c>
      <c r="D509" s="10" t="s">
        <v>90</v>
      </c>
      <c r="E509" s="13" t="str">
        <f>IFERROR(__xludf.DUMMYFUNCTION("ifna(filter('Yahoo ADP'!$A$2:$A2766,'Yahoo ADP'!$B$2:$B2766=$B509,$C509='Yahoo ADP'!$C$2:$C2766,$D509='Yahoo ADP'!$D$2:$D2766))"),"")</f>
        <v/>
      </c>
      <c r="F509" s="13" t="str">
        <f>IFERROR(__xludf.DUMMYFUNCTION("ifna(filter('Yahoo ADP'!$E$2:$E2766,'Yahoo ADP'!$B$2:$B2766=$B509,$C509='Yahoo ADP'!$C$2:$C2766,$D509='Yahoo ADP'!$D$2:$D2766))"),"-")</f>
        <v>-</v>
      </c>
      <c r="G509" s="27">
        <v>483.0</v>
      </c>
      <c r="H509" s="8">
        <f t="shared" si="1"/>
        <v>-25</v>
      </c>
    </row>
    <row r="510">
      <c r="A510" s="10">
        <v>509.0</v>
      </c>
      <c r="B510" s="11" t="s">
        <v>3355</v>
      </c>
      <c r="C510" s="10" t="s">
        <v>79</v>
      </c>
      <c r="D510" s="10" t="s">
        <v>46</v>
      </c>
      <c r="E510" s="13" t="str">
        <f>IFERROR(__xludf.DUMMYFUNCTION("ifna(filter('Yahoo ADP'!$A$2:$A2766,'Yahoo ADP'!$B$2:$B2766=$B510,$C510='Yahoo ADP'!$C$2:$C2766,$D510='Yahoo ADP'!$D$2:$D2766))"),"")</f>
        <v/>
      </c>
      <c r="F510" s="13" t="str">
        <f>IFERROR(__xludf.DUMMYFUNCTION("ifna(filter('Yahoo ADP'!$E$2:$E2766,'Yahoo ADP'!$B$2:$B2766=$B510,$C510='Yahoo ADP'!$C$2:$C2766,$D510='Yahoo ADP'!$D$2:$D2766))"),"-")</f>
        <v>-</v>
      </c>
      <c r="G510" s="27">
        <v>484.0</v>
      </c>
      <c r="H510" s="8">
        <f t="shared" si="1"/>
        <v>-25</v>
      </c>
    </row>
    <row r="511">
      <c r="A511" s="10">
        <v>510.0</v>
      </c>
      <c r="B511" s="11" t="s">
        <v>3356</v>
      </c>
      <c r="C511" s="10" t="s">
        <v>79</v>
      </c>
      <c r="D511" s="10" t="s">
        <v>27</v>
      </c>
      <c r="E511" s="13" t="str">
        <f>IFERROR(__xludf.DUMMYFUNCTION("ifna(filter('Yahoo ADP'!$A$2:$A2766,'Yahoo ADP'!$B$2:$B2766=$B511,$C511='Yahoo ADP'!$C$2:$C2766,$D511='Yahoo ADP'!$D$2:$D2766))"),"")</f>
        <v/>
      </c>
      <c r="F511" s="13" t="str">
        <f>IFERROR(__xludf.DUMMYFUNCTION("ifna(filter('Yahoo ADP'!$E$2:$E2766,'Yahoo ADP'!$B$2:$B2766=$B511,$C511='Yahoo ADP'!$C$2:$C2766,$D511='Yahoo ADP'!$D$2:$D2766))"),"-")</f>
        <v>-</v>
      </c>
      <c r="G511" s="27">
        <v>485.0</v>
      </c>
      <c r="H511" s="8">
        <f t="shared" si="1"/>
        <v>-25</v>
      </c>
    </row>
    <row r="512">
      <c r="A512" s="10">
        <v>511.0</v>
      </c>
      <c r="B512" s="11" t="s">
        <v>3357</v>
      </c>
      <c r="C512" s="10" t="s">
        <v>79</v>
      </c>
      <c r="D512" s="10" t="s">
        <v>140</v>
      </c>
      <c r="E512" s="13" t="str">
        <f>IFERROR(__xludf.DUMMYFUNCTION("ifna(filter('Yahoo ADP'!$A$2:$A2766,'Yahoo ADP'!$B$2:$B2766=$B512,$C512='Yahoo ADP'!$C$2:$C2766,$D512='Yahoo ADP'!$D$2:$D2766))"),"")</f>
        <v/>
      </c>
      <c r="F512" s="13" t="str">
        <f>IFERROR(__xludf.DUMMYFUNCTION("ifna(filter('Yahoo ADP'!$E$2:$E2766,'Yahoo ADP'!$B$2:$B2766=$B512,$C512='Yahoo ADP'!$C$2:$C2766,$D512='Yahoo ADP'!$D$2:$D2766))"),"-")</f>
        <v>-</v>
      </c>
      <c r="G512" s="27">
        <v>486.0</v>
      </c>
      <c r="H512" s="8">
        <f t="shared" si="1"/>
        <v>-25</v>
      </c>
    </row>
    <row r="513">
      <c r="A513" s="10">
        <v>512.0</v>
      </c>
      <c r="B513" s="11" t="s">
        <v>3358</v>
      </c>
      <c r="C513" s="10" t="s">
        <v>79</v>
      </c>
      <c r="D513" s="10" t="s">
        <v>206</v>
      </c>
      <c r="E513" s="13" t="str">
        <f>IFERROR(__xludf.DUMMYFUNCTION("ifna(filter('Yahoo ADP'!$A$2:$A2766,'Yahoo ADP'!$B$2:$B2766=$B513,$C513='Yahoo ADP'!$C$2:$C2766,$D513='Yahoo ADP'!$D$2:$D2766))"),"")</f>
        <v/>
      </c>
      <c r="F513" s="13" t="str">
        <f>IFERROR(__xludf.DUMMYFUNCTION("ifna(filter('Yahoo ADP'!$E$2:$E2766,'Yahoo ADP'!$B$2:$B2766=$B513,$C513='Yahoo ADP'!$C$2:$C2766,$D513='Yahoo ADP'!$D$2:$D2766))"),"-")</f>
        <v>-</v>
      </c>
      <c r="G513" s="27">
        <v>487.0</v>
      </c>
      <c r="H513" s="8">
        <f t="shared" si="1"/>
        <v>-25</v>
      </c>
    </row>
    <row r="514">
      <c r="A514" s="10">
        <v>513.0</v>
      </c>
      <c r="B514" s="11" t="s">
        <v>3359</v>
      </c>
      <c r="C514" s="10" t="s">
        <v>79</v>
      </c>
      <c r="D514" s="10" t="s">
        <v>71</v>
      </c>
      <c r="E514" s="13" t="str">
        <f>IFERROR(__xludf.DUMMYFUNCTION("ifna(filter('Yahoo ADP'!$A$2:$A2766,'Yahoo ADP'!$B$2:$B2766=$B514,$C514='Yahoo ADP'!$C$2:$C2766,$D514='Yahoo ADP'!$D$2:$D2766))"),"")</f>
        <v/>
      </c>
      <c r="F514" s="13" t="str">
        <f>IFERROR(__xludf.DUMMYFUNCTION("ifna(filter('Yahoo ADP'!$E$2:$E2766,'Yahoo ADP'!$B$2:$B2766=$B514,$C514='Yahoo ADP'!$C$2:$C2766,$D514='Yahoo ADP'!$D$2:$D2766))"),"-")</f>
        <v>-</v>
      </c>
      <c r="G514" s="27">
        <v>488.0</v>
      </c>
      <c r="H514" s="8">
        <f t="shared" si="1"/>
        <v>-25</v>
      </c>
    </row>
    <row r="515">
      <c r="A515" s="10">
        <v>514.0</v>
      </c>
      <c r="B515" s="11" t="s">
        <v>3360</v>
      </c>
      <c r="C515" s="10" t="s">
        <v>79</v>
      </c>
      <c r="D515" s="10" t="s">
        <v>49</v>
      </c>
      <c r="E515" s="13" t="str">
        <f>IFERROR(__xludf.DUMMYFUNCTION("ifna(filter('Yahoo ADP'!$A$2:$A2766,'Yahoo ADP'!$B$2:$B2766=$B515,$C515='Yahoo ADP'!$C$2:$C2766,$D515='Yahoo ADP'!$D$2:$D2766))"),"")</f>
        <v/>
      </c>
      <c r="F515" s="13" t="str">
        <f>IFERROR(__xludf.DUMMYFUNCTION("ifna(filter('Yahoo ADP'!$E$2:$E2766,'Yahoo ADP'!$B$2:$B2766=$B515,$C515='Yahoo ADP'!$C$2:$C2766,$D515='Yahoo ADP'!$D$2:$D2766))"),"-")</f>
        <v>-</v>
      </c>
      <c r="G515" s="27">
        <v>489.0</v>
      </c>
      <c r="H515" s="8">
        <f t="shared" si="1"/>
        <v>-25</v>
      </c>
    </row>
    <row r="516">
      <c r="A516" s="10">
        <v>515.0</v>
      </c>
      <c r="B516" s="11" t="s">
        <v>3361</v>
      </c>
      <c r="C516" s="10" t="s">
        <v>79</v>
      </c>
      <c r="D516" s="10" t="s">
        <v>113</v>
      </c>
      <c r="E516" s="13" t="str">
        <f>IFERROR(__xludf.DUMMYFUNCTION("ifna(filter('Yahoo ADP'!$A$2:$A2766,'Yahoo ADP'!$B$2:$B2766=$B516,$C516='Yahoo ADP'!$C$2:$C2766,$D516='Yahoo ADP'!$D$2:$D2766))"),"")</f>
        <v/>
      </c>
      <c r="F516" s="13" t="str">
        <f>IFERROR(__xludf.DUMMYFUNCTION("ifna(filter('Yahoo ADP'!$E$2:$E2766,'Yahoo ADP'!$B$2:$B2766=$B516,$C516='Yahoo ADP'!$C$2:$C2766,$D516='Yahoo ADP'!$D$2:$D2766))"),"-")</f>
        <v>-</v>
      </c>
      <c r="G516" s="27">
        <v>490.0</v>
      </c>
      <c r="H516" s="8">
        <f t="shared" si="1"/>
        <v>-25</v>
      </c>
    </row>
    <row r="517">
      <c r="A517" s="10">
        <v>516.0</v>
      </c>
      <c r="B517" s="11" t="s">
        <v>3362</v>
      </c>
      <c r="C517" s="10" t="s">
        <v>79</v>
      </c>
      <c r="D517" s="10" t="s">
        <v>36</v>
      </c>
      <c r="E517" s="13" t="str">
        <f>IFERROR(__xludf.DUMMYFUNCTION("ifna(filter('Yahoo ADP'!$A$2:$A2766,'Yahoo ADP'!$B$2:$B2766=$B517,$C517='Yahoo ADP'!$C$2:$C2766,$D517='Yahoo ADP'!$D$2:$D2766))"),"")</f>
        <v/>
      </c>
      <c r="F517" s="13" t="str">
        <f>IFERROR(__xludf.DUMMYFUNCTION("ifna(filter('Yahoo ADP'!$E$2:$E2766,'Yahoo ADP'!$B$2:$B2766=$B517,$C517='Yahoo ADP'!$C$2:$C2766,$D517='Yahoo ADP'!$D$2:$D2766))"),"-")</f>
        <v>-</v>
      </c>
      <c r="G517" s="27">
        <v>491.0</v>
      </c>
      <c r="H517" s="8">
        <f t="shared" si="1"/>
        <v>-25</v>
      </c>
    </row>
    <row r="518">
      <c r="A518" s="10">
        <v>517.0</v>
      </c>
      <c r="B518" s="11" t="s">
        <v>3363</v>
      </c>
      <c r="C518" s="10" t="s">
        <v>79</v>
      </c>
      <c r="D518" s="10" t="s">
        <v>52</v>
      </c>
      <c r="E518" s="13" t="str">
        <f>IFERROR(__xludf.DUMMYFUNCTION("ifna(filter('Yahoo ADP'!$A$2:$A2766,'Yahoo ADP'!$B$2:$B2766=$B518,$C518='Yahoo ADP'!$C$2:$C2766,$D518='Yahoo ADP'!$D$2:$D2766))"),"")</f>
        <v/>
      </c>
      <c r="F518" s="13" t="str">
        <f>IFERROR(__xludf.DUMMYFUNCTION("ifna(filter('Yahoo ADP'!$E$2:$E2766,'Yahoo ADP'!$B$2:$B2766=$B518,$C518='Yahoo ADP'!$C$2:$C2766,$D518='Yahoo ADP'!$D$2:$D2766))"),"-")</f>
        <v>-</v>
      </c>
      <c r="G518" s="27">
        <v>492.0</v>
      </c>
      <c r="H518" s="8">
        <f t="shared" si="1"/>
        <v>-25</v>
      </c>
    </row>
    <row r="519">
      <c r="A519" s="10">
        <v>518.0</v>
      </c>
      <c r="B519" s="11" t="s">
        <v>3364</v>
      </c>
      <c r="C519" s="10" t="s">
        <v>79</v>
      </c>
      <c r="D519" s="10" t="s">
        <v>42</v>
      </c>
      <c r="E519" s="13" t="str">
        <f>IFERROR(__xludf.DUMMYFUNCTION("ifna(filter('Yahoo ADP'!$A$2:$A2766,'Yahoo ADP'!$B$2:$B2766=$B519,$C519='Yahoo ADP'!$C$2:$C2766,$D519='Yahoo ADP'!$D$2:$D2766))"),"")</f>
        <v/>
      </c>
      <c r="F519" s="13" t="str">
        <f>IFERROR(__xludf.DUMMYFUNCTION("ifna(filter('Yahoo ADP'!$E$2:$E2766,'Yahoo ADP'!$B$2:$B2766=$B519,$C519='Yahoo ADP'!$C$2:$C2766,$D519='Yahoo ADP'!$D$2:$D2766))"),"-")</f>
        <v>-</v>
      </c>
      <c r="G519" s="27">
        <v>493.0</v>
      </c>
      <c r="H519" s="8">
        <f t="shared" si="1"/>
        <v>-25</v>
      </c>
    </row>
    <row r="520">
      <c r="A520" s="10">
        <v>519.0</v>
      </c>
      <c r="B520" s="11" t="s">
        <v>3365</v>
      </c>
      <c r="C520" s="10" t="s">
        <v>79</v>
      </c>
      <c r="D520" s="10" t="s">
        <v>120</v>
      </c>
      <c r="E520" s="13" t="str">
        <f>IFERROR(__xludf.DUMMYFUNCTION("ifna(filter('Yahoo ADP'!$A$2:$A2766,'Yahoo ADP'!$B$2:$B2766=$B520,$C520='Yahoo ADP'!$C$2:$C2766,$D520='Yahoo ADP'!$D$2:$D2766))"),"")</f>
        <v/>
      </c>
      <c r="F520" s="13" t="str">
        <f>IFERROR(__xludf.DUMMYFUNCTION("ifna(filter('Yahoo ADP'!$E$2:$E2766,'Yahoo ADP'!$B$2:$B2766=$B520,$C520='Yahoo ADP'!$C$2:$C2766,$D520='Yahoo ADP'!$D$2:$D2766))"),"-")</f>
        <v>-</v>
      </c>
      <c r="G520" s="27">
        <v>494.0</v>
      </c>
      <c r="H520" s="8">
        <f t="shared" si="1"/>
        <v>-25</v>
      </c>
    </row>
    <row r="521">
      <c r="A521" s="10">
        <v>520.0</v>
      </c>
      <c r="B521" s="11" t="s">
        <v>3366</v>
      </c>
      <c r="C521" s="10" t="s">
        <v>22</v>
      </c>
      <c r="D521" s="10" t="s">
        <v>140</v>
      </c>
      <c r="E521" s="13" t="str">
        <f>IFERROR(__xludf.DUMMYFUNCTION("ifna(filter('Yahoo ADP'!$A$2:$A2766,'Yahoo ADP'!$B$2:$B2766=$B521,$C521='Yahoo ADP'!$C$2:$C2766,$D521='Yahoo ADP'!$D$2:$D2766))"),"")</f>
        <v/>
      </c>
      <c r="F521" s="13" t="str">
        <f>IFERROR(__xludf.DUMMYFUNCTION("ifna(filter('Yahoo ADP'!$E$2:$E2766,'Yahoo ADP'!$B$2:$B2766=$B521,$C521='Yahoo ADP'!$C$2:$C2766,$D521='Yahoo ADP'!$D$2:$D2766))"),"-")</f>
        <v>-</v>
      </c>
      <c r="G521" s="27">
        <v>495.0</v>
      </c>
      <c r="H521" s="8">
        <f t="shared" si="1"/>
        <v>-25</v>
      </c>
    </row>
    <row r="522">
      <c r="A522" s="10">
        <v>521.0</v>
      </c>
      <c r="B522" s="11" t="s">
        <v>3367</v>
      </c>
      <c r="C522" s="10" t="s">
        <v>79</v>
      </c>
      <c r="D522" s="10" t="s">
        <v>12</v>
      </c>
      <c r="E522" s="13" t="str">
        <f>IFERROR(__xludf.DUMMYFUNCTION("ifna(filter('Yahoo ADP'!$A$2:$A2766,'Yahoo ADP'!$B$2:$B2766=$B522,$C522='Yahoo ADP'!$C$2:$C2766,$D522='Yahoo ADP'!$D$2:$D2766))"),"")</f>
        <v/>
      </c>
      <c r="F522" s="13" t="str">
        <f>IFERROR(__xludf.DUMMYFUNCTION("ifna(filter('Yahoo ADP'!$E$2:$E2766,'Yahoo ADP'!$B$2:$B2766=$B522,$C522='Yahoo ADP'!$C$2:$C2766,$D522='Yahoo ADP'!$D$2:$D2766))"),"-")</f>
        <v>-</v>
      </c>
      <c r="G522" s="27">
        <v>496.0</v>
      </c>
      <c r="H522" s="8">
        <f t="shared" si="1"/>
        <v>-25</v>
      </c>
    </row>
    <row r="523">
      <c r="A523" s="10">
        <v>522.0</v>
      </c>
      <c r="B523" s="11" t="s">
        <v>3368</v>
      </c>
      <c r="C523" s="10" t="s">
        <v>79</v>
      </c>
      <c r="D523" s="10" t="s">
        <v>12</v>
      </c>
      <c r="E523" s="13" t="str">
        <f>IFERROR(__xludf.DUMMYFUNCTION("ifna(filter('Yahoo ADP'!$A$2:$A2766,'Yahoo ADP'!$B$2:$B2766=$B523,$C523='Yahoo ADP'!$C$2:$C2766,$D523='Yahoo ADP'!$D$2:$D2766))"),"")</f>
        <v/>
      </c>
      <c r="F523" s="13" t="str">
        <f>IFERROR(__xludf.DUMMYFUNCTION("ifna(filter('Yahoo ADP'!$E$2:$E2766,'Yahoo ADP'!$B$2:$B2766=$B523,$C523='Yahoo ADP'!$C$2:$C2766,$D523='Yahoo ADP'!$D$2:$D2766))"),"-")</f>
        <v>-</v>
      </c>
      <c r="G523" s="27">
        <v>497.0</v>
      </c>
      <c r="H523" s="8">
        <f t="shared" si="1"/>
        <v>-25</v>
      </c>
    </row>
    <row r="524">
      <c r="A524" s="10">
        <v>523.0</v>
      </c>
      <c r="B524" s="11" t="s">
        <v>3369</v>
      </c>
      <c r="C524" s="10" t="s">
        <v>79</v>
      </c>
      <c r="D524" s="10" t="s">
        <v>95</v>
      </c>
      <c r="E524" s="13" t="str">
        <f>IFERROR(__xludf.DUMMYFUNCTION("ifna(filter('Yahoo ADP'!$A$2:$A2766,'Yahoo ADP'!$B$2:$B2766=$B524,$C524='Yahoo ADP'!$C$2:$C2766,$D524='Yahoo ADP'!$D$2:$D2766))"),"")</f>
        <v/>
      </c>
      <c r="F524" s="13" t="str">
        <f>IFERROR(__xludf.DUMMYFUNCTION("ifna(filter('Yahoo ADP'!$E$2:$E2766,'Yahoo ADP'!$B$2:$B2766=$B524,$C524='Yahoo ADP'!$C$2:$C2766,$D524='Yahoo ADP'!$D$2:$D2766))"),"-")</f>
        <v>-</v>
      </c>
      <c r="G524" s="27">
        <v>498.0</v>
      </c>
      <c r="H524" s="8">
        <f t="shared" si="1"/>
        <v>-25</v>
      </c>
    </row>
    <row r="525">
      <c r="A525" s="10">
        <v>524.0</v>
      </c>
      <c r="B525" s="11" t="s">
        <v>3370</v>
      </c>
      <c r="C525" s="10" t="s">
        <v>220</v>
      </c>
      <c r="D525" s="10" t="s">
        <v>34</v>
      </c>
      <c r="E525" s="13" t="str">
        <f>IFERROR(__xludf.DUMMYFUNCTION("ifna(filter('Yahoo ADP'!$A$2:$A2766,'Yahoo ADP'!$B$2:$B2766=$B525,$C525='Yahoo ADP'!$C$2:$C2766,$D525='Yahoo ADP'!$D$2:$D2766))"),"")</f>
        <v/>
      </c>
      <c r="F525" s="13" t="str">
        <f>IFERROR(__xludf.DUMMYFUNCTION("ifna(filter('Yahoo ADP'!$E$2:$E2766,'Yahoo ADP'!$B$2:$B2766=$B525,$C525='Yahoo ADP'!$C$2:$C2766,$D525='Yahoo ADP'!$D$2:$D2766))"),"-")</f>
        <v>-</v>
      </c>
      <c r="G525" s="27">
        <v>499.0</v>
      </c>
      <c r="H525" s="8">
        <f t="shared" si="1"/>
        <v>-25</v>
      </c>
    </row>
    <row r="526">
      <c r="A526" s="10">
        <v>525.0</v>
      </c>
      <c r="B526" s="11" t="s">
        <v>3371</v>
      </c>
      <c r="C526" s="10" t="s">
        <v>22</v>
      </c>
      <c r="D526" s="10" t="s">
        <v>18</v>
      </c>
      <c r="E526" s="13" t="str">
        <f>IFERROR(__xludf.DUMMYFUNCTION("ifna(filter('Yahoo ADP'!$A$2:$A2766,'Yahoo ADP'!$B$2:$B2766=$B526,$C526='Yahoo ADP'!$C$2:$C2766,$D526='Yahoo ADP'!$D$2:$D2766))"),"")</f>
        <v/>
      </c>
      <c r="F526" s="13" t="str">
        <f>IFERROR(__xludf.DUMMYFUNCTION("ifna(filter('Yahoo ADP'!$E$2:$E2766,'Yahoo ADP'!$B$2:$B2766=$B526,$C526='Yahoo ADP'!$C$2:$C2766,$D526='Yahoo ADP'!$D$2:$D2766))"),"-")</f>
        <v>-</v>
      </c>
      <c r="G526" s="27">
        <v>500.0</v>
      </c>
      <c r="H526" s="8">
        <f t="shared" si="1"/>
        <v>-25</v>
      </c>
    </row>
    <row r="527">
      <c r="A527" s="10">
        <v>526.0</v>
      </c>
      <c r="B527" s="11" t="s">
        <v>3372</v>
      </c>
      <c r="C527" s="10" t="s">
        <v>79</v>
      </c>
      <c r="D527" s="10" t="s">
        <v>49</v>
      </c>
      <c r="E527" s="13" t="str">
        <f>IFERROR(__xludf.DUMMYFUNCTION("ifna(filter('Yahoo ADP'!$A$2:$A2766,'Yahoo ADP'!$B$2:$B2766=$B527,$C527='Yahoo ADP'!$C$2:$C2766,$D527='Yahoo ADP'!$D$2:$D2766))"),"")</f>
        <v/>
      </c>
      <c r="F527" s="13" t="str">
        <f>IFERROR(__xludf.DUMMYFUNCTION("ifna(filter('Yahoo ADP'!$E$2:$E2766,'Yahoo ADP'!$B$2:$B2766=$B527,$C527='Yahoo ADP'!$C$2:$C2766,$D527='Yahoo ADP'!$D$2:$D2766))"),"-")</f>
        <v>-</v>
      </c>
      <c r="G527" s="27">
        <v>501.0</v>
      </c>
      <c r="H527" s="8">
        <f t="shared" si="1"/>
        <v>-25</v>
      </c>
    </row>
    <row r="528">
      <c r="A528" s="10">
        <v>527.0</v>
      </c>
      <c r="B528" s="11" t="s">
        <v>3373</v>
      </c>
      <c r="C528" s="10" t="s">
        <v>79</v>
      </c>
      <c r="D528" s="10" t="s">
        <v>25</v>
      </c>
      <c r="E528" s="13" t="str">
        <f>IFERROR(__xludf.DUMMYFUNCTION("ifna(filter('Yahoo ADP'!$A$2:$A2766,'Yahoo ADP'!$B$2:$B2766=$B528,$C528='Yahoo ADP'!$C$2:$C2766,$D528='Yahoo ADP'!$D$2:$D2766))"),"")</f>
        <v/>
      </c>
      <c r="F528" s="13" t="str">
        <f>IFERROR(__xludf.DUMMYFUNCTION("ifna(filter('Yahoo ADP'!$E$2:$E2766,'Yahoo ADP'!$B$2:$B2766=$B528,$C528='Yahoo ADP'!$C$2:$C2766,$D528='Yahoo ADP'!$D$2:$D2766))"),"-")</f>
        <v>-</v>
      </c>
      <c r="G528" s="27">
        <v>502.0</v>
      </c>
      <c r="H528" s="8">
        <f t="shared" si="1"/>
        <v>-25</v>
      </c>
    </row>
    <row r="529">
      <c r="A529" s="10">
        <v>528.0</v>
      </c>
      <c r="B529" s="11" t="s">
        <v>3374</v>
      </c>
      <c r="C529" s="10" t="s">
        <v>79</v>
      </c>
      <c r="D529" s="10" t="s">
        <v>36</v>
      </c>
      <c r="E529" s="13" t="str">
        <f>IFERROR(__xludf.DUMMYFUNCTION("ifna(filter('Yahoo ADP'!$A$2:$A2766,'Yahoo ADP'!$B$2:$B2766=$B529,$C529='Yahoo ADP'!$C$2:$C2766,$D529='Yahoo ADP'!$D$2:$D2766))"),"")</f>
        <v/>
      </c>
      <c r="F529" s="13" t="str">
        <f>IFERROR(__xludf.DUMMYFUNCTION("ifna(filter('Yahoo ADP'!$E$2:$E2766,'Yahoo ADP'!$B$2:$B2766=$B529,$C529='Yahoo ADP'!$C$2:$C2766,$D529='Yahoo ADP'!$D$2:$D2766))"),"-")</f>
        <v>-</v>
      </c>
      <c r="G529" s="27">
        <v>503.0</v>
      </c>
      <c r="H529" s="8">
        <f t="shared" si="1"/>
        <v>-25</v>
      </c>
    </row>
    <row r="530">
      <c r="A530" s="10">
        <v>529.0</v>
      </c>
      <c r="B530" s="11" t="s">
        <v>3375</v>
      </c>
      <c r="C530" s="10" t="s">
        <v>79</v>
      </c>
      <c r="D530" s="10" t="s">
        <v>71</v>
      </c>
      <c r="E530" s="13" t="str">
        <f>IFERROR(__xludf.DUMMYFUNCTION("ifna(filter('Yahoo ADP'!$A$2:$A2766,'Yahoo ADP'!$B$2:$B2766=$B530,$C530='Yahoo ADP'!$C$2:$C2766,$D530='Yahoo ADP'!$D$2:$D2766))"),"")</f>
        <v/>
      </c>
      <c r="F530" s="13" t="str">
        <f>IFERROR(__xludf.DUMMYFUNCTION("ifna(filter('Yahoo ADP'!$E$2:$E2766,'Yahoo ADP'!$B$2:$B2766=$B530,$C530='Yahoo ADP'!$C$2:$C2766,$D530='Yahoo ADP'!$D$2:$D2766))"),"-")</f>
        <v>-</v>
      </c>
      <c r="G530" s="27">
        <v>504.0</v>
      </c>
      <c r="H530" s="8">
        <f t="shared" si="1"/>
        <v>-25</v>
      </c>
    </row>
    <row r="531">
      <c r="A531" s="10">
        <v>530.0</v>
      </c>
      <c r="B531" s="11" t="s">
        <v>3376</v>
      </c>
      <c r="C531" s="10" t="s">
        <v>615</v>
      </c>
      <c r="D531" s="10" t="s">
        <v>71</v>
      </c>
      <c r="E531" s="13" t="str">
        <f>IFERROR(__xludf.DUMMYFUNCTION("ifna(filter('Yahoo ADP'!$A$2:$A2766,'Yahoo ADP'!$B$2:$B2766=$B531,$C531='Yahoo ADP'!$C$2:$C2766,$D531='Yahoo ADP'!$D$2:$D2766))"),"")</f>
        <v/>
      </c>
      <c r="F531" s="13" t="str">
        <f>IFERROR(__xludf.DUMMYFUNCTION("ifna(filter('Yahoo ADP'!$E$2:$E2766,'Yahoo ADP'!$B$2:$B2766=$B531,$C531='Yahoo ADP'!$C$2:$C2766,$D531='Yahoo ADP'!$D$2:$D2766))"),"-")</f>
        <v>-</v>
      </c>
      <c r="G531" s="27">
        <v>505.0</v>
      </c>
      <c r="H531" s="8">
        <f t="shared" si="1"/>
        <v>-25</v>
      </c>
    </row>
    <row r="532">
      <c r="A532" s="10">
        <v>531.0</v>
      </c>
      <c r="B532" s="11" t="s">
        <v>3377</v>
      </c>
      <c r="C532" s="10" t="s">
        <v>218</v>
      </c>
      <c r="D532" s="10" t="s">
        <v>9</v>
      </c>
      <c r="E532" s="13" t="str">
        <f>IFERROR(__xludf.DUMMYFUNCTION("ifna(filter('Yahoo ADP'!$A$2:$A2766,'Yahoo ADP'!$B$2:$B2766=$B532,$C532='Yahoo ADP'!$C$2:$C2766,$D532='Yahoo ADP'!$D$2:$D2766))"),"")</f>
        <v/>
      </c>
      <c r="F532" s="13" t="str">
        <f>IFERROR(__xludf.DUMMYFUNCTION("ifna(filter('Yahoo ADP'!$E$2:$E2766,'Yahoo ADP'!$B$2:$B2766=$B532,$C532='Yahoo ADP'!$C$2:$C2766,$D532='Yahoo ADP'!$D$2:$D2766))"),"-")</f>
        <v>-</v>
      </c>
      <c r="G532" s="27">
        <v>506.0</v>
      </c>
      <c r="H532" s="8">
        <f t="shared" si="1"/>
        <v>-25</v>
      </c>
    </row>
    <row r="533">
      <c r="A533" s="10">
        <v>532.0</v>
      </c>
      <c r="B533" s="11" t="s">
        <v>3378</v>
      </c>
      <c r="C533" s="10" t="s">
        <v>79</v>
      </c>
      <c r="D533" s="10" t="s">
        <v>49</v>
      </c>
      <c r="E533" s="13" t="str">
        <f>IFERROR(__xludf.DUMMYFUNCTION("ifna(filter('Yahoo ADP'!$A$2:$A2766,'Yahoo ADP'!$B$2:$B2766=$B533,$C533='Yahoo ADP'!$C$2:$C2766,$D533='Yahoo ADP'!$D$2:$D2766))"),"")</f>
        <v/>
      </c>
      <c r="F533" s="13" t="str">
        <f>IFERROR(__xludf.DUMMYFUNCTION("ifna(filter('Yahoo ADP'!$E$2:$E2766,'Yahoo ADP'!$B$2:$B2766=$B533,$C533='Yahoo ADP'!$C$2:$C2766,$D533='Yahoo ADP'!$D$2:$D2766))"),"-")</f>
        <v>-</v>
      </c>
      <c r="G533" s="27">
        <v>507.0</v>
      </c>
      <c r="H533" s="8">
        <f t="shared" si="1"/>
        <v>-25</v>
      </c>
    </row>
    <row r="534">
      <c r="A534" s="10">
        <v>533.0</v>
      </c>
      <c r="B534" s="11" t="s">
        <v>3379</v>
      </c>
      <c r="C534" s="10" t="s">
        <v>619</v>
      </c>
      <c r="D534" s="10" t="s">
        <v>95</v>
      </c>
      <c r="E534" s="13">
        <f>IFERROR(__xludf.DUMMYFUNCTION("ifna(filter('Yahoo ADP'!$A$2:$A2766,'Yahoo ADP'!$B$2:$B2766=$B534,$C534='Yahoo ADP'!$C$2:$C2766,$D534='Yahoo ADP'!$D$2:$D2766))"),239.4)</f>
        <v>239.4</v>
      </c>
      <c r="F534" s="13">
        <f>IFERROR(__xludf.DUMMYFUNCTION("ifna(filter('Yahoo ADP'!$E$2:$E2766,'Yahoo ADP'!$B$2:$B2766=$B534,$C534='Yahoo ADP'!$C$2:$C2766,$D534='Yahoo ADP'!$D$2:$D2766))"),1.3)</f>
        <v>1.3</v>
      </c>
      <c r="G534" s="27">
        <v>508.0</v>
      </c>
      <c r="H534" s="8">
        <f t="shared" si="1"/>
        <v>-25</v>
      </c>
    </row>
    <row r="535">
      <c r="A535" s="10">
        <v>534.0</v>
      </c>
      <c r="B535" s="11" t="s">
        <v>3380</v>
      </c>
      <c r="C535" s="10" t="s">
        <v>220</v>
      </c>
      <c r="D535" s="10" t="s">
        <v>206</v>
      </c>
      <c r="E535" s="13" t="str">
        <f>IFERROR(__xludf.DUMMYFUNCTION("ifna(filter('Yahoo ADP'!$A$2:$A2766,'Yahoo ADP'!$B$2:$B2766=$B535,$C535='Yahoo ADP'!$C$2:$C2766,$D535='Yahoo ADP'!$D$2:$D2766))"),"")</f>
        <v/>
      </c>
      <c r="F535" s="13" t="str">
        <f>IFERROR(__xludf.DUMMYFUNCTION("ifna(filter('Yahoo ADP'!$E$2:$E2766,'Yahoo ADP'!$B$2:$B2766=$B535,$C535='Yahoo ADP'!$C$2:$C2766,$D535='Yahoo ADP'!$D$2:$D2766))"),"-")</f>
        <v>-</v>
      </c>
      <c r="G535" s="27">
        <v>509.0</v>
      </c>
      <c r="H535" s="8">
        <f t="shared" si="1"/>
        <v>-25</v>
      </c>
    </row>
    <row r="536">
      <c r="A536" s="10">
        <v>535.0</v>
      </c>
      <c r="B536" s="11" t="s">
        <v>3381</v>
      </c>
      <c r="C536" s="10" t="s">
        <v>220</v>
      </c>
      <c r="D536" s="10" t="s">
        <v>206</v>
      </c>
      <c r="E536" s="13" t="str">
        <f>IFERROR(__xludf.DUMMYFUNCTION("ifna(filter('Yahoo ADP'!$A$2:$A2766,'Yahoo ADP'!$B$2:$B2766=$B536,$C536='Yahoo ADP'!$C$2:$C2766,$D536='Yahoo ADP'!$D$2:$D2766))"),"")</f>
        <v/>
      </c>
      <c r="F536" s="13" t="str">
        <f>IFERROR(__xludf.DUMMYFUNCTION("ifna(filter('Yahoo ADP'!$E$2:$E2766,'Yahoo ADP'!$B$2:$B2766=$B536,$C536='Yahoo ADP'!$C$2:$C2766,$D536='Yahoo ADP'!$D$2:$D2766))"),"-")</f>
        <v>-</v>
      </c>
      <c r="G536" s="27">
        <v>510.0</v>
      </c>
      <c r="H536" s="8">
        <f t="shared" si="1"/>
        <v>-25</v>
      </c>
    </row>
    <row r="537">
      <c r="A537" s="10">
        <v>536.0</v>
      </c>
      <c r="B537" s="11" t="s">
        <v>3382</v>
      </c>
      <c r="C537" s="10" t="s">
        <v>220</v>
      </c>
      <c r="D537" s="10" t="s">
        <v>67</v>
      </c>
      <c r="E537" s="13" t="str">
        <f>IFERROR(__xludf.DUMMYFUNCTION("ifna(filter('Yahoo ADP'!$A$2:$A2766,'Yahoo ADP'!$B$2:$B2766=$B537,$C537='Yahoo ADP'!$C$2:$C2766,$D537='Yahoo ADP'!$D$2:$D2766))"),"")</f>
        <v/>
      </c>
      <c r="F537" s="13" t="str">
        <f>IFERROR(__xludf.DUMMYFUNCTION("ifna(filter('Yahoo ADP'!$E$2:$E2766,'Yahoo ADP'!$B$2:$B2766=$B537,$C537='Yahoo ADP'!$C$2:$C2766,$D537='Yahoo ADP'!$D$2:$D2766))"),"-")</f>
        <v>-</v>
      </c>
      <c r="G537" s="27">
        <v>511.0</v>
      </c>
      <c r="H537" s="8">
        <f t="shared" si="1"/>
        <v>-25</v>
      </c>
    </row>
    <row r="538">
      <c r="A538" s="10">
        <v>537.0</v>
      </c>
      <c r="B538" s="11" t="s">
        <v>3383</v>
      </c>
      <c r="C538" s="10" t="s">
        <v>79</v>
      </c>
      <c r="D538" s="10" t="s">
        <v>105</v>
      </c>
      <c r="E538" s="13" t="str">
        <f>IFERROR(__xludf.DUMMYFUNCTION("ifna(filter('Yahoo ADP'!$A$2:$A2766,'Yahoo ADP'!$B$2:$B2766=$B538,$C538='Yahoo ADP'!$C$2:$C2766,$D538='Yahoo ADP'!$D$2:$D2766))"),"")</f>
        <v/>
      </c>
      <c r="F538" s="13" t="str">
        <f>IFERROR(__xludf.DUMMYFUNCTION("ifna(filter('Yahoo ADP'!$E$2:$E2766,'Yahoo ADP'!$B$2:$B2766=$B538,$C538='Yahoo ADP'!$C$2:$C2766,$D538='Yahoo ADP'!$D$2:$D2766))"),"-")</f>
        <v>-</v>
      </c>
      <c r="G538" s="27">
        <v>512.0</v>
      </c>
      <c r="H538" s="8">
        <f t="shared" si="1"/>
        <v>-25</v>
      </c>
    </row>
    <row r="539">
      <c r="A539" s="10">
        <v>538.0</v>
      </c>
      <c r="B539" s="11" t="s">
        <v>3384</v>
      </c>
      <c r="C539" s="10" t="s">
        <v>79</v>
      </c>
      <c r="D539" s="10" t="s">
        <v>71</v>
      </c>
      <c r="E539" s="13" t="str">
        <f>IFERROR(__xludf.DUMMYFUNCTION("ifna(filter('Yahoo ADP'!$A$2:$A2766,'Yahoo ADP'!$B$2:$B2766=$B539,$C539='Yahoo ADP'!$C$2:$C2766,$D539='Yahoo ADP'!$D$2:$D2766))"),"")</f>
        <v/>
      </c>
      <c r="F539" s="13" t="str">
        <f>IFERROR(__xludf.DUMMYFUNCTION("ifna(filter('Yahoo ADP'!$E$2:$E2766,'Yahoo ADP'!$B$2:$B2766=$B539,$C539='Yahoo ADP'!$C$2:$C2766,$D539='Yahoo ADP'!$D$2:$D2766))"),"-")</f>
        <v>-</v>
      </c>
      <c r="G539" s="27">
        <v>513.0</v>
      </c>
      <c r="H539" s="8">
        <f t="shared" si="1"/>
        <v>-25</v>
      </c>
    </row>
    <row r="540">
      <c r="A540" s="10">
        <v>539.0</v>
      </c>
      <c r="B540" s="11" t="s">
        <v>3385</v>
      </c>
      <c r="C540" s="10" t="s">
        <v>79</v>
      </c>
      <c r="D540" s="10" t="s">
        <v>206</v>
      </c>
      <c r="E540" s="13" t="str">
        <f>IFERROR(__xludf.DUMMYFUNCTION("ifna(filter('Yahoo ADP'!$A$2:$A2766,'Yahoo ADP'!$B$2:$B2766=$B540,$C540='Yahoo ADP'!$C$2:$C2766,$D540='Yahoo ADP'!$D$2:$D2766))"),"")</f>
        <v/>
      </c>
      <c r="F540" s="13" t="str">
        <f>IFERROR(__xludf.DUMMYFUNCTION("ifna(filter('Yahoo ADP'!$E$2:$E2766,'Yahoo ADP'!$B$2:$B2766=$B540,$C540='Yahoo ADP'!$C$2:$C2766,$D540='Yahoo ADP'!$D$2:$D2766))"),"-")</f>
        <v>-</v>
      </c>
      <c r="G540" s="27">
        <v>514.0</v>
      </c>
      <c r="H540" s="8">
        <f t="shared" si="1"/>
        <v>-25</v>
      </c>
    </row>
    <row r="541">
      <c r="A541" s="10">
        <v>540.0</v>
      </c>
      <c r="B541" s="11" t="s">
        <v>3386</v>
      </c>
      <c r="C541" s="10" t="s">
        <v>79</v>
      </c>
      <c r="D541" s="10" t="s">
        <v>67</v>
      </c>
      <c r="E541" s="13" t="str">
        <f>IFERROR(__xludf.DUMMYFUNCTION("ifna(filter('Yahoo ADP'!$A$2:$A2766,'Yahoo ADP'!$B$2:$B2766=$B541,$C541='Yahoo ADP'!$C$2:$C2766,$D541='Yahoo ADP'!$D$2:$D2766))"),"")</f>
        <v/>
      </c>
      <c r="F541" s="13" t="str">
        <f>IFERROR(__xludf.DUMMYFUNCTION("ifna(filter('Yahoo ADP'!$E$2:$E2766,'Yahoo ADP'!$B$2:$B2766=$B541,$C541='Yahoo ADP'!$C$2:$C2766,$D541='Yahoo ADP'!$D$2:$D2766))"),"-")</f>
        <v>-</v>
      </c>
      <c r="G541" s="27">
        <v>515.0</v>
      </c>
      <c r="H541" s="8">
        <f t="shared" si="1"/>
        <v>-25</v>
      </c>
    </row>
    <row r="542">
      <c r="A542" s="10">
        <v>541.0</v>
      </c>
      <c r="B542" s="11" t="s">
        <v>3387</v>
      </c>
      <c r="C542" s="10" t="s">
        <v>220</v>
      </c>
      <c r="D542" s="10" t="s">
        <v>129</v>
      </c>
      <c r="E542" s="13" t="str">
        <f>IFERROR(__xludf.DUMMYFUNCTION("ifna(filter('Yahoo ADP'!$A$2:$A2766,'Yahoo ADP'!$B$2:$B2766=$B542,$C542='Yahoo ADP'!$C$2:$C2766,$D542='Yahoo ADP'!$D$2:$D2766))"),"")</f>
        <v/>
      </c>
      <c r="F542" s="13" t="str">
        <f>IFERROR(__xludf.DUMMYFUNCTION("ifna(filter('Yahoo ADP'!$E$2:$E2766,'Yahoo ADP'!$B$2:$B2766=$B542,$C542='Yahoo ADP'!$C$2:$C2766,$D542='Yahoo ADP'!$D$2:$D2766))"),"-")</f>
        <v>-</v>
      </c>
      <c r="G542" s="27">
        <v>516.0</v>
      </c>
      <c r="H542" s="8">
        <f t="shared" si="1"/>
        <v>-25</v>
      </c>
    </row>
    <row r="543">
      <c r="A543" s="10">
        <v>542.0</v>
      </c>
      <c r="B543" s="11" t="s">
        <v>3388</v>
      </c>
      <c r="C543" s="10" t="s">
        <v>79</v>
      </c>
      <c r="D543" s="10" t="s">
        <v>206</v>
      </c>
      <c r="E543" s="13" t="str">
        <f>IFERROR(__xludf.DUMMYFUNCTION("ifna(filter('Yahoo ADP'!$A$2:$A2766,'Yahoo ADP'!$B$2:$B2766=$B543,$C543='Yahoo ADP'!$C$2:$C2766,$D543='Yahoo ADP'!$D$2:$D2766))"),"")</f>
        <v/>
      </c>
      <c r="F543" s="13" t="str">
        <f>IFERROR(__xludf.DUMMYFUNCTION("ifna(filter('Yahoo ADP'!$E$2:$E2766,'Yahoo ADP'!$B$2:$B2766=$B543,$C543='Yahoo ADP'!$C$2:$C2766,$D543='Yahoo ADP'!$D$2:$D2766))"),"-")</f>
        <v>-</v>
      </c>
      <c r="G543" s="27">
        <v>517.0</v>
      </c>
      <c r="H543" s="8">
        <f t="shared" si="1"/>
        <v>-25</v>
      </c>
    </row>
    <row r="544">
      <c r="A544" s="10">
        <v>543.0</v>
      </c>
      <c r="B544" s="11" t="s">
        <v>3389</v>
      </c>
      <c r="C544" s="10" t="s">
        <v>218</v>
      </c>
      <c r="D544" s="10" t="s">
        <v>122</v>
      </c>
      <c r="E544" s="13" t="str">
        <f>IFERROR(__xludf.DUMMYFUNCTION("ifna(filter('Yahoo ADP'!$A$2:$A2766,'Yahoo ADP'!$B$2:$B2766=$B544,$C544='Yahoo ADP'!$C$2:$C2766,$D544='Yahoo ADP'!$D$2:$D2766))"),"")</f>
        <v/>
      </c>
      <c r="F544" s="13" t="str">
        <f>IFERROR(__xludf.DUMMYFUNCTION("ifna(filter('Yahoo ADP'!$E$2:$E2766,'Yahoo ADP'!$B$2:$B2766=$B544,$C544='Yahoo ADP'!$C$2:$C2766,$D544='Yahoo ADP'!$D$2:$D2766))"),"-")</f>
        <v>-</v>
      </c>
      <c r="G544" s="27">
        <v>518.0</v>
      </c>
      <c r="H544" s="8">
        <f t="shared" si="1"/>
        <v>-25</v>
      </c>
    </row>
    <row r="545">
      <c r="A545" s="10">
        <v>544.0</v>
      </c>
      <c r="B545" s="11" t="s">
        <v>3390</v>
      </c>
      <c r="C545" s="10" t="s">
        <v>79</v>
      </c>
      <c r="D545" s="10" t="s">
        <v>82</v>
      </c>
      <c r="E545" s="13" t="str">
        <f>IFERROR(__xludf.DUMMYFUNCTION("ifna(filter('Yahoo ADP'!$A$2:$A2766,'Yahoo ADP'!$B$2:$B2766=$B545,$C545='Yahoo ADP'!$C$2:$C2766,$D545='Yahoo ADP'!$D$2:$D2766))"),"")</f>
        <v/>
      </c>
      <c r="F545" s="13" t="str">
        <f>IFERROR(__xludf.DUMMYFUNCTION("ifna(filter('Yahoo ADP'!$E$2:$E2766,'Yahoo ADP'!$B$2:$B2766=$B545,$C545='Yahoo ADP'!$C$2:$C2766,$D545='Yahoo ADP'!$D$2:$D2766))"),"-")</f>
        <v>-</v>
      </c>
      <c r="G545" s="27">
        <v>519.0</v>
      </c>
      <c r="H545" s="8">
        <f t="shared" si="1"/>
        <v>-25</v>
      </c>
    </row>
    <row r="546">
      <c r="A546" s="10">
        <v>545.0</v>
      </c>
      <c r="B546" s="11" t="s">
        <v>3391</v>
      </c>
      <c r="C546" s="10" t="s">
        <v>79</v>
      </c>
      <c r="D546" s="10" t="s">
        <v>99</v>
      </c>
      <c r="E546" s="13" t="str">
        <f>IFERROR(__xludf.DUMMYFUNCTION("ifna(filter('Yahoo ADP'!$A$2:$A2766,'Yahoo ADP'!$B$2:$B2766=$B546,$C546='Yahoo ADP'!$C$2:$C2766,$D546='Yahoo ADP'!$D$2:$D2766))"),"")</f>
        <v/>
      </c>
      <c r="F546" s="13" t="str">
        <f>IFERROR(__xludf.DUMMYFUNCTION("ifna(filter('Yahoo ADP'!$E$2:$E2766,'Yahoo ADP'!$B$2:$B2766=$B546,$C546='Yahoo ADP'!$C$2:$C2766,$D546='Yahoo ADP'!$D$2:$D2766))"),"-")</f>
        <v>-</v>
      </c>
      <c r="G546" s="27">
        <v>520.0</v>
      </c>
      <c r="H546" s="8">
        <f t="shared" si="1"/>
        <v>-25</v>
      </c>
    </row>
    <row r="547">
      <c r="A547" s="10">
        <v>546.0</v>
      </c>
      <c r="B547" s="11" t="s">
        <v>3392</v>
      </c>
      <c r="C547" s="10" t="s">
        <v>79</v>
      </c>
      <c r="D547" s="10" t="s">
        <v>52</v>
      </c>
      <c r="E547" s="13" t="str">
        <f>IFERROR(__xludf.DUMMYFUNCTION("ifna(filter('Yahoo ADP'!$A$2:$A2766,'Yahoo ADP'!$B$2:$B2766=$B547,$C547='Yahoo ADP'!$C$2:$C2766,$D547='Yahoo ADP'!$D$2:$D2766))"),"")</f>
        <v/>
      </c>
      <c r="F547" s="13" t="str">
        <f>IFERROR(__xludf.DUMMYFUNCTION("ifna(filter('Yahoo ADP'!$E$2:$E2766,'Yahoo ADP'!$B$2:$B2766=$B547,$C547='Yahoo ADP'!$C$2:$C2766,$D547='Yahoo ADP'!$D$2:$D2766))"),"-")</f>
        <v>-</v>
      </c>
      <c r="G547" s="27">
        <v>521.0</v>
      </c>
      <c r="H547" s="8">
        <f t="shared" si="1"/>
        <v>-25</v>
      </c>
    </row>
    <row r="548">
      <c r="A548" s="10">
        <v>547.0</v>
      </c>
      <c r="B548" s="11" t="s">
        <v>3393</v>
      </c>
      <c r="C548" s="10" t="s">
        <v>199</v>
      </c>
      <c r="D548" s="10" t="s">
        <v>46</v>
      </c>
      <c r="E548" s="13">
        <f>IFERROR(__xludf.DUMMYFUNCTION("ifna(filter('Yahoo ADP'!$A$2:$A2766,'Yahoo ADP'!$B$2:$B2766=$B548,$C548='Yahoo ADP'!$C$2:$C2766,$D548='Yahoo ADP'!$D$2:$D2766))"),242.0)</f>
        <v>242</v>
      </c>
      <c r="F548" s="13">
        <f>IFERROR(__xludf.DUMMYFUNCTION("ifna(filter('Yahoo ADP'!$E$2:$E2766,'Yahoo ADP'!$B$2:$B2766=$B548,$C548='Yahoo ADP'!$C$2:$C2766,$D548='Yahoo ADP'!$D$2:$D2766))"),1.4)</f>
        <v>1.4</v>
      </c>
      <c r="G548" s="27">
        <v>522.0</v>
      </c>
      <c r="H548" s="8">
        <f t="shared" si="1"/>
        <v>-25</v>
      </c>
    </row>
    <row r="549">
      <c r="A549" s="10">
        <v>548.0</v>
      </c>
      <c r="B549" s="11" t="s">
        <v>3394</v>
      </c>
      <c r="C549" s="10" t="s">
        <v>220</v>
      </c>
      <c r="D549" s="10" t="s">
        <v>9</v>
      </c>
      <c r="E549" s="13" t="str">
        <f>IFERROR(__xludf.DUMMYFUNCTION("ifna(filter('Yahoo ADP'!$A$2:$A2766,'Yahoo ADP'!$B$2:$B2766=$B549,$C549='Yahoo ADP'!$C$2:$C2766,$D549='Yahoo ADP'!$D$2:$D2766))"),"")</f>
        <v/>
      </c>
      <c r="F549" s="13" t="str">
        <f>IFERROR(__xludf.DUMMYFUNCTION("ifna(filter('Yahoo ADP'!$E$2:$E2766,'Yahoo ADP'!$B$2:$B2766=$B549,$C549='Yahoo ADP'!$C$2:$C2766,$D549='Yahoo ADP'!$D$2:$D2766))"),"-")</f>
        <v>-</v>
      </c>
      <c r="G549" s="27">
        <v>523.0</v>
      </c>
      <c r="H549" s="8">
        <f t="shared" si="1"/>
        <v>-25</v>
      </c>
    </row>
    <row r="550">
      <c r="A550" s="10">
        <v>549.0</v>
      </c>
      <c r="B550" s="11" t="s">
        <v>3395</v>
      </c>
      <c r="C550" s="10" t="s">
        <v>22</v>
      </c>
      <c r="D550" s="10" t="s">
        <v>129</v>
      </c>
      <c r="E550" s="13" t="str">
        <f>IFERROR(__xludf.DUMMYFUNCTION("ifna(filter('Yahoo ADP'!$A$2:$A2766,'Yahoo ADP'!$B$2:$B2766=$B550,$C550='Yahoo ADP'!$C$2:$C2766,$D550='Yahoo ADP'!$D$2:$D2766))"),"")</f>
        <v/>
      </c>
      <c r="F550" s="13" t="str">
        <f>IFERROR(__xludf.DUMMYFUNCTION("ifna(filter('Yahoo ADP'!$E$2:$E2766,'Yahoo ADP'!$B$2:$B2766=$B550,$C550='Yahoo ADP'!$C$2:$C2766,$D550='Yahoo ADP'!$D$2:$D2766))"),"-")</f>
        <v>-</v>
      </c>
      <c r="G550" s="27">
        <v>524.0</v>
      </c>
      <c r="H550" s="8">
        <f t="shared" si="1"/>
        <v>-25</v>
      </c>
    </row>
    <row r="551">
      <c r="A551" s="10">
        <v>550.0</v>
      </c>
      <c r="B551" s="11" t="s">
        <v>3396</v>
      </c>
      <c r="C551" s="10" t="s">
        <v>22</v>
      </c>
      <c r="D551" s="10" t="s">
        <v>73</v>
      </c>
      <c r="E551" s="13" t="str">
        <f>IFERROR(__xludf.DUMMYFUNCTION("ifna(filter('Yahoo ADP'!$A$2:$A2766,'Yahoo ADP'!$B$2:$B2766=$B551,$C551='Yahoo ADP'!$C$2:$C2766,$D551='Yahoo ADP'!$D$2:$D2766))"),"")</f>
        <v/>
      </c>
      <c r="F551" s="13" t="str">
        <f>IFERROR(__xludf.DUMMYFUNCTION("ifna(filter('Yahoo ADP'!$E$2:$E2766,'Yahoo ADP'!$B$2:$B2766=$B551,$C551='Yahoo ADP'!$C$2:$C2766,$D551='Yahoo ADP'!$D$2:$D2766))"),"-")</f>
        <v>-</v>
      </c>
      <c r="G551" s="27">
        <v>525.0</v>
      </c>
      <c r="H551" s="8">
        <f t="shared" si="1"/>
        <v>-25</v>
      </c>
    </row>
    <row r="552">
      <c r="A552" s="10">
        <v>551.0</v>
      </c>
      <c r="B552" s="11" t="s">
        <v>3397</v>
      </c>
      <c r="C552" s="10" t="s">
        <v>79</v>
      </c>
      <c r="D552" s="10" t="s">
        <v>31</v>
      </c>
      <c r="E552" s="13" t="str">
        <f>IFERROR(__xludf.DUMMYFUNCTION("ifna(filter('Yahoo ADP'!$A$2:$A2766,'Yahoo ADP'!$B$2:$B2766=$B552,$C552='Yahoo ADP'!$C$2:$C2766,$D552='Yahoo ADP'!$D$2:$D2766))"),"")</f>
        <v/>
      </c>
      <c r="F552" s="13" t="str">
        <f>IFERROR(__xludf.DUMMYFUNCTION("ifna(filter('Yahoo ADP'!$E$2:$E2766,'Yahoo ADP'!$B$2:$B2766=$B552,$C552='Yahoo ADP'!$C$2:$C2766,$D552='Yahoo ADP'!$D$2:$D2766))"),"-")</f>
        <v>-</v>
      </c>
      <c r="G552" s="27">
        <v>526.0</v>
      </c>
      <c r="H552" s="8">
        <f t="shared" si="1"/>
        <v>-25</v>
      </c>
    </row>
    <row r="553">
      <c r="A553" s="10">
        <v>552.0</v>
      </c>
      <c r="B553" s="11" t="s">
        <v>3398</v>
      </c>
      <c r="C553" s="10" t="s">
        <v>79</v>
      </c>
      <c r="D553" s="10" t="s">
        <v>49</v>
      </c>
      <c r="E553" s="13" t="str">
        <f>IFERROR(__xludf.DUMMYFUNCTION("ifna(filter('Yahoo ADP'!$A$2:$A2766,'Yahoo ADP'!$B$2:$B2766=$B553,$C553='Yahoo ADP'!$C$2:$C2766,$D553='Yahoo ADP'!$D$2:$D2766))"),"")</f>
        <v/>
      </c>
      <c r="F553" s="13" t="str">
        <f>IFERROR(__xludf.DUMMYFUNCTION("ifna(filter('Yahoo ADP'!$E$2:$E2766,'Yahoo ADP'!$B$2:$B2766=$B553,$C553='Yahoo ADP'!$C$2:$C2766,$D553='Yahoo ADP'!$D$2:$D2766))"),"-")</f>
        <v>-</v>
      </c>
      <c r="G553" s="27">
        <v>527.0</v>
      </c>
      <c r="H553" s="8">
        <f t="shared" si="1"/>
        <v>-25</v>
      </c>
    </row>
    <row r="554">
      <c r="A554" s="10">
        <v>553.0</v>
      </c>
      <c r="B554" s="11" t="s">
        <v>3399</v>
      </c>
      <c r="C554" s="10" t="s">
        <v>79</v>
      </c>
      <c r="D554" s="10" t="s">
        <v>15</v>
      </c>
      <c r="E554" s="13" t="str">
        <f>IFERROR(__xludf.DUMMYFUNCTION("ifna(filter('Yahoo ADP'!$A$2:$A2766,'Yahoo ADP'!$B$2:$B2766=$B554,$C554='Yahoo ADP'!$C$2:$C2766,$D554='Yahoo ADP'!$D$2:$D2766))"),"")</f>
        <v/>
      </c>
      <c r="F554" s="13" t="str">
        <f>IFERROR(__xludf.DUMMYFUNCTION("ifna(filter('Yahoo ADP'!$E$2:$E2766,'Yahoo ADP'!$B$2:$B2766=$B554,$C554='Yahoo ADP'!$C$2:$C2766,$D554='Yahoo ADP'!$D$2:$D2766))"),"-")</f>
        <v>-</v>
      </c>
      <c r="G554" s="27">
        <v>528.0</v>
      </c>
      <c r="H554" s="8">
        <f t="shared" si="1"/>
        <v>-25</v>
      </c>
    </row>
    <row r="555">
      <c r="A555" s="10">
        <v>554.0</v>
      </c>
      <c r="B555" s="11" t="s">
        <v>3400</v>
      </c>
      <c r="C555" s="10" t="s">
        <v>79</v>
      </c>
      <c r="D555" s="10" t="s">
        <v>46</v>
      </c>
      <c r="E555" s="13" t="str">
        <f>IFERROR(__xludf.DUMMYFUNCTION("ifna(filter('Yahoo ADP'!$A$2:$A2766,'Yahoo ADP'!$B$2:$B2766=$B555,$C555='Yahoo ADP'!$C$2:$C2766,$D555='Yahoo ADP'!$D$2:$D2766))"),"")</f>
        <v/>
      </c>
      <c r="F555" s="13" t="str">
        <f>IFERROR(__xludf.DUMMYFUNCTION("ifna(filter('Yahoo ADP'!$E$2:$E2766,'Yahoo ADP'!$B$2:$B2766=$B555,$C555='Yahoo ADP'!$C$2:$C2766,$D555='Yahoo ADP'!$D$2:$D2766))"),"-")</f>
        <v>-</v>
      </c>
      <c r="G555" s="27">
        <v>529.0</v>
      </c>
      <c r="H555" s="8">
        <f t="shared" si="1"/>
        <v>-25</v>
      </c>
    </row>
    <row r="556">
      <c r="A556" s="10">
        <v>555.0</v>
      </c>
      <c r="B556" s="11" t="s">
        <v>3401</v>
      </c>
      <c r="C556" s="10" t="s">
        <v>79</v>
      </c>
      <c r="D556" s="10" t="s">
        <v>122</v>
      </c>
      <c r="E556" s="13" t="str">
        <f>IFERROR(__xludf.DUMMYFUNCTION("ifna(filter('Yahoo ADP'!$A$2:$A2766,'Yahoo ADP'!$B$2:$B2766=$B556,$C556='Yahoo ADP'!$C$2:$C2766,$D556='Yahoo ADP'!$D$2:$D2766))"),"")</f>
        <v/>
      </c>
      <c r="F556" s="13" t="str">
        <f>IFERROR(__xludf.DUMMYFUNCTION("ifna(filter('Yahoo ADP'!$E$2:$E2766,'Yahoo ADP'!$B$2:$B2766=$B556,$C556='Yahoo ADP'!$C$2:$C2766,$D556='Yahoo ADP'!$D$2:$D2766))"),"-")</f>
        <v>-</v>
      </c>
      <c r="G556" s="27">
        <v>530.0</v>
      </c>
      <c r="H556" s="8">
        <f t="shared" si="1"/>
        <v>-25</v>
      </c>
    </row>
    <row r="557">
      <c r="A557" s="10">
        <v>556.0</v>
      </c>
      <c r="B557" s="11" t="s">
        <v>3402</v>
      </c>
      <c r="C557" s="10" t="s">
        <v>346</v>
      </c>
      <c r="D557" s="10" t="s">
        <v>120</v>
      </c>
      <c r="E557" s="13" t="str">
        <f>IFERROR(__xludf.DUMMYFUNCTION("ifna(filter('Yahoo ADP'!$A$2:$A2766,'Yahoo ADP'!$B$2:$B2766=$B557,$C557='Yahoo ADP'!$C$2:$C2766,$D557='Yahoo ADP'!$D$2:$D2766))"),"")</f>
        <v/>
      </c>
      <c r="F557" s="13" t="str">
        <f>IFERROR(__xludf.DUMMYFUNCTION("ifna(filter('Yahoo ADP'!$E$2:$E2766,'Yahoo ADP'!$B$2:$B2766=$B557,$C557='Yahoo ADP'!$C$2:$C2766,$D557='Yahoo ADP'!$D$2:$D2766))"),"-")</f>
        <v>-</v>
      </c>
      <c r="G557" s="27">
        <v>531.0</v>
      </c>
      <c r="H557" s="8">
        <f t="shared" si="1"/>
        <v>-25</v>
      </c>
    </row>
    <row r="558">
      <c r="A558" s="10">
        <v>557.0</v>
      </c>
      <c r="B558" s="11" t="s">
        <v>3403</v>
      </c>
      <c r="C558" s="10" t="s">
        <v>79</v>
      </c>
      <c r="D558" s="10" t="s">
        <v>52</v>
      </c>
      <c r="E558" s="13" t="str">
        <f>IFERROR(__xludf.DUMMYFUNCTION("ifna(filter('Yahoo ADP'!$A$2:$A2766,'Yahoo ADP'!$B$2:$B2766=$B558,$C558='Yahoo ADP'!$C$2:$C2766,$D558='Yahoo ADP'!$D$2:$D2766))"),"")</f>
        <v/>
      </c>
      <c r="F558" s="13" t="str">
        <f>IFERROR(__xludf.DUMMYFUNCTION("ifna(filter('Yahoo ADP'!$E$2:$E2766,'Yahoo ADP'!$B$2:$B2766=$B558,$C558='Yahoo ADP'!$C$2:$C2766,$D558='Yahoo ADP'!$D$2:$D2766))"),"-")</f>
        <v>-</v>
      </c>
      <c r="G558" s="27">
        <v>532.0</v>
      </c>
      <c r="H558" s="8">
        <f t="shared" si="1"/>
        <v>-25</v>
      </c>
    </row>
    <row r="559">
      <c r="A559" s="10">
        <v>558.0</v>
      </c>
      <c r="B559" s="11" t="s">
        <v>3404</v>
      </c>
      <c r="C559" s="10" t="s">
        <v>79</v>
      </c>
      <c r="D559" s="10" t="s">
        <v>90</v>
      </c>
      <c r="E559" s="13" t="str">
        <f>IFERROR(__xludf.DUMMYFUNCTION("ifna(filter('Yahoo ADP'!$A$2:$A2766,'Yahoo ADP'!$B$2:$B2766=$B559,$C559='Yahoo ADP'!$C$2:$C2766,$D559='Yahoo ADP'!$D$2:$D2766))"),"")</f>
        <v/>
      </c>
      <c r="F559" s="13" t="str">
        <f>IFERROR(__xludf.DUMMYFUNCTION("ifna(filter('Yahoo ADP'!$E$2:$E2766,'Yahoo ADP'!$B$2:$B2766=$B559,$C559='Yahoo ADP'!$C$2:$C2766,$D559='Yahoo ADP'!$D$2:$D2766))"),"-")</f>
        <v>-</v>
      </c>
      <c r="G559" s="27">
        <v>535.0</v>
      </c>
      <c r="H559" s="8">
        <f t="shared" si="1"/>
        <v>-23</v>
      </c>
    </row>
    <row r="560">
      <c r="A560" s="10">
        <v>559.0</v>
      </c>
      <c r="B560" s="11" t="s">
        <v>3405</v>
      </c>
      <c r="C560" s="10" t="s">
        <v>22</v>
      </c>
      <c r="D560" s="10" t="s">
        <v>113</v>
      </c>
      <c r="E560" s="13" t="str">
        <f>IFERROR(__xludf.DUMMYFUNCTION("ifna(filter('Yahoo ADP'!$A$2:$A2766,'Yahoo ADP'!$B$2:$B2766=$B560,$C560='Yahoo ADP'!$C$2:$C2766,$D560='Yahoo ADP'!$D$2:$D2766))"),"")</f>
        <v/>
      </c>
      <c r="F560" s="13" t="str">
        <f>IFERROR(__xludf.DUMMYFUNCTION("ifna(filter('Yahoo ADP'!$E$2:$E2766,'Yahoo ADP'!$B$2:$B2766=$B560,$C560='Yahoo ADP'!$C$2:$C2766,$D560='Yahoo ADP'!$D$2:$D2766))"),"-")</f>
        <v>-</v>
      </c>
      <c r="G560" s="27">
        <v>536.0</v>
      </c>
      <c r="H560" s="8">
        <f t="shared" si="1"/>
        <v>-23</v>
      </c>
    </row>
    <row r="561">
      <c r="A561" s="10">
        <v>560.0</v>
      </c>
      <c r="B561" s="11" t="s">
        <v>3406</v>
      </c>
      <c r="C561" s="10" t="s">
        <v>79</v>
      </c>
      <c r="D561" s="10" t="s">
        <v>113</v>
      </c>
      <c r="E561" s="13" t="str">
        <f>IFERROR(__xludf.DUMMYFUNCTION("ifna(filter('Yahoo ADP'!$A$2:$A2766,'Yahoo ADP'!$B$2:$B2766=$B561,$C561='Yahoo ADP'!$C$2:$C2766,$D561='Yahoo ADP'!$D$2:$D2766))"),"")</f>
        <v/>
      </c>
      <c r="F561" s="13" t="str">
        <f>IFERROR(__xludf.DUMMYFUNCTION("ifna(filter('Yahoo ADP'!$E$2:$E2766,'Yahoo ADP'!$B$2:$B2766=$B561,$C561='Yahoo ADP'!$C$2:$C2766,$D561='Yahoo ADP'!$D$2:$D2766))"),"-")</f>
        <v>-</v>
      </c>
      <c r="G561" s="27">
        <v>537.0</v>
      </c>
      <c r="H561" s="8">
        <f t="shared" si="1"/>
        <v>-23</v>
      </c>
    </row>
    <row r="562">
      <c r="A562" s="10">
        <v>561.0</v>
      </c>
      <c r="B562" s="11" t="s">
        <v>3407</v>
      </c>
      <c r="C562" s="10" t="s">
        <v>79</v>
      </c>
      <c r="D562" s="10" t="s">
        <v>113</v>
      </c>
      <c r="E562" s="13" t="str">
        <f>IFERROR(__xludf.DUMMYFUNCTION("ifna(filter('Yahoo ADP'!$A$2:$A2766,'Yahoo ADP'!$B$2:$B2766=$B562,$C562='Yahoo ADP'!$C$2:$C2766,$D562='Yahoo ADP'!$D$2:$D2766))"),"")</f>
        <v/>
      </c>
      <c r="F562" s="13" t="str">
        <f>IFERROR(__xludf.DUMMYFUNCTION("ifna(filter('Yahoo ADP'!$E$2:$E2766,'Yahoo ADP'!$B$2:$B2766=$B562,$C562='Yahoo ADP'!$C$2:$C2766,$D562='Yahoo ADP'!$D$2:$D2766))"),"-")</f>
        <v>-</v>
      </c>
      <c r="G562" s="27">
        <v>538.0</v>
      </c>
      <c r="H562" s="8">
        <f t="shared" si="1"/>
        <v>-23</v>
      </c>
    </row>
    <row r="563">
      <c r="A563" s="10">
        <v>562.0</v>
      </c>
      <c r="B563" s="11" t="s">
        <v>3408</v>
      </c>
      <c r="C563" s="10" t="s">
        <v>220</v>
      </c>
      <c r="D563" s="10" t="s">
        <v>52</v>
      </c>
      <c r="E563" s="13" t="str">
        <f>IFERROR(__xludf.DUMMYFUNCTION("ifna(filter('Yahoo ADP'!$A$2:$A2766,'Yahoo ADP'!$B$2:$B2766=$B563,$C563='Yahoo ADP'!$C$2:$C2766,$D563='Yahoo ADP'!$D$2:$D2766))"),"")</f>
        <v/>
      </c>
      <c r="F563" s="13" t="str">
        <f>IFERROR(__xludf.DUMMYFUNCTION("ifna(filter('Yahoo ADP'!$E$2:$E2766,'Yahoo ADP'!$B$2:$B2766=$B563,$C563='Yahoo ADP'!$C$2:$C2766,$D563='Yahoo ADP'!$D$2:$D2766))"),"-")</f>
        <v>-</v>
      </c>
      <c r="G563" s="27">
        <v>539.0</v>
      </c>
      <c r="H563" s="8">
        <f t="shared" si="1"/>
        <v>-23</v>
      </c>
    </row>
    <row r="564">
      <c r="A564" s="10">
        <v>563.0</v>
      </c>
      <c r="B564" s="11" t="s">
        <v>3409</v>
      </c>
      <c r="C564" s="10" t="s">
        <v>220</v>
      </c>
      <c r="D564" s="10" t="s">
        <v>90</v>
      </c>
      <c r="E564" s="13" t="str">
        <f>IFERROR(__xludf.DUMMYFUNCTION("ifna(filter('Yahoo ADP'!$A$2:$A2766,'Yahoo ADP'!$B$2:$B2766=$B564,$C564='Yahoo ADP'!$C$2:$C2766,$D564='Yahoo ADP'!$D$2:$D2766))"),"")</f>
        <v/>
      </c>
      <c r="F564" s="13" t="str">
        <f>IFERROR(__xludf.DUMMYFUNCTION("ifna(filter('Yahoo ADP'!$E$2:$E2766,'Yahoo ADP'!$B$2:$B2766=$B564,$C564='Yahoo ADP'!$C$2:$C2766,$D564='Yahoo ADP'!$D$2:$D2766))"),"-")</f>
        <v>-</v>
      </c>
      <c r="G564" s="27">
        <v>540.0</v>
      </c>
      <c r="H564" s="8">
        <f t="shared" si="1"/>
        <v>-23</v>
      </c>
    </row>
    <row r="565">
      <c r="A565" s="10">
        <v>564.0</v>
      </c>
      <c r="B565" s="11" t="s">
        <v>3410</v>
      </c>
      <c r="C565" s="10" t="s">
        <v>79</v>
      </c>
      <c r="D565" s="10" t="s">
        <v>82</v>
      </c>
      <c r="E565" s="13" t="str">
        <f>IFERROR(__xludf.DUMMYFUNCTION("ifna(filter('Yahoo ADP'!$A$2:$A2766,'Yahoo ADP'!$B$2:$B2766=$B565,$C565='Yahoo ADP'!$C$2:$C2766,$D565='Yahoo ADP'!$D$2:$D2766))"),"")</f>
        <v/>
      </c>
      <c r="F565" s="13" t="str">
        <f>IFERROR(__xludf.DUMMYFUNCTION("ifna(filter('Yahoo ADP'!$E$2:$E2766,'Yahoo ADP'!$B$2:$B2766=$B565,$C565='Yahoo ADP'!$C$2:$C2766,$D565='Yahoo ADP'!$D$2:$D2766))"),"-")</f>
        <v>-</v>
      </c>
      <c r="G565" s="27">
        <v>541.0</v>
      </c>
      <c r="H565" s="8">
        <f t="shared" si="1"/>
        <v>-23</v>
      </c>
    </row>
    <row r="566">
      <c r="A566" s="10">
        <v>565.0</v>
      </c>
      <c r="B566" s="11" t="s">
        <v>3411</v>
      </c>
      <c r="C566" s="10" t="s">
        <v>150</v>
      </c>
      <c r="D566" s="10" t="s">
        <v>122</v>
      </c>
      <c r="E566" s="13" t="str">
        <f>IFERROR(__xludf.DUMMYFUNCTION("ifna(filter('Yahoo ADP'!$A$2:$A2766,'Yahoo ADP'!$B$2:$B2766=$B566,$C566='Yahoo ADP'!$C$2:$C2766,$D566='Yahoo ADP'!$D$2:$D2766))"),"")</f>
        <v/>
      </c>
      <c r="F566" s="13" t="str">
        <f>IFERROR(__xludf.DUMMYFUNCTION("ifna(filter('Yahoo ADP'!$E$2:$E2766,'Yahoo ADP'!$B$2:$B2766=$B566,$C566='Yahoo ADP'!$C$2:$C2766,$D566='Yahoo ADP'!$D$2:$D2766))"),"-")</f>
        <v>-</v>
      </c>
      <c r="G566" s="27">
        <v>542.0</v>
      </c>
      <c r="H566" s="8">
        <f t="shared" si="1"/>
        <v>-23</v>
      </c>
    </row>
    <row r="567">
      <c r="A567" s="10">
        <v>566.0</v>
      </c>
      <c r="B567" s="11" t="s">
        <v>3412</v>
      </c>
      <c r="C567" s="10" t="s">
        <v>79</v>
      </c>
      <c r="D567" s="10" t="s">
        <v>140</v>
      </c>
      <c r="E567" s="13" t="str">
        <f>IFERROR(__xludf.DUMMYFUNCTION("ifna(filter('Yahoo ADP'!$A$2:$A2766,'Yahoo ADP'!$B$2:$B2766=$B567,$C567='Yahoo ADP'!$C$2:$C2766,$D567='Yahoo ADP'!$D$2:$D2766))"),"")</f>
        <v/>
      </c>
      <c r="F567" s="13" t="str">
        <f>IFERROR(__xludf.DUMMYFUNCTION("ifna(filter('Yahoo ADP'!$E$2:$E2766,'Yahoo ADP'!$B$2:$B2766=$B567,$C567='Yahoo ADP'!$C$2:$C2766,$D567='Yahoo ADP'!$D$2:$D2766))"),"-")</f>
        <v>-</v>
      </c>
      <c r="G567" s="27">
        <v>543.0</v>
      </c>
      <c r="H567" s="8">
        <f t="shared" si="1"/>
        <v>-23</v>
      </c>
    </row>
    <row r="568">
      <c r="A568" s="10">
        <v>567.0</v>
      </c>
      <c r="B568" s="11" t="s">
        <v>3413</v>
      </c>
      <c r="C568" s="10" t="s">
        <v>79</v>
      </c>
      <c r="D568" s="10" t="s">
        <v>71</v>
      </c>
      <c r="E568" s="13" t="str">
        <f>IFERROR(__xludf.DUMMYFUNCTION("ifna(filter('Yahoo ADP'!$A$2:$A2766,'Yahoo ADP'!$B$2:$B2766=$B568,$C568='Yahoo ADP'!$C$2:$C2766,$D568='Yahoo ADP'!$D$2:$D2766))"),"")</f>
        <v/>
      </c>
      <c r="F568" s="13" t="str">
        <f>IFERROR(__xludf.DUMMYFUNCTION("ifna(filter('Yahoo ADP'!$E$2:$E2766,'Yahoo ADP'!$B$2:$B2766=$B568,$C568='Yahoo ADP'!$C$2:$C2766,$D568='Yahoo ADP'!$D$2:$D2766))"),"-")</f>
        <v>-</v>
      </c>
      <c r="G568" s="27">
        <v>544.0</v>
      </c>
      <c r="H568" s="8">
        <f t="shared" si="1"/>
        <v>-23</v>
      </c>
    </row>
    <row r="569">
      <c r="A569" s="10">
        <v>568.0</v>
      </c>
      <c r="B569" s="11" t="s">
        <v>3414</v>
      </c>
      <c r="C569" s="10" t="s">
        <v>220</v>
      </c>
      <c r="D569" s="10" t="s">
        <v>18</v>
      </c>
      <c r="E569" s="13" t="str">
        <f>IFERROR(__xludf.DUMMYFUNCTION("ifna(filter('Yahoo ADP'!$A$2:$A2766,'Yahoo ADP'!$B$2:$B2766=$B569,$C569='Yahoo ADP'!$C$2:$C2766,$D569='Yahoo ADP'!$D$2:$D2766))"),"")</f>
        <v/>
      </c>
      <c r="F569" s="13" t="str">
        <f>IFERROR(__xludf.DUMMYFUNCTION("ifna(filter('Yahoo ADP'!$E$2:$E2766,'Yahoo ADP'!$B$2:$B2766=$B569,$C569='Yahoo ADP'!$C$2:$C2766,$D569='Yahoo ADP'!$D$2:$D2766))"),"-")</f>
        <v>-</v>
      </c>
      <c r="G569" s="27">
        <v>545.0</v>
      </c>
      <c r="H569" s="8">
        <f t="shared" si="1"/>
        <v>-23</v>
      </c>
    </row>
    <row r="570">
      <c r="A570" s="10">
        <v>569.0</v>
      </c>
      <c r="B570" s="11" t="s">
        <v>3415</v>
      </c>
      <c r="C570" s="10" t="s">
        <v>79</v>
      </c>
      <c r="D570" s="10" t="s">
        <v>31</v>
      </c>
      <c r="E570" s="13" t="str">
        <f>IFERROR(__xludf.DUMMYFUNCTION("ifna(filter('Yahoo ADP'!$A$2:$A2766,'Yahoo ADP'!$B$2:$B2766=$B570,$C570='Yahoo ADP'!$C$2:$C2766,$D570='Yahoo ADP'!$D$2:$D2766))"),"")</f>
        <v/>
      </c>
      <c r="F570" s="13" t="str">
        <f>IFERROR(__xludf.DUMMYFUNCTION("ifna(filter('Yahoo ADP'!$E$2:$E2766,'Yahoo ADP'!$B$2:$B2766=$B570,$C570='Yahoo ADP'!$C$2:$C2766,$D570='Yahoo ADP'!$D$2:$D2766))"),"-")</f>
        <v>-</v>
      </c>
      <c r="G570" s="27">
        <v>546.0</v>
      </c>
      <c r="H570" s="8">
        <f t="shared" si="1"/>
        <v>-23</v>
      </c>
    </row>
    <row r="571">
      <c r="A571" s="10">
        <v>570.0</v>
      </c>
      <c r="B571" s="11" t="s">
        <v>3416</v>
      </c>
      <c r="C571" s="10" t="s">
        <v>79</v>
      </c>
      <c r="D571" s="10" t="s">
        <v>49</v>
      </c>
      <c r="E571" s="13" t="str">
        <f>IFERROR(__xludf.DUMMYFUNCTION("ifna(filter('Yahoo ADP'!$A$2:$A2766,'Yahoo ADP'!$B$2:$B2766=$B571,$C571='Yahoo ADP'!$C$2:$C2766,$D571='Yahoo ADP'!$D$2:$D2766))"),"")</f>
        <v/>
      </c>
      <c r="F571" s="13" t="str">
        <f>IFERROR(__xludf.DUMMYFUNCTION("ifna(filter('Yahoo ADP'!$E$2:$E2766,'Yahoo ADP'!$B$2:$B2766=$B571,$C571='Yahoo ADP'!$C$2:$C2766,$D571='Yahoo ADP'!$D$2:$D2766))"),"-")</f>
        <v>-</v>
      </c>
      <c r="G571" s="27">
        <v>547.0</v>
      </c>
      <c r="H571" s="8">
        <f t="shared" si="1"/>
        <v>-23</v>
      </c>
    </row>
    <row r="572">
      <c r="A572" s="10">
        <v>571.0</v>
      </c>
      <c r="B572" s="11" t="s">
        <v>3417</v>
      </c>
      <c r="C572" s="10" t="s">
        <v>39</v>
      </c>
      <c r="D572" s="10" t="s">
        <v>90</v>
      </c>
      <c r="E572" s="13" t="str">
        <f>IFERROR(__xludf.DUMMYFUNCTION("ifna(filter('Yahoo ADP'!$A$2:$A2766,'Yahoo ADP'!$B$2:$B2766=$B572,$C572='Yahoo ADP'!$C$2:$C2766,$D572='Yahoo ADP'!$D$2:$D2766))"),"")</f>
        <v/>
      </c>
      <c r="F572" s="13" t="str">
        <f>IFERROR(__xludf.DUMMYFUNCTION("ifna(filter('Yahoo ADP'!$E$2:$E2766,'Yahoo ADP'!$B$2:$B2766=$B572,$C572='Yahoo ADP'!$C$2:$C2766,$D572='Yahoo ADP'!$D$2:$D2766))"),"-")</f>
        <v>-</v>
      </c>
      <c r="G572" s="27">
        <v>548.0</v>
      </c>
      <c r="H572" s="8">
        <f t="shared" si="1"/>
        <v>-23</v>
      </c>
    </row>
    <row r="573">
      <c r="A573" s="10">
        <v>572.0</v>
      </c>
      <c r="B573" s="11" t="s">
        <v>3418</v>
      </c>
      <c r="C573" s="10" t="s">
        <v>136</v>
      </c>
      <c r="D573" s="10" t="s">
        <v>31</v>
      </c>
      <c r="E573" s="13" t="str">
        <f>IFERROR(__xludf.DUMMYFUNCTION("ifna(filter('Yahoo ADP'!$A$2:$A2766,'Yahoo ADP'!$B$2:$B2766=$B573,$C573='Yahoo ADP'!$C$2:$C2766,$D573='Yahoo ADP'!$D$2:$D2766))"),"")</f>
        <v/>
      </c>
      <c r="F573" s="13" t="str">
        <f>IFERROR(__xludf.DUMMYFUNCTION("ifna(filter('Yahoo ADP'!$E$2:$E2766,'Yahoo ADP'!$B$2:$B2766=$B573,$C573='Yahoo ADP'!$C$2:$C2766,$D573='Yahoo ADP'!$D$2:$D2766))"),"-")</f>
        <v>-</v>
      </c>
      <c r="G573" s="27">
        <v>550.0</v>
      </c>
      <c r="H573" s="8">
        <f t="shared" si="1"/>
        <v>-22</v>
      </c>
    </row>
    <row r="574">
      <c r="A574" s="10">
        <v>573.0</v>
      </c>
      <c r="B574" s="11" t="s">
        <v>3419</v>
      </c>
      <c r="C574" s="10" t="s">
        <v>79</v>
      </c>
      <c r="D574" s="10" t="s">
        <v>71</v>
      </c>
      <c r="E574" s="13" t="str">
        <f>IFERROR(__xludf.DUMMYFUNCTION("ifna(filter('Yahoo ADP'!$A$2:$A2766,'Yahoo ADP'!$B$2:$B2766=$B574,$C574='Yahoo ADP'!$C$2:$C2766,$D574='Yahoo ADP'!$D$2:$D2766))"),"")</f>
        <v/>
      </c>
      <c r="F574" s="13" t="str">
        <f>IFERROR(__xludf.DUMMYFUNCTION("ifna(filter('Yahoo ADP'!$E$2:$E2766,'Yahoo ADP'!$B$2:$B2766=$B574,$C574='Yahoo ADP'!$C$2:$C2766,$D574='Yahoo ADP'!$D$2:$D2766))"),"-")</f>
        <v>-</v>
      </c>
      <c r="G574" s="27">
        <v>551.0</v>
      </c>
      <c r="H574" s="8">
        <f t="shared" si="1"/>
        <v>-22</v>
      </c>
    </row>
    <row r="575">
      <c r="A575" s="10">
        <v>574.0</v>
      </c>
      <c r="B575" s="11" t="s">
        <v>3420</v>
      </c>
      <c r="C575" s="10" t="s">
        <v>79</v>
      </c>
      <c r="D575" s="10" t="s">
        <v>46</v>
      </c>
      <c r="E575" s="13" t="str">
        <f>IFERROR(__xludf.DUMMYFUNCTION("ifna(filter('Yahoo ADP'!$A$2:$A2766,'Yahoo ADP'!$B$2:$B2766=$B575,$C575='Yahoo ADP'!$C$2:$C2766,$D575='Yahoo ADP'!$D$2:$D2766))"),"")</f>
        <v/>
      </c>
      <c r="F575" s="13" t="str">
        <f>IFERROR(__xludf.DUMMYFUNCTION("ifna(filter('Yahoo ADP'!$E$2:$E2766,'Yahoo ADP'!$B$2:$B2766=$B575,$C575='Yahoo ADP'!$C$2:$C2766,$D575='Yahoo ADP'!$D$2:$D2766))"),"-")</f>
        <v>-</v>
      </c>
      <c r="G575" s="27">
        <v>553.0</v>
      </c>
      <c r="H575" s="8">
        <f t="shared" si="1"/>
        <v>-21</v>
      </c>
    </row>
    <row r="576">
      <c r="A576" s="10">
        <v>575.0</v>
      </c>
      <c r="B576" s="11" t="s">
        <v>3421</v>
      </c>
      <c r="C576" s="10" t="s">
        <v>585</v>
      </c>
      <c r="D576" s="10" t="s">
        <v>90</v>
      </c>
      <c r="E576" s="13" t="str">
        <f>IFERROR(__xludf.DUMMYFUNCTION("ifna(filter('Yahoo ADP'!$A$2:$A2766,'Yahoo ADP'!$B$2:$B2766=$B576,$C576='Yahoo ADP'!$C$2:$C2766,$D576='Yahoo ADP'!$D$2:$D2766))"),"")</f>
        <v/>
      </c>
      <c r="F576" s="13" t="str">
        <f>IFERROR(__xludf.DUMMYFUNCTION("ifna(filter('Yahoo ADP'!$E$2:$E2766,'Yahoo ADP'!$B$2:$B2766=$B576,$C576='Yahoo ADP'!$C$2:$C2766,$D576='Yahoo ADP'!$D$2:$D2766))"),"-")</f>
        <v>-</v>
      </c>
      <c r="G576" s="27">
        <v>554.0</v>
      </c>
      <c r="H576" s="8">
        <f t="shared" si="1"/>
        <v>-21</v>
      </c>
    </row>
    <row r="577">
      <c r="A577" s="10">
        <v>576.0</v>
      </c>
      <c r="B577" s="11" t="s">
        <v>3422</v>
      </c>
      <c r="C577" s="10" t="s">
        <v>79</v>
      </c>
      <c r="D577" s="10" t="s">
        <v>27</v>
      </c>
      <c r="E577" s="13" t="str">
        <f>IFERROR(__xludf.DUMMYFUNCTION("ifna(filter('Yahoo ADP'!$A$2:$A2766,'Yahoo ADP'!$B$2:$B2766=$B577,$C577='Yahoo ADP'!$C$2:$C2766,$D577='Yahoo ADP'!$D$2:$D2766))"),"")</f>
        <v/>
      </c>
      <c r="F577" s="13" t="str">
        <f>IFERROR(__xludf.DUMMYFUNCTION("ifna(filter('Yahoo ADP'!$E$2:$E2766,'Yahoo ADP'!$B$2:$B2766=$B577,$C577='Yahoo ADP'!$C$2:$C2766,$D577='Yahoo ADP'!$D$2:$D2766))"),"-")</f>
        <v>-</v>
      </c>
      <c r="G577" s="27">
        <v>555.0</v>
      </c>
      <c r="H577" s="8">
        <f t="shared" si="1"/>
        <v>-21</v>
      </c>
    </row>
    <row r="578">
      <c r="A578" s="10">
        <v>577.0</v>
      </c>
      <c r="B578" s="11" t="s">
        <v>3423</v>
      </c>
      <c r="C578" s="10" t="s">
        <v>79</v>
      </c>
      <c r="D578" s="10" t="s">
        <v>15</v>
      </c>
      <c r="E578" s="13" t="str">
        <f>IFERROR(__xludf.DUMMYFUNCTION("ifna(filter('Yahoo ADP'!$A$2:$A2766,'Yahoo ADP'!$B$2:$B2766=$B578,$C578='Yahoo ADP'!$C$2:$C2766,$D578='Yahoo ADP'!$D$2:$D2766))"),"")</f>
        <v/>
      </c>
      <c r="F578" s="13" t="str">
        <f>IFERROR(__xludf.DUMMYFUNCTION("ifna(filter('Yahoo ADP'!$E$2:$E2766,'Yahoo ADP'!$B$2:$B2766=$B578,$C578='Yahoo ADP'!$C$2:$C2766,$D578='Yahoo ADP'!$D$2:$D2766))"),"-")</f>
        <v>-</v>
      </c>
      <c r="G578" s="27">
        <v>556.0</v>
      </c>
      <c r="H578" s="8">
        <f t="shared" si="1"/>
        <v>-21</v>
      </c>
    </row>
    <row r="579">
      <c r="A579" s="10">
        <v>578.0</v>
      </c>
      <c r="B579" s="11" t="s">
        <v>3424</v>
      </c>
      <c r="C579" s="10" t="s">
        <v>79</v>
      </c>
      <c r="D579" s="10" t="s">
        <v>90</v>
      </c>
      <c r="E579" s="13" t="str">
        <f>IFERROR(__xludf.DUMMYFUNCTION("ifna(filter('Yahoo ADP'!$A$2:$A2766,'Yahoo ADP'!$B$2:$B2766=$B579,$C579='Yahoo ADP'!$C$2:$C2766,$D579='Yahoo ADP'!$D$2:$D2766))"),"")</f>
        <v/>
      </c>
      <c r="F579" s="13" t="str">
        <f>IFERROR(__xludf.DUMMYFUNCTION("ifna(filter('Yahoo ADP'!$E$2:$E2766,'Yahoo ADP'!$B$2:$B2766=$B579,$C579='Yahoo ADP'!$C$2:$C2766,$D579='Yahoo ADP'!$D$2:$D2766))"),"-")</f>
        <v>-</v>
      </c>
      <c r="G579" s="27">
        <v>557.0</v>
      </c>
      <c r="H579" s="8">
        <f t="shared" si="1"/>
        <v>-21</v>
      </c>
    </row>
    <row r="580">
      <c r="A580" s="10">
        <v>579.0</v>
      </c>
      <c r="B580" s="11" t="s">
        <v>3425</v>
      </c>
      <c r="C580" s="10" t="s">
        <v>79</v>
      </c>
      <c r="D580" s="10" t="s">
        <v>67</v>
      </c>
      <c r="E580" s="13" t="str">
        <f>IFERROR(__xludf.DUMMYFUNCTION("ifna(filter('Yahoo ADP'!$A$2:$A2766,'Yahoo ADP'!$B$2:$B2766=$B580,$C580='Yahoo ADP'!$C$2:$C2766,$D580='Yahoo ADP'!$D$2:$D2766))"),"")</f>
        <v/>
      </c>
      <c r="F580" s="13" t="str">
        <f>IFERROR(__xludf.DUMMYFUNCTION("ifna(filter('Yahoo ADP'!$E$2:$E2766,'Yahoo ADP'!$B$2:$B2766=$B580,$C580='Yahoo ADP'!$C$2:$C2766,$D580='Yahoo ADP'!$D$2:$D2766))"),"-")</f>
        <v>-</v>
      </c>
      <c r="G580" s="27">
        <v>558.0</v>
      </c>
      <c r="H580" s="8">
        <f t="shared" si="1"/>
        <v>-21</v>
      </c>
    </row>
    <row r="581">
      <c r="A581" s="10">
        <v>580.0</v>
      </c>
      <c r="B581" s="11" t="s">
        <v>3426</v>
      </c>
      <c r="C581" s="10" t="s">
        <v>79</v>
      </c>
      <c r="D581" s="10" t="s">
        <v>9</v>
      </c>
      <c r="E581" s="13" t="str">
        <f>IFERROR(__xludf.DUMMYFUNCTION("ifna(filter('Yahoo ADP'!$A$2:$A2766,'Yahoo ADP'!$B$2:$B2766=$B581,$C581='Yahoo ADP'!$C$2:$C2766,$D581='Yahoo ADP'!$D$2:$D2766))"),"")</f>
        <v/>
      </c>
      <c r="F581" s="13" t="str">
        <f>IFERROR(__xludf.DUMMYFUNCTION("ifna(filter('Yahoo ADP'!$E$2:$E2766,'Yahoo ADP'!$B$2:$B2766=$B581,$C581='Yahoo ADP'!$C$2:$C2766,$D581='Yahoo ADP'!$D$2:$D2766))"),"-")</f>
        <v>-</v>
      </c>
      <c r="G581" s="27">
        <v>559.0</v>
      </c>
      <c r="H581" s="8">
        <f t="shared" si="1"/>
        <v>-21</v>
      </c>
    </row>
    <row r="582">
      <c r="A582" s="10">
        <v>581.0</v>
      </c>
      <c r="B582" s="11" t="s">
        <v>3427</v>
      </c>
      <c r="C582" s="10" t="s">
        <v>79</v>
      </c>
      <c r="D582" s="10" t="s">
        <v>31</v>
      </c>
      <c r="E582" s="13" t="str">
        <f>IFERROR(__xludf.DUMMYFUNCTION("ifna(filter('Yahoo ADP'!$A$2:$A2766,'Yahoo ADP'!$B$2:$B2766=$B582,$C582='Yahoo ADP'!$C$2:$C2766,$D582='Yahoo ADP'!$D$2:$D2766))"),"")</f>
        <v/>
      </c>
      <c r="F582" s="13" t="str">
        <f>IFERROR(__xludf.DUMMYFUNCTION("ifna(filter('Yahoo ADP'!$E$2:$E2766,'Yahoo ADP'!$B$2:$B2766=$B582,$C582='Yahoo ADP'!$C$2:$C2766,$D582='Yahoo ADP'!$D$2:$D2766))"),"-")</f>
        <v>-</v>
      </c>
      <c r="G582" s="27">
        <v>560.0</v>
      </c>
      <c r="H582" s="8">
        <f t="shared" si="1"/>
        <v>-21</v>
      </c>
    </row>
    <row r="583">
      <c r="A583" s="10">
        <v>582.0</v>
      </c>
      <c r="B583" s="11" t="s">
        <v>3428</v>
      </c>
      <c r="C583" s="10" t="s">
        <v>79</v>
      </c>
      <c r="D583" s="10" t="s">
        <v>9</v>
      </c>
      <c r="E583" s="13" t="str">
        <f>IFERROR(__xludf.DUMMYFUNCTION("ifna(filter('Yahoo ADP'!$A$2:$A2766,'Yahoo ADP'!$B$2:$B2766=$B583,$C583='Yahoo ADP'!$C$2:$C2766,$D583='Yahoo ADP'!$D$2:$D2766))"),"")</f>
        <v/>
      </c>
      <c r="F583" s="13" t="str">
        <f>IFERROR(__xludf.DUMMYFUNCTION("ifna(filter('Yahoo ADP'!$E$2:$E2766,'Yahoo ADP'!$B$2:$B2766=$B583,$C583='Yahoo ADP'!$C$2:$C2766,$D583='Yahoo ADP'!$D$2:$D2766))"),"-")</f>
        <v>-</v>
      </c>
      <c r="G583" s="27">
        <v>561.0</v>
      </c>
      <c r="H583" s="8">
        <f t="shared" si="1"/>
        <v>-21</v>
      </c>
    </row>
    <row r="584">
      <c r="A584" s="10">
        <v>583.0</v>
      </c>
      <c r="B584" s="11" t="s">
        <v>3429</v>
      </c>
      <c r="C584" s="10" t="s">
        <v>79</v>
      </c>
      <c r="D584" s="10" t="s">
        <v>27</v>
      </c>
      <c r="E584" s="13" t="str">
        <f>IFERROR(__xludf.DUMMYFUNCTION("ifna(filter('Yahoo ADP'!$A$2:$A2766,'Yahoo ADP'!$B$2:$B2766=$B584,$C584='Yahoo ADP'!$C$2:$C2766,$D584='Yahoo ADP'!$D$2:$D2766))"),"")</f>
        <v/>
      </c>
      <c r="F584" s="13" t="str">
        <f>IFERROR(__xludf.DUMMYFUNCTION("ifna(filter('Yahoo ADP'!$E$2:$E2766,'Yahoo ADP'!$B$2:$B2766=$B584,$C584='Yahoo ADP'!$C$2:$C2766,$D584='Yahoo ADP'!$D$2:$D2766))"),"-")</f>
        <v>-</v>
      </c>
      <c r="G584" s="27">
        <v>563.0</v>
      </c>
      <c r="H584" s="8">
        <f t="shared" si="1"/>
        <v>-20</v>
      </c>
    </row>
    <row r="585">
      <c r="A585" s="10">
        <v>584.0</v>
      </c>
      <c r="B585" s="11" t="s">
        <v>3430</v>
      </c>
      <c r="C585" s="10" t="s">
        <v>79</v>
      </c>
      <c r="D585" s="10" t="s">
        <v>15</v>
      </c>
      <c r="E585" s="13" t="str">
        <f>IFERROR(__xludf.DUMMYFUNCTION("ifna(filter('Yahoo ADP'!$A$2:$A2766,'Yahoo ADP'!$B$2:$B2766=$B585,$C585='Yahoo ADP'!$C$2:$C2766,$D585='Yahoo ADP'!$D$2:$D2766))"),"")</f>
        <v/>
      </c>
      <c r="F585" s="13" t="str">
        <f>IFERROR(__xludf.DUMMYFUNCTION("ifna(filter('Yahoo ADP'!$E$2:$E2766,'Yahoo ADP'!$B$2:$B2766=$B585,$C585='Yahoo ADP'!$C$2:$C2766,$D585='Yahoo ADP'!$D$2:$D2766))"),"-")</f>
        <v>-</v>
      </c>
      <c r="G585" s="27">
        <v>564.0</v>
      </c>
      <c r="H585" s="8">
        <f t="shared" si="1"/>
        <v>-20</v>
      </c>
    </row>
    <row r="586">
      <c r="A586" s="10">
        <v>585.0</v>
      </c>
      <c r="B586" s="11" t="s">
        <v>3431</v>
      </c>
      <c r="C586" s="10" t="s">
        <v>79</v>
      </c>
      <c r="D586" s="10" t="s">
        <v>27</v>
      </c>
      <c r="E586" s="13" t="str">
        <f>IFERROR(__xludf.DUMMYFUNCTION("ifna(filter('Yahoo ADP'!$A$2:$A2766,'Yahoo ADP'!$B$2:$B2766=$B586,$C586='Yahoo ADP'!$C$2:$C2766,$D586='Yahoo ADP'!$D$2:$D2766))"),"")</f>
        <v/>
      </c>
      <c r="F586" s="13" t="str">
        <f>IFERROR(__xludf.DUMMYFUNCTION("ifna(filter('Yahoo ADP'!$E$2:$E2766,'Yahoo ADP'!$B$2:$B2766=$B586,$C586='Yahoo ADP'!$C$2:$C2766,$D586='Yahoo ADP'!$D$2:$D2766))"),"-")</f>
        <v>-</v>
      </c>
      <c r="G586" s="27">
        <v>565.0</v>
      </c>
      <c r="H586" s="8">
        <f t="shared" si="1"/>
        <v>-20</v>
      </c>
    </row>
    <row r="587">
      <c r="A587" s="10">
        <v>586.0</v>
      </c>
      <c r="B587" s="11" t="s">
        <v>3432</v>
      </c>
      <c r="C587" s="10" t="s">
        <v>79</v>
      </c>
      <c r="D587" s="10" t="s">
        <v>12</v>
      </c>
      <c r="E587" s="13" t="str">
        <f>IFERROR(__xludf.DUMMYFUNCTION("ifna(filter('Yahoo ADP'!$A$2:$A2766,'Yahoo ADP'!$B$2:$B2766=$B587,$C587='Yahoo ADP'!$C$2:$C2766,$D587='Yahoo ADP'!$D$2:$D2766))"),"")</f>
        <v/>
      </c>
      <c r="F587" s="13" t="str">
        <f>IFERROR(__xludf.DUMMYFUNCTION("ifna(filter('Yahoo ADP'!$E$2:$E2766,'Yahoo ADP'!$B$2:$B2766=$B587,$C587='Yahoo ADP'!$C$2:$C2766,$D587='Yahoo ADP'!$D$2:$D2766))"),"-")</f>
        <v>-</v>
      </c>
      <c r="G587" s="27">
        <v>566.0</v>
      </c>
      <c r="H587" s="8">
        <f t="shared" si="1"/>
        <v>-20</v>
      </c>
    </row>
    <row r="588">
      <c r="A588" s="10">
        <v>587.0</v>
      </c>
      <c r="B588" s="11" t="s">
        <v>3433</v>
      </c>
      <c r="C588" s="10" t="s">
        <v>79</v>
      </c>
      <c r="D588" s="10" t="s">
        <v>105</v>
      </c>
      <c r="E588" s="13" t="str">
        <f>IFERROR(__xludf.DUMMYFUNCTION("ifna(filter('Yahoo ADP'!$A$2:$A2766,'Yahoo ADP'!$B$2:$B2766=$B588,$C588='Yahoo ADP'!$C$2:$C2766,$D588='Yahoo ADP'!$D$2:$D2766))"),"")</f>
        <v/>
      </c>
      <c r="F588" s="13" t="str">
        <f>IFERROR(__xludf.DUMMYFUNCTION("ifna(filter('Yahoo ADP'!$E$2:$E2766,'Yahoo ADP'!$B$2:$B2766=$B588,$C588='Yahoo ADP'!$C$2:$C2766,$D588='Yahoo ADP'!$D$2:$D2766))"),"-")</f>
        <v>-</v>
      </c>
      <c r="G588" s="27">
        <v>568.0</v>
      </c>
      <c r="H588" s="8">
        <f t="shared" si="1"/>
        <v>-19</v>
      </c>
    </row>
    <row r="589">
      <c r="A589" s="10">
        <v>588.0</v>
      </c>
      <c r="B589" s="11" t="s">
        <v>3434</v>
      </c>
      <c r="C589" s="10" t="s">
        <v>79</v>
      </c>
      <c r="D589" s="10" t="s">
        <v>206</v>
      </c>
      <c r="E589" s="13" t="str">
        <f>IFERROR(__xludf.DUMMYFUNCTION("ifna(filter('Yahoo ADP'!$A$2:$A2766,'Yahoo ADP'!$B$2:$B2766=$B589,$C589='Yahoo ADP'!$C$2:$C2766,$D589='Yahoo ADP'!$D$2:$D2766))"),"")</f>
        <v/>
      </c>
      <c r="F589" s="13" t="str">
        <f>IFERROR(__xludf.DUMMYFUNCTION("ifna(filter('Yahoo ADP'!$E$2:$E2766,'Yahoo ADP'!$B$2:$B2766=$B589,$C589='Yahoo ADP'!$C$2:$C2766,$D589='Yahoo ADP'!$D$2:$D2766))"),"-")</f>
        <v>-</v>
      </c>
      <c r="G589" s="27">
        <v>570.0</v>
      </c>
      <c r="H589" s="8">
        <f t="shared" si="1"/>
        <v>-18</v>
      </c>
    </row>
    <row r="590">
      <c r="A590" s="10">
        <v>589.0</v>
      </c>
      <c r="B590" s="11" t="s">
        <v>3435</v>
      </c>
      <c r="C590" s="10" t="s">
        <v>79</v>
      </c>
      <c r="D590" s="10" t="s">
        <v>42</v>
      </c>
      <c r="E590" s="13" t="str">
        <f>IFERROR(__xludf.DUMMYFUNCTION("ifna(filter('Yahoo ADP'!$A$2:$A2766,'Yahoo ADP'!$B$2:$B2766=$B590,$C590='Yahoo ADP'!$C$2:$C2766,$D590='Yahoo ADP'!$D$2:$D2766))"),"")</f>
        <v/>
      </c>
      <c r="F590" s="13" t="str">
        <f>IFERROR(__xludf.DUMMYFUNCTION("ifna(filter('Yahoo ADP'!$E$2:$E2766,'Yahoo ADP'!$B$2:$B2766=$B590,$C590='Yahoo ADP'!$C$2:$C2766,$D590='Yahoo ADP'!$D$2:$D2766))"),"-")</f>
        <v>-</v>
      </c>
      <c r="G590" s="27">
        <v>571.0</v>
      </c>
      <c r="H590" s="8">
        <f t="shared" si="1"/>
        <v>-18</v>
      </c>
    </row>
    <row r="591">
      <c r="A591" s="10">
        <v>590.0</v>
      </c>
      <c r="B591" s="11" t="s">
        <v>3436</v>
      </c>
      <c r="C591" s="10" t="s">
        <v>79</v>
      </c>
      <c r="D591" s="10" t="s">
        <v>42</v>
      </c>
      <c r="E591" s="13" t="str">
        <f>IFERROR(__xludf.DUMMYFUNCTION("ifna(filter('Yahoo ADP'!$A$2:$A2766,'Yahoo ADP'!$B$2:$B2766=$B591,$C591='Yahoo ADP'!$C$2:$C2766,$D591='Yahoo ADP'!$D$2:$D2766))"),"")</f>
        <v/>
      </c>
      <c r="F591" s="13" t="str">
        <f>IFERROR(__xludf.DUMMYFUNCTION("ifna(filter('Yahoo ADP'!$E$2:$E2766,'Yahoo ADP'!$B$2:$B2766=$B591,$C591='Yahoo ADP'!$C$2:$C2766,$D591='Yahoo ADP'!$D$2:$D2766))"),"-")</f>
        <v>-</v>
      </c>
      <c r="G591" s="27">
        <v>572.0</v>
      </c>
      <c r="H591" s="8">
        <f t="shared" si="1"/>
        <v>-18</v>
      </c>
    </row>
    <row r="592">
      <c r="A592" s="10">
        <v>591.0</v>
      </c>
      <c r="B592" s="11" t="s">
        <v>3437</v>
      </c>
      <c r="C592" s="10" t="s">
        <v>79</v>
      </c>
      <c r="D592" s="10" t="s">
        <v>25</v>
      </c>
      <c r="E592" s="13" t="str">
        <f>IFERROR(__xludf.DUMMYFUNCTION("ifna(filter('Yahoo ADP'!$A$2:$A2766,'Yahoo ADP'!$B$2:$B2766=$B592,$C592='Yahoo ADP'!$C$2:$C2766,$D592='Yahoo ADP'!$D$2:$D2766))"),"")</f>
        <v/>
      </c>
      <c r="F592" s="13" t="str">
        <f>IFERROR(__xludf.DUMMYFUNCTION("ifna(filter('Yahoo ADP'!$E$2:$E2766,'Yahoo ADP'!$B$2:$B2766=$B592,$C592='Yahoo ADP'!$C$2:$C2766,$D592='Yahoo ADP'!$D$2:$D2766))"),"-")</f>
        <v>-</v>
      </c>
      <c r="G592" s="27">
        <v>573.0</v>
      </c>
      <c r="H592" s="8">
        <f t="shared" si="1"/>
        <v>-18</v>
      </c>
    </row>
    <row r="593">
      <c r="A593" s="10">
        <v>592.0</v>
      </c>
      <c r="B593" s="11" t="s">
        <v>3438</v>
      </c>
      <c r="C593" s="10" t="s">
        <v>79</v>
      </c>
      <c r="D593" s="10" t="s">
        <v>99</v>
      </c>
      <c r="E593" s="13" t="str">
        <f>IFERROR(__xludf.DUMMYFUNCTION("ifna(filter('Yahoo ADP'!$A$2:$A2766,'Yahoo ADP'!$B$2:$B2766=$B593,$C593='Yahoo ADP'!$C$2:$C2766,$D593='Yahoo ADP'!$D$2:$D2766))"),"")</f>
        <v/>
      </c>
      <c r="F593" s="13" t="str">
        <f>IFERROR(__xludf.DUMMYFUNCTION("ifna(filter('Yahoo ADP'!$E$2:$E2766,'Yahoo ADP'!$B$2:$B2766=$B593,$C593='Yahoo ADP'!$C$2:$C2766,$D593='Yahoo ADP'!$D$2:$D2766))"),"-")</f>
        <v>-</v>
      </c>
      <c r="G593" s="27">
        <v>574.0</v>
      </c>
      <c r="H593" s="8">
        <f t="shared" si="1"/>
        <v>-18</v>
      </c>
    </row>
    <row r="594">
      <c r="A594" s="10">
        <v>593.0</v>
      </c>
      <c r="B594" s="11" t="s">
        <v>3439</v>
      </c>
      <c r="C594" s="10" t="s">
        <v>79</v>
      </c>
      <c r="D594" s="10" t="s">
        <v>46</v>
      </c>
      <c r="E594" s="13" t="str">
        <f>IFERROR(__xludf.DUMMYFUNCTION("ifna(filter('Yahoo ADP'!$A$2:$A2766,'Yahoo ADP'!$B$2:$B2766=$B594,$C594='Yahoo ADP'!$C$2:$C2766,$D594='Yahoo ADP'!$D$2:$D2766))"),"")</f>
        <v/>
      </c>
      <c r="F594" s="13" t="str">
        <f>IFERROR(__xludf.DUMMYFUNCTION("ifna(filter('Yahoo ADP'!$E$2:$E2766,'Yahoo ADP'!$B$2:$B2766=$B594,$C594='Yahoo ADP'!$C$2:$C2766,$D594='Yahoo ADP'!$D$2:$D2766))"),"-")</f>
        <v>-</v>
      </c>
      <c r="G594" s="27">
        <v>575.0</v>
      </c>
      <c r="H594" s="8">
        <f t="shared" si="1"/>
        <v>-18</v>
      </c>
    </row>
    <row r="595">
      <c r="A595" s="10">
        <v>594.0</v>
      </c>
      <c r="B595" s="11" t="s">
        <v>3440</v>
      </c>
      <c r="C595" s="10" t="s">
        <v>79</v>
      </c>
      <c r="D595" s="10" t="s">
        <v>12</v>
      </c>
      <c r="E595" s="13" t="str">
        <f>IFERROR(__xludf.DUMMYFUNCTION("ifna(filter('Yahoo ADP'!$A$2:$A2766,'Yahoo ADP'!$B$2:$B2766=$B595,$C595='Yahoo ADP'!$C$2:$C2766,$D595='Yahoo ADP'!$D$2:$D2766))"),"")</f>
        <v/>
      </c>
      <c r="F595" s="13" t="str">
        <f>IFERROR(__xludf.DUMMYFUNCTION("ifna(filter('Yahoo ADP'!$E$2:$E2766,'Yahoo ADP'!$B$2:$B2766=$B595,$C595='Yahoo ADP'!$C$2:$C2766,$D595='Yahoo ADP'!$D$2:$D2766))"),"-")</f>
        <v>-</v>
      </c>
      <c r="G595" s="27">
        <v>576.0</v>
      </c>
      <c r="H595" s="8">
        <f t="shared" si="1"/>
        <v>-18</v>
      </c>
    </row>
    <row r="596">
      <c r="A596" s="10">
        <v>595.0</v>
      </c>
      <c r="B596" s="11" t="s">
        <v>3441</v>
      </c>
      <c r="C596" s="10" t="s">
        <v>22</v>
      </c>
      <c r="D596" s="10" t="s">
        <v>18</v>
      </c>
      <c r="E596" s="13" t="str">
        <f>IFERROR(__xludf.DUMMYFUNCTION("ifna(filter('Yahoo ADP'!$A$2:$A2766,'Yahoo ADP'!$B$2:$B2766=$B596,$C596='Yahoo ADP'!$C$2:$C2766,$D596='Yahoo ADP'!$D$2:$D2766))"),"")</f>
        <v/>
      </c>
      <c r="F596" s="13" t="str">
        <f>IFERROR(__xludf.DUMMYFUNCTION("ifna(filter('Yahoo ADP'!$E$2:$E2766,'Yahoo ADP'!$B$2:$B2766=$B596,$C596='Yahoo ADP'!$C$2:$C2766,$D596='Yahoo ADP'!$D$2:$D2766))"),"-")</f>
        <v>-</v>
      </c>
      <c r="G596" s="27">
        <v>577.0</v>
      </c>
      <c r="H596" s="8">
        <f t="shared" si="1"/>
        <v>-18</v>
      </c>
    </row>
    <row r="597">
      <c r="A597" s="10">
        <v>596.0</v>
      </c>
      <c r="B597" s="11" t="s">
        <v>3442</v>
      </c>
      <c r="C597" s="10" t="s">
        <v>79</v>
      </c>
      <c r="D597" s="10" t="s">
        <v>46</v>
      </c>
      <c r="E597" s="13" t="str">
        <f>IFERROR(__xludf.DUMMYFUNCTION("ifna(filter('Yahoo ADP'!$A$2:$A2766,'Yahoo ADP'!$B$2:$B2766=$B597,$C597='Yahoo ADP'!$C$2:$C2766,$D597='Yahoo ADP'!$D$2:$D2766))"),"")</f>
        <v/>
      </c>
      <c r="F597" s="13" t="str">
        <f>IFERROR(__xludf.DUMMYFUNCTION("ifna(filter('Yahoo ADP'!$E$2:$E2766,'Yahoo ADP'!$B$2:$B2766=$B597,$C597='Yahoo ADP'!$C$2:$C2766,$D597='Yahoo ADP'!$D$2:$D2766))"),"-")</f>
        <v>-</v>
      </c>
      <c r="G597" s="27">
        <v>578.0</v>
      </c>
      <c r="H597" s="8">
        <f t="shared" si="1"/>
        <v>-18</v>
      </c>
    </row>
    <row r="598">
      <c r="A598" s="10">
        <v>597.0</v>
      </c>
      <c r="B598" s="11" t="s">
        <v>3443</v>
      </c>
      <c r="C598" s="10" t="s">
        <v>79</v>
      </c>
      <c r="D598" s="10" t="s">
        <v>67</v>
      </c>
      <c r="E598" s="13" t="str">
        <f>IFERROR(__xludf.DUMMYFUNCTION("ifna(filter('Yahoo ADP'!$A$2:$A2766,'Yahoo ADP'!$B$2:$B2766=$B598,$C598='Yahoo ADP'!$C$2:$C2766,$D598='Yahoo ADP'!$D$2:$D2766))"),"")</f>
        <v/>
      </c>
      <c r="F598" s="13" t="str">
        <f>IFERROR(__xludf.DUMMYFUNCTION("ifna(filter('Yahoo ADP'!$E$2:$E2766,'Yahoo ADP'!$B$2:$B2766=$B598,$C598='Yahoo ADP'!$C$2:$C2766,$D598='Yahoo ADP'!$D$2:$D2766))"),"-")</f>
        <v>-</v>
      </c>
      <c r="G598" s="27">
        <v>579.0</v>
      </c>
      <c r="H598" s="8">
        <f t="shared" si="1"/>
        <v>-18</v>
      </c>
    </row>
    <row r="599">
      <c r="A599" s="10">
        <v>598.0</v>
      </c>
      <c r="B599" s="11" t="s">
        <v>3444</v>
      </c>
      <c r="C599" s="10" t="s">
        <v>79</v>
      </c>
      <c r="D599" s="10" t="s">
        <v>120</v>
      </c>
      <c r="E599" s="13" t="str">
        <f>IFERROR(__xludf.DUMMYFUNCTION("ifna(filter('Yahoo ADP'!$A$2:$A2766,'Yahoo ADP'!$B$2:$B2766=$B599,$C599='Yahoo ADP'!$C$2:$C2766,$D599='Yahoo ADP'!$D$2:$D2766))"),"")</f>
        <v/>
      </c>
      <c r="F599" s="13" t="str">
        <f>IFERROR(__xludf.DUMMYFUNCTION("ifna(filter('Yahoo ADP'!$E$2:$E2766,'Yahoo ADP'!$B$2:$B2766=$B599,$C599='Yahoo ADP'!$C$2:$C2766,$D599='Yahoo ADP'!$D$2:$D2766))"),"-")</f>
        <v>-</v>
      </c>
      <c r="G599" s="27">
        <v>580.0</v>
      </c>
      <c r="H599" s="8">
        <f t="shared" si="1"/>
        <v>-18</v>
      </c>
    </row>
    <row r="600">
      <c r="A600" s="10">
        <v>599.0</v>
      </c>
      <c r="B600" s="11" t="s">
        <v>3445</v>
      </c>
      <c r="C600" s="10" t="s">
        <v>220</v>
      </c>
      <c r="D600" s="10" t="s">
        <v>206</v>
      </c>
      <c r="E600" s="13" t="str">
        <f>IFERROR(__xludf.DUMMYFUNCTION("ifna(filter('Yahoo ADP'!$A$2:$A2766,'Yahoo ADP'!$B$2:$B2766=$B600,$C600='Yahoo ADP'!$C$2:$C2766,$D600='Yahoo ADP'!$D$2:$D2766))"),"")</f>
        <v/>
      </c>
      <c r="F600" s="13" t="str">
        <f>IFERROR(__xludf.DUMMYFUNCTION("ifna(filter('Yahoo ADP'!$E$2:$E2766,'Yahoo ADP'!$B$2:$B2766=$B600,$C600='Yahoo ADP'!$C$2:$C2766,$D600='Yahoo ADP'!$D$2:$D2766))"),"-")</f>
        <v>-</v>
      </c>
      <c r="G600" s="27">
        <v>581.0</v>
      </c>
      <c r="H600" s="8">
        <f t="shared" si="1"/>
        <v>-18</v>
      </c>
    </row>
    <row r="601">
      <c r="A601" s="10">
        <v>600.0</v>
      </c>
      <c r="B601" s="11" t="s">
        <v>3446</v>
      </c>
      <c r="C601" s="10" t="s">
        <v>79</v>
      </c>
      <c r="D601" s="10" t="s">
        <v>9</v>
      </c>
      <c r="E601" s="13" t="str">
        <f>IFERROR(__xludf.DUMMYFUNCTION("ifna(filter('Yahoo ADP'!$A$2:$A2766,'Yahoo ADP'!$B$2:$B2766=$B601,$C601='Yahoo ADP'!$C$2:$C2766,$D601='Yahoo ADP'!$D$2:$D2766))"),"")</f>
        <v/>
      </c>
      <c r="F601" s="13" t="str">
        <f>IFERROR(__xludf.DUMMYFUNCTION("ifna(filter('Yahoo ADP'!$E$2:$E2766,'Yahoo ADP'!$B$2:$B2766=$B601,$C601='Yahoo ADP'!$C$2:$C2766,$D601='Yahoo ADP'!$D$2:$D2766))"),"-")</f>
        <v>-</v>
      </c>
      <c r="G601" s="27">
        <v>582.0</v>
      </c>
      <c r="H601" s="8">
        <f t="shared" si="1"/>
        <v>-18</v>
      </c>
    </row>
    <row r="602">
      <c r="A602" s="10">
        <v>601.0</v>
      </c>
      <c r="B602" s="11" t="s">
        <v>3447</v>
      </c>
      <c r="C602" s="10" t="s">
        <v>22</v>
      </c>
      <c r="D602" s="10" t="s">
        <v>49</v>
      </c>
      <c r="E602" s="13" t="str">
        <f>IFERROR(__xludf.DUMMYFUNCTION("ifna(filter('Yahoo ADP'!$A$2:$A2766,'Yahoo ADP'!$B$2:$B2766=$B602,$C602='Yahoo ADP'!$C$2:$C2766,$D602='Yahoo ADP'!$D$2:$D2766))"),"")</f>
        <v/>
      </c>
      <c r="F602" s="13" t="str">
        <f>IFERROR(__xludf.DUMMYFUNCTION("ifna(filter('Yahoo ADP'!$E$2:$E2766,'Yahoo ADP'!$B$2:$B2766=$B602,$C602='Yahoo ADP'!$C$2:$C2766,$D602='Yahoo ADP'!$D$2:$D2766))"),"-")</f>
        <v>-</v>
      </c>
      <c r="G602" s="27">
        <v>583.0</v>
      </c>
      <c r="H602" s="8">
        <f t="shared" si="1"/>
        <v>-18</v>
      </c>
    </row>
    <row r="603">
      <c r="A603" s="10">
        <v>602.0</v>
      </c>
      <c r="B603" s="11" t="s">
        <v>3448</v>
      </c>
      <c r="C603" s="10" t="s">
        <v>79</v>
      </c>
      <c r="D603" s="10" t="s">
        <v>129</v>
      </c>
      <c r="E603" s="13" t="str">
        <f>IFERROR(__xludf.DUMMYFUNCTION("ifna(filter('Yahoo ADP'!$A$2:$A2766,'Yahoo ADP'!$B$2:$B2766=$B603,$C603='Yahoo ADP'!$C$2:$C2766,$D603='Yahoo ADP'!$D$2:$D2766))"),"")</f>
        <v/>
      </c>
      <c r="F603" s="13" t="str">
        <f>IFERROR(__xludf.DUMMYFUNCTION("ifna(filter('Yahoo ADP'!$E$2:$E2766,'Yahoo ADP'!$B$2:$B2766=$B603,$C603='Yahoo ADP'!$C$2:$C2766,$D603='Yahoo ADP'!$D$2:$D2766))"),"-")</f>
        <v>-</v>
      </c>
      <c r="G603" s="27">
        <v>584.0</v>
      </c>
      <c r="H603" s="8">
        <f t="shared" si="1"/>
        <v>-18</v>
      </c>
    </row>
    <row r="604">
      <c r="A604" s="10">
        <v>603.0</v>
      </c>
      <c r="B604" s="11" t="s">
        <v>3449</v>
      </c>
      <c r="C604" s="10" t="s">
        <v>22</v>
      </c>
      <c r="D604" s="10" t="s">
        <v>67</v>
      </c>
      <c r="E604" s="13" t="str">
        <f>IFERROR(__xludf.DUMMYFUNCTION("ifna(filter('Yahoo ADP'!$A$2:$A2766,'Yahoo ADP'!$B$2:$B2766=$B604,$C604='Yahoo ADP'!$C$2:$C2766,$D604='Yahoo ADP'!$D$2:$D2766))"),"")</f>
        <v/>
      </c>
      <c r="F604" s="13" t="str">
        <f>IFERROR(__xludf.DUMMYFUNCTION("ifna(filter('Yahoo ADP'!$E$2:$E2766,'Yahoo ADP'!$B$2:$B2766=$B604,$C604='Yahoo ADP'!$C$2:$C2766,$D604='Yahoo ADP'!$D$2:$D2766))"),"-")</f>
        <v>-</v>
      </c>
      <c r="G604" s="27">
        <v>585.0</v>
      </c>
      <c r="H604" s="8">
        <f t="shared" si="1"/>
        <v>-18</v>
      </c>
    </row>
    <row r="605">
      <c r="A605" s="10">
        <v>604.0</v>
      </c>
      <c r="B605" s="11" t="s">
        <v>3450</v>
      </c>
      <c r="C605" s="10" t="s">
        <v>218</v>
      </c>
      <c r="D605" s="10" t="s">
        <v>90</v>
      </c>
      <c r="E605" s="13" t="str">
        <f>IFERROR(__xludf.DUMMYFUNCTION("ifna(filter('Yahoo ADP'!$A$2:$A2766,'Yahoo ADP'!$B$2:$B2766=$B605,$C605='Yahoo ADP'!$C$2:$C2766,$D605='Yahoo ADP'!$D$2:$D2766))"),"")</f>
        <v/>
      </c>
      <c r="F605" s="13" t="str">
        <f>IFERROR(__xludf.DUMMYFUNCTION("ifna(filter('Yahoo ADP'!$E$2:$E2766,'Yahoo ADP'!$B$2:$B2766=$B605,$C605='Yahoo ADP'!$C$2:$C2766,$D605='Yahoo ADP'!$D$2:$D2766))"),"-")</f>
        <v>-</v>
      </c>
      <c r="G605" s="27">
        <v>586.0</v>
      </c>
      <c r="H605" s="8">
        <f t="shared" si="1"/>
        <v>-18</v>
      </c>
    </row>
    <row r="606">
      <c r="A606" s="10">
        <v>605.0</v>
      </c>
      <c r="B606" s="11" t="s">
        <v>3451</v>
      </c>
      <c r="C606" s="10" t="s">
        <v>220</v>
      </c>
      <c r="D606" s="10" t="s">
        <v>206</v>
      </c>
      <c r="E606" s="13" t="str">
        <f>IFERROR(__xludf.DUMMYFUNCTION("ifna(filter('Yahoo ADP'!$A$2:$A2766,'Yahoo ADP'!$B$2:$B2766=$B606,$C606='Yahoo ADP'!$C$2:$C2766,$D606='Yahoo ADP'!$D$2:$D2766))"),"")</f>
        <v/>
      </c>
      <c r="F606" s="13" t="str">
        <f>IFERROR(__xludf.DUMMYFUNCTION("ifna(filter('Yahoo ADP'!$E$2:$E2766,'Yahoo ADP'!$B$2:$B2766=$B606,$C606='Yahoo ADP'!$C$2:$C2766,$D606='Yahoo ADP'!$D$2:$D2766))"),"-")</f>
        <v>-</v>
      </c>
      <c r="G606" s="27">
        <v>587.0</v>
      </c>
      <c r="H606" s="8">
        <f t="shared" si="1"/>
        <v>-18</v>
      </c>
    </row>
    <row r="607">
      <c r="A607" s="10">
        <v>606.0</v>
      </c>
      <c r="B607" s="11" t="s">
        <v>3452</v>
      </c>
      <c r="C607" s="10" t="s">
        <v>22</v>
      </c>
      <c r="D607" s="10" t="s">
        <v>71</v>
      </c>
      <c r="E607" s="13" t="str">
        <f>IFERROR(__xludf.DUMMYFUNCTION("ifna(filter('Yahoo ADP'!$A$2:$A2766,'Yahoo ADP'!$B$2:$B2766=$B607,$C607='Yahoo ADP'!$C$2:$C2766,$D607='Yahoo ADP'!$D$2:$D2766))"),"")</f>
        <v/>
      </c>
      <c r="F607" s="13" t="str">
        <f>IFERROR(__xludf.DUMMYFUNCTION("ifna(filter('Yahoo ADP'!$E$2:$E2766,'Yahoo ADP'!$B$2:$B2766=$B607,$C607='Yahoo ADP'!$C$2:$C2766,$D607='Yahoo ADP'!$D$2:$D2766))"),"-")</f>
        <v>-</v>
      </c>
      <c r="G607" s="27">
        <v>588.0</v>
      </c>
      <c r="H607" s="8">
        <f t="shared" si="1"/>
        <v>-18</v>
      </c>
    </row>
    <row r="608">
      <c r="A608" s="10">
        <v>607.0</v>
      </c>
      <c r="B608" s="11" t="s">
        <v>3453</v>
      </c>
      <c r="C608" s="10" t="s">
        <v>79</v>
      </c>
      <c r="D608" s="10" t="s">
        <v>90</v>
      </c>
      <c r="E608" s="13" t="str">
        <f>IFERROR(__xludf.DUMMYFUNCTION("ifna(filter('Yahoo ADP'!$A$2:$A2766,'Yahoo ADP'!$B$2:$B2766=$B608,$C608='Yahoo ADP'!$C$2:$C2766,$D608='Yahoo ADP'!$D$2:$D2766))"),"")</f>
        <v/>
      </c>
      <c r="F608" s="13" t="str">
        <f>IFERROR(__xludf.DUMMYFUNCTION("ifna(filter('Yahoo ADP'!$E$2:$E2766,'Yahoo ADP'!$B$2:$B2766=$B608,$C608='Yahoo ADP'!$C$2:$C2766,$D608='Yahoo ADP'!$D$2:$D2766))"),"-")</f>
        <v>-</v>
      </c>
      <c r="G608" s="27">
        <v>589.0</v>
      </c>
      <c r="H608" s="8">
        <f t="shared" si="1"/>
        <v>-18</v>
      </c>
    </row>
    <row r="609">
      <c r="A609" s="10">
        <v>608.0</v>
      </c>
      <c r="B609" s="11" t="s">
        <v>3454</v>
      </c>
      <c r="C609" s="10" t="s">
        <v>79</v>
      </c>
      <c r="D609" s="10" t="s">
        <v>90</v>
      </c>
      <c r="E609" s="13" t="str">
        <f>IFERROR(__xludf.DUMMYFUNCTION("ifna(filter('Yahoo ADP'!$A$2:$A2766,'Yahoo ADP'!$B$2:$B2766=$B609,$C609='Yahoo ADP'!$C$2:$C2766,$D609='Yahoo ADP'!$D$2:$D2766))"),"")</f>
        <v/>
      </c>
      <c r="F609" s="13" t="str">
        <f>IFERROR(__xludf.DUMMYFUNCTION("ifna(filter('Yahoo ADP'!$E$2:$E2766,'Yahoo ADP'!$B$2:$B2766=$B609,$C609='Yahoo ADP'!$C$2:$C2766,$D609='Yahoo ADP'!$D$2:$D2766))"),"-")</f>
        <v>-</v>
      </c>
      <c r="G609" s="27">
        <v>590.0</v>
      </c>
      <c r="H609" s="8">
        <f t="shared" si="1"/>
        <v>-18</v>
      </c>
    </row>
    <row r="610">
      <c r="A610" s="10">
        <v>609.0</v>
      </c>
      <c r="B610" s="11" t="s">
        <v>3455</v>
      </c>
      <c r="C610" s="10" t="s">
        <v>79</v>
      </c>
      <c r="D610" s="10" t="s">
        <v>9</v>
      </c>
      <c r="E610" s="13" t="str">
        <f>IFERROR(__xludf.DUMMYFUNCTION("ifna(filter('Yahoo ADP'!$A$2:$A2766,'Yahoo ADP'!$B$2:$B2766=$B610,$C610='Yahoo ADP'!$C$2:$C2766,$D610='Yahoo ADP'!$D$2:$D2766))"),"")</f>
        <v/>
      </c>
      <c r="F610" s="13" t="str">
        <f>IFERROR(__xludf.DUMMYFUNCTION("ifna(filter('Yahoo ADP'!$E$2:$E2766,'Yahoo ADP'!$B$2:$B2766=$B610,$C610='Yahoo ADP'!$C$2:$C2766,$D610='Yahoo ADP'!$D$2:$D2766))"),"-")</f>
        <v>-</v>
      </c>
      <c r="G610" s="27">
        <v>591.0</v>
      </c>
      <c r="H610" s="8">
        <f t="shared" si="1"/>
        <v>-18</v>
      </c>
    </row>
    <row r="611">
      <c r="A611" s="10">
        <v>610.0</v>
      </c>
      <c r="B611" s="11" t="s">
        <v>3456</v>
      </c>
      <c r="C611" s="10" t="s">
        <v>79</v>
      </c>
      <c r="D611" s="10" t="s">
        <v>67</v>
      </c>
      <c r="E611" s="13" t="str">
        <f>IFERROR(__xludf.DUMMYFUNCTION("ifna(filter('Yahoo ADP'!$A$2:$A2766,'Yahoo ADP'!$B$2:$B2766=$B611,$C611='Yahoo ADP'!$C$2:$C2766,$D611='Yahoo ADP'!$D$2:$D2766))"),"")</f>
        <v/>
      </c>
      <c r="F611" s="13" t="str">
        <f>IFERROR(__xludf.DUMMYFUNCTION("ifna(filter('Yahoo ADP'!$E$2:$E2766,'Yahoo ADP'!$B$2:$B2766=$B611,$C611='Yahoo ADP'!$C$2:$C2766,$D611='Yahoo ADP'!$D$2:$D2766))"),"-")</f>
        <v>-</v>
      </c>
      <c r="G611" s="27">
        <v>592.0</v>
      </c>
      <c r="H611" s="8">
        <f t="shared" si="1"/>
        <v>-18</v>
      </c>
    </row>
    <row r="612">
      <c r="A612" s="10">
        <v>611.0</v>
      </c>
      <c r="B612" s="11" t="s">
        <v>3457</v>
      </c>
      <c r="C612" s="10" t="s">
        <v>79</v>
      </c>
      <c r="D612" s="10" t="s">
        <v>85</v>
      </c>
      <c r="E612" s="13" t="str">
        <f>IFERROR(__xludf.DUMMYFUNCTION("ifna(filter('Yahoo ADP'!$A$2:$A2766,'Yahoo ADP'!$B$2:$B2766=$B612,$C612='Yahoo ADP'!$C$2:$C2766,$D612='Yahoo ADP'!$D$2:$D2766))"),"")</f>
        <v/>
      </c>
      <c r="F612" s="13" t="str">
        <f>IFERROR(__xludf.DUMMYFUNCTION("ifna(filter('Yahoo ADP'!$E$2:$E2766,'Yahoo ADP'!$B$2:$B2766=$B612,$C612='Yahoo ADP'!$C$2:$C2766,$D612='Yahoo ADP'!$D$2:$D2766))"),"-")</f>
        <v>-</v>
      </c>
      <c r="G612" s="27">
        <v>594.0</v>
      </c>
      <c r="H612" s="8">
        <f t="shared" si="1"/>
        <v>-17</v>
      </c>
    </row>
    <row r="613">
      <c r="A613" s="10">
        <v>612.0</v>
      </c>
      <c r="B613" s="11" t="s">
        <v>3458</v>
      </c>
      <c r="C613" s="10" t="s">
        <v>79</v>
      </c>
      <c r="D613" s="10" t="s">
        <v>105</v>
      </c>
      <c r="E613" s="13" t="str">
        <f>IFERROR(__xludf.DUMMYFUNCTION("ifna(filter('Yahoo ADP'!$A$2:$A2766,'Yahoo ADP'!$B$2:$B2766=$B613,$C613='Yahoo ADP'!$C$2:$C2766,$D613='Yahoo ADP'!$D$2:$D2766))"),"")</f>
        <v/>
      </c>
      <c r="F613" s="13" t="str">
        <f>IFERROR(__xludf.DUMMYFUNCTION("ifna(filter('Yahoo ADP'!$E$2:$E2766,'Yahoo ADP'!$B$2:$B2766=$B613,$C613='Yahoo ADP'!$C$2:$C2766,$D613='Yahoo ADP'!$D$2:$D2766))"),"-")</f>
        <v>-</v>
      </c>
      <c r="G613" s="27">
        <v>595.0</v>
      </c>
      <c r="H613" s="8">
        <f t="shared" si="1"/>
        <v>-17</v>
      </c>
    </row>
    <row r="614">
      <c r="A614" s="10">
        <v>613.0</v>
      </c>
      <c r="B614" s="11" t="s">
        <v>3459</v>
      </c>
      <c r="C614" s="10" t="s">
        <v>700</v>
      </c>
      <c r="D614" s="10" t="s">
        <v>113</v>
      </c>
      <c r="E614" s="13" t="str">
        <f>IFERROR(__xludf.DUMMYFUNCTION("ifna(filter('Yahoo ADP'!$A$2:$A2766,'Yahoo ADP'!$B$2:$B2766=$B614,$C614='Yahoo ADP'!$C$2:$C2766,$D614='Yahoo ADP'!$D$2:$D2766))"),"")</f>
        <v/>
      </c>
      <c r="F614" s="13" t="str">
        <f>IFERROR(__xludf.DUMMYFUNCTION("ifna(filter('Yahoo ADP'!$E$2:$E2766,'Yahoo ADP'!$B$2:$B2766=$B614,$C614='Yahoo ADP'!$C$2:$C2766,$D614='Yahoo ADP'!$D$2:$D2766))"),"-")</f>
        <v>-</v>
      </c>
      <c r="G614" s="27">
        <v>596.0</v>
      </c>
      <c r="H614" s="8">
        <f t="shared" si="1"/>
        <v>-17</v>
      </c>
    </row>
    <row r="615">
      <c r="A615" s="10">
        <v>614.0</v>
      </c>
      <c r="B615" s="11" t="s">
        <v>3460</v>
      </c>
      <c r="C615" s="10" t="s">
        <v>79</v>
      </c>
      <c r="D615" s="10" t="s">
        <v>9</v>
      </c>
      <c r="E615" s="13" t="str">
        <f>IFERROR(__xludf.DUMMYFUNCTION("ifna(filter('Yahoo ADP'!$A$2:$A2766,'Yahoo ADP'!$B$2:$B2766=$B615,$C615='Yahoo ADP'!$C$2:$C2766,$D615='Yahoo ADP'!$D$2:$D2766))"),"")</f>
        <v/>
      </c>
      <c r="F615" s="13" t="str">
        <f>IFERROR(__xludf.DUMMYFUNCTION("ifna(filter('Yahoo ADP'!$E$2:$E2766,'Yahoo ADP'!$B$2:$B2766=$B615,$C615='Yahoo ADP'!$C$2:$C2766,$D615='Yahoo ADP'!$D$2:$D2766))"),"-")</f>
        <v>-</v>
      </c>
      <c r="G615" s="27">
        <v>597.0</v>
      </c>
      <c r="H615" s="8">
        <f t="shared" si="1"/>
        <v>-17</v>
      </c>
    </row>
    <row r="616">
      <c r="A616" s="10">
        <v>615.0</v>
      </c>
      <c r="B616" s="11" t="s">
        <v>3461</v>
      </c>
      <c r="C616" s="10" t="s">
        <v>79</v>
      </c>
      <c r="D616" s="10" t="s">
        <v>18</v>
      </c>
      <c r="E616" s="13" t="str">
        <f>IFERROR(__xludf.DUMMYFUNCTION("ifna(filter('Yahoo ADP'!$A$2:$A2766,'Yahoo ADP'!$B$2:$B2766=$B616,$C616='Yahoo ADP'!$C$2:$C2766,$D616='Yahoo ADP'!$D$2:$D2766))"),"")</f>
        <v/>
      </c>
      <c r="F616" s="13" t="str">
        <f>IFERROR(__xludf.DUMMYFUNCTION("ifna(filter('Yahoo ADP'!$E$2:$E2766,'Yahoo ADP'!$B$2:$B2766=$B616,$C616='Yahoo ADP'!$C$2:$C2766,$D616='Yahoo ADP'!$D$2:$D2766))"),"-")</f>
        <v>-</v>
      </c>
      <c r="G616" s="27">
        <v>598.0</v>
      </c>
      <c r="H616" s="8">
        <f t="shared" si="1"/>
        <v>-17</v>
      </c>
    </row>
    <row r="617">
      <c r="A617" s="10">
        <v>616.0</v>
      </c>
      <c r="B617" s="11" t="s">
        <v>3462</v>
      </c>
      <c r="C617" s="10" t="s">
        <v>79</v>
      </c>
      <c r="D617" s="10" t="s">
        <v>99</v>
      </c>
      <c r="E617" s="13" t="str">
        <f>IFERROR(__xludf.DUMMYFUNCTION("ifna(filter('Yahoo ADP'!$A$2:$A2766,'Yahoo ADP'!$B$2:$B2766=$B617,$C617='Yahoo ADP'!$C$2:$C2766,$D617='Yahoo ADP'!$D$2:$D2766))"),"")</f>
        <v/>
      </c>
      <c r="F617" s="13" t="str">
        <f>IFERROR(__xludf.DUMMYFUNCTION("ifna(filter('Yahoo ADP'!$E$2:$E2766,'Yahoo ADP'!$B$2:$B2766=$B617,$C617='Yahoo ADP'!$C$2:$C2766,$D617='Yahoo ADP'!$D$2:$D2766))"),"-")</f>
        <v>-</v>
      </c>
      <c r="G617" s="27">
        <v>599.0</v>
      </c>
      <c r="H617" s="8">
        <f t="shared" si="1"/>
        <v>-17</v>
      </c>
    </row>
    <row r="618">
      <c r="A618" s="10">
        <v>617.0</v>
      </c>
      <c r="B618" s="11" t="s">
        <v>3463</v>
      </c>
      <c r="C618" s="10" t="s">
        <v>79</v>
      </c>
      <c r="D618" s="10" t="s">
        <v>9</v>
      </c>
      <c r="E618" s="13" t="str">
        <f>IFERROR(__xludf.DUMMYFUNCTION("ifna(filter('Yahoo ADP'!$A$2:$A2766,'Yahoo ADP'!$B$2:$B2766=$B618,$C618='Yahoo ADP'!$C$2:$C2766,$D618='Yahoo ADP'!$D$2:$D2766))"),"")</f>
        <v/>
      </c>
      <c r="F618" s="13" t="str">
        <f>IFERROR(__xludf.DUMMYFUNCTION("ifna(filter('Yahoo ADP'!$E$2:$E2766,'Yahoo ADP'!$B$2:$B2766=$B618,$C618='Yahoo ADP'!$C$2:$C2766,$D618='Yahoo ADP'!$D$2:$D2766))"),"-")</f>
        <v>-</v>
      </c>
      <c r="G618" s="27">
        <v>600.0</v>
      </c>
      <c r="H618" s="8">
        <f t="shared" si="1"/>
        <v>-17</v>
      </c>
    </row>
    <row r="619">
      <c r="A619" s="10">
        <v>618.0</v>
      </c>
      <c r="B619" s="11" t="s">
        <v>3464</v>
      </c>
      <c r="C619" s="10" t="s">
        <v>79</v>
      </c>
      <c r="D619" s="10" t="s">
        <v>140</v>
      </c>
      <c r="E619" s="13" t="str">
        <f>IFERROR(__xludf.DUMMYFUNCTION("ifna(filter('Yahoo ADP'!$A$2:$A2766,'Yahoo ADP'!$B$2:$B2766=$B619,$C619='Yahoo ADP'!$C$2:$C2766,$D619='Yahoo ADP'!$D$2:$D2766))"),"")</f>
        <v/>
      </c>
      <c r="F619" s="13" t="str">
        <f>IFERROR(__xludf.DUMMYFUNCTION("ifna(filter('Yahoo ADP'!$E$2:$E2766,'Yahoo ADP'!$B$2:$B2766=$B619,$C619='Yahoo ADP'!$C$2:$C2766,$D619='Yahoo ADP'!$D$2:$D2766))"),"-")</f>
        <v>-</v>
      </c>
      <c r="G619" s="27">
        <v>601.0</v>
      </c>
      <c r="H619" s="8">
        <f t="shared" si="1"/>
        <v>-17</v>
      </c>
    </row>
    <row r="620">
      <c r="A620" s="10">
        <v>619.0</v>
      </c>
      <c r="B620" s="11" t="s">
        <v>3465</v>
      </c>
      <c r="C620" s="10" t="s">
        <v>79</v>
      </c>
      <c r="D620" s="10" t="s">
        <v>34</v>
      </c>
      <c r="E620" s="13" t="str">
        <f>IFERROR(__xludf.DUMMYFUNCTION("ifna(filter('Yahoo ADP'!$A$2:$A2766,'Yahoo ADP'!$B$2:$B2766=$B620,$C620='Yahoo ADP'!$C$2:$C2766,$D620='Yahoo ADP'!$D$2:$D2766))"),"")</f>
        <v/>
      </c>
      <c r="F620" s="13" t="str">
        <f>IFERROR(__xludf.DUMMYFUNCTION("ifna(filter('Yahoo ADP'!$E$2:$E2766,'Yahoo ADP'!$B$2:$B2766=$B620,$C620='Yahoo ADP'!$C$2:$C2766,$D620='Yahoo ADP'!$D$2:$D2766))"),"-")</f>
        <v>-</v>
      </c>
      <c r="G620" s="27">
        <v>602.0</v>
      </c>
      <c r="H620" s="8">
        <f t="shared" si="1"/>
        <v>-17</v>
      </c>
    </row>
    <row r="621">
      <c r="A621" s="10">
        <v>620.0</v>
      </c>
      <c r="B621" s="11" t="s">
        <v>3466</v>
      </c>
      <c r="C621" s="10" t="s">
        <v>79</v>
      </c>
      <c r="D621" s="10" t="s">
        <v>90</v>
      </c>
      <c r="E621" s="13" t="str">
        <f>IFERROR(__xludf.DUMMYFUNCTION("ifna(filter('Yahoo ADP'!$A$2:$A2766,'Yahoo ADP'!$B$2:$B2766=$B621,$C621='Yahoo ADP'!$C$2:$C2766,$D621='Yahoo ADP'!$D$2:$D2766))"),"")</f>
        <v/>
      </c>
      <c r="F621" s="13" t="str">
        <f>IFERROR(__xludf.DUMMYFUNCTION("ifna(filter('Yahoo ADP'!$E$2:$E2766,'Yahoo ADP'!$B$2:$B2766=$B621,$C621='Yahoo ADP'!$C$2:$C2766,$D621='Yahoo ADP'!$D$2:$D2766))"),"-")</f>
        <v>-</v>
      </c>
      <c r="G621" s="27">
        <v>604.0</v>
      </c>
      <c r="H621" s="8">
        <f t="shared" si="1"/>
        <v>-16</v>
      </c>
    </row>
    <row r="622">
      <c r="A622" s="10">
        <v>621.0</v>
      </c>
      <c r="B622" s="11" t="s">
        <v>3467</v>
      </c>
      <c r="C622" s="10" t="s">
        <v>79</v>
      </c>
      <c r="D622" s="10" t="s">
        <v>18</v>
      </c>
      <c r="E622" s="13" t="str">
        <f>IFERROR(__xludf.DUMMYFUNCTION("ifna(filter('Yahoo ADP'!$A$2:$A2766,'Yahoo ADP'!$B$2:$B2766=$B622,$C622='Yahoo ADP'!$C$2:$C2766,$D622='Yahoo ADP'!$D$2:$D2766))"),"")</f>
        <v/>
      </c>
      <c r="F622" s="13" t="str">
        <f>IFERROR(__xludf.DUMMYFUNCTION("ifna(filter('Yahoo ADP'!$E$2:$E2766,'Yahoo ADP'!$B$2:$B2766=$B622,$C622='Yahoo ADP'!$C$2:$C2766,$D622='Yahoo ADP'!$D$2:$D2766))"),"-")</f>
        <v>-</v>
      </c>
      <c r="G622" s="27">
        <v>605.0</v>
      </c>
      <c r="H622" s="8">
        <f t="shared" si="1"/>
        <v>-16</v>
      </c>
    </row>
    <row r="623">
      <c r="A623" s="10">
        <v>622.0</v>
      </c>
      <c r="B623" s="11" t="s">
        <v>3468</v>
      </c>
      <c r="C623" s="10" t="s">
        <v>79</v>
      </c>
      <c r="D623" s="10" t="s">
        <v>9</v>
      </c>
      <c r="E623" s="13" t="str">
        <f>IFERROR(__xludf.DUMMYFUNCTION("ifna(filter('Yahoo ADP'!$A$2:$A2766,'Yahoo ADP'!$B$2:$B2766=$B623,$C623='Yahoo ADP'!$C$2:$C2766,$D623='Yahoo ADP'!$D$2:$D2766))"),"")</f>
        <v/>
      </c>
      <c r="F623" s="13" t="str">
        <f>IFERROR(__xludf.DUMMYFUNCTION("ifna(filter('Yahoo ADP'!$E$2:$E2766,'Yahoo ADP'!$B$2:$B2766=$B623,$C623='Yahoo ADP'!$C$2:$C2766,$D623='Yahoo ADP'!$D$2:$D2766))"),"-")</f>
        <v>-</v>
      </c>
      <c r="G623" s="27">
        <v>606.0</v>
      </c>
      <c r="H623" s="8">
        <f t="shared" si="1"/>
        <v>-16</v>
      </c>
    </row>
    <row r="624">
      <c r="A624" s="10">
        <v>623.0</v>
      </c>
      <c r="B624" s="11" t="s">
        <v>3469</v>
      </c>
      <c r="C624" s="10" t="s">
        <v>79</v>
      </c>
      <c r="D624" s="10" t="s">
        <v>18</v>
      </c>
      <c r="E624" s="13" t="str">
        <f>IFERROR(__xludf.DUMMYFUNCTION("ifna(filter('Yahoo ADP'!$A$2:$A2766,'Yahoo ADP'!$B$2:$B2766=$B624,$C624='Yahoo ADP'!$C$2:$C2766,$D624='Yahoo ADP'!$D$2:$D2766))"),"")</f>
        <v/>
      </c>
      <c r="F624" s="13" t="str">
        <f>IFERROR(__xludf.DUMMYFUNCTION("ifna(filter('Yahoo ADP'!$E$2:$E2766,'Yahoo ADP'!$B$2:$B2766=$B624,$C624='Yahoo ADP'!$C$2:$C2766,$D624='Yahoo ADP'!$D$2:$D2766))"),"-")</f>
        <v>-</v>
      </c>
      <c r="G624" s="27">
        <v>607.0</v>
      </c>
      <c r="H624" s="8">
        <f t="shared" si="1"/>
        <v>-16</v>
      </c>
    </row>
    <row r="625">
      <c r="A625" s="10">
        <v>624.0</v>
      </c>
      <c r="B625" s="11" t="s">
        <v>3470</v>
      </c>
      <c r="C625" s="10" t="s">
        <v>79</v>
      </c>
      <c r="D625" s="10" t="s">
        <v>9</v>
      </c>
      <c r="E625" s="13" t="str">
        <f>IFERROR(__xludf.DUMMYFUNCTION("ifna(filter('Yahoo ADP'!$A$2:$A2766,'Yahoo ADP'!$B$2:$B2766=$B625,$C625='Yahoo ADP'!$C$2:$C2766,$D625='Yahoo ADP'!$D$2:$D2766))"),"")</f>
        <v/>
      </c>
      <c r="F625" s="13" t="str">
        <f>IFERROR(__xludf.DUMMYFUNCTION("ifna(filter('Yahoo ADP'!$E$2:$E2766,'Yahoo ADP'!$B$2:$B2766=$B625,$C625='Yahoo ADP'!$C$2:$C2766,$D625='Yahoo ADP'!$D$2:$D2766))"),"-")</f>
        <v>-</v>
      </c>
      <c r="G625" s="27">
        <v>608.0</v>
      </c>
      <c r="H625" s="8">
        <f t="shared" si="1"/>
        <v>-16</v>
      </c>
    </row>
    <row r="626">
      <c r="A626" s="10">
        <v>625.0</v>
      </c>
      <c r="B626" s="11" t="s">
        <v>3471</v>
      </c>
      <c r="C626" s="10" t="s">
        <v>22</v>
      </c>
      <c r="D626" s="10" t="s">
        <v>67</v>
      </c>
      <c r="E626" s="13" t="str">
        <f>IFERROR(__xludf.DUMMYFUNCTION("ifna(filter('Yahoo ADP'!$A$2:$A2766,'Yahoo ADP'!$B$2:$B2766=$B626,$C626='Yahoo ADP'!$C$2:$C2766,$D626='Yahoo ADP'!$D$2:$D2766))"),"")</f>
        <v/>
      </c>
      <c r="F626" s="13" t="str">
        <f>IFERROR(__xludf.DUMMYFUNCTION("ifna(filter('Yahoo ADP'!$E$2:$E2766,'Yahoo ADP'!$B$2:$B2766=$B626,$C626='Yahoo ADP'!$C$2:$C2766,$D626='Yahoo ADP'!$D$2:$D2766))"),"-")</f>
        <v>-</v>
      </c>
      <c r="G626" s="27">
        <v>609.0</v>
      </c>
      <c r="H626" s="8">
        <f t="shared" si="1"/>
        <v>-16</v>
      </c>
    </row>
    <row r="627">
      <c r="A627" s="10">
        <v>626.0</v>
      </c>
      <c r="B627" s="11" t="s">
        <v>3472</v>
      </c>
      <c r="C627" s="10" t="s">
        <v>79</v>
      </c>
      <c r="D627" s="10" t="s">
        <v>99</v>
      </c>
      <c r="E627" s="13" t="str">
        <f>IFERROR(__xludf.DUMMYFUNCTION("ifna(filter('Yahoo ADP'!$A$2:$A2766,'Yahoo ADP'!$B$2:$B2766=$B627,$C627='Yahoo ADP'!$C$2:$C2766,$D627='Yahoo ADP'!$D$2:$D2766))"),"")</f>
        <v/>
      </c>
      <c r="F627" s="13" t="str">
        <f>IFERROR(__xludf.DUMMYFUNCTION("ifna(filter('Yahoo ADP'!$E$2:$E2766,'Yahoo ADP'!$B$2:$B2766=$B627,$C627='Yahoo ADP'!$C$2:$C2766,$D627='Yahoo ADP'!$D$2:$D2766))"),"-")</f>
        <v>-</v>
      </c>
      <c r="G627" s="27">
        <v>610.0</v>
      </c>
      <c r="H627" s="8">
        <f t="shared" si="1"/>
        <v>-16</v>
      </c>
    </row>
    <row r="628">
      <c r="A628" s="10">
        <v>627.0</v>
      </c>
      <c r="B628" s="11" t="s">
        <v>3473</v>
      </c>
      <c r="C628" s="10" t="s">
        <v>79</v>
      </c>
      <c r="D628" s="10" t="s">
        <v>34</v>
      </c>
      <c r="E628" s="13" t="str">
        <f>IFERROR(__xludf.DUMMYFUNCTION("ifna(filter('Yahoo ADP'!$A$2:$A2766,'Yahoo ADP'!$B$2:$B2766=$B628,$C628='Yahoo ADP'!$C$2:$C2766,$D628='Yahoo ADP'!$D$2:$D2766))"),"")</f>
        <v/>
      </c>
      <c r="F628" s="13" t="str">
        <f>IFERROR(__xludf.DUMMYFUNCTION("ifna(filter('Yahoo ADP'!$E$2:$E2766,'Yahoo ADP'!$B$2:$B2766=$B628,$C628='Yahoo ADP'!$C$2:$C2766,$D628='Yahoo ADP'!$D$2:$D2766))"),"-")</f>
        <v>-</v>
      </c>
      <c r="G628" s="27">
        <v>611.0</v>
      </c>
      <c r="H628" s="8">
        <f t="shared" si="1"/>
        <v>-16</v>
      </c>
    </row>
    <row r="629">
      <c r="A629" s="10">
        <v>628.0</v>
      </c>
      <c r="B629" s="11" t="s">
        <v>3474</v>
      </c>
      <c r="C629" s="10" t="s">
        <v>79</v>
      </c>
      <c r="D629" s="10" t="s">
        <v>82</v>
      </c>
      <c r="E629" s="13" t="str">
        <f>IFERROR(__xludf.DUMMYFUNCTION("ifna(filter('Yahoo ADP'!$A$2:$A2766,'Yahoo ADP'!$B$2:$B2766=$B629,$C629='Yahoo ADP'!$C$2:$C2766,$D629='Yahoo ADP'!$D$2:$D2766))"),"")</f>
        <v/>
      </c>
      <c r="F629" s="13" t="str">
        <f>IFERROR(__xludf.DUMMYFUNCTION("ifna(filter('Yahoo ADP'!$E$2:$E2766,'Yahoo ADP'!$B$2:$B2766=$B629,$C629='Yahoo ADP'!$C$2:$C2766,$D629='Yahoo ADP'!$D$2:$D2766))"),"-")</f>
        <v>-</v>
      </c>
      <c r="G629" s="27">
        <v>612.0</v>
      </c>
      <c r="H629" s="8">
        <f t="shared" si="1"/>
        <v>-16</v>
      </c>
    </row>
    <row r="630">
      <c r="A630" s="10">
        <v>629.0</v>
      </c>
      <c r="B630" s="11" t="s">
        <v>3475</v>
      </c>
      <c r="C630" s="10" t="s">
        <v>22</v>
      </c>
      <c r="D630" s="10" t="s">
        <v>18</v>
      </c>
      <c r="E630" s="13" t="str">
        <f>IFERROR(__xludf.DUMMYFUNCTION("ifna(filter('Yahoo ADP'!$A$2:$A2766,'Yahoo ADP'!$B$2:$B2766=$B630,$C630='Yahoo ADP'!$C$2:$C2766,$D630='Yahoo ADP'!$D$2:$D2766))"),"")</f>
        <v/>
      </c>
      <c r="F630" s="13" t="str">
        <f>IFERROR(__xludf.DUMMYFUNCTION("ifna(filter('Yahoo ADP'!$E$2:$E2766,'Yahoo ADP'!$B$2:$B2766=$B630,$C630='Yahoo ADP'!$C$2:$C2766,$D630='Yahoo ADP'!$D$2:$D2766))"),"-")</f>
        <v>-</v>
      </c>
      <c r="G630" s="27">
        <v>613.0</v>
      </c>
      <c r="H630" s="8">
        <f t="shared" si="1"/>
        <v>-16</v>
      </c>
    </row>
    <row r="631">
      <c r="A631" s="10">
        <v>630.0</v>
      </c>
      <c r="B631" s="11" t="s">
        <v>3476</v>
      </c>
      <c r="C631" s="10" t="s">
        <v>79</v>
      </c>
      <c r="D631" s="10" t="s">
        <v>137</v>
      </c>
      <c r="E631" s="13" t="str">
        <f>IFERROR(__xludf.DUMMYFUNCTION("ifna(filter('Yahoo ADP'!$A$2:$A2766,'Yahoo ADP'!$B$2:$B2766=$B631,$C631='Yahoo ADP'!$C$2:$C2766,$D631='Yahoo ADP'!$D$2:$D2766))"),"")</f>
        <v/>
      </c>
      <c r="F631" s="13" t="str">
        <f>IFERROR(__xludf.DUMMYFUNCTION("ifna(filter('Yahoo ADP'!$E$2:$E2766,'Yahoo ADP'!$B$2:$B2766=$B631,$C631='Yahoo ADP'!$C$2:$C2766,$D631='Yahoo ADP'!$D$2:$D2766))"),"-")</f>
        <v>-</v>
      </c>
      <c r="G631" s="27">
        <v>614.0</v>
      </c>
      <c r="H631" s="8">
        <f t="shared" si="1"/>
        <v>-16</v>
      </c>
    </row>
    <row r="632">
      <c r="A632" s="10">
        <v>631.0</v>
      </c>
      <c r="B632" s="11" t="s">
        <v>3477</v>
      </c>
      <c r="C632" s="10" t="s">
        <v>79</v>
      </c>
      <c r="D632" s="10" t="s">
        <v>73</v>
      </c>
      <c r="E632" s="13" t="str">
        <f>IFERROR(__xludf.DUMMYFUNCTION("ifna(filter('Yahoo ADP'!$A$2:$A2766,'Yahoo ADP'!$B$2:$B2766=$B632,$C632='Yahoo ADP'!$C$2:$C2766,$D632='Yahoo ADP'!$D$2:$D2766))"),"")</f>
        <v/>
      </c>
      <c r="F632" s="13" t="str">
        <f>IFERROR(__xludf.DUMMYFUNCTION("ifna(filter('Yahoo ADP'!$E$2:$E2766,'Yahoo ADP'!$B$2:$B2766=$B632,$C632='Yahoo ADP'!$C$2:$C2766,$D632='Yahoo ADP'!$D$2:$D2766))"),"-")</f>
        <v>-</v>
      </c>
      <c r="G632" s="27">
        <v>615.0</v>
      </c>
      <c r="H632" s="8">
        <f t="shared" si="1"/>
        <v>-16</v>
      </c>
    </row>
    <row r="633">
      <c r="A633" s="10">
        <v>632.0</v>
      </c>
      <c r="B633" s="11" t="s">
        <v>3478</v>
      </c>
      <c r="C633" s="10" t="s">
        <v>220</v>
      </c>
      <c r="D633" s="10" t="s">
        <v>113</v>
      </c>
      <c r="E633" s="13" t="str">
        <f>IFERROR(__xludf.DUMMYFUNCTION("ifna(filter('Yahoo ADP'!$A$2:$A2766,'Yahoo ADP'!$B$2:$B2766=$B633,$C633='Yahoo ADP'!$C$2:$C2766,$D633='Yahoo ADP'!$D$2:$D2766))"),"")</f>
        <v/>
      </c>
      <c r="F633" s="13" t="str">
        <f>IFERROR(__xludf.DUMMYFUNCTION("ifna(filter('Yahoo ADP'!$E$2:$E2766,'Yahoo ADP'!$B$2:$B2766=$B633,$C633='Yahoo ADP'!$C$2:$C2766,$D633='Yahoo ADP'!$D$2:$D2766))"),"-")</f>
        <v>-</v>
      </c>
      <c r="G633" s="27">
        <v>616.0</v>
      </c>
      <c r="H633" s="8">
        <f t="shared" si="1"/>
        <v>-16</v>
      </c>
    </row>
    <row r="634">
      <c r="A634" s="10">
        <v>633.0</v>
      </c>
      <c r="B634" s="11" t="s">
        <v>3479</v>
      </c>
      <c r="C634" s="10" t="s">
        <v>79</v>
      </c>
      <c r="D634" s="10" t="s">
        <v>49</v>
      </c>
      <c r="E634" s="13" t="str">
        <f>IFERROR(__xludf.DUMMYFUNCTION("ifna(filter('Yahoo ADP'!$A$2:$A2766,'Yahoo ADP'!$B$2:$B2766=$B634,$C634='Yahoo ADP'!$C$2:$C2766,$D634='Yahoo ADP'!$D$2:$D2766))"),"")</f>
        <v/>
      </c>
      <c r="F634" s="13" t="str">
        <f>IFERROR(__xludf.DUMMYFUNCTION("ifna(filter('Yahoo ADP'!$E$2:$E2766,'Yahoo ADP'!$B$2:$B2766=$B634,$C634='Yahoo ADP'!$C$2:$C2766,$D634='Yahoo ADP'!$D$2:$D2766))"),"-")</f>
        <v>-</v>
      </c>
      <c r="G634" s="27">
        <v>617.0</v>
      </c>
      <c r="H634" s="8">
        <f t="shared" si="1"/>
        <v>-16</v>
      </c>
    </row>
    <row r="635">
      <c r="A635" s="10">
        <v>634.0</v>
      </c>
      <c r="B635" s="11" t="s">
        <v>3480</v>
      </c>
      <c r="C635" s="10" t="s">
        <v>79</v>
      </c>
      <c r="D635" s="10" t="s">
        <v>52</v>
      </c>
      <c r="E635" s="13" t="str">
        <f>IFERROR(__xludf.DUMMYFUNCTION("ifna(filter('Yahoo ADP'!$A$2:$A2766,'Yahoo ADP'!$B$2:$B2766=$B635,$C635='Yahoo ADP'!$C$2:$C2766,$D635='Yahoo ADP'!$D$2:$D2766))"),"")</f>
        <v/>
      </c>
      <c r="F635" s="13" t="str">
        <f>IFERROR(__xludf.DUMMYFUNCTION("ifna(filter('Yahoo ADP'!$E$2:$E2766,'Yahoo ADP'!$B$2:$B2766=$B635,$C635='Yahoo ADP'!$C$2:$C2766,$D635='Yahoo ADP'!$D$2:$D2766))"),"-")</f>
        <v>-</v>
      </c>
      <c r="G635" s="27">
        <v>618.0</v>
      </c>
      <c r="H635" s="8">
        <f t="shared" si="1"/>
        <v>-16</v>
      </c>
    </row>
    <row r="636">
      <c r="A636" s="10">
        <v>635.0</v>
      </c>
      <c r="B636" s="11" t="s">
        <v>3481</v>
      </c>
      <c r="C636" s="10" t="s">
        <v>79</v>
      </c>
      <c r="D636" s="10" t="s">
        <v>27</v>
      </c>
      <c r="E636" s="13" t="str">
        <f>IFERROR(__xludf.DUMMYFUNCTION("ifna(filter('Yahoo ADP'!$A$2:$A2766,'Yahoo ADP'!$B$2:$B2766=$B636,$C636='Yahoo ADP'!$C$2:$C2766,$D636='Yahoo ADP'!$D$2:$D2766))"),"")</f>
        <v/>
      </c>
      <c r="F636" s="13" t="str">
        <f>IFERROR(__xludf.DUMMYFUNCTION("ifna(filter('Yahoo ADP'!$E$2:$E2766,'Yahoo ADP'!$B$2:$B2766=$B636,$C636='Yahoo ADP'!$C$2:$C2766,$D636='Yahoo ADP'!$D$2:$D2766))"),"-")</f>
        <v>-</v>
      </c>
      <c r="G636" s="27">
        <v>619.0</v>
      </c>
      <c r="H636" s="8">
        <f t="shared" si="1"/>
        <v>-16</v>
      </c>
    </row>
    <row r="637">
      <c r="A637" s="10">
        <v>636.0</v>
      </c>
      <c r="B637" s="11" t="s">
        <v>3482</v>
      </c>
      <c r="C637" s="10" t="s">
        <v>79</v>
      </c>
      <c r="D637" s="10" t="s">
        <v>42</v>
      </c>
      <c r="E637" s="13" t="str">
        <f>IFERROR(__xludf.DUMMYFUNCTION("ifna(filter('Yahoo ADP'!$A$2:$A2766,'Yahoo ADP'!$B$2:$B2766=$B637,$C637='Yahoo ADP'!$C$2:$C2766,$D637='Yahoo ADP'!$D$2:$D2766))"),"")</f>
        <v/>
      </c>
      <c r="F637" s="13" t="str">
        <f>IFERROR(__xludf.DUMMYFUNCTION("ifna(filter('Yahoo ADP'!$E$2:$E2766,'Yahoo ADP'!$B$2:$B2766=$B637,$C637='Yahoo ADP'!$C$2:$C2766,$D637='Yahoo ADP'!$D$2:$D2766))"),"-")</f>
        <v>-</v>
      </c>
      <c r="G637" s="27">
        <v>620.0</v>
      </c>
      <c r="H637" s="8">
        <f t="shared" si="1"/>
        <v>-16</v>
      </c>
    </row>
    <row r="638">
      <c r="A638" s="10">
        <v>637.0</v>
      </c>
      <c r="B638" s="11" t="s">
        <v>3483</v>
      </c>
      <c r="C638" s="10" t="s">
        <v>79</v>
      </c>
      <c r="D638" s="10" t="s">
        <v>9</v>
      </c>
      <c r="E638" s="13" t="str">
        <f>IFERROR(__xludf.DUMMYFUNCTION("ifna(filter('Yahoo ADP'!$A$2:$A2766,'Yahoo ADP'!$B$2:$B2766=$B638,$C638='Yahoo ADP'!$C$2:$C2766,$D638='Yahoo ADP'!$D$2:$D2766))"),"")</f>
        <v/>
      </c>
      <c r="F638" s="13" t="str">
        <f>IFERROR(__xludf.DUMMYFUNCTION("ifna(filter('Yahoo ADP'!$E$2:$E2766,'Yahoo ADP'!$B$2:$B2766=$B638,$C638='Yahoo ADP'!$C$2:$C2766,$D638='Yahoo ADP'!$D$2:$D2766))"),"-")</f>
        <v>-</v>
      </c>
      <c r="G638" s="27">
        <v>621.0</v>
      </c>
      <c r="H638" s="8">
        <f t="shared" si="1"/>
        <v>-16</v>
      </c>
    </row>
    <row r="639">
      <c r="A639" s="10">
        <v>638.0</v>
      </c>
      <c r="B639" s="11" t="s">
        <v>3484</v>
      </c>
      <c r="C639" s="10" t="s">
        <v>22</v>
      </c>
      <c r="D639" s="10" t="s">
        <v>82</v>
      </c>
      <c r="E639" s="13" t="str">
        <f>IFERROR(__xludf.DUMMYFUNCTION("ifna(filter('Yahoo ADP'!$A$2:$A2766,'Yahoo ADP'!$B$2:$B2766=$B639,$C639='Yahoo ADP'!$C$2:$C2766,$D639='Yahoo ADP'!$D$2:$D2766))"),"")</f>
        <v/>
      </c>
      <c r="F639" s="13" t="str">
        <f>IFERROR(__xludf.DUMMYFUNCTION("ifna(filter('Yahoo ADP'!$E$2:$E2766,'Yahoo ADP'!$B$2:$B2766=$B639,$C639='Yahoo ADP'!$C$2:$C2766,$D639='Yahoo ADP'!$D$2:$D2766))"),"-")</f>
        <v>-</v>
      </c>
      <c r="G639" s="27">
        <v>622.0</v>
      </c>
      <c r="H639" s="8">
        <f t="shared" si="1"/>
        <v>-16</v>
      </c>
    </row>
    <row r="640">
      <c r="A640" s="10">
        <v>639.0</v>
      </c>
      <c r="B640" s="11" t="s">
        <v>3485</v>
      </c>
      <c r="C640" s="10" t="s">
        <v>79</v>
      </c>
      <c r="D640" s="10" t="s">
        <v>42</v>
      </c>
      <c r="E640" s="13" t="str">
        <f>IFERROR(__xludf.DUMMYFUNCTION("ifna(filter('Yahoo ADP'!$A$2:$A2766,'Yahoo ADP'!$B$2:$B2766=$B640,$C640='Yahoo ADP'!$C$2:$C2766,$D640='Yahoo ADP'!$D$2:$D2766))"),"")</f>
        <v/>
      </c>
      <c r="F640" s="13" t="str">
        <f>IFERROR(__xludf.DUMMYFUNCTION("ifna(filter('Yahoo ADP'!$E$2:$E2766,'Yahoo ADP'!$B$2:$B2766=$B640,$C640='Yahoo ADP'!$C$2:$C2766,$D640='Yahoo ADP'!$D$2:$D2766))"),"-")</f>
        <v>-</v>
      </c>
      <c r="G640" s="27">
        <v>623.0</v>
      </c>
      <c r="H640" s="8">
        <f t="shared" si="1"/>
        <v>-16</v>
      </c>
    </row>
    <row r="641">
      <c r="A641" s="10">
        <v>640.0</v>
      </c>
      <c r="B641" s="11" t="s">
        <v>3486</v>
      </c>
      <c r="C641" s="10" t="s">
        <v>79</v>
      </c>
      <c r="D641" s="10" t="s">
        <v>95</v>
      </c>
      <c r="E641" s="13" t="str">
        <f>IFERROR(__xludf.DUMMYFUNCTION("ifna(filter('Yahoo ADP'!$A$2:$A2766,'Yahoo ADP'!$B$2:$B2766=$B641,$C641='Yahoo ADP'!$C$2:$C2766,$D641='Yahoo ADP'!$D$2:$D2766))"),"")</f>
        <v/>
      </c>
      <c r="F641" s="13" t="str">
        <f>IFERROR(__xludf.DUMMYFUNCTION("ifna(filter('Yahoo ADP'!$E$2:$E2766,'Yahoo ADP'!$B$2:$B2766=$B641,$C641='Yahoo ADP'!$C$2:$C2766,$D641='Yahoo ADP'!$D$2:$D2766))"),"-")</f>
        <v>-</v>
      </c>
      <c r="G641" s="27">
        <v>624.0</v>
      </c>
      <c r="H641" s="8">
        <f t="shared" si="1"/>
        <v>-16</v>
      </c>
    </row>
    <row r="642">
      <c r="A642" s="10">
        <v>641.0</v>
      </c>
      <c r="B642" s="11" t="s">
        <v>3487</v>
      </c>
      <c r="C642" s="10" t="s">
        <v>79</v>
      </c>
      <c r="D642" s="10" t="s">
        <v>9</v>
      </c>
      <c r="E642" s="13" t="str">
        <f>IFERROR(__xludf.DUMMYFUNCTION("ifna(filter('Yahoo ADP'!$A$2:$A2766,'Yahoo ADP'!$B$2:$B2766=$B642,$C642='Yahoo ADP'!$C$2:$C2766,$D642='Yahoo ADP'!$D$2:$D2766))"),"")</f>
        <v/>
      </c>
      <c r="F642" s="13" t="str">
        <f>IFERROR(__xludf.DUMMYFUNCTION("ifna(filter('Yahoo ADP'!$E$2:$E2766,'Yahoo ADP'!$B$2:$B2766=$B642,$C642='Yahoo ADP'!$C$2:$C2766,$D642='Yahoo ADP'!$D$2:$D2766))"),"-")</f>
        <v>-</v>
      </c>
      <c r="G642" s="27">
        <v>625.0</v>
      </c>
      <c r="H642" s="8">
        <f t="shared" si="1"/>
        <v>-16</v>
      </c>
    </row>
    <row r="643">
      <c r="A643" s="10">
        <v>642.0</v>
      </c>
      <c r="B643" s="11" t="s">
        <v>3488</v>
      </c>
      <c r="C643" s="10" t="s">
        <v>79</v>
      </c>
      <c r="D643" s="10" t="s">
        <v>129</v>
      </c>
      <c r="E643" s="13" t="str">
        <f>IFERROR(__xludf.DUMMYFUNCTION("ifna(filter('Yahoo ADP'!$A$2:$A2766,'Yahoo ADP'!$B$2:$B2766=$B643,$C643='Yahoo ADP'!$C$2:$C2766,$D643='Yahoo ADP'!$D$2:$D2766))"),"")</f>
        <v/>
      </c>
      <c r="F643" s="13" t="str">
        <f>IFERROR(__xludf.DUMMYFUNCTION("ifna(filter('Yahoo ADP'!$E$2:$E2766,'Yahoo ADP'!$B$2:$B2766=$B643,$C643='Yahoo ADP'!$C$2:$C2766,$D643='Yahoo ADP'!$D$2:$D2766))"),"-")</f>
        <v>-</v>
      </c>
      <c r="G643" s="27">
        <v>626.0</v>
      </c>
      <c r="H643" s="8">
        <f t="shared" si="1"/>
        <v>-16</v>
      </c>
    </row>
    <row r="644">
      <c r="A644" s="10">
        <v>643.0</v>
      </c>
      <c r="B644" s="11" t="s">
        <v>3489</v>
      </c>
      <c r="C644" s="10" t="s">
        <v>79</v>
      </c>
      <c r="D644" s="10" t="s">
        <v>23</v>
      </c>
      <c r="E644" s="13" t="str">
        <f>IFERROR(__xludf.DUMMYFUNCTION("ifna(filter('Yahoo ADP'!$A$2:$A2766,'Yahoo ADP'!$B$2:$B2766=$B644,$C644='Yahoo ADP'!$C$2:$C2766,$D644='Yahoo ADP'!$D$2:$D2766))"),"")</f>
        <v/>
      </c>
      <c r="F644" s="13" t="str">
        <f>IFERROR(__xludf.DUMMYFUNCTION("ifna(filter('Yahoo ADP'!$E$2:$E2766,'Yahoo ADP'!$B$2:$B2766=$B644,$C644='Yahoo ADP'!$C$2:$C2766,$D644='Yahoo ADP'!$D$2:$D2766))"),"-")</f>
        <v>-</v>
      </c>
      <c r="G644" s="27">
        <v>627.0</v>
      </c>
      <c r="H644" s="8">
        <f t="shared" si="1"/>
        <v>-16</v>
      </c>
    </row>
    <row r="645">
      <c r="A645" s="10">
        <v>644.0</v>
      </c>
      <c r="B645" s="11" t="s">
        <v>3490</v>
      </c>
      <c r="C645" s="10" t="s">
        <v>79</v>
      </c>
      <c r="D645" s="10" t="s">
        <v>15</v>
      </c>
      <c r="E645" s="13" t="str">
        <f>IFERROR(__xludf.DUMMYFUNCTION("ifna(filter('Yahoo ADP'!$A$2:$A2766,'Yahoo ADP'!$B$2:$B2766=$B645,$C645='Yahoo ADP'!$C$2:$C2766,$D645='Yahoo ADP'!$D$2:$D2766))"),"")</f>
        <v/>
      </c>
      <c r="F645" s="13" t="str">
        <f>IFERROR(__xludf.DUMMYFUNCTION("ifna(filter('Yahoo ADP'!$E$2:$E2766,'Yahoo ADP'!$B$2:$B2766=$B645,$C645='Yahoo ADP'!$C$2:$C2766,$D645='Yahoo ADP'!$D$2:$D2766))"),"-")</f>
        <v>-</v>
      </c>
      <c r="G645" s="27">
        <v>628.0</v>
      </c>
      <c r="H645" s="8">
        <f t="shared" si="1"/>
        <v>-16</v>
      </c>
    </row>
    <row r="646">
      <c r="A646" s="10">
        <v>645.0</v>
      </c>
      <c r="B646" s="11" t="s">
        <v>3491</v>
      </c>
      <c r="C646" s="10" t="s">
        <v>79</v>
      </c>
      <c r="D646" s="10" t="s">
        <v>34</v>
      </c>
      <c r="E646" s="13" t="str">
        <f>IFERROR(__xludf.DUMMYFUNCTION("ifna(filter('Yahoo ADP'!$A$2:$A2766,'Yahoo ADP'!$B$2:$B2766=$B646,$C646='Yahoo ADP'!$C$2:$C2766,$D646='Yahoo ADP'!$D$2:$D2766))"),"")</f>
        <v/>
      </c>
      <c r="F646" s="13" t="str">
        <f>IFERROR(__xludf.DUMMYFUNCTION("ifna(filter('Yahoo ADP'!$E$2:$E2766,'Yahoo ADP'!$B$2:$B2766=$B646,$C646='Yahoo ADP'!$C$2:$C2766,$D646='Yahoo ADP'!$D$2:$D2766))"),"-")</f>
        <v>-</v>
      </c>
      <c r="G646" s="27">
        <v>629.0</v>
      </c>
      <c r="H646" s="8">
        <f t="shared" si="1"/>
        <v>-16</v>
      </c>
    </row>
    <row r="647">
      <c r="A647" s="10">
        <v>646.0</v>
      </c>
      <c r="B647" s="11" t="s">
        <v>3492</v>
      </c>
      <c r="C647" s="10" t="s">
        <v>22</v>
      </c>
      <c r="D647" s="10" t="s">
        <v>99</v>
      </c>
      <c r="E647" s="13" t="str">
        <f>IFERROR(__xludf.DUMMYFUNCTION("ifna(filter('Yahoo ADP'!$A$2:$A2766,'Yahoo ADP'!$B$2:$B2766=$B647,$C647='Yahoo ADP'!$C$2:$C2766,$D647='Yahoo ADP'!$D$2:$D2766))"),"")</f>
        <v/>
      </c>
      <c r="F647" s="13" t="str">
        <f>IFERROR(__xludf.DUMMYFUNCTION("ifna(filter('Yahoo ADP'!$E$2:$E2766,'Yahoo ADP'!$B$2:$B2766=$B647,$C647='Yahoo ADP'!$C$2:$C2766,$D647='Yahoo ADP'!$D$2:$D2766))"),"-")</f>
        <v>-</v>
      </c>
      <c r="G647" s="27">
        <v>630.0</v>
      </c>
      <c r="H647" s="8">
        <f t="shared" si="1"/>
        <v>-16</v>
      </c>
    </row>
    <row r="648">
      <c r="A648" s="10">
        <v>647.0</v>
      </c>
      <c r="B648" s="11" t="s">
        <v>3493</v>
      </c>
      <c r="C648" s="10" t="s">
        <v>79</v>
      </c>
      <c r="D648" s="10" t="s">
        <v>71</v>
      </c>
      <c r="E648" s="13" t="str">
        <f>IFERROR(__xludf.DUMMYFUNCTION("ifna(filter('Yahoo ADP'!$A$2:$A2766,'Yahoo ADP'!$B$2:$B2766=$B648,$C648='Yahoo ADP'!$C$2:$C2766,$D648='Yahoo ADP'!$D$2:$D2766))"),"")</f>
        <v/>
      </c>
      <c r="F648" s="13" t="str">
        <f>IFERROR(__xludf.DUMMYFUNCTION("ifna(filter('Yahoo ADP'!$E$2:$E2766,'Yahoo ADP'!$B$2:$B2766=$B648,$C648='Yahoo ADP'!$C$2:$C2766,$D648='Yahoo ADP'!$D$2:$D2766))"),"-")</f>
        <v>-</v>
      </c>
      <c r="G648" s="27">
        <v>631.0</v>
      </c>
      <c r="H648" s="8">
        <f t="shared" si="1"/>
        <v>-16</v>
      </c>
    </row>
    <row r="649">
      <c r="A649" s="10">
        <v>648.0</v>
      </c>
      <c r="B649" s="11" t="s">
        <v>3494</v>
      </c>
      <c r="C649" s="10" t="s">
        <v>79</v>
      </c>
      <c r="D649" s="10" t="s">
        <v>120</v>
      </c>
      <c r="E649" s="13" t="str">
        <f>IFERROR(__xludf.DUMMYFUNCTION("ifna(filter('Yahoo ADP'!$A$2:$A2766,'Yahoo ADP'!$B$2:$B2766=$B649,$C649='Yahoo ADP'!$C$2:$C2766,$D649='Yahoo ADP'!$D$2:$D2766))"),"")</f>
        <v/>
      </c>
      <c r="F649" s="13" t="str">
        <f>IFERROR(__xludf.DUMMYFUNCTION("ifna(filter('Yahoo ADP'!$E$2:$E2766,'Yahoo ADP'!$B$2:$B2766=$B649,$C649='Yahoo ADP'!$C$2:$C2766,$D649='Yahoo ADP'!$D$2:$D2766))"),"-")</f>
        <v>-</v>
      </c>
      <c r="G649" s="27">
        <v>632.0</v>
      </c>
      <c r="H649" s="8">
        <f t="shared" si="1"/>
        <v>-16</v>
      </c>
    </row>
    <row r="650">
      <c r="A650" s="10">
        <v>649.0</v>
      </c>
      <c r="B650" s="11" t="s">
        <v>3495</v>
      </c>
      <c r="C650" s="10" t="s">
        <v>22</v>
      </c>
      <c r="D650" s="10" t="s">
        <v>129</v>
      </c>
      <c r="E650" s="13" t="str">
        <f>IFERROR(__xludf.DUMMYFUNCTION("ifna(filter('Yahoo ADP'!$A$2:$A2766,'Yahoo ADP'!$B$2:$B2766=$B650,$C650='Yahoo ADP'!$C$2:$C2766,$D650='Yahoo ADP'!$D$2:$D2766))"),"")</f>
        <v/>
      </c>
      <c r="F650" s="13" t="str">
        <f>IFERROR(__xludf.DUMMYFUNCTION("ifna(filter('Yahoo ADP'!$E$2:$E2766,'Yahoo ADP'!$B$2:$B2766=$B650,$C650='Yahoo ADP'!$C$2:$C2766,$D650='Yahoo ADP'!$D$2:$D2766))"),"-")</f>
        <v>-</v>
      </c>
      <c r="G650" s="27">
        <v>633.0</v>
      </c>
      <c r="H650" s="8">
        <f t="shared" si="1"/>
        <v>-16</v>
      </c>
    </row>
    <row r="651">
      <c r="A651" s="10">
        <v>650.0</v>
      </c>
      <c r="B651" s="11" t="s">
        <v>3496</v>
      </c>
      <c r="C651" s="10" t="s">
        <v>79</v>
      </c>
      <c r="D651" s="10" t="s">
        <v>95</v>
      </c>
      <c r="E651" s="13" t="str">
        <f>IFERROR(__xludf.DUMMYFUNCTION("ifna(filter('Yahoo ADP'!$A$2:$A2766,'Yahoo ADP'!$B$2:$B2766=$B651,$C651='Yahoo ADP'!$C$2:$C2766,$D651='Yahoo ADP'!$D$2:$D2766))"),"")</f>
        <v/>
      </c>
      <c r="F651" s="13" t="str">
        <f>IFERROR(__xludf.DUMMYFUNCTION("ifna(filter('Yahoo ADP'!$E$2:$E2766,'Yahoo ADP'!$B$2:$B2766=$B651,$C651='Yahoo ADP'!$C$2:$C2766,$D651='Yahoo ADP'!$D$2:$D2766))"),"-")</f>
        <v>-</v>
      </c>
      <c r="G651" s="27">
        <v>634.0</v>
      </c>
      <c r="H651" s="8">
        <f t="shared" si="1"/>
        <v>-16</v>
      </c>
    </row>
    <row r="652">
      <c r="A652" s="10">
        <v>651.0</v>
      </c>
      <c r="B652" s="11" t="s">
        <v>3497</v>
      </c>
      <c r="C652" s="10" t="s">
        <v>79</v>
      </c>
      <c r="D652" s="10" t="s">
        <v>18</v>
      </c>
      <c r="E652" s="13" t="str">
        <f>IFERROR(__xludf.DUMMYFUNCTION("ifna(filter('Yahoo ADP'!$A$2:$A2766,'Yahoo ADP'!$B$2:$B2766=$B652,$C652='Yahoo ADP'!$C$2:$C2766,$D652='Yahoo ADP'!$D$2:$D2766))"),"")</f>
        <v/>
      </c>
      <c r="F652" s="13" t="str">
        <f>IFERROR(__xludf.DUMMYFUNCTION("ifna(filter('Yahoo ADP'!$E$2:$E2766,'Yahoo ADP'!$B$2:$B2766=$B652,$C652='Yahoo ADP'!$C$2:$C2766,$D652='Yahoo ADP'!$D$2:$D2766))"),"-")</f>
        <v>-</v>
      </c>
      <c r="G652" s="27">
        <v>635.0</v>
      </c>
      <c r="H652" s="8">
        <f t="shared" si="1"/>
        <v>-16</v>
      </c>
    </row>
    <row r="653">
      <c r="A653" s="10">
        <v>652.0</v>
      </c>
      <c r="B653" s="11" t="s">
        <v>3498</v>
      </c>
      <c r="C653" s="10" t="s">
        <v>79</v>
      </c>
      <c r="D653" s="10" t="s">
        <v>52</v>
      </c>
      <c r="E653" s="13" t="str">
        <f>IFERROR(__xludf.DUMMYFUNCTION("ifna(filter('Yahoo ADP'!$A$2:$A2766,'Yahoo ADP'!$B$2:$B2766=$B653,$C653='Yahoo ADP'!$C$2:$C2766,$D653='Yahoo ADP'!$D$2:$D2766))"),"")</f>
        <v/>
      </c>
      <c r="F653" s="13" t="str">
        <f>IFERROR(__xludf.DUMMYFUNCTION("ifna(filter('Yahoo ADP'!$E$2:$E2766,'Yahoo ADP'!$B$2:$B2766=$B653,$C653='Yahoo ADP'!$C$2:$C2766,$D653='Yahoo ADP'!$D$2:$D2766))"),"-")</f>
        <v>-</v>
      </c>
      <c r="G653" s="27">
        <v>636.0</v>
      </c>
      <c r="H653" s="8">
        <f t="shared" si="1"/>
        <v>-16</v>
      </c>
    </row>
    <row r="654">
      <c r="A654" s="10">
        <v>653.0</v>
      </c>
      <c r="B654" s="11" t="s">
        <v>3499</v>
      </c>
      <c r="C654" s="10" t="s">
        <v>79</v>
      </c>
      <c r="D654" s="10" t="s">
        <v>15</v>
      </c>
      <c r="E654" s="13" t="str">
        <f>IFERROR(__xludf.DUMMYFUNCTION("ifna(filter('Yahoo ADP'!$A$2:$A2766,'Yahoo ADP'!$B$2:$B2766=$B654,$C654='Yahoo ADP'!$C$2:$C2766,$D654='Yahoo ADP'!$D$2:$D2766))"),"")</f>
        <v/>
      </c>
      <c r="F654" s="13" t="str">
        <f>IFERROR(__xludf.DUMMYFUNCTION("ifna(filter('Yahoo ADP'!$E$2:$E2766,'Yahoo ADP'!$B$2:$B2766=$B654,$C654='Yahoo ADP'!$C$2:$C2766,$D654='Yahoo ADP'!$D$2:$D2766))"),"-")</f>
        <v>-</v>
      </c>
      <c r="G654" s="27">
        <v>637.0</v>
      </c>
      <c r="H654" s="8">
        <f t="shared" si="1"/>
        <v>-16</v>
      </c>
    </row>
    <row r="655">
      <c r="A655" s="10">
        <v>654.0</v>
      </c>
      <c r="B655" s="11" t="s">
        <v>3500</v>
      </c>
      <c r="C655" s="10" t="s">
        <v>79</v>
      </c>
      <c r="D655" s="10" t="s">
        <v>31</v>
      </c>
      <c r="E655" s="13" t="str">
        <f>IFERROR(__xludf.DUMMYFUNCTION("ifna(filter('Yahoo ADP'!$A$2:$A2766,'Yahoo ADP'!$B$2:$B2766=$B655,$C655='Yahoo ADP'!$C$2:$C2766,$D655='Yahoo ADP'!$D$2:$D2766))"),"")</f>
        <v/>
      </c>
      <c r="F655" s="13" t="str">
        <f>IFERROR(__xludf.DUMMYFUNCTION("ifna(filter('Yahoo ADP'!$E$2:$E2766,'Yahoo ADP'!$B$2:$B2766=$B655,$C655='Yahoo ADP'!$C$2:$C2766,$D655='Yahoo ADP'!$D$2:$D2766))"),"-")</f>
        <v>-</v>
      </c>
      <c r="G655" s="27">
        <v>638.0</v>
      </c>
      <c r="H655" s="8">
        <f t="shared" si="1"/>
        <v>-16</v>
      </c>
    </row>
    <row r="656">
      <c r="A656" s="10">
        <v>655.0</v>
      </c>
      <c r="B656" s="11" t="s">
        <v>3501</v>
      </c>
      <c r="C656" s="10" t="s">
        <v>79</v>
      </c>
      <c r="D656" s="10" t="s">
        <v>120</v>
      </c>
      <c r="E656" s="13" t="str">
        <f>IFERROR(__xludf.DUMMYFUNCTION("ifna(filter('Yahoo ADP'!$A$2:$A2766,'Yahoo ADP'!$B$2:$B2766=$B656,$C656='Yahoo ADP'!$C$2:$C2766,$D656='Yahoo ADP'!$D$2:$D2766))"),"")</f>
        <v/>
      </c>
      <c r="F656" s="13" t="str">
        <f>IFERROR(__xludf.DUMMYFUNCTION("ifna(filter('Yahoo ADP'!$E$2:$E2766,'Yahoo ADP'!$B$2:$B2766=$B656,$C656='Yahoo ADP'!$C$2:$C2766,$D656='Yahoo ADP'!$D$2:$D2766))"),"-")</f>
        <v>-</v>
      </c>
      <c r="G656" s="27">
        <v>639.0</v>
      </c>
      <c r="H656" s="8">
        <f t="shared" si="1"/>
        <v>-16</v>
      </c>
    </row>
    <row r="657">
      <c r="A657" s="10">
        <v>656.0</v>
      </c>
      <c r="B657" s="11" t="s">
        <v>3502</v>
      </c>
      <c r="C657" s="10" t="s">
        <v>22</v>
      </c>
      <c r="D657" s="10" t="s">
        <v>71</v>
      </c>
      <c r="E657" s="13" t="str">
        <f>IFERROR(__xludf.DUMMYFUNCTION("ifna(filter('Yahoo ADP'!$A$2:$A2766,'Yahoo ADP'!$B$2:$B2766=$B657,$C657='Yahoo ADP'!$C$2:$C2766,$D657='Yahoo ADP'!$D$2:$D2766))"),"")</f>
        <v/>
      </c>
      <c r="F657" s="13" t="str">
        <f>IFERROR(__xludf.DUMMYFUNCTION("ifna(filter('Yahoo ADP'!$E$2:$E2766,'Yahoo ADP'!$B$2:$B2766=$B657,$C657='Yahoo ADP'!$C$2:$C2766,$D657='Yahoo ADP'!$D$2:$D2766))"),"-")</f>
        <v>-</v>
      </c>
      <c r="G657" s="27">
        <v>640.0</v>
      </c>
      <c r="H657" s="8">
        <f t="shared" si="1"/>
        <v>-16</v>
      </c>
    </row>
    <row r="658">
      <c r="A658" s="10">
        <v>657.0</v>
      </c>
      <c r="B658" s="11" t="s">
        <v>3503</v>
      </c>
      <c r="C658" s="10" t="s">
        <v>79</v>
      </c>
      <c r="D658" s="10" t="s">
        <v>36</v>
      </c>
      <c r="E658" s="13" t="str">
        <f>IFERROR(__xludf.DUMMYFUNCTION("ifna(filter('Yahoo ADP'!$A$2:$A2766,'Yahoo ADP'!$B$2:$B2766=$B658,$C658='Yahoo ADP'!$C$2:$C2766,$D658='Yahoo ADP'!$D$2:$D2766))"),"")</f>
        <v/>
      </c>
      <c r="F658" s="13" t="str">
        <f>IFERROR(__xludf.DUMMYFUNCTION("ifna(filter('Yahoo ADP'!$E$2:$E2766,'Yahoo ADP'!$B$2:$B2766=$B658,$C658='Yahoo ADP'!$C$2:$C2766,$D658='Yahoo ADP'!$D$2:$D2766))"),"-")</f>
        <v>-</v>
      </c>
      <c r="G658" s="27">
        <v>641.0</v>
      </c>
      <c r="H658" s="8">
        <f t="shared" si="1"/>
        <v>-16</v>
      </c>
    </row>
    <row r="659">
      <c r="A659" s="10">
        <v>658.0</v>
      </c>
      <c r="B659" s="11" t="s">
        <v>3504</v>
      </c>
      <c r="C659" s="10" t="s">
        <v>79</v>
      </c>
      <c r="D659" s="10" t="s">
        <v>34</v>
      </c>
      <c r="E659" s="13" t="str">
        <f>IFERROR(__xludf.DUMMYFUNCTION("ifna(filter('Yahoo ADP'!$A$2:$A2766,'Yahoo ADP'!$B$2:$B2766=$B659,$C659='Yahoo ADP'!$C$2:$C2766,$D659='Yahoo ADP'!$D$2:$D2766))"),"")</f>
        <v/>
      </c>
      <c r="F659" s="13" t="str">
        <f>IFERROR(__xludf.DUMMYFUNCTION("ifna(filter('Yahoo ADP'!$E$2:$E2766,'Yahoo ADP'!$B$2:$B2766=$B659,$C659='Yahoo ADP'!$C$2:$C2766,$D659='Yahoo ADP'!$D$2:$D2766))"),"-")</f>
        <v>-</v>
      </c>
      <c r="G659" s="27">
        <v>643.0</v>
      </c>
      <c r="H659" s="8">
        <f t="shared" si="1"/>
        <v>-15</v>
      </c>
    </row>
    <row r="660">
      <c r="A660" s="10">
        <v>659.0</v>
      </c>
      <c r="B660" s="11" t="s">
        <v>3505</v>
      </c>
      <c r="C660" s="10" t="s">
        <v>79</v>
      </c>
      <c r="D660" s="10" t="s">
        <v>95</v>
      </c>
      <c r="E660" s="13" t="str">
        <f>IFERROR(__xludf.DUMMYFUNCTION("ifna(filter('Yahoo ADP'!$A$2:$A2766,'Yahoo ADP'!$B$2:$B2766=$B660,$C660='Yahoo ADP'!$C$2:$C2766,$D660='Yahoo ADP'!$D$2:$D2766))"),"")</f>
        <v/>
      </c>
      <c r="F660" s="13" t="str">
        <f>IFERROR(__xludf.DUMMYFUNCTION("ifna(filter('Yahoo ADP'!$E$2:$E2766,'Yahoo ADP'!$B$2:$B2766=$B660,$C660='Yahoo ADP'!$C$2:$C2766,$D660='Yahoo ADP'!$D$2:$D2766))"),"-")</f>
        <v>-</v>
      </c>
      <c r="G660" s="27">
        <v>644.0</v>
      </c>
      <c r="H660" s="8">
        <f t="shared" si="1"/>
        <v>-15</v>
      </c>
    </row>
    <row r="661">
      <c r="A661" s="10">
        <v>660.0</v>
      </c>
      <c r="B661" s="11" t="s">
        <v>3506</v>
      </c>
      <c r="C661" s="10" t="s">
        <v>79</v>
      </c>
      <c r="D661" s="10" t="s">
        <v>15</v>
      </c>
      <c r="E661" s="13" t="str">
        <f>IFERROR(__xludf.DUMMYFUNCTION("ifna(filter('Yahoo ADP'!$A$2:$A2766,'Yahoo ADP'!$B$2:$B2766=$B661,$C661='Yahoo ADP'!$C$2:$C2766,$D661='Yahoo ADP'!$D$2:$D2766))"),"")</f>
        <v/>
      </c>
      <c r="F661" s="13" t="str">
        <f>IFERROR(__xludf.DUMMYFUNCTION("ifna(filter('Yahoo ADP'!$E$2:$E2766,'Yahoo ADP'!$B$2:$B2766=$B661,$C661='Yahoo ADP'!$C$2:$C2766,$D661='Yahoo ADP'!$D$2:$D2766))"),"-")</f>
        <v>-</v>
      </c>
      <c r="G661" s="27">
        <v>645.0</v>
      </c>
      <c r="H661" s="8">
        <f t="shared" si="1"/>
        <v>-15</v>
      </c>
    </row>
    <row r="662">
      <c r="A662" s="10">
        <v>661.0</v>
      </c>
      <c r="B662" s="11" t="s">
        <v>3507</v>
      </c>
      <c r="C662" s="10" t="s">
        <v>79</v>
      </c>
      <c r="D662" s="10" t="s">
        <v>82</v>
      </c>
      <c r="E662" s="13" t="str">
        <f>IFERROR(__xludf.DUMMYFUNCTION("ifna(filter('Yahoo ADP'!$A$2:$A2766,'Yahoo ADP'!$B$2:$B2766=$B662,$C662='Yahoo ADP'!$C$2:$C2766,$D662='Yahoo ADP'!$D$2:$D2766))"),"")</f>
        <v/>
      </c>
      <c r="F662" s="13" t="str">
        <f>IFERROR(__xludf.DUMMYFUNCTION("ifna(filter('Yahoo ADP'!$E$2:$E2766,'Yahoo ADP'!$B$2:$B2766=$B662,$C662='Yahoo ADP'!$C$2:$C2766,$D662='Yahoo ADP'!$D$2:$D2766))"),"-")</f>
        <v>-</v>
      </c>
      <c r="G662" s="27">
        <v>646.0</v>
      </c>
      <c r="H662" s="8">
        <f t="shared" si="1"/>
        <v>-15</v>
      </c>
    </row>
    <row r="663">
      <c r="A663" s="10">
        <v>662.0</v>
      </c>
      <c r="B663" s="11" t="s">
        <v>3508</v>
      </c>
      <c r="C663" s="10" t="s">
        <v>79</v>
      </c>
      <c r="D663" s="10" t="s">
        <v>34</v>
      </c>
      <c r="E663" s="13" t="str">
        <f>IFERROR(__xludf.DUMMYFUNCTION("ifna(filter('Yahoo ADP'!$A$2:$A2766,'Yahoo ADP'!$B$2:$B2766=$B663,$C663='Yahoo ADP'!$C$2:$C2766,$D663='Yahoo ADP'!$D$2:$D2766))"),"")</f>
        <v/>
      </c>
      <c r="F663" s="13" t="str">
        <f>IFERROR(__xludf.DUMMYFUNCTION("ifna(filter('Yahoo ADP'!$E$2:$E2766,'Yahoo ADP'!$B$2:$B2766=$B663,$C663='Yahoo ADP'!$C$2:$C2766,$D663='Yahoo ADP'!$D$2:$D2766))"),"-")</f>
        <v>-</v>
      </c>
      <c r="G663" s="27">
        <v>647.0</v>
      </c>
      <c r="H663" s="8">
        <f t="shared" si="1"/>
        <v>-15</v>
      </c>
    </row>
    <row r="664">
      <c r="A664" s="10">
        <v>663.0</v>
      </c>
      <c r="B664" s="11" t="s">
        <v>3509</v>
      </c>
      <c r="C664" s="10" t="s">
        <v>585</v>
      </c>
      <c r="D664" s="10" t="s">
        <v>122</v>
      </c>
      <c r="E664" s="13" t="str">
        <f>IFERROR(__xludf.DUMMYFUNCTION("ifna(filter('Yahoo ADP'!$A$2:$A2766,'Yahoo ADP'!$B$2:$B2766=$B664,$C664='Yahoo ADP'!$C$2:$C2766,$D664='Yahoo ADP'!$D$2:$D2766))"),"")</f>
        <v/>
      </c>
      <c r="F664" s="13" t="str">
        <f>IFERROR(__xludf.DUMMYFUNCTION("ifna(filter('Yahoo ADP'!$E$2:$E2766,'Yahoo ADP'!$B$2:$B2766=$B664,$C664='Yahoo ADP'!$C$2:$C2766,$D664='Yahoo ADP'!$D$2:$D2766))"),"-")</f>
        <v>-</v>
      </c>
      <c r="G664" s="27">
        <v>648.0</v>
      </c>
      <c r="H664" s="8">
        <f t="shared" si="1"/>
        <v>-15</v>
      </c>
    </row>
    <row r="665">
      <c r="A665" s="10">
        <v>664.0</v>
      </c>
      <c r="B665" s="11" t="s">
        <v>3510</v>
      </c>
      <c r="C665" s="10" t="s">
        <v>79</v>
      </c>
      <c r="D665" s="10" t="s">
        <v>99</v>
      </c>
      <c r="E665" s="13" t="str">
        <f>IFERROR(__xludf.DUMMYFUNCTION("ifna(filter('Yahoo ADP'!$A$2:$A2766,'Yahoo ADP'!$B$2:$B2766=$B665,$C665='Yahoo ADP'!$C$2:$C2766,$D665='Yahoo ADP'!$D$2:$D2766))"),"")</f>
        <v/>
      </c>
      <c r="F665" s="13" t="str">
        <f>IFERROR(__xludf.DUMMYFUNCTION("ifna(filter('Yahoo ADP'!$E$2:$E2766,'Yahoo ADP'!$B$2:$B2766=$B665,$C665='Yahoo ADP'!$C$2:$C2766,$D665='Yahoo ADP'!$D$2:$D2766))"),"-")</f>
        <v>-</v>
      </c>
      <c r="G665" s="27">
        <v>649.0</v>
      </c>
      <c r="H665" s="8">
        <f t="shared" si="1"/>
        <v>-15</v>
      </c>
    </row>
    <row r="666">
      <c r="A666" s="10">
        <v>665.0</v>
      </c>
      <c r="B666" s="11" t="s">
        <v>3511</v>
      </c>
      <c r="C666" s="10" t="s">
        <v>753</v>
      </c>
      <c r="D666" s="10" t="s">
        <v>67</v>
      </c>
      <c r="E666" s="13">
        <f>IFERROR(__xludf.DUMMYFUNCTION("ifna(filter('Yahoo ADP'!$A$2:$A2766,'Yahoo ADP'!$B$2:$B2766=$B666,$C666='Yahoo ADP'!$C$2:$C2766,$D666='Yahoo ADP'!$D$2:$D2766))"),248.5)</f>
        <v>248.5</v>
      </c>
      <c r="F666" s="13">
        <f>IFERROR(__xludf.DUMMYFUNCTION("ifna(filter('Yahoo ADP'!$E$2:$E2766,'Yahoo ADP'!$B$2:$B2766=$B666,$C666='Yahoo ADP'!$C$2:$C2766,$D666='Yahoo ADP'!$D$2:$D2766))"),1.6)</f>
        <v>1.6</v>
      </c>
      <c r="G666" s="27">
        <v>650.0</v>
      </c>
      <c r="H666" s="8">
        <f t="shared" si="1"/>
        <v>-15</v>
      </c>
    </row>
    <row r="667">
      <c r="A667" s="10">
        <v>666.0</v>
      </c>
      <c r="B667" s="11" t="s">
        <v>3512</v>
      </c>
      <c r="C667" s="10" t="s">
        <v>22</v>
      </c>
      <c r="D667" s="10" t="s">
        <v>52</v>
      </c>
      <c r="E667" s="13" t="str">
        <f>IFERROR(__xludf.DUMMYFUNCTION("ifna(filter('Yahoo ADP'!$A$2:$A2766,'Yahoo ADP'!$B$2:$B2766=$B667,$C667='Yahoo ADP'!$C$2:$C2766,$D667='Yahoo ADP'!$D$2:$D2766))"),"")</f>
        <v/>
      </c>
      <c r="F667" s="13" t="str">
        <f>IFERROR(__xludf.DUMMYFUNCTION("ifna(filter('Yahoo ADP'!$E$2:$E2766,'Yahoo ADP'!$B$2:$B2766=$B667,$C667='Yahoo ADP'!$C$2:$C2766,$D667='Yahoo ADP'!$D$2:$D2766))"),"-")</f>
        <v>-</v>
      </c>
      <c r="G667" s="27">
        <v>651.0</v>
      </c>
      <c r="H667" s="8">
        <f t="shared" si="1"/>
        <v>-15</v>
      </c>
    </row>
    <row r="668">
      <c r="A668" s="10">
        <v>667.0</v>
      </c>
      <c r="B668" s="11" t="s">
        <v>3513</v>
      </c>
      <c r="C668" s="10" t="s">
        <v>79</v>
      </c>
      <c r="D668" s="10" t="s">
        <v>90</v>
      </c>
      <c r="E668" s="13" t="str">
        <f>IFERROR(__xludf.DUMMYFUNCTION("ifna(filter('Yahoo ADP'!$A$2:$A2766,'Yahoo ADP'!$B$2:$B2766=$B668,$C668='Yahoo ADP'!$C$2:$C2766,$D668='Yahoo ADP'!$D$2:$D2766))"),"")</f>
        <v/>
      </c>
      <c r="F668" s="13" t="str">
        <f>IFERROR(__xludf.DUMMYFUNCTION("ifna(filter('Yahoo ADP'!$E$2:$E2766,'Yahoo ADP'!$B$2:$B2766=$B668,$C668='Yahoo ADP'!$C$2:$C2766,$D668='Yahoo ADP'!$D$2:$D2766))"),"-")</f>
        <v>-</v>
      </c>
      <c r="G668" s="27">
        <v>652.0</v>
      </c>
      <c r="H668" s="8">
        <f t="shared" si="1"/>
        <v>-15</v>
      </c>
    </row>
    <row r="669">
      <c r="A669" s="10">
        <v>668.0</v>
      </c>
      <c r="B669" s="11" t="s">
        <v>3514</v>
      </c>
      <c r="C669" s="10" t="s">
        <v>79</v>
      </c>
      <c r="D669" s="10" t="s">
        <v>105</v>
      </c>
      <c r="E669" s="13" t="str">
        <f>IFERROR(__xludf.DUMMYFUNCTION("ifna(filter('Yahoo ADP'!$A$2:$A2766,'Yahoo ADP'!$B$2:$B2766=$B669,$C669='Yahoo ADP'!$C$2:$C2766,$D669='Yahoo ADP'!$D$2:$D2766))"),"")</f>
        <v/>
      </c>
      <c r="F669" s="13" t="str">
        <f>IFERROR(__xludf.DUMMYFUNCTION("ifna(filter('Yahoo ADP'!$E$2:$E2766,'Yahoo ADP'!$B$2:$B2766=$B669,$C669='Yahoo ADP'!$C$2:$C2766,$D669='Yahoo ADP'!$D$2:$D2766))"),"-")</f>
        <v>-</v>
      </c>
      <c r="G669" s="27">
        <v>653.0</v>
      </c>
      <c r="H669" s="8">
        <f t="shared" si="1"/>
        <v>-15</v>
      </c>
    </row>
    <row r="670">
      <c r="A670" s="10">
        <v>669.0</v>
      </c>
      <c r="B670" s="11" t="s">
        <v>3515</v>
      </c>
      <c r="C670" s="10" t="s">
        <v>79</v>
      </c>
      <c r="D670" s="10" t="s">
        <v>120</v>
      </c>
      <c r="E670" s="13" t="str">
        <f>IFERROR(__xludf.DUMMYFUNCTION("ifna(filter('Yahoo ADP'!$A$2:$A2766,'Yahoo ADP'!$B$2:$B2766=$B670,$C670='Yahoo ADP'!$C$2:$C2766,$D670='Yahoo ADP'!$D$2:$D2766))"),"")</f>
        <v/>
      </c>
      <c r="F670" s="13" t="str">
        <f>IFERROR(__xludf.DUMMYFUNCTION("ifna(filter('Yahoo ADP'!$E$2:$E2766,'Yahoo ADP'!$B$2:$B2766=$B670,$C670='Yahoo ADP'!$C$2:$C2766,$D670='Yahoo ADP'!$D$2:$D2766))"),"-")</f>
        <v>-</v>
      </c>
      <c r="G670" s="27">
        <v>654.0</v>
      </c>
      <c r="H670" s="8">
        <f t="shared" si="1"/>
        <v>-15</v>
      </c>
    </row>
    <row r="671">
      <c r="A671" s="10">
        <v>670.0</v>
      </c>
      <c r="B671" s="11" t="s">
        <v>3516</v>
      </c>
      <c r="C671" s="10" t="s">
        <v>220</v>
      </c>
      <c r="D671" s="10" t="s">
        <v>85</v>
      </c>
      <c r="E671" s="13" t="str">
        <f>IFERROR(__xludf.DUMMYFUNCTION("ifna(filter('Yahoo ADP'!$A$2:$A2766,'Yahoo ADP'!$B$2:$B2766=$B671,$C671='Yahoo ADP'!$C$2:$C2766,$D671='Yahoo ADP'!$D$2:$D2766))"),"")</f>
        <v/>
      </c>
      <c r="F671" s="13" t="str">
        <f>IFERROR(__xludf.DUMMYFUNCTION("ifna(filter('Yahoo ADP'!$E$2:$E2766,'Yahoo ADP'!$B$2:$B2766=$B671,$C671='Yahoo ADP'!$C$2:$C2766,$D671='Yahoo ADP'!$D$2:$D2766))"),"-")</f>
        <v>-</v>
      </c>
      <c r="G671" s="27">
        <v>655.0</v>
      </c>
      <c r="H671" s="8">
        <f t="shared" si="1"/>
        <v>-15</v>
      </c>
    </row>
    <row r="672">
      <c r="A672" s="10">
        <v>671.0</v>
      </c>
      <c r="B672" s="11" t="s">
        <v>3517</v>
      </c>
      <c r="C672" s="10" t="s">
        <v>79</v>
      </c>
      <c r="D672" s="10" t="s">
        <v>129</v>
      </c>
      <c r="E672" s="13" t="str">
        <f>IFERROR(__xludf.DUMMYFUNCTION("ifna(filter('Yahoo ADP'!$A$2:$A2766,'Yahoo ADP'!$B$2:$B2766=$B672,$C672='Yahoo ADP'!$C$2:$C2766,$D672='Yahoo ADP'!$D$2:$D2766))"),"")</f>
        <v/>
      </c>
      <c r="F672" s="13" t="str">
        <f>IFERROR(__xludf.DUMMYFUNCTION("ifna(filter('Yahoo ADP'!$E$2:$E2766,'Yahoo ADP'!$B$2:$B2766=$B672,$C672='Yahoo ADP'!$C$2:$C2766,$D672='Yahoo ADP'!$D$2:$D2766))"),"-")</f>
        <v>-</v>
      </c>
      <c r="G672" s="27">
        <v>656.0</v>
      </c>
      <c r="H672" s="8">
        <f t="shared" si="1"/>
        <v>-15</v>
      </c>
    </row>
    <row r="673">
      <c r="A673" s="10">
        <v>672.0</v>
      </c>
      <c r="B673" s="11" t="s">
        <v>3518</v>
      </c>
      <c r="C673" s="10" t="s">
        <v>79</v>
      </c>
      <c r="D673" s="10" t="s">
        <v>34</v>
      </c>
      <c r="E673" s="13" t="str">
        <f>IFERROR(__xludf.DUMMYFUNCTION("ifna(filter('Yahoo ADP'!$A$2:$A2766,'Yahoo ADP'!$B$2:$B2766=$B673,$C673='Yahoo ADP'!$C$2:$C2766,$D673='Yahoo ADP'!$D$2:$D2766))"),"")</f>
        <v/>
      </c>
      <c r="F673" s="13" t="str">
        <f>IFERROR(__xludf.DUMMYFUNCTION("ifna(filter('Yahoo ADP'!$E$2:$E2766,'Yahoo ADP'!$B$2:$B2766=$B673,$C673='Yahoo ADP'!$C$2:$C2766,$D673='Yahoo ADP'!$D$2:$D2766))"),"-")</f>
        <v>-</v>
      </c>
      <c r="G673" s="27">
        <v>657.0</v>
      </c>
      <c r="H673" s="8">
        <f t="shared" si="1"/>
        <v>-15</v>
      </c>
    </row>
    <row r="674">
      <c r="A674" s="10">
        <v>673.0</v>
      </c>
      <c r="B674" s="11" t="s">
        <v>3519</v>
      </c>
      <c r="C674" s="10" t="s">
        <v>48</v>
      </c>
      <c r="D674" s="10" t="s">
        <v>129</v>
      </c>
      <c r="E674" s="13" t="str">
        <f>IFERROR(__xludf.DUMMYFUNCTION("ifna(filter('Yahoo ADP'!$A$2:$A2766,'Yahoo ADP'!$B$2:$B2766=$B674,$C674='Yahoo ADP'!$C$2:$C2766,$D674='Yahoo ADP'!$D$2:$D2766))"),"")</f>
        <v/>
      </c>
      <c r="F674" s="13" t="str">
        <f>IFERROR(__xludf.DUMMYFUNCTION("ifna(filter('Yahoo ADP'!$E$2:$E2766,'Yahoo ADP'!$B$2:$B2766=$B674,$C674='Yahoo ADP'!$C$2:$C2766,$D674='Yahoo ADP'!$D$2:$D2766))"),"-")</f>
        <v>-</v>
      </c>
      <c r="G674" s="27">
        <v>658.0</v>
      </c>
      <c r="H674" s="8">
        <f t="shared" si="1"/>
        <v>-15</v>
      </c>
    </row>
    <row r="675">
      <c r="A675" s="10">
        <v>674.0</v>
      </c>
      <c r="B675" s="11" t="s">
        <v>3520</v>
      </c>
      <c r="C675" s="10" t="s">
        <v>79</v>
      </c>
      <c r="D675" s="10" t="s">
        <v>15</v>
      </c>
      <c r="E675" s="13" t="str">
        <f>IFERROR(__xludf.DUMMYFUNCTION("ifna(filter('Yahoo ADP'!$A$2:$A2766,'Yahoo ADP'!$B$2:$B2766=$B675,$C675='Yahoo ADP'!$C$2:$C2766,$D675='Yahoo ADP'!$D$2:$D2766))"),"")</f>
        <v/>
      </c>
      <c r="F675" s="13" t="str">
        <f>IFERROR(__xludf.DUMMYFUNCTION("ifna(filter('Yahoo ADP'!$E$2:$E2766,'Yahoo ADP'!$B$2:$B2766=$B675,$C675='Yahoo ADP'!$C$2:$C2766,$D675='Yahoo ADP'!$D$2:$D2766))"),"-")</f>
        <v>-</v>
      </c>
      <c r="G675" s="27">
        <v>659.0</v>
      </c>
      <c r="H675" s="8">
        <f t="shared" si="1"/>
        <v>-15</v>
      </c>
    </row>
    <row r="676">
      <c r="A676" s="10">
        <v>675.0</v>
      </c>
      <c r="B676" s="11" t="s">
        <v>3521</v>
      </c>
      <c r="C676" s="10" t="s">
        <v>79</v>
      </c>
      <c r="D676" s="10" t="s">
        <v>206</v>
      </c>
      <c r="E676" s="13" t="str">
        <f>IFERROR(__xludf.DUMMYFUNCTION("ifna(filter('Yahoo ADP'!$A$2:$A2766,'Yahoo ADP'!$B$2:$B2766=$B676,$C676='Yahoo ADP'!$C$2:$C2766,$D676='Yahoo ADP'!$D$2:$D2766))"),"")</f>
        <v/>
      </c>
      <c r="F676" s="13" t="str">
        <f>IFERROR(__xludf.DUMMYFUNCTION("ifna(filter('Yahoo ADP'!$E$2:$E2766,'Yahoo ADP'!$B$2:$B2766=$B676,$C676='Yahoo ADP'!$C$2:$C2766,$D676='Yahoo ADP'!$D$2:$D2766))"),"-")</f>
        <v>-</v>
      </c>
      <c r="G676" s="27">
        <v>660.0</v>
      </c>
      <c r="H676" s="8">
        <f t="shared" si="1"/>
        <v>-15</v>
      </c>
    </row>
    <row r="677">
      <c r="A677" s="10">
        <v>676.0</v>
      </c>
      <c r="B677" s="11" t="s">
        <v>3522</v>
      </c>
      <c r="C677" s="10" t="s">
        <v>79</v>
      </c>
      <c r="D677" s="10" t="s">
        <v>206</v>
      </c>
      <c r="E677" s="13" t="str">
        <f>IFERROR(__xludf.DUMMYFUNCTION("ifna(filter('Yahoo ADP'!$A$2:$A2766,'Yahoo ADP'!$B$2:$B2766=$B677,$C677='Yahoo ADP'!$C$2:$C2766,$D677='Yahoo ADP'!$D$2:$D2766))"),"")</f>
        <v/>
      </c>
      <c r="F677" s="13" t="str">
        <f>IFERROR(__xludf.DUMMYFUNCTION("ifna(filter('Yahoo ADP'!$E$2:$E2766,'Yahoo ADP'!$B$2:$B2766=$B677,$C677='Yahoo ADP'!$C$2:$C2766,$D677='Yahoo ADP'!$D$2:$D2766))"),"-")</f>
        <v>-</v>
      </c>
      <c r="G677" s="27">
        <v>661.0</v>
      </c>
      <c r="H677" s="8">
        <f t="shared" si="1"/>
        <v>-15</v>
      </c>
    </row>
    <row r="678">
      <c r="A678" s="10">
        <v>677.0</v>
      </c>
      <c r="B678" s="11" t="s">
        <v>3523</v>
      </c>
      <c r="C678" s="10" t="s">
        <v>79</v>
      </c>
      <c r="D678" s="10" t="s">
        <v>113</v>
      </c>
      <c r="E678" s="13" t="str">
        <f>IFERROR(__xludf.DUMMYFUNCTION("ifna(filter('Yahoo ADP'!$A$2:$A2766,'Yahoo ADP'!$B$2:$B2766=$B678,$C678='Yahoo ADP'!$C$2:$C2766,$D678='Yahoo ADP'!$D$2:$D2766))"),"")</f>
        <v/>
      </c>
      <c r="F678" s="13" t="str">
        <f>IFERROR(__xludf.DUMMYFUNCTION("ifna(filter('Yahoo ADP'!$E$2:$E2766,'Yahoo ADP'!$B$2:$B2766=$B678,$C678='Yahoo ADP'!$C$2:$C2766,$D678='Yahoo ADP'!$D$2:$D2766))"),"-")</f>
        <v>-</v>
      </c>
      <c r="G678" s="27">
        <v>662.0</v>
      </c>
      <c r="H678" s="8">
        <f t="shared" si="1"/>
        <v>-15</v>
      </c>
    </row>
    <row r="679">
      <c r="A679" s="10">
        <v>678.0</v>
      </c>
      <c r="B679" s="11" t="s">
        <v>3524</v>
      </c>
      <c r="C679" s="10" t="s">
        <v>79</v>
      </c>
      <c r="D679" s="10" t="s">
        <v>36</v>
      </c>
      <c r="E679" s="13" t="str">
        <f>IFERROR(__xludf.DUMMYFUNCTION("ifna(filter('Yahoo ADP'!$A$2:$A2766,'Yahoo ADP'!$B$2:$B2766=$B679,$C679='Yahoo ADP'!$C$2:$C2766,$D679='Yahoo ADP'!$D$2:$D2766))"),"")</f>
        <v/>
      </c>
      <c r="F679" s="13" t="str">
        <f>IFERROR(__xludf.DUMMYFUNCTION("ifna(filter('Yahoo ADP'!$E$2:$E2766,'Yahoo ADP'!$B$2:$B2766=$B679,$C679='Yahoo ADP'!$C$2:$C2766,$D679='Yahoo ADP'!$D$2:$D2766))"),"-")</f>
        <v>-</v>
      </c>
      <c r="G679" s="27">
        <v>663.0</v>
      </c>
      <c r="H679" s="8">
        <f t="shared" si="1"/>
        <v>-15</v>
      </c>
    </row>
    <row r="680">
      <c r="A680" s="10">
        <v>679.0</v>
      </c>
      <c r="B680" s="11" t="s">
        <v>3525</v>
      </c>
      <c r="C680" s="10" t="s">
        <v>79</v>
      </c>
      <c r="D680" s="10" t="s">
        <v>73</v>
      </c>
      <c r="E680" s="13" t="str">
        <f>IFERROR(__xludf.DUMMYFUNCTION("ifna(filter('Yahoo ADP'!$A$2:$A2766,'Yahoo ADP'!$B$2:$B2766=$B680,$C680='Yahoo ADP'!$C$2:$C2766,$D680='Yahoo ADP'!$D$2:$D2766))"),"")</f>
        <v/>
      </c>
      <c r="F680" s="13" t="str">
        <f>IFERROR(__xludf.DUMMYFUNCTION("ifna(filter('Yahoo ADP'!$E$2:$E2766,'Yahoo ADP'!$B$2:$B2766=$B680,$C680='Yahoo ADP'!$C$2:$C2766,$D680='Yahoo ADP'!$D$2:$D2766))"),"-")</f>
        <v>-</v>
      </c>
      <c r="G680" s="27">
        <v>664.0</v>
      </c>
      <c r="H680" s="8">
        <f t="shared" si="1"/>
        <v>-15</v>
      </c>
    </row>
    <row r="681">
      <c r="A681" s="10">
        <v>680.0</v>
      </c>
      <c r="B681" s="11" t="s">
        <v>3526</v>
      </c>
      <c r="C681" s="10" t="s">
        <v>79</v>
      </c>
      <c r="D681" s="10" t="s">
        <v>73</v>
      </c>
      <c r="E681" s="13" t="str">
        <f>IFERROR(__xludf.DUMMYFUNCTION("ifna(filter('Yahoo ADP'!$A$2:$A2766,'Yahoo ADP'!$B$2:$B2766=$B681,$C681='Yahoo ADP'!$C$2:$C2766,$D681='Yahoo ADP'!$D$2:$D2766))"),"")</f>
        <v/>
      </c>
      <c r="F681" s="13" t="str">
        <f>IFERROR(__xludf.DUMMYFUNCTION("ifna(filter('Yahoo ADP'!$E$2:$E2766,'Yahoo ADP'!$B$2:$B2766=$B681,$C681='Yahoo ADP'!$C$2:$C2766,$D681='Yahoo ADP'!$D$2:$D2766))"),"-")</f>
        <v>-</v>
      </c>
      <c r="G681" s="27">
        <v>665.0</v>
      </c>
      <c r="H681" s="8">
        <f t="shared" si="1"/>
        <v>-15</v>
      </c>
    </row>
    <row r="682">
      <c r="A682" s="10">
        <v>681.0</v>
      </c>
      <c r="B682" s="11" t="s">
        <v>3527</v>
      </c>
      <c r="C682" s="10" t="s">
        <v>22</v>
      </c>
      <c r="D682" s="10" t="s">
        <v>82</v>
      </c>
      <c r="E682" s="13" t="str">
        <f>IFERROR(__xludf.DUMMYFUNCTION("ifna(filter('Yahoo ADP'!$A$2:$A2766,'Yahoo ADP'!$B$2:$B2766=$B682,$C682='Yahoo ADP'!$C$2:$C2766,$D682='Yahoo ADP'!$D$2:$D2766))"),"")</f>
        <v/>
      </c>
      <c r="F682" s="13" t="str">
        <f>IFERROR(__xludf.DUMMYFUNCTION("ifna(filter('Yahoo ADP'!$E$2:$E2766,'Yahoo ADP'!$B$2:$B2766=$B682,$C682='Yahoo ADP'!$C$2:$C2766,$D682='Yahoo ADP'!$D$2:$D2766))"),"-")</f>
        <v>-</v>
      </c>
      <c r="G682" s="27">
        <v>666.0</v>
      </c>
      <c r="H682" s="8">
        <f t="shared" si="1"/>
        <v>-15</v>
      </c>
    </row>
    <row r="683">
      <c r="A683" s="10">
        <v>682.0</v>
      </c>
      <c r="B683" s="11" t="s">
        <v>3528</v>
      </c>
      <c r="C683" s="10" t="s">
        <v>136</v>
      </c>
      <c r="D683" s="10" t="s">
        <v>82</v>
      </c>
      <c r="E683" s="13" t="str">
        <f>IFERROR(__xludf.DUMMYFUNCTION("ifna(filter('Yahoo ADP'!$A$2:$A2766,'Yahoo ADP'!$B$2:$B2766=$B683,$C683='Yahoo ADP'!$C$2:$C2766,$D683='Yahoo ADP'!$D$2:$D2766))"),"")</f>
        <v/>
      </c>
      <c r="F683" s="13" t="str">
        <f>IFERROR(__xludf.DUMMYFUNCTION("ifna(filter('Yahoo ADP'!$E$2:$E2766,'Yahoo ADP'!$B$2:$B2766=$B683,$C683='Yahoo ADP'!$C$2:$C2766,$D683='Yahoo ADP'!$D$2:$D2766))"),"-")</f>
        <v>-</v>
      </c>
      <c r="G683" s="27">
        <v>667.0</v>
      </c>
      <c r="H683" s="8">
        <f t="shared" si="1"/>
        <v>-15</v>
      </c>
    </row>
    <row r="684">
      <c r="A684" s="10">
        <v>683.0</v>
      </c>
      <c r="B684" s="11" t="s">
        <v>3529</v>
      </c>
      <c r="C684" s="10" t="s">
        <v>79</v>
      </c>
      <c r="D684" s="10" t="s">
        <v>23</v>
      </c>
      <c r="E684" s="13" t="str">
        <f>IFERROR(__xludf.DUMMYFUNCTION("ifna(filter('Yahoo ADP'!$A$2:$A2766,'Yahoo ADP'!$B$2:$B2766=$B684,$C684='Yahoo ADP'!$C$2:$C2766,$D684='Yahoo ADP'!$D$2:$D2766))"),"")</f>
        <v/>
      </c>
      <c r="F684" s="13" t="str">
        <f>IFERROR(__xludf.DUMMYFUNCTION("ifna(filter('Yahoo ADP'!$E$2:$E2766,'Yahoo ADP'!$B$2:$B2766=$B684,$C684='Yahoo ADP'!$C$2:$C2766,$D684='Yahoo ADP'!$D$2:$D2766))"),"-")</f>
        <v>-</v>
      </c>
      <c r="G684" s="27">
        <v>668.0</v>
      </c>
      <c r="H684" s="8">
        <f t="shared" si="1"/>
        <v>-15</v>
      </c>
    </row>
    <row r="685">
      <c r="A685" s="10">
        <v>684.0</v>
      </c>
      <c r="B685" s="11" t="s">
        <v>3530</v>
      </c>
      <c r="C685" s="10" t="s">
        <v>79</v>
      </c>
      <c r="D685" s="10" t="s">
        <v>95</v>
      </c>
      <c r="E685" s="13" t="str">
        <f>IFERROR(__xludf.DUMMYFUNCTION("ifna(filter('Yahoo ADP'!$A$2:$A2766,'Yahoo ADP'!$B$2:$B2766=$B685,$C685='Yahoo ADP'!$C$2:$C2766,$D685='Yahoo ADP'!$D$2:$D2766))"),"")</f>
        <v/>
      </c>
      <c r="F685" s="13" t="str">
        <f>IFERROR(__xludf.DUMMYFUNCTION("ifna(filter('Yahoo ADP'!$E$2:$E2766,'Yahoo ADP'!$B$2:$B2766=$B685,$C685='Yahoo ADP'!$C$2:$C2766,$D685='Yahoo ADP'!$D$2:$D2766))"),"-")</f>
        <v>-</v>
      </c>
      <c r="G685" s="27">
        <v>670.0</v>
      </c>
      <c r="H685" s="8">
        <f t="shared" si="1"/>
        <v>-14</v>
      </c>
    </row>
    <row r="686">
      <c r="A686" s="10">
        <v>685.0</v>
      </c>
      <c r="B686" s="11" t="s">
        <v>3531</v>
      </c>
      <c r="C686" s="10" t="s">
        <v>79</v>
      </c>
      <c r="D686" s="10" t="s">
        <v>36</v>
      </c>
      <c r="E686" s="13" t="str">
        <f>IFERROR(__xludf.DUMMYFUNCTION("ifna(filter('Yahoo ADP'!$A$2:$A2766,'Yahoo ADP'!$B$2:$B2766=$B686,$C686='Yahoo ADP'!$C$2:$C2766,$D686='Yahoo ADP'!$D$2:$D2766))"),"")</f>
        <v/>
      </c>
      <c r="F686" s="13" t="str">
        <f>IFERROR(__xludf.DUMMYFUNCTION("ifna(filter('Yahoo ADP'!$E$2:$E2766,'Yahoo ADP'!$B$2:$B2766=$B686,$C686='Yahoo ADP'!$C$2:$C2766,$D686='Yahoo ADP'!$D$2:$D2766))"),"-")</f>
        <v>-</v>
      </c>
      <c r="G686" s="27">
        <v>671.0</v>
      </c>
      <c r="H686" s="8">
        <f t="shared" si="1"/>
        <v>-14</v>
      </c>
    </row>
    <row r="687">
      <c r="A687" s="10">
        <v>686.0</v>
      </c>
      <c r="B687" s="11" t="s">
        <v>3532</v>
      </c>
      <c r="C687" s="10" t="s">
        <v>220</v>
      </c>
      <c r="D687" s="10" t="s">
        <v>9</v>
      </c>
      <c r="E687" s="13" t="str">
        <f>IFERROR(__xludf.DUMMYFUNCTION("ifna(filter('Yahoo ADP'!$A$2:$A2766,'Yahoo ADP'!$B$2:$B2766=$B687,$C687='Yahoo ADP'!$C$2:$C2766,$D687='Yahoo ADP'!$D$2:$D2766))"),"")</f>
        <v/>
      </c>
      <c r="F687" s="13" t="str">
        <f>IFERROR(__xludf.DUMMYFUNCTION("ifna(filter('Yahoo ADP'!$E$2:$E2766,'Yahoo ADP'!$B$2:$B2766=$B687,$C687='Yahoo ADP'!$C$2:$C2766,$D687='Yahoo ADP'!$D$2:$D2766))"),"-")</f>
        <v>-</v>
      </c>
      <c r="G687" s="27">
        <v>672.0</v>
      </c>
      <c r="H687" s="8">
        <f t="shared" si="1"/>
        <v>-14</v>
      </c>
    </row>
    <row r="688">
      <c r="A688" s="10">
        <v>687.0</v>
      </c>
      <c r="B688" s="11" t="s">
        <v>3533</v>
      </c>
      <c r="C688" s="10" t="s">
        <v>79</v>
      </c>
      <c r="D688" s="10" t="s">
        <v>52</v>
      </c>
      <c r="E688" s="13" t="str">
        <f>IFERROR(__xludf.DUMMYFUNCTION("ifna(filter('Yahoo ADP'!$A$2:$A2766,'Yahoo ADP'!$B$2:$B2766=$B688,$C688='Yahoo ADP'!$C$2:$C2766,$D688='Yahoo ADP'!$D$2:$D2766))"),"")</f>
        <v/>
      </c>
      <c r="F688" s="13" t="str">
        <f>IFERROR(__xludf.DUMMYFUNCTION("ifna(filter('Yahoo ADP'!$E$2:$E2766,'Yahoo ADP'!$B$2:$B2766=$B688,$C688='Yahoo ADP'!$C$2:$C2766,$D688='Yahoo ADP'!$D$2:$D2766))"),"-")</f>
        <v>-</v>
      </c>
      <c r="G688" s="27">
        <v>673.0</v>
      </c>
      <c r="H688" s="8">
        <f t="shared" si="1"/>
        <v>-14</v>
      </c>
    </row>
    <row r="689">
      <c r="A689" s="10">
        <v>688.0</v>
      </c>
      <c r="B689" s="11" t="s">
        <v>3534</v>
      </c>
      <c r="C689" s="10" t="s">
        <v>79</v>
      </c>
      <c r="D689" s="10" t="s">
        <v>140</v>
      </c>
      <c r="E689" s="13" t="str">
        <f>IFERROR(__xludf.DUMMYFUNCTION("ifna(filter('Yahoo ADP'!$A$2:$A2766,'Yahoo ADP'!$B$2:$B2766=$B689,$C689='Yahoo ADP'!$C$2:$C2766,$D689='Yahoo ADP'!$D$2:$D2766))"),"")</f>
        <v/>
      </c>
      <c r="F689" s="13" t="str">
        <f>IFERROR(__xludf.DUMMYFUNCTION("ifna(filter('Yahoo ADP'!$E$2:$E2766,'Yahoo ADP'!$B$2:$B2766=$B689,$C689='Yahoo ADP'!$C$2:$C2766,$D689='Yahoo ADP'!$D$2:$D2766))"),"-")</f>
        <v>-</v>
      </c>
      <c r="G689" s="27">
        <v>674.0</v>
      </c>
      <c r="H689" s="8">
        <f t="shared" si="1"/>
        <v>-14</v>
      </c>
    </row>
    <row r="690">
      <c r="A690" s="10">
        <v>689.0</v>
      </c>
      <c r="B690" s="11" t="s">
        <v>3535</v>
      </c>
      <c r="C690" s="10" t="s">
        <v>79</v>
      </c>
      <c r="D690" s="10" t="s">
        <v>27</v>
      </c>
      <c r="E690" s="13" t="str">
        <f>IFERROR(__xludf.DUMMYFUNCTION("ifna(filter('Yahoo ADP'!$A$2:$A2766,'Yahoo ADP'!$B$2:$B2766=$B690,$C690='Yahoo ADP'!$C$2:$C2766,$D690='Yahoo ADP'!$D$2:$D2766))"),"")</f>
        <v/>
      </c>
      <c r="F690" s="13" t="str">
        <f>IFERROR(__xludf.DUMMYFUNCTION("ifna(filter('Yahoo ADP'!$E$2:$E2766,'Yahoo ADP'!$B$2:$B2766=$B690,$C690='Yahoo ADP'!$C$2:$C2766,$D690='Yahoo ADP'!$D$2:$D2766))"),"-")</f>
        <v>-</v>
      </c>
      <c r="G690" s="27">
        <v>675.0</v>
      </c>
      <c r="H690" s="8">
        <f t="shared" si="1"/>
        <v>-14</v>
      </c>
    </row>
    <row r="691">
      <c r="A691" s="10">
        <v>690.0</v>
      </c>
      <c r="B691" s="11" t="s">
        <v>3536</v>
      </c>
      <c r="C691" s="10" t="s">
        <v>79</v>
      </c>
      <c r="D691" s="10" t="s">
        <v>137</v>
      </c>
      <c r="E691" s="13" t="str">
        <f>IFERROR(__xludf.DUMMYFUNCTION("ifna(filter('Yahoo ADP'!$A$2:$A2766,'Yahoo ADP'!$B$2:$B2766=$B691,$C691='Yahoo ADP'!$C$2:$C2766,$D691='Yahoo ADP'!$D$2:$D2766))"),"")</f>
        <v/>
      </c>
      <c r="F691" s="13" t="str">
        <f>IFERROR(__xludf.DUMMYFUNCTION("ifna(filter('Yahoo ADP'!$E$2:$E2766,'Yahoo ADP'!$B$2:$B2766=$B691,$C691='Yahoo ADP'!$C$2:$C2766,$D691='Yahoo ADP'!$D$2:$D2766))"),"-")</f>
        <v>-</v>
      </c>
      <c r="G691" s="27">
        <v>676.0</v>
      </c>
      <c r="H691" s="8">
        <f t="shared" si="1"/>
        <v>-14</v>
      </c>
    </row>
    <row r="692">
      <c r="A692" s="10">
        <v>691.0</v>
      </c>
      <c r="B692" s="11" t="s">
        <v>3537</v>
      </c>
      <c r="C692" s="10" t="s">
        <v>585</v>
      </c>
      <c r="D692" s="10" t="s">
        <v>34</v>
      </c>
      <c r="E692" s="13" t="str">
        <f>IFERROR(__xludf.DUMMYFUNCTION("ifna(filter('Yahoo ADP'!$A$2:$A2766,'Yahoo ADP'!$B$2:$B2766=$B692,$C692='Yahoo ADP'!$C$2:$C2766,$D692='Yahoo ADP'!$D$2:$D2766))"),"")</f>
        <v/>
      </c>
      <c r="F692" s="13" t="str">
        <f>IFERROR(__xludf.DUMMYFUNCTION("ifna(filter('Yahoo ADP'!$E$2:$E2766,'Yahoo ADP'!$B$2:$B2766=$B692,$C692='Yahoo ADP'!$C$2:$C2766,$D692='Yahoo ADP'!$D$2:$D2766))"),"-")</f>
        <v>-</v>
      </c>
      <c r="G692" s="27">
        <v>677.0</v>
      </c>
      <c r="H692" s="8">
        <f t="shared" si="1"/>
        <v>-14</v>
      </c>
    </row>
    <row r="693">
      <c r="A693" s="10">
        <v>692.0</v>
      </c>
      <c r="B693" s="11" t="s">
        <v>3538</v>
      </c>
      <c r="C693" s="10" t="s">
        <v>585</v>
      </c>
      <c r="D693" s="10" t="s">
        <v>120</v>
      </c>
      <c r="E693" s="13" t="str">
        <f>IFERROR(__xludf.DUMMYFUNCTION("ifna(filter('Yahoo ADP'!$A$2:$A2766,'Yahoo ADP'!$B$2:$B2766=$B693,$C693='Yahoo ADP'!$C$2:$C2766,$D693='Yahoo ADP'!$D$2:$D2766))"),"")</f>
        <v/>
      </c>
      <c r="F693" s="13" t="str">
        <f>IFERROR(__xludf.DUMMYFUNCTION("ifna(filter('Yahoo ADP'!$E$2:$E2766,'Yahoo ADP'!$B$2:$B2766=$B693,$C693='Yahoo ADP'!$C$2:$C2766,$D693='Yahoo ADP'!$D$2:$D2766))"),"-")</f>
        <v>-</v>
      </c>
      <c r="G693" s="27">
        <v>678.0</v>
      </c>
      <c r="H693" s="8">
        <f t="shared" si="1"/>
        <v>-14</v>
      </c>
    </row>
    <row r="694">
      <c r="A694" s="10">
        <v>693.0</v>
      </c>
      <c r="B694" s="11" t="s">
        <v>3539</v>
      </c>
      <c r="C694" s="10" t="s">
        <v>79</v>
      </c>
      <c r="D694" s="10" t="s">
        <v>129</v>
      </c>
      <c r="E694" s="13" t="str">
        <f>IFERROR(__xludf.DUMMYFUNCTION("ifna(filter('Yahoo ADP'!$A$2:$A2766,'Yahoo ADP'!$B$2:$B2766=$B694,$C694='Yahoo ADP'!$C$2:$C2766,$D694='Yahoo ADP'!$D$2:$D2766))"),"")</f>
        <v/>
      </c>
      <c r="F694" s="13" t="str">
        <f>IFERROR(__xludf.DUMMYFUNCTION("ifna(filter('Yahoo ADP'!$E$2:$E2766,'Yahoo ADP'!$B$2:$B2766=$B694,$C694='Yahoo ADP'!$C$2:$C2766,$D694='Yahoo ADP'!$D$2:$D2766))"),"-")</f>
        <v>-</v>
      </c>
      <c r="G694" s="27">
        <v>679.0</v>
      </c>
      <c r="H694" s="8">
        <f t="shared" si="1"/>
        <v>-14</v>
      </c>
    </row>
    <row r="695">
      <c r="A695" s="10">
        <v>694.0</v>
      </c>
      <c r="B695" s="11" t="s">
        <v>3540</v>
      </c>
      <c r="C695" s="10" t="s">
        <v>79</v>
      </c>
      <c r="D695" s="10" t="s">
        <v>9</v>
      </c>
      <c r="E695" s="13" t="str">
        <f>IFERROR(__xludf.DUMMYFUNCTION("ifna(filter('Yahoo ADP'!$A$2:$A2766,'Yahoo ADP'!$B$2:$B2766=$B695,$C695='Yahoo ADP'!$C$2:$C2766,$D695='Yahoo ADP'!$D$2:$D2766))"),"")</f>
        <v/>
      </c>
      <c r="F695" s="13" t="str">
        <f>IFERROR(__xludf.DUMMYFUNCTION("ifna(filter('Yahoo ADP'!$E$2:$E2766,'Yahoo ADP'!$B$2:$B2766=$B695,$C695='Yahoo ADP'!$C$2:$C2766,$D695='Yahoo ADP'!$D$2:$D2766))"),"-")</f>
        <v>-</v>
      </c>
      <c r="G695" s="27">
        <v>680.0</v>
      </c>
      <c r="H695" s="8">
        <f t="shared" si="1"/>
        <v>-14</v>
      </c>
    </row>
    <row r="696">
      <c r="A696" s="10">
        <v>695.0</v>
      </c>
      <c r="B696" s="11" t="s">
        <v>3541</v>
      </c>
      <c r="C696" s="10" t="s">
        <v>79</v>
      </c>
      <c r="D696" s="10" t="s">
        <v>46</v>
      </c>
      <c r="E696" s="13" t="str">
        <f>IFERROR(__xludf.DUMMYFUNCTION("ifna(filter('Yahoo ADP'!$A$2:$A2766,'Yahoo ADP'!$B$2:$B2766=$B696,$C696='Yahoo ADP'!$C$2:$C2766,$D696='Yahoo ADP'!$D$2:$D2766))"),"")</f>
        <v/>
      </c>
      <c r="F696" s="13" t="str">
        <f>IFERROR(__xludf.DUMMYFUNCTION("ifna(filter('Yahoo ADP'!$E$2:$E2766,'Yahoo ADP'!$B$2:$B2766=$B696,$C696='Yahoo ADP'!$C$2:$C2766,$D696='Yahoo ADP'!$D$2:$D2766))"),"-")</f>
        <v>-</v>
      </c>
      <c r="G696" s="27">
        <v>681.0</v>
      </c>
      <c r="H696" s="8">
        <f t="shared" si="1"/>
        <v>-14</v>
      </c>
    </row>
    <row r="697">
      <c r="A697" s="10">
        <v>696.0</v>
      </c>
      <c r="B697" s="11" t="s">
        <v>3542</v>
      </c>
      <c r="C697" s="10" t="s">
        <v>79</v>
      </c>
      <c r="D697" s="10" t="s">
        <v>9</v>
      </c>
      <c r="E697" s="13" t="str">
        <f>IFERROR(__xludf.DUMMYFUNCTION("ifna(filter('Yahoo ADP'!$A$2:$A2766,'Yahoo ADP'!$B$2:$B2766=$B697,$C697='Yahoo ADP'!$C$2:$C2766,$D697='Yahoo ADP'!$D$2:$D2766))"),"")</f>
        <v/>
      </c>
      <c r="F697" s="13" t="str">
        <f>IFERROR(__xludf.DUMMYFUNCTION("ifna(filter('Yahoo ADP'!$E$2:$E2766,'Yahoo ADP'!$B$2:$B2766=$B697,$C697='Yahoo ADP'!$C$2:$C2766,$D697='Yahoo ADP'!$D$2:$D2766))"),"-")</f>
        <v>-</v>
      </c>
      <c r="G697" s="27">
        <v>682.0</v>
      </c>
      <c r="H697" s="8">
        <f t="shared" si="1"/>
        <v>-14</v>
      </c>
    </row>
    <row r="698">
      <c r="A698" s="10">
        <v>697.0</v>
      </c>
      <c r="B698" s="11" t="s">
        <v>3543</v>
      </c>
      <c r="C698" s="10" t="s">
        <v>79</v>
      </c>
      <c r="D698" s="10" t="s">
        <v>99</v>
      </c>
      <c r="E698" s="13" t="str">
        <f>IFERROR(__xludf.DUMMYFUNCTION("ifna(filter('Yahoo ADP'!$A$2:$A2766,'Yahoo ADP'!$B$2:$B2766=$B698,$C698='Yahoo ADP'!$C$2:$C2766,$D698='Yahoo ADP'!$D$2:$D2766))"),"")</f>
        <v/>
      </c>
      <c r="F698" s="13" t="str">
        <f>IFERROR(__xludf.DUMMYFUNCTION("ifna(filter('Yahoo ADP'!$E$2:$E2766,'Yahoo ADP'!$B$2:$B2766=$B698,$C698='Yahoo ADP'!$C$2:$C2766,$D698='Yahoo ADP'!$D$2:$D2766))"),"-")</f>
        <v>-</v>
      </c>
      <c r="G698" s="27">
        <v>683.0</v>
      </c>
      <c r="H698" s="8">
        <f t="shared" si="1"/>
        <v>-14</v>
      </c>
    </row>
    <row r="699">
      <c r="A699" s="10">
        <v>698.0</v>
      </c>
      <c r="B699" s="11" t="s">
        <v>3544</v>
      </c>
      <c r="C699" s="10" t="s">
        <v>79</v>
      </c>
      <c r="D699" s="10" t="s">
        <v>137</v>
      </c>
      <c r="E699" s="13" t="str">
        <f>IFERROR(__xludf.DUMMYFUNCTION("ifna(filter('Yahoo ADP'!$A$2:$A2766,'Yahoo ADP'!$B$2:$B2766=$B699,$C699='Yahoo ADP'!$C$2:$C2766,$D699='Yahoo ADP'!$D$2:$D2766))"),"")</f>
        <v/>
      </c>
      <c r="F699" s="13" t="str">
        <f>IFERROR(__xludf.DUMMYFUNCTION("ifna(filter('Yahoo ADP'!$E$2:$E2766,'Yahoo ADP'!$B$2:$B2766=$B699,$C699='Yahoo ADP'!$C$2:$C2766,$D699='Yahoo ADP'!$D$2:$D2766))"),"-")</f>
        <v>-</v>
      </c>
      <c r="G699" s="27">
        <v>684.0</v>
      </c>
      <c r="H699" s="8">
        <f t="shared" si="1"/>
        <v>-14</v>
      </c>
    </row>
    <row r="700">
      <c r="A700" s="10">
        <v>699.0</v>
      </c>
      <c r="B700" s="11" t="s">
        <v>3545</v>
      </c>
      <c r="C700" s="10" t="s">
        <v>79</v>
      </c>
      <c r="D700" s="10" t="s">
        <v>71</v>
      </c>
      <c r="E700" s="13" t="str">
        <f>IFERROR(__xludf.DUMMYFUNCTION("ifna(filter('Yahoo ADP'!$A$2:$A2766,'Yahoo ADP'!$B$2:$B2766=$B700,$C700='Yahoo ADP'!$C$2:$C2766,$D700='Yahoo ADP'!$D$2:$D2766))"),"")</f>
        <v/>
      </c>
      <c r="F700" s="13" t="str">
        <f>IFERROR(__xludf.DUMMYFUNCTION("ifna(filter('Yahoo ADP'!$E$2:$E2766,'Yahoo ADP'!$B$2:$B2766=$B700,$C700='Yahoo ADP'!$C$2:$C2766,$D700='Yahoo ADP'!$D$2:$D2766))"),"-")</f>
        <v>-</v>
      </c>
      <c r="G700" s="27">
        <v>685.0</v>
      </c>
      <c r="H700" s="8">
        <f t="shared" si="1"/>
        <v>-14</v>
      </c>
    </row>
    <row r="701">
      <c r="A701" s="10">
        <v>700.0</v>
      </c>
      <c r="B701" s="11" t="s">
        <v>3546</v>
      </c>
      <c r="C701" s="10" t="s">
        <v>79</v>
      </c>
      <c r="D701" s="10" t="s">
        <v>36</v>
      </c>
      <c r="E701" s="13" t="str">
        <f>IFERROR(__xludf.DUMMYFUNCTION("ifna(filter('Yahoo ADP'!$A$2:$A2766,'Yahoo ADP'!$B$2:$B2766=$B701,$C701='Yahoo ADP'!$C$2:$C2766,$D701='Yahoo ADP'!$D$2:$D2766))"),"")</f>
        <v/>
      </c>
      <c r="F701" s="13" t="str">
        <f>IFERROR(__xludf.DUMMYFUNCTION("ifna(filter('Yahoo ADP'!$E$2:$E2766,'Yahoo ADP'!$B$2:$B2766=$B701,$C701='Yahoo ADP'!$C$2:$C2766,$D701='Yahoo ADP'!$D$2:$D2766))"),"-")</f>
        <v>-</v>
      </c>
      <c r="G701" s="27">
        <v>686.0</v>
      </c>
      <c r="H701" s="8">
        <f t="shared" si="1"/>
        <v>-14</v>
      </c>
    </row>
    <row r="702">
      <c r="A702" s="10">
        <v>701.0</v>
      </c>
      <c r="B702" s="11" t="s">
        <v>3547</v>
      </c>
      <c r="C702" s="10" t="s">
        <v>79</v>
      </c>
      <c r="D702" s="10" t="s">
        <v>85</v>
      </c>
      <c r="E702" s="13" t="str">
        <f>IFERROR(__xludf.DUMMYFUNCTION("ifna(filter('Yahoo ADP'!$A$2:$A2766,'Yahoo ADP'!$B$2:$B2766=$B702,$C702='Yahoo ADP'!$C$2:$C2766,$D702='Yahoo ADP'!$D$2:$D2766))"),"")</f>
        <v/>
      </c>
      <c r="F702" s="13" t="str">
        <f>IFERROR(__xludf.DUMMYFUNCTION("ifna(filter('Yahoo ADP'!$E$2:$E2766,'Yahoo ADP'!$B$2:$B2766=$B702,$C702='Yahoo ADP'!$C$2:$C2766,$D702='Yahoo ADP'!$D$2:$D2766))"),"-")</f>
        <v>-</v>
      </c>
      <c r="G702" s="27">
        <v>687.0</v>
      </c>
      <c r="H702" s="8">
        <f t="shared" si="1"/>
        <v>-14</v>
      </c>
    </row>
    <row r="703">
      <c r="A703" s="10">
        <v>702.0</v>
      </c>
      <c r="B703" s="11" t="s">
        <v>3548</v>
      </c>
      <c r="C703" s="10" t="s">
        <v>79</v>
      </c>
      <c r="D703" s="10" t="s">
        <v>71</v>
      </c>
      <c r="E703" s="13" t="str">
        <f>IFERROR(__xludf.DUMMYFUNCTION("ifna(filter('Yahoo ADP'!$A$2:$A2766,'Yahoo ADP'!$B$2:$B2766=$B703,$C703='Yahoo ADP'!$C$2:$C2766,$D703='Yahoo ADP'!$D$2:$D2766))"),"")</f>
        <v/>
      </c>
      <c r="F703" s="13" t="str">
        <f>IFERROR(__xludf.DUMMYFUNCTION("ifna(filter('Yahoo ADP'!$E$2:$E2766,'Yahoo ADP'!$B$2:$B2766=$B703,$C703='Yahoo ADP'!$C$2:$C2766,$D703='Yahoo ADP'!$D$2:$D2766))"),"-")</f>
        <v>-</v>
      </c>
      <c r="G703" s="27">
        <v>688.0</v>
      </c>
      <c r="H703" s="8">
        <f t="shared" si="1"/>
        <v>-14</v>
      </c>
    </row>
    <row r="704">
      <c r="A704" s="10">
        <v>703.0</v>
      </c>
      <c r="B704" s="11" t="s">
        <v>3549</v>
      </c>
      <c r="C704" s="10" t="s">
        <v>22</v>
      </c>
      <c r="D704" s="10" t="s">
        <v>18</v>
      </c>
      <c r="E704" s="13" t="str">
        <f>IFERROR(__xludf.DUMMYFUNCTION("ifna(filter('Yahoo ADP'!$A$2:$A2766,'Yahoo ADP'!$B$2:$B2766=$B704,$C704='Yahoo ADP'!$C$2:$C2766,$D704='Yahoo ADP'!$D$2:$D2766))"),"")</f>
        <v/>
      </c>
      <c r="F704" s="13" t="str">
        <f>IFERROR(__xludf.DUMMYFUNCTION("ifna(filter('Yahoo ADP'!$E$2:$E2766,'Yahoo ADP'!$B$2:$B2766=$B704,$C704='Yahoo ADP'!$C$2:$C2766,$D704='Yahoo ADP'!$D$2:$D2766))"),"-")</f>
        <v>-</v>
      </c>
      <c r="G704" s="27">
        <v>689.0</v>
      </c>
      <c r="H704" s="8">
        <f t="shared" si="1"/>
        <v>-14</v>
      </c>
    </row>
    <row r="705">
      <c r="A705" s="10">
        <v>704.0</v>
      </c>
      <c r="B705" s="11" t="s">
        <v>3550</v>
      </c>
      <c r="C705" s="10" t="s">
        <v>22</v>
      </c>
      <c r="D705" s="10" t="s">
        <v>73</v>
      </c>
      <c r="E705" s="13" t="str">
        <f>IFERROR(__xludf.DUMMYFUNCTION("ifna(filter('Yahoo ADP'!$A$2:$A2766,'Yahoo ADP'!$B$2:$B2766=$B705,$C705='Yahoo ADP'!$C$2:$C2766,$D705='Yahoo ADP'!$D$2:$D2766))"),"")</f>
        <v/>
      </c>
      <c r="F705" s="13" t="str">
        <f>IFERROR(__xludf.DUMMYFUNCTION("ifna(filter('Yahoo ADP'!$E$2:$E2766,'Yahoo ADP'!$B$2:$B2766=$B705,$C705='Yahoo ADP'!$C$2:$C2766,$D705='Yahoo ADP'!$D$2:$D2766))"),"-")</f>
        <v>-</v>
      </c>
      <c r="G705" s="27">
        <v>690.0</v>
      </c>
      <c r="H705" s="8">
        <f t="shared" si="1"/>
        <v>-14</v>
      </c>
    </row>
    <row r="706">
      <c r="A706" s="10">
        <v>705.0</v>
      </c>
      <c r="B706" s="11" t="s">
        <v>3551</v>
      </c>
      <c r="C706" s="10" t="s">
        <v>79</v>
      </c>
      <c r="D706" s="10" t="s">
        <v>140</v>
      </c>
      <c r="E706" s="13" t="str">
        <f>IFERROR(__xludf.DUMMYFUNCTION("ifna(filter('Yahoo ADP'!$A$2:$A2766,'Yahoo ADP'!$B$2:$B2766=$B706,$C706='Yahoo ADP'!$C$2:$C2766,$D706='Yahoo ADP'!$D$2:$D2766))"),"")</f>
        <v/>
      </c>
      <c r="F706" s="13" t="str">
        <f>IFERROR(__xludf.DUMMYFUNCTION("ifna(filter('Yahoo ADP'!$E$2:$E2766,'Yahoo ADP'!$B$2:$B2766=$B706,$C706='Yahoo ADP'!$C$2:$C2766,$D706='Yahoo ADP'!$D$2:$D2766))"),"")</f>
        <v/>
      </c>
      <c r="G706" s="27">
        <v>691.0</v>
      </c>
      <c r="H706" s="8">
        <f t="shared" si="1"/>
        <v>-14</v>
      </c>
    </row>
    <row r="707">
      <c r="A707" s="10">
        <v>706.0</v>
      </c>
      <c r="B707" s="11" t="s">
        <v>3552</v>
      </c>
      <c r="C707" s="10" t="s">
        <v>79</v>
      </c>
      <c r="D707" s="10" t="s">
        <v>206</v>
      </c>
      <c r="E707" s="13" t="str">
        <f>IFERROR(__xludf.DUMMYFUNCTION("ifna(filter('Yahoo ADP'!$A$2:$A2766,'Yahoo ADP'!$B$2:$B2766=$B707,$C707='Yahoo ADP'!$C$2:$C2766,$D707='Yahoo ADP'!$D$2:$D2766))"),"")</f>
        <v/>
      </c>
      <c r="F707" s="13" t="str">
        <f>IFERROR(__xludf.DUMMYFUNCTION("ifna(filter('Yahoo ADP'!$E$2:$E2766,'Yahoo ADP'!$B$2:$B2766=$B707,$C707='Yahoo ADP'!$C$2:$C2766,$D707='Yahoo ADP'!$D$2:$D2766))"),"-")</f>
        <v>-</v>
      </c>
      <c r="G707" s="27">
        <v>692.0</v>
      </c>
      <c r="H707" s="8">
        <f t="shared" si="1"/>
        <v>-14</v>
      </c>
    </row>
    <row r="708">
      <c r="A708" s="10">
        <v>707.0</v>
      </c>
      <c r="B708" s="11" t="s">
        <v>3553</v>
      </c>
      <c r="C708" s="10" t="s">
        <v>79</v>
      </c>
      <c r="D708" s="10" t="s">
        <v>34</v>
      </c>
      <c r="E708" s="13" t="str">
        <f>IFERROR(__xludf.DUMMYFUNCTION("ifna(filter('Yahoo ADP'!$A$2:$A2766,'Yahoo ADP'!$B$2:$B2766=$B708,$C708='Yahoo ADP'!$C$2:$C2766,$D708='Yahoo ADP'!$D$2:$D2766))"),"")</f>
        <v/>
      </c>
      <c r="F708" s="13" t="str">
        <f>IFERROR(__xludf.DUMMYFUNCTION("ifna(filter('Yahoo ADP'!$E$2:$E2766,'Yahoo ADP'!$B$2:$B2766=$B708,$C708='Yahoo ADP'!$C$2:$C2766,$D708='Yahoo ADP'!$D$2:$D2766))"),"-")</f>
        <v>-</v>
      </c>
      <c r="G708" s="27">
        <v>693.0</v>
      </c>
      <c r="H708" s="8">
        <f t="shared" si="1"/>
        <v>-14</v>
      </c>
    </row>
    <row r="709">
      <c r="A709" s="10">
        <v>708.0</v>
      </c>
      <c r="B709" s="11" t="s">
        <v>3554</v>
      </c>
      <c r="C709" s="10" t="s">
        <v>22</v>
      </c>
      <c r="D709" s="10" t="s">
        <v>36</v>
      </c>
      <c r="E709" s="13" t="str">
        <f>IFERROR(__xludf.DUMMYFUNCTION("ifna(filter('Yahoo ADP'!$A$2:$A2766,'Yahoo ADP'!$B$2:$B2766=$B709,$C709='Yahoo ADP'!$C$2:$C2766,$D709='Yahoo ADP'!$D$2:$D2766))"),"")</f>
        <v/>
      </c>
      <c r="F709" s="13" t="str">
        <f>IFERROR(__xludf.DUMMYFUNCTION("ifna(filter('Yahoo ADP'!$E$2:$E2766,'Yahoo ADP'!$B$2:$B2766=$B709,$C709='Yahoo ADP'!$C$2:$C2766,$D709='Yahoo ADP'!$D$2:$D2766))"),"-")</f>
        <v>-</v>
      </c>
      <c r="G709" s="27">
        <v>694.0</v>
      </c>
      <c r="H709" s="8">
        <f t="shared" si="1"/>
        <v>-14</v>
      </c>
    </row>
    <row r="710">
      <c r="A710" s="10">
        <v>709.0</v>
      </c>
      <c r="B710" s="11" t="s">
        <v>3555</v>
      </c>
      <c r="C710" s="10" t="s">
        <v>22</v>
      </c>
      <c r="D710" s="10" t="s">
        <v>12</v>
      </c>
      <c r="E710" s="13" t="str">
        <f>IFERROR(__xludf.DUMMYFUNCTION("ifna(filter('Yahoo ADP'!$A$2:$A2766,'Yahoo ADP'!$B$2:$B2766=$B710,$C710='Yahoo ADP'!$C$2:$C2766,$D710='Yahoo ADP'!$D$2:$D2766))"),"")</f>
        <v/>
      </c>
      <c r="F710" s="13" t="str">
        <f>IFERROR(__xludf.DUMMYFUNCTION("ifna(filter('Yahoo ADP'!$E$2:$E2766,'Yahoo ADP'!$B$2:$B2766=$B710,$C710='Yahoo ADP'!$C$2:$C2766,$D710='Yahoo ADP'!$D$2:$D2766))"),"-")</f>
        <v>-</v>
      </c>
      <c r="G710" s="27">
        <v>695.0</v>
      </c>
      <c r="H710" s="8">
        <f t="shared" si="1"/>
        <v>-14</v>
      </c>
    </row>
    <row r="711">
      <c r="A711" s="10">
        <v>710.0</v>
      </c>
      <c r="B711" s="11" t="s">
        <v>3556</v>
      </c>
      <c r="C711" s="10" t="s">
        <v>79</v>
      </c>
      <c r="D711" s="10" t="s">
        <v>9</v>
      </c>
      <c r="E711" s="13" t="str">
        <f>IFERROR(__xludf.DUMMYFUNCTION("ifna(filter('Yahoo ADP'!$A$2:$A2766,'Yahoo ADP'!$B$2:$B2766=$B711,$C711='Yahoo ADP'!$C$2:$C2766,$D711='Yahoo ADP'!$D$2:$D2766))"),"")</f>
        <v/>
      </c>
      <c r="F711" s="13" t="str">
        <f>IFERROR(__xludf.DUMMYFUNCTION("ifna(filter('Yahoo ADP'!$E$2:$E2766,'Yahoo ADP'!$B$2:$B2766=$B711,$C711='Yahoo ADP'!$C$2:$C2766,$D711='Yahoo ADP'!$D$2:$D2766))"),"-")</f>
        <v>-</v>
      </c>
      <c r="G711" s="27">
        <v>696.0</v>
      </c>
      <c r="H711" s="8">
        <f t="shared" si="1"/>
        <v>-14</v>
      </c>
    </row>
    <row r="712">
      <c r="A712" s="10">
        <v>711.0</v>
      </c>
      <c r="B712" s="11" t="s">
        <v>3557</v>
      </c>
      <c r="C712" s="10" t="s">
        <v>22</v>
      </c>
      <c r="D712" s="10" t="s">
        <v>18</v>
      </c>
      <c r="E712" s="13" t="str">
        <f>IFERROR(__xludf.DUMMYFUNCTION("ifna(filter('Yahoo ADP'!$A$2:$A2766,'Yahoo ADP'!$B$2:$B2766=$B712,$C712='Yahoo ADP'!$C$2:$C2766,$D712='Yahoo ADP'!$D$2:$D2766))"),"")</f>
        <v/>
      </c>
      <c r="F712" s="13" t="str">
        <f>IFERROR(__xludf.DUMMYFUNCTION("ifna(filter('Yahoo ADP'!$E$2:$E2766,'Yahoo ADP'!$B$2:$B2766=$B712,$C712='Yahoo ADP'!$C$2:$C2766,$D712='Yahoo ADP'!$D$2:$D2766))"),"-")</f>
        <v>-</v>
      </c>
      <c r="G712" s="27">
        <v>321.0</v>
      </c>
      <c r="H712" s="8">
        <f t="shared" si="1"/>
        <v>-390</v>
      </c>
    </row>
    <row r="713">
      <c r="A713" s="10">
        <v>712.0</v>
      </c>
      <c r="B713" s="11" t="s">
        <v>3558</v>
      </c>
      <c r="C713" s="10" t="s">
        <v>79</v>
      </c>
      <c r="D713" s="10" t="s">
        <v>71</v>
      </c>
      <c r="E713" s="13" t="str">
        <f>IFERROR(__xludf.DUMMYFUNCTION("ifna(filter('Yahoo ADP'!$A$2:$A2766,'Yahoo ADP'!$B$2:$B2766=$B713,$C713='Yahoo ADP'!$C$2:$C2766,$D713='Yahoo ADP'!$D$2:$D2766))"),"")</f>
        <v/>
      </c>
      <c r="F713" s="13" t="str">
        <f>IFERROR(__xludf.DUMMYFUNCTION("ifna(filter('Yahoo ADP'!$E$2:$E2766,'Yahoo ADP'!$B$2:$B2766=$B713,$C713='Yahoo ADP'!$C$2:$C2766,$D713='Yahoo ADP'!$D$2:$D2766))"),"-")</f>
        <v>-</v>
      </c>
      <c r="G713" s="27">
        <v>697.0</v>
      </c>
      <c r="H713" s="8">
        <f t="shared" si="1"/>
        <v>-15</v>
      </c>
    </row>
    <row r="714">
      <c r="A714" s="10">
        <v>713.0</v>
      </c>
      <c r="B714" s="11" t="s">
        <v>3559</v>
      </c>
      <c r="C714" s="10" t="s">
        <v>22</v>
      </c>
      <c r="D714" s="10" t="s">
        <v>73</v>
      </c>
      <c r="E714" s="13" t="str">
        <f>IFERROR(__xludf.DUMMYFUNCTION("ifna(filter('Yahoo ADP'!$A$2:$A2766,'Yahoo ADP'!$B$2:$B2766=$B714,$C714='Yahoo ADP'!$C$2:$C2766,$D714='Yahoo ADP'!$D$2:$D2766))"),"")</f>
        <v/>
      </c>
      <c r="F714" s="13" t="str">
        <f>IFERROR(__xludf.DUMMYFUNCTION("ifna(filter('Yahoo ADP'!$E$2:$E2766,'Yahoo ADP'!$B$2:$B2766=$B714,$C714='Yahoo ADP'!$C$2:$C2766,$D714='Yahoo ADP'!$D$2:$D2766))"),"-")</f>
        <v>-</v>
      </c>
      <c r="G714" s="27">
        <v>698.0</v>
      </c>
      <c r="H714" s="8">
        <f t="shared" si="1"/>
        <v>-15</v>
      </c>
    </row>
    <row r="715">
      <c r="A715" s="10">
        <v>714.0</v>
      </c>
      <c r="B715" s="11" t="s">
        <v>3560</v>
      </c>
      <c r="C715" s="10" t="s">
        <v>22</v>
      </c>
      <c r="D715" s="10" t="s">
        <v>137</v>
      </c>
      <c r="E715" s="13" t="str">
        <f>IFERROR(__xludf.DUMMYFUNCTION("ifna(filter('Yahoo ADP'!$A$2:$A2766,'Yahoo ADP'!$B$2:$B2766=$B715,$C715='Yahoo ADP'!$C$2:$C2766,$D715='Yahoo ADP'!$D$2:$D2766))"),"")</f>
        <v/>
      </c>
      <c r="F715" s="13" t="str">
        <f>IFERROR(__xludf.DUMMYFUNCTION("ifna(filter('Yahoo ADP'!$E$2:$E2766,'Yahoo ADP'!$B$2:$B2766=$B715,$C715='Yahoo ADP'!$C$2:$C2766,$D715='Yahoo ADP'!$D$2:$D2766))"),"-")</f>
        <v>-</v>
      </c>
      <c r="G715" s="27">
        <v>699.0</v>
      </c>
      <c r="H715" s="8">
        <f t="shared" si="1"/>
        <v>-15</v>
      </c>
    </row>
    <row r="716">
      <c r="A716" s="10">
        <v>715.0</v>
      </c>
      <c r="B716" s="11" t="s">
        <v>3561</v>
      </c>
      <c r="C716" s="10" t="s">
        <v>79</v>
      </c>
      <c r="D716" s="10" t="s">
        <v>36</v>
      </c>
      <c r="E716" s="13" t="str">
        <f>IFERROR(__xludf.DUMMYFUNCTION("ifna(filter('Yahoo ADP'!$A$2:$A2766,'Yahoo ADP'!$B$2:$B2766=$B716,$C716='Yahoo ADP'!$C$2:$C2766,$D716='Yahoo ADP'!$D$2:$D2766))"),"")</f>
        <v/>
      </c>
      <c r="F716" s="13" t="str">
        <f>IFERROR(__xludf.DUMMYFUNCTION("ifna(filter('Yahoo ADP'!$E$2:$E2766,'Yahoo ADP'!$B$2:$B2766=$B716,$C716='Yahoo ADP'!$C$2:$C2766,$D716='Yahoo ADP'!$D$2:$D2766))"),"-")</f>
        <v>-</v>
      </c>
      <c r="G716" s="27">
        <v>700.0</v>
      </c>
      <c r="H716" s="8">
        <f t="shared" si="1"/>
        <v>-15</v>
      </c>
    </row>
    <row r="717">
      <c r="A717" s="10">
        <v>716.0</v>
      </c>
      <c r="B717" s="11" t="s">
        <v>3562</v>
      </c>
      <c r="C717" s="10" t="s">
        <v>79</v>
      </c>
      <c r="D717" s="10" t="s">
        <v>82</v>
      </c>
      <c r="E717" s="13" t="str">
        <f>IFERROR(__xludf.DUMMYFUNCTION("ifna(filter('Yahoo ADP'!$A$2:$A2766,'Yahoo ADP'!$B$2:$B2766=$B717,$C717='Yahoo ADP'!$C$2:$C2766,$D717='Yahoo ADP'!$D$2:$D2766))"),"")</f>
        <v/>
      </c>
      <c r="F717" s="13" t="str">
        <f>IFERROR(__xludf.DUMMYFUNCTION("ifna(filter('Yahoo ADP'!$E$2:$E2766,'Yahoo ADP'!$B$2:$B2766=$B717,$C717='Yahoo ADP'!$C$2:$C2766,$D717='Yahoo ADP'!$D$2:$D2766))"),"-")</f>
        <v>-</v>
      </c>
      <c r="G717" s="27">
        <v>701.0</v>
      </c>
      <c r="H717" s="8">
        <f t="shared" si="1"/>
        <v>-15</v>
      </c>
    </row>
    <row r="718">
      <c r="A718" s="10">
        <v>717.0</v>
      </c>
      <c r="B718" s="11" t="s">
        <v>3563</v>
      </c>
      <c r="C718" s="10" t="s">
        <v>22</v>
      </c>
      <c r="D718" s="10" t="s">
        <v>120</v>
      </c>
      <c r="E718" s="13" t="str">
        <f>IFERROR(__xludf.DUMMYFUNCTION("ifna(filter('Yahoo ADP'!$A$2:$A2766,'Yahoo ADP'!$B$2:$B2766=$B718,$C718='Yahoo ADP'!$C$2:$C2766,$D718='Yahoo ADP'!$D$2:$D2766))"),"")</f>
        <v/>
      </c>
      <c r="F718" s="13" t="str">
        <f>IFERROR(__xludf.DUMMYFUNCTION("ifna(filter('Yahoo ADP'!$E$2:$E2766,'Yahoo ADP'!$B$2:$B2766=$B718,$C718='Yahoo ADP'!$C$2:$C2766,$D718='Yahoo ADP'!$D$2:$D2766))"),"-")</f>
        <v>-</v>
      </c>
      <c r="G718" s="27">
        <v>702.0</v>
      </c>
      <c r="H718" s="8">
        <f t="shared" si="1"/>
        <v>-15</v>
      </c>
    </row>
    <row r="719">
      <c r="A719" s="10">
        <v>718.0</v>
      </c>
      <c r="B719" s="11" t="s">
        <v>3564</v>
      </c>
      <c r="C719" s="10" t="s">
        <v>22</v>
      </c>
      <c r="D719" s="10" t="s">
        <v>85</v>
      </c>
      <c r="E719" s="13" t="str">
        <f>IFERROR(__xludf.DUMMYFUNCTION("ifna(filter('Yahoo ADP'!$A$2:$A2766,'Yahoo ADP'!$B$2:$B2766=$B719,$C719='Yahoo ADP'!$C$2:$C2766,$D719='Yahoo ADP'!$D$2:$D2766))"),"")</f>
        <v/>
      </c>
      <c r="F719" s="13" t="str">
        <f>IFERROR(__xludf.DUMMYFUNCTION("ifna(filter('Yahoo ADP'!$E$2:$E2766,'Yahoo ADP'!$B$2:$B2766=$B719,$C719='Yahoo ADP'!$C$2:$C2766,$D719='Yahoo ADP'!$D$2:$D2766))"),"-")</f>
        <v>-</v>
      </c>
      <c r="G719" s="27">
        <v>703.0</v>
      </c>
      <c r="H719" s="8">
        <f t="shared" si="1"/>
        <v>-15</v>
      </c>
    </row>
    <row r="720">
      <c r="A720" s="10">
        <v>719.0</v>
      </c>
      <c r="B720" s="11" t="s">
        <v>3565</v>
      </c>
      <c r="C720" s="10" t="s">
        <v>79</v>
      </c>
      <c r="D720" s="10" t="s">
        <v>23</v>
      </c>
      <c r="E720" s="13" t="str">
        <f>IFERROR(__xludf.DUMMYFUNCTION("ifna(filter('Yahoo ADP'!$A$2:$A2766,'Yahoo ADP'!$B$2:$B2766=$B720,$C720='Yahoo ADP'!$C$2:$C2766,$D720='Yahoo ADP'!$D$2:$D2766))"),"")</f>
        <v/>
      </c>
      <c r="F720" s="13" t="str">
        <f>IFERROR(__xludf.DUMMYFUNCTION("ifna(filter('Yahoo ADP'!$E$2:$E2766,'Yahoo ADP'!$B$2:$B2766=$B720,$C720='Yahoo ADP'!$C$2:$C2766,$D720='Yahoo ADP'!$D$2:$D2766))"),"-")</f>
        <v>-</v>
      </c>
      <c r="G720" s="27">
        <v>704.0</v>
      </c>
      <c r="H720" s="8">
        <f t="shared" si="1"/>
        <v>-15</v>
      </c>
    </row>
    <row r="721">
      <c r="A721" s="10">
        <v>720.0</v>
      </c>
      <c r="B721" s="11" t="s">
        <v>3566</v>
      </c>
      <c r="C721" s="10" t="s">
        <v>79</v>
      </c>
      <c r="D721" s="10" t="s">
        <v>27</v>
      </c>
      <c r="E721" s="13" t="str">
        <f>IFERROR(__xludf.DUMMYFUNCTION("ifna(filter('Yahoo ADP'!$A$2:$A2766,'Yahoo ADP'!$B$2:$B2766=$B721,$C721='Yahoo ADP'!$C$2:$C2766,$D721='Yahoo ADP'!$D$2:$D2766))"),"")</f>
        <v/>
      </c>
      <c r="F721" s="13" t="str">
        <f>IFERROR(__xludf.DUMMYFUNCTION("ifna(filter('Yahoo ADP'!$E$2:$E2766,'Yahoo ADP'!$B$2:$B2766=$B721,$C721='Yahoo ADP'!$C$2:$C2766,$D721='Yahoo ADP'!$D$2:$D2766))"),"-")</f>
        <v>-</v>
      </c>
      <c r="G721" s="27">
        <v>705.0</v>
      </c>
      <c r="H721" s="8">
        <f t="shared" si="1"/>
        <v>-15</v>
      </c>
    </row>
    <row r="722">
      <c r="A722" s="10">
        <v>721.0</v>
      </c>
      <c r="B722" s="11" t="s">
        <v>3567</v>
      </c>
      <c r="C722" s="10" t="s">
        <v>79</v>
      </c>
      <c r="D722" s="10" t="s">
        <v>90</v>
      </c>
      <c r="E722" s="13" t="str">
        <f>IFERROR(__xludf.DUMMYFUNCTION("ifna(filter('Yahoo ADP'!$A$2:$A2766,'Yahoo ADP'!$B$2:$B2766=$B722,$C722='Yahoo ADP'!$C$2:$C2766,$D722='Yahoo ADP'!$D$2:$D2766))"),"")</f>
        <v/>
      </c>
      <c r="F722" s="13" t="str">
        <f>IFERROR(__xludf.DUMMYFUNCTION("ifna(filter('Yahoo ADP'!$E$2:$E2766,'Yahoo ADP'!$B$2:$B2766=$B722,$C722='Yahoo ADP'!$C$2:$C2766,$D722='Yahoo ADP'!$D$2:$D2766))"),"-")</f>
        <v>-</v>
      </c>
      <c r="G722" s="27">
        <v>706.0</v>
      </c>
      <c r="H722" s="8">
        <f t="shared" si="1"/>
        <v>-15</v>
      </c>
    </row>
    <row r="723">
      <c r="A723" s="10">
        <v>722.0</v>
      </c>
      <c r="B723" s="11" t="s">
        <v>3568</v>
      </c>
      <c r="C723" s="10" t="s">
        <v>79</v>
      </c>
      <c r="D723" s="10" t="s">
        <v>52</v>
      </c>
      <c r="E723" s="13" t="str">
        <f>IFERROR(__xludf.DUMMYFUNCTION("ifna(filter('Yahoo ADP'!$A$2:$A2766,'Yahoo ADP'!$B$2:$B2766=$B723,$C723='Yahoo ADP'!$C$2:$C2766,$D723='Yahoo ADP'!$D$2:$D2766))"),"")</f>
        <v/>
      </c>
      <c r="F723" s="13" t="str">
        <f>IFERROR(__xludf.DUMMYFUNCTION("ifna(filter('Yahoo ADP'!$E$2:$E2766,'Yahoo ADP'!$B$2:$B2766=$B723,$C723='Yahoo ADP'!$C$2:$C2766,$D723='Yahoo ADP'!$D$2:$D2766))"),"-")</f>
        <v>-</v>
      </c>
      <c r="G723" s="27">
        <v>707.0</v>
      </c>
      <c r="H723" s="8">
        <f t="shared" si="1"/>
        <v>-15</v>
      </c>
    </row>
    <row r="724">
      <c r="A724" s="10">
        <v>723.0</v>
      </c>
      <c r="B724" s="11" t="s">
        <v>3569</v>
      </c>
      <c r="C724" s="10" t="s">
        <v>22</v>
      </c>
      <c r="D724" s="10" t="s">
        <v>206</v>
      </c>
      <c r="E724" s="13" t="str">
        <f>IFERROR(__xludf.DUMMYFUNCTION("ifna(filter('Yahoo ADP'!$A$2:$A2766,'Yahoo ADP'!$B$2:$B2766=$B724,$C724='Yahoo ADP'!$C$2:$C2766,$D724='Yahoo ADP'!$D$2:$D2766))"),"")</f>
        <v/>
      </c>
      <c r="F724" s="13" t="str">
        <f>IFERROR(__xludf.DUMMYFUNCTION("ifna(filter('Yahoo ADP'!$E$2:$E2766,'Yahoo ADP'!$B$2:$B2766=$B724,$C724='Yahoo ADP'!$C$2:$C2766,$D724='Yahoo ADP'!$D$2:$D2766))"),"-")</f>
        <v>-</v>
      </c>
      <c r="G724" s="27">
        <v>708.0</v>
      </c>
      <c r="H724" s="8">
        <f t="shared" si="1"/>
        <v>-15</v>
      </c>
    </row>
    <row r="725">
      <c r="A725" s="10">
        <v>724.0</v>
      </c>
      <c r="B725" s="11" t="s">
        <v>3570</v>
      </c>
      <c r="C725" s="10" t="s">
        <v>79</v>
      </c>
      <c r="D725" s="10" t="s">
        <v>82</v>
      </c>
      <c r="E725" s="13" t="str">
        <f>IFERROR(__xludf.DUMMYFUNCTION("ifna(filter('Yahoo ADP'!$A$2:$A2766,'Yahoo ADP'!$B$2:$B2766=$B725,$C725='Yahoo ADP'!$C$2:$C2766,$D725='Yahoo ADP'!$D$2:$D2766))"),"")</f>
        <v/>
      </c>
      <c r="F725" s="13" t="str">
        <f>IFERROR(__xludf.DUMMYFUNCTION("ifna(filter('Yahoo ADP'!$E$2:$E2766,'Yahoo ADP'!$B$2:$B2766=$B725,$C725='Yahoo ADP'!$C$2:$C2766,$D725='Yahoo ADP'!$D$2:$D2766))"),"-")</f>
        <v>-</v>
      </c>
      <c r="G725" s="27">
        <v>709.0</v>
      </c>
      <c r="H725" s="8">
        <f t="shared" si="1"/>
        <v>-15</v>
      </c>
    </row>
    <row r="726">
      <c r="A726" s="10">
        <v>725.0</v>
      </c>
      <c r="B726" s="11" t="s">
        <v>3571</v>
      </c>
      <c r="C726" s="10" t="s">
        <v>79</v>
      </c>
      <c r="D726" s="10" t="s">
        <v>90</v>
      </c>
      <c r="E726" s="13" t="str">
        <f>IFERROR(__xludf.DUMMYFUNCTION("ifna(filter('Yahoo ADP'!$A$2:$A2766,'Yahoo ADP'!$B$2:$B2766=$B726,$C726='Yahoo ADP'!$C$2:$C2766,$D726='Yahoo ADP'!$D$2:$D2766))"),"")</f>
        <v/>
      </c>
      <c r="F726" s="13" t="str">
        <f>IFERROR(__xludf.DUMMYFUNCTION("ifna(filter('Yahoo ADP'!$E$2:$E2766,'Yahoo ADP'!$B$2:$B2766=$B726,$C726='Yahoo ADP'!$C$2:$C2766,$D726='Yahoo ADP'!$D$2:$D2766))"),"-")</f>
        <v>-</v>
      </c>
      <c r="G726" s="27">
        <v>710.0</v>
      </c>
      <c r="H726" s="8">
        <f t="shared" si="1"/>
        <v>-15</v>
      </c>
    </row>
    <row r="727">
      <c r="A727" s="10">
        <v>726.0</v>
      </c>
      <c r="B727" s="11" t="s">
        <v>3572</v>
      </c>
      <c r="C727" s="10" t="s">
        <v>22</v>
      </c>
      <c r="D727" s="10" t="s">
        <v>140</v>
      </c>
      <c r="E727" s="13" t="str">
        <f>IFERROR(__xludf.DUMMYFUNCTION("ifna(filter('Yahoo ADP'!$A$2:$A2766,'Yahoo ADP'!$B$2:$B2766=$B727,$C727='Yahoo ADP'!$C$2:$C2766,$D727='Yahoo ADP'!$D$2:$D2766))"),"")</f>
        <v/>
      </c>
      <c r="F727" s="13" t="str">
        <f>IFERROR(__xludf.DUMMYFUNCTION("ifna(filter('Yahoo ADP'!$E$2:$E2766,'Yahoo ADP'!$B$2:$B2766=$B727,$C727='Yahoo ADP'!$C$2:$C2766,$D727='Yahoo ADP'!$D$2:$D2766))"),"-")</f>
        <v>-</v>
      </c>
      <c r="G727" s="27">
        <v>711.0</v>
      </c>
      <c r="H727" s="8">
        <f t="shared" si="1"/>
        <v>-15</v>
      </c>
    </row>
    <row r="728">
      <c r="A728" s="10">
        <v>727.0</v>
      </c>
      <c r="B728" s="11" t="s">
        <v>3573</v>
      </c>
      <c r="C728" s="10" t="s">
        <v>22</v>
      </c>
      <c r="D728" s="10" t="s">
        <v>34</v>
      </c>
      <c r="E728" s="13" t="str">
        <f>IFERROR(__xludf.DUMMYFUNCTION("ifna(filter('Yahoo ADP'!$A$2:$A2766,'Yahoo ADP'!$B$2:$B2766=$B728,$C728='Yahoo ADP'!$C$2:$C2766,$D728='Yahoo ADP'!$D$2:$D2766))"),"")</f>
        <v/>
      </c>
      <c r="F728" s="13" t="str">
        <f>IFERROR(__xludf.DUMMYFUNCTION("ifna(filter('Yahoo ADP'!$E$2:$E2766,'Yahoo ADP'!$B$2:$B2766=$B728,$C728='Yahoo ADP'!$C$2:$C2766,$D728='Yahoo ADP'!$D$2:$D2766))"),"-")</f>
        <v>-</v>
      </c>
      <c r="G728" s="27">
        <v>712.0</v>
      </c>
      <c r="H728" s="8">
        <f t="shared" si="1"/>
        <v>-15</v>
      </c>
    </row>
    <row r="729">
      <c r="A729" s="10">
        <v>728.0</v>
      </c>
      <c r="B729" s="11" t="s">
        <v>3574</v>
      </c>
      <c r="C729" s="10" t="s">
        <v>79</v>
      </c>
      <c r="D729" s="10" t="s">
        <v>73</v>
      </c>
      <c r="E729" s="13" t="str">
        <f>IFERROR(__xludf.DUMMYFUNCTION("ifna(filter('Yahoo ADP'!$A$2:$A2766,'Yahoo ADP'!$B$2:$B2766=$B729,$C729='Yahoo ADP'!$C$2:$C2766,$D729='Yahoo ADP'!$D$2:$D2766))"),"")</f>
        <v/>
      </c>
      <c r="F729" s="13" t="str">
        <f>IFERROR(__xludf.DUMMYFUNCTION("ifna(filter('Yahoo ADP'!$E$2:$E2766,'Yahoo ADP'!$B$2:$B2766=$B729,$C729='Yahoo ADP'!$C$2:$C2766,$D729='Yahoo ADP'!$D$2:$D2766))"),"-")</f>
        <v>-</v>
      </c>
      <c r="G729" s="27">
        <v>713.0</v>
      </c>
      <c r="H729" s="8">
        <f t="shared" si="1"/>
        <v>-15</v>
      </c>
    </row>
    <row r="730">
      <c r="A730" s="10">
        <v>729.0</v>
      </c>
      <c r="B730" s="11" t="s">
        <v>3575</v>
      </c>
      <c r="C730" s="10" t="s">
        <v>79</v>
      </c>
      <c r="D730" s="10" t="s">
        <v>206</v>
      </c>
      <c r="E730" s="13" t="str">
        <f>IFERROR(__xludf.DUMMYFUNCTION("ifna(filter('Yahoo ADP'!$A$2:$A2766,'Yahoo ADP'!$B$2:$B2766=$B730,$C730='Yahoo ADP'!$C$2:$C2766,$D730='Yahoo ADP'!$D$2:$D2766))"),"")</f>
        <v/>
      </c>
      <c r="F730" s="13" t="str">
        <f>IFERROR(__xludf.DUMMYFUNCTION("ifna(filter('Yahoo ADP'!$E$2:$E2766,'Yahoo ADP'!$B$2:$B2766=$B730,$C730='Yahoo ADP'!$C$2:$C2766,$D730='Yahoo ADP'!$D$2:$D2766))"),"-")</f>
        <v>-</v>
      </c>
      <c r="G730" s="27">
        <v>714.0</v>
      </c>
      <c r="H730" s="8">
        <f t="shared" si="1"/>
        <v>-15</v>
      </c>
    </row>
    <row r="731">
      <c r="A731" s="10">
        <v>730.0</v>
      </c>
      <c r="B731" s="11" t="s">
        <v>3576</v>
      </c>
      <c r="C731" s="10" t="s">
        <v>22</v>
      </c>
      <c r="D731" s="10" t="s">
        <v>71</v>
      </c>
      <c r="E731" s="13" t="str">
        <f>IFERROR(__xludf.DUMMYFUNCTION("ifna(filter('Yahoo ADP'!$A$2:$A2766,'Yahoo ADP'!$B$2:$B2766=$B731,$C731='Yahoo ADP'!$C$2:$C2766,$D731='Yahoo ADP'!$D$2:$D2766))"),"")</f>
        <v/>
      </c>
      <c r="F731" s="13" t="str">
        <f>IFERROR(__xludf.DUMMYFUNCTION("ifna(filter('Yahoo ADP'!$E$2:$E2766,'Yahoo ADP'!$B$2:$B2766=$B731,$C731='Yahoo ADP'!$C$2:$C2766,$D731='Yahoo ADP'!$D$2:$D2766))"),"-")</f>
        <v>-</v>
      </c>
      <c r="G731" s="27">
        <v>715.0</v>
      </c>
      <c r="H731" s="8">
        <f t="shared" si="1"/>
        <v>-15</v>
      </c>
    </row>
    <row r="732">
      <c r="A732" s="10">
        <v>731.0</v>
      </c>
      <c r="B732" s="11" t="s">
        <v>3577</v>
      </c>
      <c r="C732" s="10" t="s">
        <v>22</v>
      </c>
      <c r="D732" s="10" t="s">
        <v>31</v>
      </c>
      <c r="E732" s="13" t="str">
        <f>IFERROR(__xludf.DUMMYFUNCTION("ifna(filter('Yahoo ADP'!$A$2:$A2766,'Yahoo ADP'!$B$2:$B2766=$B732,$C732='Yahoo ADP'!$C$2:$C2766,$D732='Yahoo ADP'!$D$2:$D2766))"),"")</f>
        <v/>
      </c>
      <c r="F732" s="13" t="str">
        <f>IFERROR(__xludf.DUMMYFUNCTION("ifna(filter('Yahoo ADP'!$E$2:$E2766,'Yahoo ADP'!$B$2:$B2766=$B732,$C732='Yahoo ADP'!$C$2:$C2766,$D732='Yahoo ADP'!$D$2:$D2766))"),"-")</f>
        <v>-</v>
      </c>
      <c r="G732" s="27">
        <v>716.0</v>
      </c>
      <c r="H732" s="8">
        <f t="shared" si="1"/>
        <v>-15</v>
      </c>
    </row>
    <row r="733">
      <c r="A733" s="10">
        <v>732.0</v>
      </c>
      <c r="B733" s="11" t="s">
        <v>3578</v>
      </c>
      <c r="C733" s="10" t="s">
        <v>22</v>
      </c>
      <c r="D733" s="10" t="s">
        <v>122</v>
      </c>
      <c r="E733" s="13" t="str">
        <f>IFERROR(__xludf.DUMMYFUNCTION("ifna(filter('Yahoo ADP'!$A$2:$A2766,'Yahoo ADP'!$B$2:$B2766=$B733,$C733='Yahoo ADP'!$C$2:$C2766,$D733='Yahoo ADP'!$D$2:$D2766))"),"")</f>
        <v/>
      </c>
      <c r="F733" s="13" t="str">
        <f>IFERROR(__xludf.DUMMYFUNCTION("ifna(filter('Yahoo ADP'!$E$2:$E2766,'Yahoo ADP'!$B$2:$B2766=$B733,$C733='Yahoo ADP'!$C$2:$C2766,$D733='Yahoo ADP'!$D$2:$D2766))"),"-")</f>
        <v>-</v>
      </c>
      <c r="G733" s="27">
        <v>717.0</v>
      </c>
      <c r="H733" s="8">
        <f t="shared" si="1"/>
        <v>-15</v>
      </c>
    </row>
    <row r="734">
      <c r="A734" s="10">
        <v>733.0</v>
      </c>
      <c r="B734" s="11" t="s">
        <v>3579</v>
      </c>
      <c r="C734" s="10" t="s">
        <v>22</v>
      </c>
      <c r="D734" s="10" t="s">
        <v>129</v>
      </c>
      <c r="E734" s="13" t="str">
        <f>IFERROR(__xludf.DUMMYFUNCTION("ifna(filter('Yahoo ADP'!$A$2:$A2766,'Yahoo ADP'!$B$2:$B2766=$B734,$C734='Yahoo ADP'!$C$2:$C2766,$D734='Yahoo ADP'!$D$2:$D2766))"),"")</f>
        <v/>
      </c>
      <c r="F734" s="13" t="str">
        <f>IFERROR(__xludf.DUMMYFUNCTION("ifna(filter('Yahoo ADP'!$E$2:$E2766,'Yahoo ADP'!$B$2:$B2766=$B734,$C734='Yahoo ADP'!$C$2:$C2766,$D734='Yahoo ADP'!$D$2:$D2766))"),"-")</f>
        <v>-</v>
      </c>
      <c r="G734" s="27">
        <v>718.0</v>
      </c>
      <c r="H734" s="8">
        <f t="shared" si="1"/>
        <v>-15</v>
      </c>
    </row>
    <row r="735">
      <c r="A735" s="10">
        <v>734.0</v>
      </c>
      <c r="B735" s="11" t="s">
        <v>3580</v>
      </c>
      <c r="C735" s="10" t="s">
        <v>22</v>
      </c>
      <c r="D735" s="10" t="s">
        <v>12</v>
      </c>
      <c r="E735" s="13" t="str">
        <f>IFERROR(__xludf.DUMMYFUNCTION("ifna(filter('Yahoo ADP'!$A$2:$A2766,'Yahoo ADP'!$B$2:$B2766=$B735,$C735='Yahoo ADP'!$C$2:$C2766,$D735='Yahoo ADP'!$D$2:$D2766))"),"")</f>
        <v/>
      </c>
      <c r="F735" s="13" t="str">
        <f>IFERROR(__xludf.DUMMYFUNCTION("ifna(filter('Yahoo ADP'!$E$2:$E2766,'Yahoo ADP'!$B$2:$B2766=$B735,$C735='Yahoo ADP'!$C$2:$C2766,$D735='Yahoo ADP'!$D$2:$D2766))"),"-")</f>
        <v>-</v>
      </c>
      <c r="G735" s="27">
        <v>719.0</v>
      </c>
      <c r="H735" s="8">
        <f t="shared" si="1"/>
        <v>-15</v>
      </c>
    </row>
    <row r="736">
      <c r="A736" s="10">
        <v>735.0</v>
      </c>
      <c r="B736" s="11" t="s">
        <v>3581</v>
      </c>
      <c r="C736" s="10" t="s">
        <v>22</v>
      </c>
      <c r="D736" s="10" t="s">
        <v>9</v>
      </c>
      <c r="E736" s="13" t="str">
        <f>IFERROR(__xludf.DUMMYFUNCTION("ifna(filter('Yahoo ADP'!$A$2:$A2766,'Yahoo ADP'!$B$2:$B2766=$B736,$C736='Yahoo ADP'!$C$2:$C2766,$D736='Yahoo ADP'!$D$2:$D2766))"),"")</f>
        <v/>
      </c>
      <c r="F736" s="13" t="str">
        <f>IFERROR(__xludf.DUMMYFUNCTION("ifna(filter('Yahoo ADP'!$E$2:$E2766,'Yahoo ADP'!$B$2:$B2766=$B736,$C736='Yahoo ADP'!$C$2:$C2766,$D736='Yahoo ADP'!$D$2:$D2766))"),"-")</f>
        <v>-</v>
      </c>
      <c r="G736" s="27">
        <v>720.0</v>
      </c>
      <c r="H736" s="8">
        <f t="shared" si="1"/>
        <v>-15</v>
      </c>
    </row>
    <row r="737">
      <c r="A737" s="10">
        <v>736.0</v>
      </c>
      <c r="B737" s="11" t="s">
        <v>3582</v>
      </c>
      <c r="C737" s="10" t="s">
        <v>79</v>
      </c>
      <c r="D737" s="10" t="s">
        <v>23</v>
      </c>
      <c r="E737" s="13" t="str">
        <f>IFERROR(__xludf.DUMMYFUNCTION("ifna(filter('Yahoo ADP'!$A$2:$A2766,'Yahoo ADP'!$B$2:$B2766=$B737,$C737='Yahoo ADP'!$C$2:$C2766,$D737='Yahoo ADP'!$D$2:$D2766))"),"")</f>
        <v/>
      </c>
      <c r="F737" s="13" t="str">
        <f>IFERROR(__xludf.DUMMYFUNCTION("ifna(filter('Yahoo ADP'!$E$2:$E2766,'Yahoo ADP'!$B$2:$B2766=$B737,$C737='Yahoo ADP'!$C$2:$C2766,$D737='Yahoo ADP'!$D$2:$D2766))"),"-")</f>
        <v>-</v>
      </c>
      <c r="G737" s="27">
        <v>721.0</v>
      </c>
      <c r="H737" s="8">
        <f t="shared" si="1"/>
        <v>-15</v>
      </c>
    </row>
    <row r="738">
      <c r="A738" s="10">
        <v>737.0</v>
      </c>
      <c r="B738" s="11" t="s">
        <v>3583</v>
      </c>
      <c r="C738" s="10" t="s">
        <v>22</v>
      </c>
      <c r="D738" s="10" t="s">
        <v>129</v>
      </c>
      <c r="E738" s="13">
        <f>IFERROR(__xludf.DUMMYFUNCTION("ifna(filter('Yahoo ADP'!$A$2:$A2766,'Yahoo ADP'!$B$2:$B2766=$B738,$C738='Yahoo ADP'!$C$2:$C2766,$D738='Yahoo ADP'!$D$2:$D2766))"),248.5)</f>
        <v>248.5</v>
      </c>
      <c r="F738" s="13">
        <f>IFERROR(__xludf.DUMMYFUNCTION("ifna(filter('Yahoo ADP'!$E$2:$E2766,'Yahoo ADP'!$B$2:$B2766=$B738,$C738='Yahoo ADP'!$C$2:$C2766,$D738='Yahoo ADP'!$D$2:$D2766))"),1.1)</f>
        <v>1.1</v>
      </c>
      <c r="G738" s="27">
        <v>361.0</v>
      </c>
      <c r="H738" s="8">
        <f t="shared" si="1"/>
        <v>-376</v>
      </c>
    </row>
    <row r="739">
      <c r="A739" s="10">
        <v>738.0</v>
      </c>
      <c r="B739" s="11" t="s">
        <v>3584</v>
      </c>
      <c r="C739" s="10" t="s">
        <v>22</v>
      </c>
      <c r="D739" s="10" t="s">
        <v>23</v>
      </c>
      <c r="E739" s="13" t="str">
        <f>IFERROR(__xludf.DUMMYFUNCTION("ifna(filter('Yahoo ADP'!$A$2:$A2766,'Yahoo ADP'!$B$2:$B2766=$B739,$C739='Yahoo ADP'!$C$2:$C2766,$D739='Yahoo ADP'!$D$2:$D2766))"),"")</f>
        <v/>
      </c>
      <c r="F739" s="13" t="str">
        <f>IFERROR(__xludf.DUMMYFUNCTION("ifna(filter('Yahoo ADP'!$E$2:$E2766,'Yahoo ADP'!$B$2:$B2766=$B739,$C739='Yahoo ADP'!$C$2:$C2766,$D739='Yahoo ADP'!$D$2:$D2766))"),"-")</f>
        <v>-</v>
      </c>
      <c r="G739" s="27">
        <v>722.0</v>
      </c>
      <c r="H739" s="8">
        <f t="shared" si="1"/>
        <v>-16</v>
      </c>
    </row>
    <row r="740">
      <c r="A740" s="10">
        <v>739.0</v>
      </c>
      <c r="B740" s="11" t="s">
        <v>3585</v>
      </c>
      <c r="C740" s="10" t="s">
        <v>22</v>
      </c>
      <c r="D740" s="10" t="s">
        <v>23</v>
      </c>
      <c r="E740" s="13" t="str">
        <f>IFERROR(__xludf.DUMMYFUNCTION("ifna(filter('Yahoo ADP'!$A$2:$A2766,'Yahoo ADP'!$B$2:$B2766=$B740,$C740='Yahoo ADP'!$C$2:$C2766,$D740='Yahoo ADP'!$D$2:$D2766))"),"")</f>
        <v/>
      </c>
      <c r="F740" s="13" t="str">
        <f>IFERROR(__xludf.DUMMYFUNCTION("ifna(filter('Yahoo ADP'!$E$2:$E2766,'Yahoo ADP'!$B$2:$B2766=$B740,$C740='Yahoo ADP'!$C$2:$C2766,$D740='Yahoo ADP'!$D$2:$D2766))"),"-")</f>
        <v>-</v>
      </c>
      <c r="G740" s="27">
        <v>723.0</v>
      </c>
      <c r="H740" s="8">
        <f t="shared" si="1"/>
        <v>-16</v>
      </c>
    </row>
    <row r="741">
      <c r="A741" s="10">
        <v>740.0</v>
      </c>
      <c r="B741" s="11" t="s">
        <v>3586</v>
      </c>
      <c r="C741" s="10" t="s">
        <v>22</v>
      </c>
      <c r="D741" s="10" t="s">
        <v>85</v>
      </c>
      <c r="E741" s="13" t="str">
        <f>IFERROR(__xludf.DUMMYFUNCTION("ifna(filter('Yahoo ADP'!$A$2:$A2766,'Yahoo ADP'!$B$2:$B2766=$B741,$C741='Yahoo ADP'!$C$2:$C2766,$D741='Yahoo ADP'!$D$2:$D2766))"),"")</f>
        <v/>
      </c>
      <c r="F741" s="13" t="str">
        <f>IFERROR(__xludf.DUMMYFUNCTION("ifna(filter('Yahoo ADP'!$E$2:$E2766,'Yahoo ADP'!$B$2:$B2766=$B741,$C741='Yahoo ADP'!$C$2:$C2766,$D741='Yahoo ADP'!$D$2:$D2766))"),"-")</f>
        <v>-</v>
      </c>
      <c r="G741" s="27">
        <v>724.0</v>
      </c>
      <c r="H741" s="8">
        <f t="shared" si="1"/>
        <v>-16</v>
      </c>
    </row>
    <row r="742">
      <c r="A742" s="10">
        <v>741.0</v>
      </c>
      <c r="B742" s="11" t="s">
        <v>3587</v>
      </c>
      <c r="C742" s="10" t="s">
        <v>22</v>
      </c>
      <c r="D742" s="10" t="s">
        <v>82</v>
      </c>
      <c r="E742" s="13" t="str">
        <f>IFERROR(__xludf.DUMMYFUNCTION("ifna(filter('Yahoo ADP'!$A$2:$A2766,'Yahoo ADP'!$B$2:$B2766=$B742,$C742='Yahoo ADP'!$C$2:$C2766,$D742='Yahoo ADP'!$D$2:$D2766))"),"")</f>
        <v/>
      </c>
      <c r="F742" s="13" t="str">
        <f>IFERROR(__xludf.DUMMYFUNCTION("ifna(filter('Yahoo ADP'!$E$2:$E2766,'Yahoo ADP'!$B$2:$B2766=$B742,$C742='Yahoo ADP'!$C$2:$C2766,$D742='Yahoo ADP'!$D$2:$D2766))"),"-")</f>
        <v>-</v>
      </c>
      <c r="G742" s="27">
        <v>725.0</v>
      </c>
      <c r="H742" s="8">
        <f t="shared" si="1"/>
        <v>-16</v>
      </c>
    </row>
    <row r="743">
      <c r="A743" s="10">
        <v>742.0</v>
      </c>
      <c r="B743" s="11" t="s">
        <v>3588</v>
      </c>
      <c r="C743" s="10" t="s">
        <v>22</v>
      </c>
      <c r="D743" s="10" t="s">
        <v>12</v>
      </c>
      <c r="E743" s="13" t="str">
        <f>IFERROR(__xludf.DUMMYFUNCTION("ifna(filter('Yahoo ADP'!$A$2:$A2766,'Yahoo ADP'!$B$2:$B2766=$B743,$C743='Yahoo ADP'!$C$2:$C2766,$D743='Yahoo ADP'!$D$2:$D2766))"),"")</f>
        <v/>
      </c>
      <c r="F743" s="13" t="str">
        <f>IFERROR(__xludf.DUMMYFUNCTION("ifna(filter('Yahoo ADP'!$E$2:$E2766,'Yahoo ADP'!$B$2:$B2766=$B743,$C743='Yahoo ADP'!$C$2:$C2766,$D743='Yahoo ADP'!$D$2:$D2766))"),"-")</f>
        <v>-</v>
      </c>
      <c r="G743" s="27">
        <v>726.0</v>
      </c>
      <c r="H743" s="8">
        <f t="shared" si="1"/>
        <v>-16</v>
      </c>
    </row>
    <row r="744">
      <c r="A744" s="10">
        <v>743.0</v>
      </c>
      <c r="B744" s="11" t="s">
        <v>3589</v>
      </c>
      <c r="C744" s="10" t="s">
        <v>79</v>
      </c>
      <c r="D744" s="10" t="s">
        <v>206</v>
      </c>
      <c r="E744" s="13" t="str">
        <f>IFERROR(__xludf.DUMMYFUNCTION("ifna(filter('Yahoo ADP'!$A$2:$A2766,'Yahoo ADP'!$B$2:$B2766=$B744,$C744='Yahoo ADP'!$C$2:$C2766,$D744='Yahoo ADP'!$D$2:$D2766))"),"")</f>
        <v/>
      </c>
      <c r="F744" s="13" t="str">
        <f>IFERROR(__xludf.DUMMYFUNCTION("ifna(filter('Yahoo ADP'!$E$2:$E2766,'Yahoo ADP'!$B$2:$B2766=$B744,$C744='Yahoo ADP'!$C$2:$C2766,$D744='Yahoo ADP'!$D$2:$D2766))"),"-")</f>
        <v>-</v>
      </c>
      <c r="G744" s="27">
        <v>727.0</v>
      </c>
      <c r="H744" s="8">
        <f t="shared" si="1"/>
        <v>-16</v>
      </c>
    </row>
    <row r="745">
      <c r="A745" s="10">
        <v>744.0</v>
      </c>
      <c r="B745" s="11" t="s">
        <v>3590</v>
      </c>
      <c r="C745" s="10" t="s">
        <v>22</v>
      </c>
      <c r="D745" s="10" t="s">
        <v>129</v>
      </c>
      <c r="E745" s="13" t="str">
        <f>IFERROR(__xludf.DUMMYFUNCTION("ifna(filter('Yahoo ADP'!$A$2:$A2766,'Yahoo ADP'!$B$2:$B2766=$B745,$C745='Yahoo ADP'!$C$2:$C2766,$D745='Yahoo ADP'!$D$2:$D2766))"),"")</f>
        <v/>
      </c>
      <c r="F745" s="13" t="str">
        <f>IFERROR(__xludf.DUMMYFUNCTION("ifna(filter('Yahoo ADP'!$E$2:$E2766,'Yahoo ADP'!$B$2:$B2766=$B745,$C745='Yahoo ADP'!$C$2:$C2766,$D745='Yahoo ADP'!$D$2:$D2766))"),"-")</f>
        <v>-</v>
      </c>
      <c r="G745" s="27">
        <v>728.0</v>
      </c>
      <c r="H745" s="8">
        <f t="shared" si="1"/>
        <v>-16</v>
      </c>
    </row>
    <row r="746">
      <c r="A746" s="10">
        <v>745.0</v>
      </c>
      <c r="B746" s="11" t="s">
        <v>3591</v>
      </c>
      <c r="C746" s="10" t="s">
        <v>79</v>
      </c>
      <c r="D746" s="10" t="s">
        <v>122</v>
      </c>
      <c r="E746" s="13" t="str">
        <f>IFERROR(__xludf.DUMMYFUNCTION("ifna(filter('Yahoo ADP'!$A$2:$A2766,'Yahoo ADP'!$B$2:$B2766=$B746,$C746='Yahoo ADP'!$C$2:$C2766,$D746='Yahoo ADP'!$D$2:$D2766))"),"")</f>
        <v/>
      </c>
      <c r="F746" s="13" t="str">
        <f>IFERROR(__xludf.DUMMYFUNCTION("ifna(filter('Yahoo ADP'!$E$2:$E2766,'Yahoo ADP'!$B$2:$B2766=$B746,$C746='Yahoo ADP'!$C$2:$C2766,$D746='Yahoo ADP'!$D$2:$D2766))"),"-")</f>
        <v>-</v>
      </c>
      <c r="G746" s="27">
        <v>729.0</v>
      </c>
      <c r="H746" s="8">
        <f t="shared" si="1"/>
        <v>-16</v>
      </c>
    </row>
    <row r="747">
      <c r="A747" s="10">
        <v>746.0</v>
      </c>
      <c r="B747" s="11" t="s">
        <v>3592</v>
      </c>
      <c r="C747" s="10" t="s">
        <v>79</v>
      </c>
      <c r="D747" s="10" t="s">
        <v>206</v>
      </c>
      <c r="E747" s="13" t="str">
        <f>IFERROR(__xludf.DUMMYFUNCTION("ifna(filter('Yahoo ADP'!$A$2:$A2766,'Yahoo ADP'!$B$2:$B2766=$B747,$C747='Yahoo ADP'!$C$2:$C2766,$D747='Yahoo ADP'!$D$2:$D2766))"),"")</f>
        <v/>
      </c>
      <c r="F747" s="13" t="str">
        <f>IFERROR(__xludf.DUMMYFUNCTION("ifna(filter('Yahoo ADP'!$E$2:$E2766,'Yahoo ADP'!$B$2:$B2766=$B747,$C747='Yahoo ADP'!$C$2:$C2766,$D747='Yahoo ADP'!$D$2:$D2766))"),"-")</f>
        <v>-</v>
      </c>
      <c r="G747" s="27">
        <v>730.0</v>
      </c>
      <c r="H747" s="8">
        <f t="shared" si="1"/>
        <v>-16</v>
      </c>
    </row>
    <row r="748">
      <c r="A748" s="10">
        <v>747.0</v>
      </c>
      <c r="B748" s="11" t="s">
        <v>3593</v>
      </c>
      <c r="C748" s="10" t="s">
        <v>22</v>
      </c>
      <c r="D748" s="10" t="s">
        <v>95</v>
      </c>
      <c r="E748" s="13" t="str">
        <f>IFERROR(__xludf.DUMMYFUNCTION("ifna(filter('Yahoo ADP'!$A$2:$A2766,'Yahoo ADP'!$B$2:$B2766=$B748,$C748='Yahoo ADP'!$C$2:$C2766,$D748='Yahoo ADP'!$D$2:$D2766))"),"")</f>
        <v/>
      </c>
      <c r="F748" s="13" t="str">
        <f>IFERROR(__xludf.DUMMYFUNCTION("ifna(filter('Yahoo ADP'!$E$2:$E2766,'Yahoo ADP'!$B$2:$B2766=$B748,$C748='Yahoo ADP'!$C$2:$C2766,$D748='Yahoo ADP'!$D$2:$D2766))"),"-")</f>
        <v>-</v>
      </c>
      <c r="G748" s="27">
        <v>731.0</v>
      </c>
      <c r="H748" s="8">
        <f t="shared" si="1"/>
        <v>-16</v>
      </c>
    </row>
    <row r="749">
      <c r="A749" s="10">
        <v>748.0</v>
      </c>
      <c r="B749" s="11" t="s">
        <v>3594</v>
      </c>
      <c r="C749" s="10" t="s">
        <v>22</v>
      </c>
      <c r="D749" s="10" t="s">
        <v>18</v>
      </c>
      <c r="E749" s="13" t="str">
        <f>IFERROR(__xludf.DUMMYFUNCTION("ifna(filter('Yahoo ADP'!$A$2:$A2766,'Yahoo ADP'!$B$2:$B2766=$B749,$C749='Yahoo ADP'!$C$2:$C2766,$D749='Yahoo ADP'!$D$2:$D2766))"),"")</f>
        <v/>
      </c>
      <c r="F749" s="13" t="str">
        <f>IFERROR(__xludf.DUMMYFUNCTION("ifna(filter('Yahoo ADP'!$E$2:$E2766,'Yahoo ADP'!$B$2:$B2766=$B749,$C749='Yahoo ADP'!$C$2:$C2766,$D749='Yahoo ADP'!$D$2:$D2766))"),"-")</f>
        <v>-</v>
      </c>
      <c r="G749" s="27">
        <v>732.0</v>
      </c>
      <c r="H749" s="8">
        <f t="shared" si="1"/>
        <v>-16</v>
      </c>
    </row>
    <row r="750">
      <c r="A750" s="10">
        <v>749.0</v>
      </c>
      <c r="B750" s="11" t="s">
        <v>3595</v>
      </c>
      <c r="C750" s="10" t="s">
        <v>22</v>
      </c>
      <c r="D750" s="10" t="s">
        <v>27</v>
      </c>
      <c r="E750" s="13" t="str">
        <f>IFERROR(__xludf.DUMMYFUNCTION("ifna(filter('Yahoo ADP'!$A$2:$A2766,'Yahoo ADP'!$B$2:$B2766=$B750,$C750='Yahoo ADP'!$C$2:$C2766,$D750='Yahoo ADP'!$D$2:$D2766))"),"")</f>
        <v/>
      </c>
      <c r="F750" s="13" t="str">
        <f>IFERROR(__xludf.DUMMYFUNCTION("ifna(filter('Yahoo ADP'!$E$2:$E2766,'Yahoo ADP'!$B$2:$B2766=$B750,$C750='Yahoo ADP'!$C$2:$C2766,$D750='Yahoo ADP'!$D$2:$D2766))"),"-")</f>
        <v>-</v>
      </c>
      <c r="G750" s="27">
        <v>733.0</v>
      </c>
      <c r="H750" s="8">
        <f t="shared" si="1"/>
        <v>-16</v>
      </c>
    </row>
    <row r="751">
      <c r="A751" s="10">
        <v>750.0</v>
      </c>
      <c r="B751" s="11" t="s">
        <v>3596</v>
      </c>
      <c r="C751" s="10" t="s">
        <v>79</v>
      </c>
      <c r="D751" s="10" t="s">
        <v>18</v>
      </c>
      <c r="E751" s="13" t="str">
        <f>IFERROR(__xludf.DUMMYFUNCTION("ifna(filter('Yahoo ADP'!$A$2:$A2766,'Yahoo ADP'!$B$2:$B2766=$B751,$C751='Yahoo ADP'!$C$2:$C2766,$D751='Yahoo ADP'!$D$2:$D2766))"),"")</f>
        <v/>
      </c>
      <c r="F751" s="13" t="str">
        <f>IFERROR(__xludf.DUMMYFUNCTION("ifna(filter('Yahoo ADP'!$E$2:$E2766,'Yahoo ADP'!$B$2:$B2766=$B751,$C751='Yahoo ADP'!$C$2:$C2766,$D751='Yahoo ADP'!$D$2:$D2766))"),"-")</f>
        <v>-</v>
      </c>
      <c r="G751" s="27">
        <v>734.0</v>
      </c>
      <c r="H751" s="8">
        <f t="shared" si="1"/>
        <v>-16</v>
      </c>
    </row>
    <row r="752">
      <c r="A752" s="10">
        <v>751.0</v>
      </c>
      <c r="B752" s="11" t="s">
        <v>3597</v>
      </c>
      <c r="C752" s="10" t="s">
        <v>22</v>
      </c>
      <c r="D752" s="10" t="s">
        <v>52</v>
      </c>
      <c r="E752" s="13" t="str">
        <f>IFERROR(__xludf.DUMMYFUNCTION("ifna(filter('Yahoo ADP'!$A$2:$A2766,'Yahoo ADP'!$B$2:$B2766=$B752,$C752='Yahoo ADP'!$C$2:$C2766,$D752='Yahoo ADP'!$D$2:$D2766))"),"")</f>
        <v/>
      </c>
      <c r="F752" s="13" t="str">
        <f>IFERROR(__xludf.DUMMYFUNCTION("ifna(filter('Yahoo ADP'!$E$2:$E2766,'Yahoo ADP'!$B$2:$B2766=$B752,$C752='Yahoo ADP'!$C$2:$C2766,$D752='Yahoo ADP'!$D$2:$D2766))"),"-")</f>
        <v>-</v>
      </c>
      <c r="G752" s="27">
        <v>735.0</v>
      </c>
      <c r="H752" s="8">
        <f t="shared" si="1"/>
        <v>-16</v>
      </c>
    </row>
    <row r="753">
      <c r="A753" s="10">
        <v>752.0</v>
      </c>
      <c r="B753" s="11" t="s">
        <v>3598</v>
      </c>
      <c r="C753" s="10" t="s">
        <v>79</v>
      </c>
      <c r="D753" s="10" t="s">
        <v>42</v>
      </c>
      <c r="E753" s="13" t="str">
        <f>IFERROR(__xludf.DUMMYFUNCTION("ifna(filter('Yahoo ADP'!$A$2:$A2766,'Yahoo ADP'!$B$2:$B2766=$B753,$C753='Yahoo ADP'!$C$2:$C2766,$D753='Yahoo ADP'!$D$2:$D2766))"),"")</f>
        <v/>
      </c>
      <c r="F753" s="13" t="str">
        <f>IFERROR(__xludf.DUMMYFUNCTION("ifna(filter('Yahoo ADP'!$E$2:$E2766,'Yahoo ADP'!$B$2:$B2766=$B753,$C753='Yahoo ADP'!$C$2:$C2766,$D753='Yahoo ADP'!$D$2:$D2766))"),"-")</f>
        <v>-</v>
      </c>
      <c r="G753" s="27">
        <v>736.0</v>
      </c>
      <c r="H753" s="8">
        <f t="shared" si="1"/>
        <v>-16</v>
      </c>
    </row>
    <row r="754">
      <c r="A754" s="10">
        <v>753.0</v>
      </c>
      <c r="B754" s="11" t="s">
        <v>3599</v>
      </c>
      <c r="C754" s="10" t="s">
        <v>79</v>
      </c>
      <c r="D754" s="10" t="s">
        <v>36</v>
      </c>
      <c r="E754" s="13" t="str">
        <f>IFERROR(__xludf.DUMMYFUNCTION("ifna(filter('Yahoo ADP'!$A$2:$A2766,'Yahoo ADP'!$B$2:$B2766=$B754,$C754='Yahoo ADP'!$C$2:$C2766,$D754='Yahoo ADP'!$D$2:$D2766))"),"")</f>
        <v/>
      </c>
      <c r="F754" s="13" t="str">
        <f>IFERROR(__xludf.DUMMYFUNCTION("ifna(filter('Yahoo ADP'!$E$2:$E2766,'Yahoo ADP'!$B$2:$B2766=$B754,$C754='Yahoo ADP'!$C$2:$C2766,$D754='Yahoo ADP'!$D$2:$D2766))"),"-")</f>
        <v>-</v>
      </c>
      <c r="G754" s="27">
        <v>737.0</v>
      </c>
      <c r="H754" s="8">
        <f t="shared" si="1"/>
        <v>-16</v>
      </c>
    </row>
    <row r="755">
      <c r="A755" s="10">
        <v>754.0</v>
      </c>
      <c r="B755" s="11" t="s">
        <v>3600</v>
      </c>
      <c r="C755" s="10" t="s">
        <v>79</v>
      </c>
      <c r="D755" s="10" t="s">
        <v>67</v>
      </c>
      <c r="E755" s="13" t="str">
        <f>IFERROR(__xludf.DUMMYFUNCTION("ifna(filter('Yahoo ADP'!$A$2:$A2766,'Yahoo ADP'!$B$2:$B2766=$B755,$C755='Yahoo ADP'!$C$2:$C2766,$D755='Yahoo ADP'!$D$2:$D2766))"),"")</f>
        <v/>
      </c>
      <c r="F755" s="13" t="str">
        <f>IFERROR(__xludf.DUMMYFUNCTION("ifna(filter('Yahoo ADP'!$E$2:$E2766,'Yahoo ADP'!$B$2:$B2766=$B755,$C755='Yahoo ADP'!$C$2:$C2766,$D755='Yahoo ADP'!$D$2:$D2766))"),"-")</f>
        <v>-</v>
      </c>
      <c r="G755" s="27">
        <v>738.0</v>
      </c>
      <c r="H755" s="8">
        <f t="shared" si="1"/>
        <v>-16</v>
      </c>
    </row>
    <row r="756">
      <c r="A756" s="10">
        <v>755.0</v>
      </c>
      <c r="B756" s="11" t="s">
        <v>3601</v>
      </c>
      <c r="C756" s="10" t="s">
        <v>22</v>
      </c>
      <c r="D756" s="10" t="s">
        <v>49</v>
      </c>
      <c r="E756" s="13" t="str">
        <f>IFERROR(__xludf.DUMMYFUNCTION("ifna(filter('Yahoo ADP'!$A$2:$A2766,'Yahoo ADP'!$B$2:$B2766=$B756,$C756='Yahoo ADP'!$C$2:$C2766,$D756='Yahoo ADP'!$D$2:$D2766))"),"")</f>
        <v/>
      </c>
      <c r="F756" s="13" t="str">
        <f>IFERROR(__xludf.DUMMYFUNCTION("ifna(filter('Yahoo ADP'!$E$2:$E2766,'Yahoo ADP'!$B$2:$B2766=$B756,$C756='Yahoo ADP'!$C$2:$C2766,$D756='Yahoo ADP'!$D$2:$D2766))"),"-")</f>
        <v>-</v>
      </c>
      <c r="G756" s="27">
        <v>739.0</v>
      </c>
      <c r="H756" s="8">
        <f t="shared" si="1"/>
        <v>-16</v>
      </c>
    </row>
    <row r="757">
      <c r="A757" s="10">
        <v>756.0</v>
      </c>
      <c r="B757" s="11" t="s">
        <v>3602</v>
      </c>
      <c r="C757" s="10" t="s">
        <v>22</v>
      </c>
      <c r="D757" s="10" t="s">
        <v>36</v>
      </c>
      <c r="E757" s="13" t="str">
        <f>IFERROR(__xludf.DUMMYFUNCTION("ifna(filter('Yahoo ADP'!$A$2:$A2766,'Yahoo ADP'!$B$2:$B2766=$B757,$C757='Yahoo ADP'!$C$2:$C2766,$D757='Yahoo ADP'!$D$2:$D2766))"),"")</f>
        <v/>
      </c>
      <c r="F757" s="13" t="str">
        <f>IFERROR(__xludf.DUMMYFUNCTION("ifna(filter('Yahoo ADP'!$E$2:$E2766,'Yahoo ADP'!$B$2:$B2766=$B757,$C757='Yahoo ADP'!$C$2:$C2766,$D757='Yahoo ADP'!$D$2:$D2766))"),"-")</f>
        <v>-</v>
      </c>
      <c r="G757" s="27">
        <v>740.0</v>
      </c>
      <c r="H757" s="8">
        <f t="shared" si="1"/>
        <v>-16</v>
      </c>
    </row>
    <row r="758">
      <c r="A758" s="10">
        <v>757.0</v>
      </c>
      <c r="B758" s="11" t="s">
        <v>3603</v>
      </c>
      <c r="C758" s="10" t="s">
        <v>22</v>
      </c>
      <c r="D758" s="10" t="s">
        <v>67</v>
      </c>
      <c r="E758" s="13" t="str">
        <f>IFERROR(__xludf.DUMMYFUNCTION("ifna(filter('Yahoo ADP'!$A$2:$A2766,'Yahoo ADP'!$B$2:$B2766=$B758,$C758='Yahoo ADP'!$C$2:$C2766,$D758='Yahoo ADP'!$D$2:$D2766))"),"")</f>
        <v/>
      </c>
      <c r="F758" s="13" t="str">
        <f>IFERROR(__xludf.DUMMYFUNCTION("ifna(filter('Yahoo ADP'!$E$2:$E2766,'Yahoo ADP'!$B$2:$B2766=$B758,$C758='Yahoo ADP'!$C$2:$C2766,$D758='Yahoo ADP'!$D$2:$D2766))"),"-")</f>
        <v>-</v>
      </c>
      <c r="G758" s="27">
        <v>741.0</v>
      </c>
      <c r="H758" s="8">
        <f t="shared" si="1"/>
        <v>-16</v>
      </c>
    </row>
    <row r="759">
      <c r="A759" s="10">
        <v>758.0</v>
      </c>
      <c r="B759" s="11" t="s">
        <v>3604</v>
      </c>
      <c r="C759" s="10" t="s">
        <v>22</v>
      </c>
      <c r="D759" s="10" t="s">
        <v>137</v>
      </c>
      <c r="E759" s="13" t="str">
        <f>IFERROR(__xludf.DUMMYFUNCTION("ifna(filter('Yahoo ADP'!$A$2:$A2766,'Yahoo ADP'!$B$2:$B2766=$B759,$C759='Yahoo ADP'!$C$2:$C2766,$D759='Yahoo ADP'!$D$2:$D2766))"),"")</f>
        <v/>
      </c>
      <c r="F759" s="13" t="str">
        <f>IFERROR(__xludf.DUMMYFUNCTION("ifna(filter('Yahoo ADP'!$E$2:$E2766,'Yahoo ADP'!$B$2:$B2766=$B759,$C759='Yahoo ADP'!$C$2:$C2766,$D759='Yahoo ADP'!$D$2:$D2766))"),"-")</f>
        <v>-</v>
      </c>
      <c r="G759" s="27">
        <v>742.0</v>
      </c>
      <c r="H759" s="8">
        <f t="shared" si="1"/>
        <v>-16</v>
      </c>
    </row>
    <row r="760">
      <c r="A760" s="10">
        <v>759.0</v>
      </c>
      <c r="B760" s="11" t="s">
        <v>3605</v>
      </c>
      <c r="C760" s="10" t="s">
        <v>22</v>
      </c>
      <c r="D760" s="10" t="s">
        <v>52</v>
      </c>
      <c r="E760" s="13" t="str">
        <f>IFERROR(__xludf.DUMMYFUNCTION("ifna(filter('Yahoo ADP'!$A$2:$A2766,'Yahoo ADP'!$B$2:$B2766=$B760,$C760='Yahoo ADP'!$C$2:$C2766,$D760='Yahoo ADP'!$D$2:$D2766))"),"")</f>
        <v/>
      </c>
      <c r="F760" s="13" t="str">
        <f>IFERROR(__xludf.DUMMYFUNCTION("ifna(filter('Yahoo ADP'!$E$2:$E2766,'Yahoo ADP'!$B$2:$B2766=$B760,$C760='Yahoo ADP'!$C$2:$C2766,$D760='Yahoo ADP'!$D$2:$D2766))"),"-")</f>
        <v>-</v>
      </c>
      <c r="G760" s="27">
        <v>743.0</v>
      </c>
      <c r="H760" s="8">
        <f t="shared" si="1"/>
        <v>-16</v>
      </c>
    </row>
    <row r="761">
      <c r="A761" s="10">
        <v>760.0</v>
      </c>
      <c r="B761" s="11" t="s">
        <v>3606</v>
      </c>
      <c r="C761" s="10" t="s">
        <v>22</v>
      </c>
      <c r="D761" s="10" t="s">
        <v>46</v>
      </c>
      <c r="E761" s="13" t="str">
        <f>IFERROR(__xludf.DUMMYFUNCTION("ifna(filter('Yahoo ADP'!$A$2:$A2766,'Yahoo ADP'!$B$2:$B2766=$B761,$C761='Yahoo ADP'!$C$2:$C2766,$D761='Yahoo ADP'!$D$2:$D2766))"),"")</f>
        <v/>
      </c>
      <c r="F761" s="13" t="str">
        <f>IFERROR(__xludf.DUMMYFUNCTION("ifna(filter('Yahoo ADP'!$E$2:$E2766,'Yahoo ADP'!$B$2:$B2766=$B761,$C761='Yahoo ADP'!$C$2:$C2766,$D761='Yahoo ADP'!$D$2:$D2766))"),"-")</f>
        <v>-</v>
      </c>
      <c r="G761" s="27">
        <v>744.0</v>
      </c>
      <c r="H761" s="8">
        <f t="shared" si="1"/>
        <v>-16</v>
      </c>
    </row>
    <row r="762">
      <c r="A762" s="10">
        <v>761.0</v>
      </c>
      <c r="B762" s="11" t="s">
        <v>3607</v>
      </c>
      <c r="C762" s="10" t="s">
        <v>79</v>
      </c>
      <c r="D762" s="10" t="s">
        <v>31</v>
      </c>
      <c r="E762" s="13" t="str">
        <f>IFERROR(__xludf.DUMMYFUNCTION("ifna(filter('Yahoo ADP'!$A$2:$A2766,'Yahoo ADP'!$B$2:$B2766=$B762,$C762='Yahoo ADP'!$C$2:$C2766,$D762='Yahoo ADP'!$D$2:$D2766))"),"")</f>
        <v/>
      </c>
      <c r="F762" s="13" t="str">
        <f>IFERROR(__xludf.DUMMYFUNCTION("ifna(filter('Yahoo ADP'!$E$2:$E2766,'Yahoo ADP'!$B$2:$B2766=$B762,$C762='Yahoo ADP'!$C$2:$C2766,$D762='Yahoo ADP'!$D$2:$D2766))"),"-")</f>
        <v>-</v>
      </c>
      <c r="G762" s="27">
        <v>745.0</v>
      </c>
      <c r="H762" s="8">
        <f t="shared" si="1"/>
        <v>-16</v>
      </c>
    </row>
    <row r="763">
      <c r="A763" s="10">
        <v>762.0</v>
      </c>
      <c r="B763" s="11" t="s">
        <v>3608</v>
      </c>
      <c r="C763" s="10" t="s">
        <v>79</v>
      </c>
      <c r="D763" s="10" t="s">
        <v>73</v>
      </c>
      <c r="E763" s="13" t="str">
        <f>IFERROR(__xludf.DUMMYFUNCTION("ifna(filter('Yahoo ADP'!$A$2:$A2766,'Yahoo ADP'!$B$2:$B2766=$B763,$C763='Yahoo ADP'!$C$2:$C2766,$D763='Yahoo ADP'!$D$2:$D2766))"),"")</f>
        <v/>
      </c>
      <c r="F763" s="13" t="str">
        <f>IFERROR(__xludf.DUMMYFUNCTION("ifna(filter('Yahoo ADP'!$E$2:$E2766,'Yahoo ADP'!$B$2:$B2766=$B763,$C763='Yahoo ADP'!$C$2:$C2766,$D763='Yahoo ADP'!$D$2:$D2766))"),"-")</f>
        <v>-</v>
      </c>
      <c r="G763" s="27">
        <v>746.0</v>
      </c>
      <c r="H763" s="8">
        <f t="shared" si="1"/>
        <v>-16</v>
      </c>
    </row>
    <row r="764">
      <c r="A764" s="10">
        <v>763.0</v>
      </c>
      <c r="B764" s="11" t="s">
        <v>3609</v>
      </c>
      <c r="C764" s="10" t="s">
        <v>22</v>
      </c>
      <c r="D764" s="10" t="s">
        <v>46</v>
      </c>
      <c r="E764" s="13" t="str">
        <f>IFERROR(__xludf.DUMMYFUNCTION("ifna(filter('Yahoo ADP'!$A$2:$A2766,'Yahoo ADP'!$B$2:$B2766=$B764,$C764='Yahoo ADP'!$C$2:$C2766,$D764='Yahoo ADP'!$D$2:$D2766))"),"")</f>
        <v/>
      </c>
      <c r="F764" s="13" t="str">
        <f>IFERROR(__xludf.DUMMYFUNCTION("ifna(filter('Yahoo ADP'!$E$2:$E2766,'Yahoo ADP'!$B$2:$B2766=$B764,$C764='Yahoo ADP'!$C$2:$C2766,$D764='Yahoo ADP'!$D$2:$D2766))"),"-")</f>
        <v>-</v>
      </c>
      <c r="G764" s="27">
        <v>747.0</v>
      </c>
      <c r="H764" s="8">
        <f t="shared" si="1"/>
        <v>-16</v>
      </c>
    </row>
    <row r="765">
      <c r="A765" s="10">
        <v>764.0</v>
      </c>
      <c r="B765" s="11" t="s">
        <v>3610</v>
      </c>
      <c r="C765" s="10" t="s">
        <v>79</v>
      </c>
      <c r="D765" s="10" t="s">
        <v>82</v>
      </c>
      <c r="E765" s="13" t="str">
        <f>IFERROR(__xludf.DUMMYFUNCTION("ifna(filter('Yahoo ADP'!$A$2:$A2766,'Yahoo ADP'!$B$2:$B2766=$B765,$C765='Yahoo ADP'!$C$2:$C2766,$D765='Yahoo ADP'!$D$2:$D2766))"),"")</f>
        <v/>
      </c>
      <c r="F765" s="13" t="str">
        <f>IFERROR(__xludf.DUMMYFUNCTION("ifna(filter('Yahoo ADP'!$E$2:$E2766,'Yahoo ADP'!$B$2:$B2766=$B765,$C765='Yahoo ADP'!$C$2:$C2766,$D765='Yahoo ADP'!$D$2:$D2766))"),"-")</f>
        <v>-</v>
      </c>
      <c r="G765" s="27">
        <v>748.0</v>
      </c>
      <c r="H765" s="8">
        <f t="shared" si="1"/>
        <v>-16</v>
      </c>
    </row>
    <row r="766">
      <c r="A766" s="10">
        <v>765.0</v>
      </c>
      <c r="B766" s="11" t="s">
        <v>3611</v>
      </c>
      <c r="C766" s="10" t="s">
        <v>79</v>
      </c>
      <c r="D766" s="10" t="s">
        <v>34</v>
      </c>
      <c r="E766" s="13" t="str">
        <f>IFERROR(__xludf.DUMMYFUNCTION("ifna(filter('Yahoo ADP'!$A$2:$A2766,'Yahoo ADP'!$B$2:$B2766=$B766,$C766='Yahoo ADP'!$C$2:$C2766,$D766='Yahoo ADP'!$D$2:$D2766))"),"")</f>
        <v/>
      </c>
      <c r="F766" s="13" t="str">
        <f>IFERROR(__xludf.DUMMYFUNCTION("ifna(filter('Yahoo ADP'!$E$2:$E2766,'Yahoo ADP'!$B$2:$B2766=$B766,$C766='Yahoo ADP'!$C$2:$C2766,$D766='Yahoo ADP'!$D$2:$D2766))"),"-")</f>
        <v>-</v>
      </c>
      <c r="G766" s="27">
        <v>749.0</v>
      </c>
      <c r="H766" s="8">
        <f t="shared" si="1"/>
        <v>-16</v>
      </c>
    </row>
    <row r="767">
      <c r="A767" s="10">
        <v>766.0</v>
      </c>
      <c r="B767" s="11" t="s">
        <v>3612</v>
      </c>
      <c r="C767" s="10" t="s">
        <v>22</v>
      </c>
      <c r="D767" s="10" t="s">
        <v>120</v>
      </c>
      <c r="E767" s="13" t="str">
        <f>IFERROR(__xludf.DUMMYFUNCTION("ifna(filter('Yahoo ADP'!$A$2:$A2766,'Yahoo ADP'!$B$2:$B2766=$B767,$C767='Yahoo ADP'!$C$2:$C2766,$D767='Yahoo ADP'!$D$2:$D2766))"),"")</f>
        <v/>
      </c>
      <c r="F767" s="13" t="str">
        <f>IFERROR(__xludf.DUMMYFUNCTION("ifna(filter('Yahoo ADP'!$E$2:$E2766,'Yahoo ADP'!$B$2:$B2766=$B767,$C767='Yahoo ADP'!$C$2:$C2766,$D767='Yahoo ADP'!$D$2:$D2766))"),"-")</f>
        <v>-</v>
      </c>
      <c r="G767" s="27">
        <v>750.0</v>
      </c>
      <c r="H767" s="8">
        <f t="shared" si="1"/>
        <v>-16</v>
      </c>
    </row>
    <row r="768">
      <c r="A768" s="10">
        <v>767.0</v>
      </c>
      <c r="B768" s="11" t="s">
        <v>3613</v>
      </c>
      <c r="C768" s="10" t="s">
        <v>79</v>
      </c>
      <c r="D768" s="10" t="s">
        <v>122</v>
      </c>
      <c r="E768" s="13" t="str">
        <f>IFERROR(__xludf.DUMMYFUNCTION("ifna(filter('Yahoo ADP'!$A$2:$A2766,'Yahoo ADP'!$B$2:$B2766=$B768,$C768='Yahoo ADP'!$C$2:$C2766,$D768='Yahoo ADP'!$D$2:$D2766))"),"")</f>
        <v/>
      </c>
      <c r="F768" s="13" t="str">
        <f>IFERROR(__xludf.DUMMYFUNCTION("ifna(filter('Yahoo ADP'!$E$2:$E2766,'Yahoo ADP'!$B$2:$B2766=$B768,$C768='Yahoo ADP'!$C$2:$C2766,$D768='Yahoo ADP'!$D$2:$D2766))"),"-")</f>
        <v>-</v>
      </c>
      <c r="G768" s="27">
        <v>751.0</v>
      </c>
      <c r="H768" s="8">
        <f t="shared" si="1"/>
        <v>-16</v>
      </c>
    </row>
    <row r="769">
      <c r="A769" s="10">
        <v>768.0</v>
      </c>
      <c r="B769" s="11" t="s">
        <v>3614</v>
      </c>
      <c r="C769" s="10" t="s">
        <v>79</v>
      </c>
      <c r="D769" s="10" t="s">
        <v>25</v>
      </c>
      <c r="E769" s="13" t="str">
        <f>IFERROR(__xludf.DUMMYFUNCTION("ifna(filter('Yahoo ADP'!$A$2:$A2766,'Yahoo ADP'!$B$2:$B2766=$B769,$C769='Yahoo ADP'!$C$2:$C2766,$D769='Yahoo ADP'!$D$2:$D2766))"),"")</f>
        <v/>
      </c>
      <c r="F769" s="13" t="str">
        <f>IFERROR(__xludf.DUMMYFUNCTION("ifna(filter('Yahoo ADP'!$E$2:$E2766,'Yahoo ADP'!$B$2:$B2766=$B769,$C769='Yahoo ADP'!$C$2:$C2766,$D769='Yahoo ADP'!$D$2:$D2766))"),"-")</f>
        <v>-</v>
      </c>
      <c r="G769" s="27">
        <v>752.0</v>
      </c>
      <c r="H769" s="8">
        <f t="shared" si="1"/>
        <v>-16</v>
      </c>
    </row>
    <row r="770">
      <c r="A770" s="10">
        <v>769.0</v>
      </c>
      <c r="B770" s="11" t="s">
        <v>3615</v>
      </c>
      <c r="C770" s="10" t="s">
        <v>79</v>
      </c>
      <c r="D770" s="10" t="s">
        <v>34</v>
      </c>
      <c r="E770" s="13" t="str">
        <f>IFERROR(__xludf.DUMMYFUNCTION("ifna(filter('Yahoo ADP'!$A$2:$A2766,'Yahoo ADP'!$B$2:$B2766=$B770,$C770='Yahoo ADP'!$C$2:$C2766,$D770='Yahoo ADP'!$D$2:$D2766))"),"")</f>
        <v/>
      </c>
      <c r="F770" s="13" t="str">
        <f>IFERROR(__xludf.DUMMYFUNCTION("ifna(filter('Yahoo ADP'!$E$2:$E2766,'Yahoo ADP'!$B$2:$B2766=$B770,$C770='Yahoo ADP'!$C$2:$C2766,$D770='Yahoo ADP'!$D$2:$D2766))"),"-")</f>
        <v>-</v>
      </c>
      <c r="G770" s="27">
        <v>753.0</v>
      </c>
      <c r="H770" s="8">
        <f t="shared" si="1"/>
        <v>-16</v>
      </c>
    </row>
    <row r="771">
      <c r="A771" s="10">
        <v>770.0</v>
      </c>
      <c r="B771" s="11" t="s">
        <v>3616</v>
      </c>
      <c r="C771" s="10" t="s">
        <v>79</v>
      </c>
      <c r="D771" s="10" t="s">
        <v>206</v>
      </c>
      <c r="E771" s="13" t="str">
        <f>IFERROR(__xludf.DUMMYFUNCTION("ifna(filter('Yahoo ADP'!$A$2:$A2766,'Yahoo ADP'!$B$2:$B2766=$B771,$C771='Yahoo ADP'!$C$2:$C2766,$D771='Yahoo ADP'!$D$2:$D2766))"),"")</f>
        <v/>
      </c>
      <c r="F771" s="13" t="str">
        <f>IFERROR(__xludf.DUMMYFUNCTION("ifna(filter('Yahoo ADP'!$E$2:$E2766,'Yahoo ADP'!$B$2:$B2766=$B771,$C771='Yahoo ADP'!$C$2:$C2766,$D771='Yahoo ADP'!$D$2:$D2766))"),"-")</f>
        <v>-</v>
      </c>
      <c r="G771" s="27">
        <v>754.0</v>
      </c>
      <c r="H771" s="8">
        <f t="shared" si="1"/>
        <v>-16</v>
      </c>
    </row>
    <row r="772">
      <c r="A772" s="10">
        <v>771.0</v>
      </c>
      <c r="B772" s="11" t="s">
        <v>3617</v>
      </c>
      <c r="C772" s="10" t="s">
        <v>79</v>
      </c>
      <c r="D772" s="10" t="s">
        <v>137</v>
      </c>
      <c r="E772" s="13" t="str">
        <f>IFERROR(__xludf.DUMMYFUNCTION("ifna(filter('Yahoo ADP'!$A$2:$A2766,'Yahoo ADP'!$B$2:$B2766=$B772,$C772='Yahoo ADP'!$C$2:$C2766,$D772='Yahoo ADP'!$D$2:$D2766))"),"")</f>
        <v/>
      </c>
      <c r="F772" s="13" t="str">
        <f>IFERROR(__xludf.DUMMYFUNCTION("ifna(filter('Yahoo ADP'!$E$2:$E2766,'Yahoo ADP'!$B$2:$B2766=$B772,$C772='Yahoo ADP'!$C$2:$C2766,$D772='Yahoo ADP'!$D$2:$D2766))"),"-")</f>
        <v>-</v>
      </c>
      <c r="G772" s="27">
        <v>755.0</v>
      </c>
      <c r="H772" s="8">
        <f t="shared" si="1"/>
        <v>-16</v>
      </c>
    </row>
    <row r="773">
      <c r="A773" s="10">
        <v>772.0</v>
      </c>
      <c r="B773" s="11" t="s">
        <v>3618</v>
      </c>
      <c r="C773" s="10" t="s">
        <v>22</v>
      </c>
      <c r="D773" s="10" t="s">
        <v>12</v>
      </c>
      <c r="E773" s="13" t="str">
        <f>IFERROR(__xludf.DUMMYFUNCTION("ifna(filter('Yahoo ADP'!$A$2:$A2766,'Yahoo ADP'!$B$2:$B2766=$B773,$C773='Yahoo ADP'!$C$2:$C2766,$D773='Yahoo ADP'!$D$2:$D2766))"),"")</f>
        <v/>
      </c>
      <c r="F773" s="13" t="str">
        <f>IFERROR(__xludf.DUMMYFUNCTION("ifna(filter('Yahoo ADP'!$E$2:$E2766,'Yahoo ADP'!$B$2:$B2766=$B773,$C773='Yahoo ADP'!$C$2:$C2766,$D773='Yahoo ADP'!$D$2:$D2766))"),"-")</f>
        <v>-</v>
      </c>
      <c r="G773" s="27">
        <v>756.0</v>
      </c>
      <c r="H773" s="8">
        <f t="shared" si="1"/>
        <v>-16</v>
      </c>
    </row>
    <row r="774">
      <c r="A774" s="10">
        <v>773.0</v>
      </c>
      <c r="B774" s="11" t="s">
        <v>3619</v>
      </c>
      <c r="C774" s="10" t="s">
        <v>220</v>
      </c>
      <c r="D774" s="10" t="s">
        <v>46</v>
      </c>
      <c r="E774" s="13" t="str">
        <f>IFERROR(__xludf.DUMMYFUNCTION("ifna(filter('Yahoo ADP'!$A$2:$A2766,'Yahoo ADP'!$B$2:$B2766=$B774,$C774='Yahoo ADP'!$C$2:$C2766,$D774='Yahoo ADP'!$D$2:$D2766))"),"")</f>
        <v/>
      </c>
      <c r="F774" s="13" t="str">
        <f>IFERROR(__xludf.DUMMYFUNCTION("ifna(filter('Yahoo ADP'!$E$2:$E2766,'Yahoo ADP'!$B$2:$B2766=$B774,$C774='Yahoo ADP'!$C$2:$C2766,$D774='Yahoo ADP'!$D$2:$D2766))"),"-")</f>
        <v>-</v>
      </c>
      <c r="G774" s="27">
        <v>757.0</v>
      </c>
      <c r="H774" s="8">
        <f t="shared" si="1"/>
        <v>-16</v>
      </c>
    </row>
    <row r="775">
      <c r="A775" s="10">
        <v>774.0</v>
      </c>
      <c r="B775" s="11" t="s">
        <v>3620</v>
      </c>
      <c r="C775" s="10" t="s">
        <v>22</v>
      </c>
      <c r="D775" s="10" t="s">
        <v>67</v>
      </c>
      <c r="E775" s="13" t="str">
        <f>IFERROR(__xludf.DUMMYFUNCTION("ifna(filter('Yahoo ADP'!$A$2:$A2766,'Yahoo ADP'!$B$2:$B2766=$B775,$C775='Yahoo ADP'!$C$2:$C2766,$D775='Yahoo ADP'!$D$2:$D2766))"),"")</f>
        <v/>
      </c>
      <c r="F775" s="13" t="str">
        <f>IFERROR(__xludf.DUMMYFUNCTION("ifna(filter('Yahoo ADP'!$E$2:$E2766,'Yahoo ADP'!$B$2:$B2766=$B775,$C775='Yahoo ADP'!$C$2:$C2766,$D775='Yahoo ADP'!$D$2:$D2766))"),"-")</f>
        <v>-</v>
      </c>
      <c r="G775" s="27">
        <v>758.0</v>
      </c>
      <c r="H775" s="8">
        <f t="shared" si="1"/>
        <v>-16</v>
      </c>
    </row>
    <row r="776">
      <c r="A776" s="10">
        <v>775.0</v>
      </c>
      <c r="B776" s="11" t="s">
        <v>3621</v>
      </c>
      <c r="C776" s="10" t="s">
        <v>79</v>
      </c>
      <c r="D776" s="10" t="s">
        <v>25</v>
      </c>
      <c r="E776" s="13" t="str">
        <f>IFERROR(__xludf.DUMMYFUNCTION("ifna(filter('Yahoo ADP'!$A$2:$A2766,'Yahoo ADP'!$B$2:$B2766=$B776,$C776='Yahoo ADP'!$C$2:$C2766,$D776='Yahoo ADP'!$D$2:$D2766))"),"")</f>
        <v/>
      </c>
      <c r="F776" s="13" t="str">
        <f>IFERROR(__xludf.DUMMYFUNCTION("ifna(filter('Yahoo ADP'!$E$2:$E2766,'Yahoo ADP'!$B$2:$B2766=$B776,$C776='Yahoo ADP'!$C$2:$C2766,$D776='Yahoo ADP'!$D$2:$D2766))"),"-")</f>
        <v>-</v>
      </c>
      <c r="G776" s="27">
        <v>759.0</v>
      </c>
      <c r="H776" s="8">
        <f t="shared" si="1"/>
        <v>-16</v>
      </c>
    </row>
    <row r="777">
      <c r="A777" s="10">
        <v>776.0</v>
      </c>
      <c r="B777" s="11" t="s">
        <v>3622</v>
      </c>
      <c r="C777" s="10" t="s">
        <v>22</v>
      </c>
      <c r="D777" s="10" t="s">
        <v>137</v>
      </c>
      <c r="E777" s="13" t="str">
        <f>IFERROR(__xludf.DUMMYFUNCTION("ifna(filter('Yahoo ADP'!$A$2:$A2766,'Yahoo ADP'!$B$2:$B2766=$B777,$C777='Yahoo ADP'!$C$2:$C2766,$D777='Yahoo ADP'!$D$2:$D2766))"),"")</f>
        <v/>
      </c>
      <c r="F777" s="13" t="str">
        <f>IFERROR(__xludf.DUMMYFUNCTION("ifna(filter('Yahoo ADP'!$E$2:$E2766,'Yahoo ADP'!$B$2:$B2766=$B777,$C777='Yahoo ADP'!$C$2:$C2766,$D777='Yahoo ADP'!$D$2:$D2766))"),"-")</f>
        <v>-</v>
      </c>
      <c r="G777" s="27">
        <v>760.0</v>
      </c>
      <c r="H777" s="8">
        <f t="shared" si="1"/>
        <v>-16</v>
      </c>
    </row>
    <row r="778">
      <c r="A778" s="10">
        <v>777.0</v>
      </c>
      <c r="B778" s="11" t="s">
        <v>3623</v>
      </c>
      <c r="C778" s="10" t="s">
        <v>22</v>
      </c>
      <c r="D778" s="10" t="s">
        <v>31</v>
      </c>
      <c r="E778" s="13" t="str">
        <f>IFERROR(__xludf.DUMMYFUNCTION("ifna(filter('Yahoo ADP'!$A$2:$A2766,'Yahoo ADP'!$B$2:$B2766=$B778,$C778='Yahoo ADP'!$C$2:$C2766,$D778='Yahoo ADP'!$D$2:$D2766))"),"")</f>
        <v/>
      </c>
      <c r="F778" s="13" t="str">
        <f>IFERROR(__xludf.DUMMYFUNCTION("ifna(filter('Yahoo ADP'!$E$2:$E2766,'Yahoo ADP'!$B$2:$B2766=$B778,$C778='Yahoo ADP'!$C$2:$C2766,$D778='Yahoo ADP'!$D$2:$D2766))"),"-")</f>
        <v>-</v>
      </c>
      <c r="G778" s="27">
        <v>761.0</v>
      </c>
      <c r="H778" s="8">
        <f t="shared" si="1"/>
        <v>-16</v>
      </c>
    </row>
    <row r="779">
      <c r="A779" s="10">
        <v>778.0</v>
      </c>
      <c r="B779" s="11" t="s">
        <v>3624</v>
      </c>
      <c r="C779" s="10" t="s">
        <v>79</v>
      </c>
      <c r="D779" s="10" t="s">
        <v>23</v>
      </c>
      <c r="E779" s="13" t="str">
        <f>IFERROR(__xludf.DUMMYFUNCTION("ifna(filter('Yahoo ADP'!$A$2:$A2766,'Yahoo ADP'!$B$2:$B2766=$B779,$C779='Yahoo ADP'!$C$2:$C2766,$D779='Yahoo ADP'!$D$2:$D2766))"),"")</f>
        <v/>
      </c>
      <c r="F779" s="13" t="str">
        <f>IFERROR(__xludf.DUMMYFUNCTION("ifna(filter('Yahoo ADP'!$E$2:$E2766,'Yahoo ADP'!$B$2:$B2766=$B779,$C779='Yahoo ADP'!$C$2:$C2766,$D779='Yahoo ADP'!$D$2:$D2766))"),"-")</f>
        <v>-</v>
      </c>
      <c r="G779" s="27">
        <v>762.0</v>
      </c>
      <c r="H779" s="8">
        <f t="shared" si="1"/>
        <v>-16</v>
      </c>
    </row>
    <row r="780">
      <c r="A780" s="10">
        <v>779.0</v>
      </c>
      <c r="B780" s="11" t="s">
        <v>3625</v>
      </c>
      <c r="C780" s="10" t="s">
        <v>22</v>
      </c>
      <c r="D780" s="10" t="s">
        <v>9</v>
      </c>
      <c r="E780" s="13" t="str">
        <f>IFERROR(__xludf.DUMMYFUNCTION("ifna(filter('Yahoo ADP'!$A$2:$A2766,'Yahoo ADP'!$B$2:$B2766=$B780,$C780='Yahoo ADP'!$C$2:$C2766,$D780='Yahoo ADP'!$D$2:$D2766))"),"")</f>
        <v/>
      </c>
      <c r="F780" s="13" t="str">
        <f>IFERROR(__xludf.DUMMYFUNCTION("ifna(filter('Yahoo ADP'!$E$2:$E2766,'Yahoo ADP'!$B$2:$B2766=$B780,$C780='Yahoo ADP'!$C$2:$C2766,$D780='Yahoo ADP'!$D$2:$D2766))"),"-")</f>
        <v>-</v>
      </c>
      <c r="G780" s="27">
        <v>763.0</v>
      </c>
      <c r="H780" s="8">
        <f t="shared" si="1"/>
        <v>-16</v>
      </c>
    </row>
    <row r="781">
      <c r="A781" s="10">
        <v>780.0</v>
      </c>
      <c r="B781" s="11" t="s">
        <v>3626</v>
      </c>
      <c r="C781" s="10" t="s">
        <v>22</v>
      </c>
      <c r="D781" s="10" t="s">
        <v>23</v>
      </c>
      <c r="E781" s="13" t="str">
        <f>IFERROR(__xludf.DUMMYFUNCTION("ifna(filter('Yahoo ADP'!$A$2:$A2766,'Yahoo ADP'!$B$2:$B2766=$B781,$C781='Yahoo ADP'!$C$2:$C2766,$D781='Yahoo ADP'!$D$2:$D2766))"),"")</f>
        <v/>
      </c>
      <c r="F781" s="13" t="str">
        <f>IFERROR(__xludf.DUMMYFUNCTION("ifna(filter('Yahoo ADP'!$E$2:$E2766,'Yahoo ADP'!$B$2:$B2766=$B781,$C781='Yahoo ADP'!$C$2:$C2766,$D781='Yahoo ADP'!$D$2:$D2766))"),"-")</f>
        <v>-</v>
      </c>
      <c r="G781" s="27">
        <v>764.0</v>
      </c>
      <c r="H781" s="8">
        <f t="shared" si="1"/>
        <v>-16</v>
      </c>
    </row>
    <row r="782">
      <c r="A782" s="10">
        <v>781.0</v>
      </c>
      <c r="B782" s="11" t="s">
        <v>3627</v>
      </c>
      <c r="C782" s="10" t="s">
        <v>22</v>
      </c>
      <c r="D782" s="10" t="s">
        <v>105</v>
      </c>
      <c r="E782" s="13" t="str">
        <f>IFERROR(__xludf.DUMMYFUNCTION("ifna(filter('Yahoo ADP'!$A$2:$A2766,'Yahoo ADP'!$B$2:$B2766=$B782,$C782='Yahoo ADP'!$C$2:$C2766,$D782='Yahoo ADP'!$D$2:$D2766))"),"")</f>
        <v/>
      </c>
      <c r="F782" s="13" t="str">
        <f>IFERROR(__xludf.DUMMYFUNCTION("ifna(filter('Yahoo ADP'!$E$2:$E2766,'Yahoo ADP'!$B$2:$B2766=$B782,$C782='Yahoo ADP'!$C$2:$C2766,$D782='Yahoo ADP'!$D$2:$D2766))"),"-")</f>
        <v>-</v>
      </c>
      <c r="G782" s="27">
        <v>765.0</v>
      </c>
      <c r="H782" s="8">
        <f t="shared" si="1"/>
        <v>-16</v>
      </c>
    </row>
    <row r="783">
      <c r="A783" s="10">
        <v>782.0</v>
      </c>
      <c r="B783" s="11" t="s">
        <v>3628</v>
      </c>
      <c r="C783" s="10" t="s">
        <v>79</v>
      </c>
      <c r="D783" s="10" t="s">
        <v>82</v>
      </c>
      <c r="E783" s="13" t="str">
        <f>IFERROR(__xludf.DUMMYFUNCTION("ifna(filter('Yahoo ADP'!$A$2:$A2766,'Yahoo ADP'!$B$2:$B2766=$B783,$C783='Yahoo ADP'!$C$2:$C2766,$D783='Yahoo ADP'!$D$2:$D2766))"),"")</f>
        <v/>
      </c>
      <c r="F783" s="13" t="str">
        <f>IFERROR(__xludf.DUMMYFUNCTION("ifna(filter('Yahoo ADP'!$E$2:$E2766,'Yahoo ADP'!$B$2:$B2766=$B783,$C783='Yahoo ADP'!$C$2:$C2766,$D783='Yahoo ADP'!$D$2:$D2766))"),"-")</f>
        <v>-</v>
      </c>
      <c r="G783" s="27">
        <v>766.0</v>
      </c>
      <c r="H783" s="8">
        <f t="shared" si="1"/>
        <v>-16</v>
      </c>
    </row>
    <row r="784">
      <c r="A784" s="10">
        <v>783.0</v>
      </c>
      <c r="B784" s="11" t="s">
        <v>3629</v>
      </c>
      <c r="C784" s="10" t="s">
        <v>22</v>
      </c>
      <c r="D784" s="10" t="s">
        <v>90</v>
      </c>
      <c r="E784" s="13" t="str">
        <f>IFERROR(__xludf.DUMMYFUNCTION("ifna(filter('Yahoo ADP'!$A$2:$A2766,'Yahoo ADP'!$B$2:$B2766=$B784,$C784='Yahoo ADP'!$C$2:$C2766,$D784='Yahoo ADP'!$D$2:$D2766))"),"")</f>
        <v/>
      </c>
      <c r="F784" s="13" t="str">
        <f>IFERROR(__xludf.DUMMYFUNCTION("ifna(filter('Yahoo ADP'!$E$2:$E2766,'Yahoo ADP'!$B$2:$B2766=$B784,$C784='Yahoo ADP'!$C$2:$C2766,$D784='Yahoo ADP'!$D$2:$D2766))"),"-")</f>
        <v>-</v>
      </c>
      <c r="G784" s="27">
        <v>767.0</v>
      </c>
      <c r="H784" s="8">
        <f t="shared" si="1"/>
        <v>-16</v>
      </c>
    </row>
    <row r="785">
      <c r="A785" s="10">
        <v>784.0</v>
      </c>
      <c r="B785" s="11" t="s">
        <v>3630</v>
      </c>
      <c r="C785" s="10" t="s">
        <v>22</v>
      </c>
      <c r="D785" s="10" t="s">
        <v>113</v>
      </c>
      <c r="E785" s="13" t="str">
        <f>IFERROR(__xludf.DUMMYFUNCTION("ifna(filter('Yahoo ADP'!$A$2:$A2766,'Yahoo ADP'!$B$2:$B2766=$B785,$C785='Yahoo ADP'!$C$2:$C2766,$D785='Yahoo ADP'!$D$2:$D2766))"),"")</f>
        <v/>
      </c>
      <c r="F785" s="13" t="str">
        <f>IFERROR(__xludf.DUMMYFUNCTION("ifna(filter('Yahoo ADP'!$E$2:$E2766,'Yahoo ADP'!$B$2:$B2766=$B785,$C785='Yahoo ADP'!$C$2:$C2766,$D785='Yahoo ADP'!$D$2:$D2766))"),"-")</f>
        <v>-</v>
      </c>
      <c r="G785" s="27">
        <v>768.0</v>
      </c>
      <c r="H785" s="8">
        <f t="shared" si="1"/>
        <v>-16</v>
      </c>
    </row>
    <row r="786">
      <c r="A786" s="10">
        <v>785.0</v>
      </c>
      <c r="B786" s="11" t="s">
        <v>3631</v>
      </c>
      <c r="C786" s="10" t="s">
        <v>220</v>
      </c>
      <c r="D786" s="10" t="s">
        <v>113</v>
      </c>
      <c r="E786" s="13" t="str">
        <f>IFERROR(__xludf.DUMMYFUNCTION("ifna(filter('Yahoo ADP'!$A$2:$A2766,'Yahoo ADP'!$B$2:$B2766=$B786,$C786='Yahoo ADP'!$C$2:$C2766,$D786='Yahoo ADP'!$D$2:$D2766))"),"")</f>
        <v/>
      </c>
      <c r="F786" s="13" t="str">
        <f>IFERROR(__xludf.DUMMYFUNCTION("ifna(filter('Yahoo ADP'!$E$2:$E2766,'Yahoo ADP'!$B$2:$B2766=$B786,$C786='Yahoo ADP'!$C$2:$C2766,$D786='Yahoo ADP'!$D$2:$D2766))"),"-")</f>
        <v>-</v>
      </c>
      <c r="G786" s="27">
        <v>769.0</v>
      </c>
      <c r="H786" s="8">
        <f t="shared" si="1"/>
        <v>-16</v>
      </c>
    </row>
    <row r="787">
      <c r="A787" s="10">
        <v>786.0</v>
      </c>
      <c r="B787" s="11" t="s">
        <v>3632</v>
      </c>
      <c r="C787" s="10" t="s">
        <v>22</v>
      </c>
      <c r="D787" s="10" t="s">
        <v>105</v>
      </c>
      <c r="E787" s="13" t="str">
        <f>IFERROR(__xludf.DUMMYFUNCTION("ifna(filter('Yahoo ADP'!$A$2:$A2766,'Yahoo ADP'!$B$2:$B2766=$B787,$C787='Yahoo ADP'!$C$2:$C2766,$D787='Yahoo ADP'!$D$2:$D2766))"),"")</f>
        <v/>
      </c>
      <c r="F787" s="13" t="str">
        <f>IFERROR(__xludf.DUMMYFUNCTION("ifna(filter('Yahoo ADP'!$E$2:$E2766,'Yahoo ADP'!$B$2:$B2766=$B787,$C787='Yahoo ADP'!$C$2:$C2766,$D787='Yahoo ADP'!$D$2:$D2766))"),"-")</f>
        <v>-</v>
      </c>
      <c r="G787" s="27">
        <v>770.0</v>
      </c>
      <c r="H787" s="8">
        <f t="shared" si="1"/>
        <v>-16</v>
      </c>
    </row>
    <row r="788">
      <c r="A788" s="10">
        <v>787.0</v>
      </c>
      <c r="B788" s="11" t="s">
        <v>3633</v>
      </c>
      <c r="C788" s="10" t="s">
        <v>79</v>
      </c>
      <c r="D788" s="10" t="s">
        <v>73</v>
      </c>
      <c r="E788" s="13" t="str">
        <f>IFERROR(__xludf.DUMMYFUNCTION("ifna(filter('Yahoo ADP'!$A$2:$A2766,'Yahoo ADP'!$B$2:$B2766=$B788,$C788='Yahoo ADP'!$C$2:$C2766,$D788='Yahoo ADP'!$D$2:$D2766))"),"")</f>
        <v/>
      </c>
      <c r="F788" s="13" t="str">
        <f>IFERROR(__xludf.DUMMYFUNCTION("ifna(filter('Yahoo ADP'!$E$2:$E2766,'Yahoo ADP'!$B$2:$B2766=$B788,$C788='Yahoo ADP'!$C$2:$C2766,$D788='Yahoo ADP'!$D$2:$D2766))"),"-")</f>
        <v>-</v>
      </c>
      <c r="G788" s="27">
        <v>771.0</v>
      </c>
      <c r="H788" s="8">
        <f t="shared" si="1"/>
        <v>-16</v>
      </c>
    </row>
    <row r="789">
      <c r="A789" s="10">
        <v>788.0</v>
      </c>
      <c r="B789" s="11" t="s">
        <v>3634</v>
      </c>
      <c r="C789" s="10" t="s">
        <v>79</v>
      </c>
      <c r="D789" s="10" t="s">
        <v>23</v>
      </c>
      <c r="E789" s="13" t="str">
        <f>IFERROR(__xludf.DUMMYFUNCTION("ifna(filter('Yahoo ADP'!$A$2:$A2766,'Yahoo ADP'!$B$2:$B2766=$B789,$C789='Yahoo ADP'!$C$2:$C2766,$D789='Yahoo ADP'!$D$2:$D2766))"),"")</f>
        <v/>
      </c>
      <c r="F789" s="13" t="str">
        <f>IFERROR(__xludf.DUMMYFUNCTION("ifna(filter('Yahoo ADP'!$E$2:$E2766,'Yahoo ADP'!$B$2:$B2766=$B789,$C789='Yahoo ADP'!$C$2:$C2766,$D789='Yahoo ADP'!$D$2:$D2766))"),"-")</f>
        <v>-</v>
      </c>
      <c r="G789" s="27">
        <v>772.0</v>
      </c>
      <c r="H789" s="8">
        <f t="shared" si="1"/>
        <v>-16</v>
      </c>
    </row>
    <row r="790">
      <c r="A790" s="10">
        <v>789.0</v>
      </c>
      <c r="B790" s="11" t="s">
        <v>3635</v>
      </c>
      <c r="C790" s="10" t="s">
        <v>22</v>
      </c>
      <c r="D790" s="10" t="s">
        <v>18</v>
      </c>
      <c r="E790" s="13" t="str">
        <f>IFERROR(__xludf.DUMMYFUNCTION("ifna(filter('Yahoo ADP'!$A$2:$A2766,'Yahoo ADP'!$B$2:$B2766=$B790,$C790='Yahoo ADP'!$C$2:$C2766,$D790='Yahoo ADP'!$D$2:$D2766))"),"")</f>
        <v/>
      </c>
      <c r="F790" s="13" t="str">
        <f>IFERROR(__xludf.DUMMYFUNCTION("ifna(filter('Yahoo ADP'!$E$2:$E2766,'Yahoo ADP'!$B$2:$B2766=$B790,$C790='Yahoo ADP'!$C$2:$C2766,$D790='Yahoo ADP'!$D$2:$D2766))"),"-")</f>
        <v>-</v>
      </c>
      <c r="G790" s="27">
        <v>773.0</v>
      </c>
      <c r="H790" s="8">
        <f t="shared" si="1"/>
        <v>-16</v>
      </c>
    </row>
    <row r="791">
      <c r="A791" s="10">
        <v>790.0</v>
      </c>
      <c r="B791" s="11" t="s">
        <v>3636</v>
      </c>
      <c r="C791" s="10" t="s">
        <v>79</v>
      </c>
      <c r="D791" s="10" t="s">
        <v>122</v>
      </c>
      <c r="E791" s="13" t="str">
        <f>IFERROR(__xludf.DUMMYFUNCTION("ifna(filter('Yahoo ADP'!$A$2:$A2766,'Yahoo ADP'!$B$2:$B2766=$B791,$C791='Yahoo ADP'!$C$2:$C2766,$D791='Yahoo ADP'!$D$2:$D2766))"),"")</f>
        <v/>
      </c>
      <c r="F791" s="13" t="str">
        <f>IFERROR(__xludf.DUMMYFUNCTION("ifna(filter('Yahoo ADP'!$E$2:$E2766,'Yahoo ADP'!$B$2:$B2766=$B791,$C791='Yahoo ADP'!$C$2:$C2766,$D791='Yahoo ADP'!$D$2:$D2766))"),"-")</f>
        <v>-</v>
      </c>
      <c r="G791" s="27">
        <v>774.0</v>
      </c>
      <c r="H791" s="8">
        <f t="shared" si="1"/>
        <v>-16</v>
      </c>
    </row>
    <row r="792">
      <c r="A792" s="10">
        <v>791.0</v>
      </c>
      <c r="B792" s="11" t="s">
        <v>3637</v>
      </c>
      <c r="C792" s="10" t="s">
        <v>79</v>
      </c>
      <c r="D792" s="10" t="s">
        <v>85</v>
      </c>
      <c r="E792" s="13" t="str">
        <f>IFERROR(__xludf.DUMMYFUNCTION("ifna(filter('Yahoo ADP'!$A$2:$A2766,'Yahoo ADP'!$B$2:$B2766=$B792,$C792='Yahoo ADP'!$C$2:$C2766,$D792='Yahoo ADP'!$D$2:$D2766))"),"")</f>
        <v/>
      </c>
      <c r="F792" s="13" t="str">
        <f>IFERROR(__xludf.DUMMYFUNCTION("ifna(filter('Yahoo ADP'!$E$2:$E2766,'Yahoo ADP'!$B$2:$B2766=$B792,$C792='Yahoo ADP'!$C$2:$C2766,$D792='Yahoo ADP'!$D$2:$D2766))"),"-")</f>
        <v>-</v>
      </c>
      <c r="G792" s="27">
        <v>775.0</v>
      </c>
      <c r="H792" s="8">
        <f t="shared" si="1"/>
        <v>-16</v>
      </c>
    </row>
    <row r="793">
      <c r="A793" s="10">
        <v>792.0</v>
      </c>
      <c r="B793" s="11" t="s">
        <v>3638</v>
      </c>
      <c r="C793" s="10" t="s">
        <v>79</v>
      </c>
      <c r="D793" s="10" t="s">
        <v>73</v>
      </c>
      <c r="E793" s="13" t="str">
        <f>IFERROR(__xludf.DUMMYFUNCTION("ifna(filter('Yahoo ADP'!$A$2:$A2766,'Yahoo ADP'!$B$2:$B2766=$B793,$C793='Yahoo ADP'!$C$2:$C2766,$D793='Yahoo ADP'!$D$2:$D2766))"),"")</f>
        <v/>
      </c>
      <c r="F793" s="13" t="str">
        <f>IFERROR(__xludf.DUMMYFUNCTION("ifna(filter('Yahoo ADP'!$E$2:$E2766,'Yahoo ADP'!$B$2:$B2766=$B793,$C793='Yahoo ADP'!$C$2:$C2766,$D793='Yahoo ADP'!$D$2:$D2766))"),"-")</f>
        <v>-</v>
      </c>
      <c r="G793" s="27">
        <v>776.0</v>
      </c>
      <c r="H793" s="8">
        <f t="shared" si="1"/>
        <v>-16</v>
      </c>
    </row>
    <row r="794">
      <c r="A794" s="10">
        <v>793.0</v>
      </c>
      <c r="B794" s="11" t="s">
        <v>3639</v>
      </c>
      <c r="C794" s="10" t="s">
        <v>79</v>
      </c>
      <c r="D794" s="10" t="s">
        <v>206</v>
      </c>
      <c r="E794" s="13" t="str">
        <f>IFERROR(__xludf.DUMMYFUNCTION("ifna(filter('Yahoo ADP'!$A$2:$A2766,'Yahoo ADP'!$B$2:$B2766=$B794,$C794='Yahoo ADP'!$C$2:$C2766,$D794='Yahoo ADP'!$D$2:$D2766))"),"")</f>
        <v/>
      </c>
      <c r="F794" s="13" t="str">
        <f>IFERROR(__xludf.DUMMYFUNCTION("ifna(filter('Yahoo ADP'!$E$2:$E2766,'Yahoo ADP'!$B$2:$B2766=$B794,$C794='Yahoo ADP'!$C$2:$C2766,$D794='Yahoo ADP'!$D$2:$D2766))"),"-")</f>
        <v>-</v>
      </c>
      <c r="G794" s="27">
        <v>777.0</v>
      </c>
      <c r="H794" s="8">
        <f t="shared" si="1"/>
        <v>-16</v>
      </c>
    </row>
    <row r="795">
      <c r="A795" s="10">
        <v>794.0</v>
      </c>
      <c r="B795" s="11" t="s">
        <v>3640</v>
      </c>
      <c r="C795" s="10" t="s">
        <v>22</v>
      </c>
      <c r="D795" s="10" t="s">
        <v>9</v>
      </c>
      <c r="E795" s="13" t="str">
        <f>IFERROR(__xludf.DUMMYFUNCTION("ifna(filter('Yahoo ADP'!$A$2:$A2766,'Yahoo ADP'!$B$2:$B2766=$B795,$C795='Yahoo ADP'!$C$2:$C2766,$D795='Yahoo ADP'!$D$2:$D2766))"),"")</f>
        <v/>
      </c>
      <c r="F795" s="13" t="str">
        <f>IFERROR(__xludf.DUMMYFUNCTION("ifna(filter('Yahoo ADP'!$E$2:$E2766,'Yahoo ADP'!$B$2:$B2766=$B795,$C795='Yahoo ADP'!$C$2:$C2766,$D795='Yahoo ADP'!$D$2:$D2766))"),"-")</f>
        <v>-</v>
      </c>
      <c r="G795" s="27">
        <v>778.0</v>
      </c>
      <c r="H795" s="8">
        <f t="shared" si="1"/>
        <v>-16</v>
      </c>
    </row>
    <row r="796">
      <c r="A796" s="10">
        <v>795.0</v>
      </c>
      <c r="B796" s="11" t="s">
        <v>3641</v>
      </c>
      <c r="C796" s="10" t="s">
        <v>22</v>
      </c>
      <c r="D796" s="10" t="s">
        <v>90</v>
      </c>
      <c r="E796" s="13" t="str">
        <f>IFERROR(__xludf.DUMMYFUNCTION("ifna(filter('Yahoo ADP'!$A$2:$A2766,'Yahoo ADP'!$B$2:$B2766=$B796,$C796='Yahoo ADP'!$C$2:$C2766,$D796='Yahoo ADP'!$D$2:$D2766))"),"")</f>
        <v/>
      </c>
      <c r="F796" s="13" t="str">
        <f>IFERROR(__xludf.DUMMYFUNCTION("ifna(filter('Yahoo ADP'!$E$2:$E2766,'Yahoo ADP'!$B$2:$B2766=$B796,$C796='Yahoo ADP'!$C$2:$C2766,$D796='Yahoo ADP'!$D$2:$D2766))"),"-")</f>
        <v>-</v>
      </c>
      <c r="G796" s="27">
        <v>779.0</v>
      </c>
      <c r="H796" s="8">
        <f t="shared" si="1"/>
        <v>-16</v>
      </c>
    </row>
    <row r="797">
      <c r="A797" s="10">
        <v>796.0</v>
      </c>
      <c r="B797" s="11" t="s">
        <v>3642</v>
      </c>
      <c r="C797" s="10" t="s">
        <v>22</v>
      </c>
      <c r="D797" s="10" t="s">
        <v>206</v>
      </c>
      <c r="E797" s="13" t="str">
        <f>IFERROR(__xludf.DUMMYFUNCTION("ifna(filter('Yahoo ADP'!$A$2:$A2766,'Yahoo ADP'!$B$2:$B2766=$B797,$C797='Yahoo ADP'!$C$2:$C2766,$D797='Yahoo ADP'!$D$2:$D2766))"),"")</f>
        <v/>
      </c>
      <c r="F797" s="13" t="str">
        <f>IFERROR(__xludf.DUMMYFUNCTION("ifna(filter('Yahoo ADP'!$E$2:$E2766,'Yahoo ADP'!$B$2:$B2766=$B797,$C797='Yahoo ADP'!$C$2:$C2766,$D797='Yahoo ADP'!$D$2:$D2766))"),"-")</f>
        <v>-</v>
      </c>
      <c r="G797" s="27">
        <v>780.0</v>
      </c>
      <c r="H797" s="8">
        <f t="shared" si="1"/>
        <v>-16</v>
      </c>
    </row>
    <row r="798">
      <c r="A798" s="10">
        <v>797.0</v>
      </c>
      <c r="B798" s="11" t="s">
        <v>3643</v>
      </c>
      <c r="C798" s="10" t="s">
        <v>22</v>
      </c>
      <c r="D798" s="10" t="s">
        <v>73</v>
      </c>
      <c r="E798" s="13" t="str">
        <f>IFERROR(__xludf.DUMMYFUNCTION("ifna(filter('Yahoo ADP'!$A$2:$A2766,'Yahoo ADP'!$B$2:$B2766=$B798,$C798='Yahoo ADP'!$C$2:$C2766,$D798='Yahoo ADP'!$D$2:$D2766))"),"")</f>
        <v/>
      </c>
      <c r="F798" s="13" t="str">
        <f>IFERROR(__xludf.DUMMYFUNCTION("ifna(filter('Yahoo ADP'!$E$2:$E2766,'Yahoo ADP'!$B$2:$B2766=$B798,$C798='Yahoo ADP'!$C$2:$C2766,$D798='Yahoo ADP'!$D$2:$D2766))"),"-")</f>
        <v>-</v>
      </c>
      <c r="G798" s="27">
        <v>781.0</v>
      </c>
      <c r="H798" s="8">
        <f t="shared" si="1"/>
        <v>-16</v>
      </c>
    </row>
    <row r="799">
      <c r="A799" s="10">
        <v>798.0</v>
      </c>
      <c r="B799" s="11" t="s">
        <v>3644</v>
      </c>
      <c r="C799" s="10" t="s">
        <v>79</v>
      </c>
      <c r="D799" s="10" t="s">
        <v>82</v>
      </c>
      <c r="E799" s="13" t="str">
        <f>IFERROR(__xludf.DUMMYFUNCTION("ifna(filter('Yahoo ADP'!$A$2:$A2766,'Yahoo ADP'!$B$2:$B2766=$B799,$C799='Yahoo ADP'!$C$2:$C2766,$D799='Yahoo ADP'!$D$2:$D2766))"),"")</f>
        <v/>
      </c>
      <c r="F799" s="13" t="str">
        <f>IFERROR(__xludf.DUMMYFUNCTION("ifna(filter('Yahoo ADP'!$E$2:$E2766,'Yahoo ADP'!$B$2:$B2766=$B799,$C799='Yahoo ADP'!$C$2:$C2766,$D799='Yahoo ADP'!$D$2:$D2766))"),"-")</f>
        <v>-</v>
      </c>
      <c r="G799" s="27">
        <v>782.0</v>
      </c>
      <c r="H799" s="8">
        <f t="shared" si="1"/>
        <v>-16</v>
      </c>
    </row>
    <row r="800">
      <c r="A800" s="10">
        <v>799.0</v>
      </c>
      <c r="B800" s="11" t="s">
        <v>3645</v>
      </c>
      <c r="C800" s="10" t="s">
        <v>22</v>
      </c>
      <c r="D800" s="10" t="s">
        <v>120</v>
      </c>
      <c r="E800" s="13" t="str">
        <f>IFERROR(__xludf.DUMMYFUNCTION("ifna(filter('Yahoo ADP'!$A$2:$A2766,'Yahoo ADP'!$B$2:$B2766=$B800,$C800='Yahoo ADP'!$C$2:$C2766,$D800='Yahoo ADP'!$D$2:$D2766))"),"")</f>
        <v/>
      </c>
      <c r="F800" s="13" t="str">
        <f>IFERROR(__xludf.DUMMYFUNCTION("ifna(filter('Yahoo ADP'!$E$2:$E2766,'Yahoo ADP'!$B$2:$B2766=$B800,$C800='Yahoo ADP'!$C$2:$C2766,$D800='Yahoo ADP'!$D$2:$D2766))"),"-")</f>
        <v>-</v>
      </c>
      <c r="G800" s="27">
        <v>783.0</v>
      </c>
      <c r="H800" s="8">
        <f t="shared" si="1"/>
        <v>-16</v>
      </c>
    </row>
    <row r="801">
      <c r="A801" s="10">
        <v>800.0</v>
      </c>
      <c r="B801" s="11" t="s">
        <v>3646</v>
      </c>
      <c r="C801" s="10" t="s">
        <v>22</v>
      </c>
      <c r="D801" s="10" t="s">
        <v>9</v>
      </c>
      <c r="E801" s="13" t="str">
        <f>IFERROR(__xludf.DUMMYFUNCTION("ifna(filter('Yahoo ADP'!$A$2:$A2766,'Yahoo ADP'!$B$2:$B2766=$B801,$C801='Yahoo ADP'!$C$2:$C2766,$D801='Yahoo ADP'!$D$2:$D2766))"),"")</f>
        <v/>
      </c>
      <c r="F801" s="13" t="str">
        <f>IFERROR(__xludf.DUMMYFUNCTION("ifna(filter('Yahoo ADP'!$E$2:$E2766,'Yahoo ADP'!$B$2:$B2766=$B801,$C801='Yahoo ADP'!$C$2:$C2766,$D801='Yahoo ADP'!$D$2:$D2766))"),"-")</f>
        <v>-</v>
      </c>
      <c r="G801" s="27">
        <v>784.0</v>
      </c>
      <c r="H801" s="8">
        <f t="shared" si="1"/>
        <v>-16</v>
      </c>
    </row>
    <row r="802">
      <c r="A802" s="10">
        <v>801.0</v>
      </c>
      <c r="B802" s="11" t="s">
        <v>3647</v>
      </c>
      <c r="C802" s="10" t="s">
        <v>22</v>
      </c>
      <c r="D802" s="10" t="s">
        <v>46</v>
      </c>
      <c r="E802" s="13" t="str">
        <f>IFERROR(__xludf.DUMMYFUNCTION("ifna(filter('Yahoo ADP'!$A$2:$A2766,'Yahoo ADP'!$B$2:$B2766=$B802,$C802='Yahoo ADP'!$C$2:$C2766,$D802='Yahoo ADP'!$D$2:$D2766))"),"")</f>
        <v/>
      </c>
      <c r="F802" s="13" t="str">
        <f>IFERROR(__xludf.DUMMYFUNCTION("ifna(filter('Yahoo ADP'!$E$2:$E2766,'Yahoo ADP'!$B$2:$B2766=$B802,$C802='Yahoo ADP'!$C$2:$C2766,$D802='Yahoo ADP'!$D$2:$D2766))"),"-")</f>
        <v>-</v>
      </c>
      <c r="G802" s="27">
        <v>785.0</v>
      </c>
      <c r="H802" s="8">
        <f t="shared" si="1"/>
        <v>-16</v>
      </c>
    </row>
    <row r="803">
      <c r="A803" s="10">
        <v>802.0</v>
      </c>
      <c r="B803" s="11" t="s">
        <v>3648</v>
      </c>
      <c r="C803" s="10" t="s">
        <v>79</v>
      </c>
      <c r="D803" s="10" t="s">
        <v>122</v>
      </c>
      <c r="E803" s="13" t="str">
        <f>IFERROR(__xludf.DUMMYFUNCTION("ifna(filter('Yahoo ADP'!$A$2:$A2766,'Yahoo ADP'!$B$2:$B2766=$B803,$C803='Yahoo ADP'!$C$2:$C2766,$D803='Yahoo ADP'!$D$2:$D2766))"),"")</f>
        <v/>
      </c>
      <c r="F803" s="13" t="str">
        <f>IFERROR(__xludf.DUMMYFUNCTION("ifna(filter('Yahoo ADP'!$E$2:$E2766,'Yahoo ADP'!$B$2:$B2766=$B803,$C803='Yahoo ADP'!$C$2:$C2766,$D803='Yahoo ADP'!$D$2:$D2766))"),"-")</f>
        <v>-</v>
      </c>
      <c r="G803" s="27">
        <v>786.0</v>
      </c>
      <c r="H803" s="8">
        <f t="shared" si="1"/>
        <v>-16</v>
      </c>
    </row>
    <row r="804">
      <c r="A804" s="10">
        <v>803.0</v>
      </c>
      <c r="B804" s="11" t="s">
        <v>3649</v>
      </c>
      <c r="C804" s="10" t="s">
        <v>22</v>
      </c>
      <c r="D804" s="10" t="s">
        <v>99</v>
      </c>
      <c r="E804" s="13" t="str">
        <f>IFERROR(__xludf.DUMMYFUNCTION("ifna(filter('Yahoo ADP'!$A$2:$A2766,'Yahoo ADP'!$B$2:$B2766=$B804,$C804='Yahoo ADP'!$C$2:$C2766,$D804='Yahoo ADP'!$D$2:$D2766))"),"")</f>
        <v/>
      </c>
      <c r="F804" s="13" t="str">
        <f>IFERROR(__xludf.DUMMYFUNCTION("ifna(filter('Yahoo ADP'!$E$2:$E2766,'Yahoo ADP'!$B$2:$B2766=$B804,$C804='Yahoo ADP'!$C$2:$C2766,$D804='Yahoo ADP'!$D$2:$D2766))"),"-")</f>
        <v>-</v>
      </c>
      <c r="G804" s="27">
        <v>787.0</v>
      </c>
      <c r="H804" s="8">
        <f t="shared" si="1"/>
        <v>-16</v>
      </c>
    </row>
    <row r="805">
      <c r="A805" s="10">
        <v>804.0</v>
      </c>
      <c r="B805" s="11" t="s">
        <v>3650</v>
      </c>
      <c r="C805" s="10" t="s">
        <v>22</v>
      </c>
      <c r="D805" s="10" t="s">
        <v>129</v>
      </c>
      <c r="E805" s="13" t="str">
        <f>IFERROR(__xludf.DUMMYFUNCTION("ifna(filter('Yahoo ADP'!$A$2:$A2766,'Yahoo ADP'!$B$2:$B2766=$B805,$C805='Yahoo ADP'!$C$2:$C2766,$D805='Yahoo ADP'!$D$2:$D2766))"),"")</f>
        <v/>
      </c>
      <c r="F805" s="13" t="str">
        <f>IFERROR(__xludf.DUMMYFUNCTION("ifna(filter('Yahoo ADP'!$E$2:$E2766,'Yahoo ADP'!$B$2:$B2766=$B805,$C805='Yahoo ADP'!$C$2:$C2766,$D805='Yahoo ADP'!$D$2:$D2766))"),"-")</f>
        <v>-</v>
      </c>
      <c r="G805" s="27">
        <v>788.0</v>
      </c>
      <c r="H805" s="8">
        <f t="shared" si="1"/>
        <v>-16</v>
      </c>
    </row>
    <row r="806">
      <c r="A806" s="10">
        <v>805.0</v>
      </c>
      <c r="B806" s="11" t="s">
        <v>3651</v>
      </c>
      <c r="C806" s="10" t="s">
        <v>22</v>
      </c>
      <c r="D806" s="10" t="s">
        <v>137</v>
      </c>
      <c r="E806" s="13" t="str">
        <f>IFERROR(__xludf.DUMMYFUNCTION("ifna(filter('Yahoo ADP'!$A$2:$A2766,'Yahoo ADP'!$B$2:$B2766=$B806,$C806='Yahoo ADP'!$C$2:$C2766,$D806='Yahoo ADP'!$D$2:$D2766))"),"")</f>
        <v/>
      </c>
      <c r="F806" s="13" t="str">
        <f>IFERROR(__xludf.DUMMYFUNCTION("ifna(filter('Yahoo ADP'!$E$2:$E2766,'Yahoo ADP'!$B$2:$B2766=$B806,$C806='Yahoo ADP'!$C$2:$C2766,$D806='Yahoo ADP'!$D$2:$D2766))"),"-")</f>
        <v>-</v>
      </c>
      <c r="G806" s="27">
        <v>790.0</v>
      </c>
      <c r="H806" s="8">
        <f t="shared" si="1"/>
        <v>-15</v>
      </c>
    </row>
    <row r="807">
      <c r="A807" s="10">
        <v>806.0</v>
      </c>
      <c r="B807" s="11" t="s">
        <v>3652</v>
      </c>
      <c r="C807" s="10" t="s">
        <v>79</v>
      </c>
      <c r="D807" s="10" t="s">
        <v>42</v>
      </c>
      <c r="E807" s="13" t="str">
        <f>IFERROR(__xludf.DUMMYFUNCTION("ifna(filter('Yahoo ADP'!$A$2:$A2766,'Yahoo ADP'!$B$2:$B2766=$B807,$C807='Yahoo ADP'!$C$2:$C2766,$D807='Yahoo ADP'!$D$2:$D2766))"),"")</f>
        <v/>
      </c>
      <c r="F807" s="13" t="str">
        <f>IFERROR(__xludf.DUMMYFUNCTION("ifna(filter('Yahoo ADP'!$E$2:$E2766,'Yahoo ADP'!$B$2:$B2766=$B807,$C807='Yahoo ADP'!$C$2:$C2766,$D807='Yahoo ADP'!$D$2:$D2766))"),"-")</f>
        <v>-</v>
      </c>
      <c r="G807" s="27">
        <v>791.0</v>
      </c>
      <c r="H807" s="8">
        <f t="shared" si="1"/>
        <v>-15</v>
      </c>
    </row>
    <row r="808">
      <c r="A808" s="10">
        <v>807.0</v>
      </c>
      <c r="B808" s="11" t="s">
        <v>3653</v>
      </c>
      <c r="C808" s="10" t="s">
        <v>22</v>
      </c>
      <c r="D808" s="10" t="s">
        <v>15</v>
      </c>
      <c r="E808" s="13" t="str">
        <f>IFERROR(__xludf.DUMMYFUNCTION("ifna(filter('Yahoo ADP'!$A$2:$A2766,'Yahoo ADP'!$B$2:$B2766=$B808,$C808='Yahoo ADP'!$C$2:$C2766,$D808='Yahoo ADP'!$D$2:$D2766))"),"")</f>
        <v/>
      </c>
      <c r="F808" s="13" t="str">
        <f>IFERROR(__xludf.DUMMYFUNCTION("ifna(filter('Yahoo ADP'!$E$2:$E2766,'Yahoo ADP'!$B$2:$B2766=$B808,$C808='Yahoo ADP'!$C$2:$C2766,$D808='Yahoo ADP'!$D$2:$D2766))"),"-")</f>
        <v>-</v>
      </c>
      <c r="G808" s="27">
        <v>792.0</v>
      </c>
      <c r="H808" s="8">
        <f t="shared" si="1"/>
        <v>-15</v>
      </c>
    </row>
    <row r="809">
      <c r="A809" s="10">
        <v>808.0</v>
      </c>
      <c r="B809" s="11" t="s">
        <v>3654</v>
      </c>
      <c r="C809" s="10" t="s">
        <v>22</v>
      </c>
      <c r="D809" s="10" t="s">
        <v>15</v>
      </c>
      <c r="E809" s="13" t="str">
        <f>IFERROR(__xludf.DUMMYFUNCTION("ifna(filter('Yahoo ADP'!$A$2:$A2766,'Yahoo ADP'!$B$2:$B2766=$B809,$C809='Yahoo ADP'!$C$2:$C2766,$D809='Yahoo ADP'!$D$2:$D2766))"),"")</f>
        <v/>
      </c>
      <c r="F809" s="13" t="str">
        <f>IFERROR(__xludf.DUMMYFUNCTION("ifna(filter('Yahoo ADP'!$E$2:$E2766,'Yahoo ADP'!$B$2:$B2766=$B809,$C809='Yahoo ADP'!$C$2:$C2766,$D809='Yahoo ADP'!$D$2:$D2766))"),"-")</f>
        <v>-</v>
      </c>
      <c r="G809" s="27">
        <v>793.0</v>
      </c>
      <c r="H809" s="8">
        <f t="shared" si="1"/>
        <v>-15</v>
      </c>
    </row>
    <row r="810">
      <c r="A810" s="10">
        <v>809.0</v>
      </c>
      <c r="B810" s="11" t="s">
        <v>3655</v>
      </c>
      <c r="C810" s="10" t="s">
        <v>79</v>
      </c>
      <c r="D810" s="10" t="s">
        <v>90</v>
      </c>
      <c r="E810" s="13" t="str">
        <f>IFERROR(__xludf.DUMMYFUNCTION("ifna(filter('Yahoo ADP'!$A$2:$A2766,'Yahoo ADP'!$B$2:$B2766=$B810,$C810='Yahoo ADP'!$C$2:$C2766,$D810='Yahoo ADP'!$D$2:$D2766))"),"")</f>
        <v/>
      </c>
      <c r="F810" s="13" t="str">
        <f>IFERROR(__xludf.DUMMYFUNCTION("ifna(filter('Yahoo ADP'!$E$2:$E2766,'Yahoo ADP'!$B$2:$B2766=$B810,$C810='Yahoo ADP'!$C$2:$C2766,$D810='Yahoo ADP'!$D$2:$D2766))"),"-")</f>
        <v>-</v>
      </c>
      <c r="G810" s="27">
        <v>794.0</v>
      </c>
      <c r="H810" s="8">
        <f t="shared" si="1"/>
        <v>-15</v>
      </c>
    </row>
    <row r="811">
      <c r="A811" s="10">
        <v>810.0</v>
      </c>
      <c r="B811" s="11" t="s">
        <v>3656</v>
      </c>
      <c r="C811" s="10" t="s">
        <v>22</v>
      </c>
      <c r="D811" s="10" t="s">
        <v>15</v>
      </c>
      <c r="E811" s="13" t="str">
        <f>IFERROR(__xludf.DUMMYFUNCTION("ifna(filter('Yahoo ADP'!$A$2:$A2766,'Yahoo ADP'!$B$2:$B2766=$B811,$C811='Yahoo ADP'!$C$2:$C2766,$D811='Yahoo ADP'!$D$2:$D2766))"),"")</f>
        <v/>
      </c>
      <c r="F811" s="13" t="str">
        <f>IFERROR(__xludf.DUMMYFUNCTION("ifna(filter('Yahoo ADP'!$E$2:$E2766,'Yahoo ADP'!$B$2:$B2766=$B811,$C811='Yahoo ADP'!$C$2:$C2766,$D811='Yahoo ADP'!$D$2:$D2766))"),"-")</f>
        <v>-</v>
      </c>
      <c r="G811" s="27">
        <v>795.0</v>
      </c>
      <c r="H811" s="8">
        <f t="shared" si="1"/>
        <v>-15</v>
      </c>
    </row>
    <row r="812">
      <c r="A812" s="10">
        <v>811.0</v>
      </c>
      <c r="B812" s="11" t="s">
        <v>3657</v>
      </c>
      <c r="C812" s="10" t="s">
        <v>79</v>
      </c>
      <c r="D812" s="10" t="s">
        <v>71</v>
      </c>
      <c r="E812" s="13" t="str">
        <f>IFERROR(__xludf.DUMMYFUNCTION("ifna(filter('Yahoo ADP'!$A$2:$A2766,'Yahoo ADP'!$B$2:$B2766=$B812,$C812='Yahoo ADP'!$C$2:$C2766,$D812='Yahoo ADP'!$D$2:$D2766))"),"")</f>
        <v/>
      </c>
      <c r="F812" s="13" t="str">
        <f>IFERROR(__xludf.DUMMYFUNCTION("ifna(filter('Yahoo ADP'!$E$2:$E2766,'Yahoo ADP'!$B$2:$B2766=$B812,$C812='Yahoo ADP'!$C$2:$C2766,$D812='Yahoo ADP'!$D$2:$D2766))"),"-")</f>
        <v>-</v>
      </c>
      <c r="G812" s="27">
        <v>796.0</v>
      </c>
      <c r="H812" s="8">
        <f t="shared" si="1"/>
        <v>-15</v>
      </c>
    </row>
    <row r="813">
      <c r="A813" s="10">
        <v>812.0</v>
      </c>
      <c r="B813" s="11" t="s">
        <v>3658</v>
      </c>
      <c r="C813" s="10" t="s">
        <v>22</v>
      </c>
      <c r="D813" s="10" t="s">
        <v>137</v>
      </c>
      <c r="E813" s="13" t="str">
        <f>IFERROR(__xludf.DUMMYFUNCTION("ifna(filter('Yahoo ADP'!$A$2:$A2766,'Yahoo ADP'!$B$2:$B2766=$B813,$C813='Yahoo ADP'!$C$2:$C2766,$D813='Yahoo ADP'!$D$2:$D2766))"),"")</f>
        <v/>
      </c>
      <c r="F813" s="13" t="str">
        <f>IFERROR(__xludf.DUMMYFUNCTION("ifna(filter('Yahoo ADP'!$E$2:$E2766,'Yahoo ADP'!$B$2:$B2766=$B813,$C813='Yahoo ADP'!$C$2:$C2766,$D813='Yahoo ADP'!$D$2:$D2766))"),"-")</f>
        <v>-</v>
      </c>
      <c r="G813" s="27">
        <v>797.0</v>
      </c>
      <c r="H813" s="8">
        <f t="shared" si="1"/>
        <v>-15</v>
      </c>
    </row>
    <row r="814">
      <c r="A814" s="10">
        <v>813.0</v>
      </c>
      <c r="B814" s="11" t="s">
        <v>3659</v>
      </c>
      <c r="C814" s="10" t="s">
        <v>79</v>
      </c>
      <c r="D814" s="10" t="s">
        <v>34</v>
      </c>
      <c r="E814" s="13" t="str">
        <f>IFERROR(__xludf.DUMMYFUNCTION("ifna(filter('Yahoo ADP'!$A$2:$A2766,'Yahoo ADP'!$B$2:$B2766=$B814,$C814='Yahoo ADP'!$C$2:$C2766,$D814='Yahoo ADP'!$D$2:$D2766))"),"")</f>
        <v/>
      </c>
      <c r="F814" s="13" t="str">
        <f>IFERROR(__xludf.DUMMYFUNCTION("ifna(filter('Yahoo ADP'!$E$2:$E2766,'Yahoo ADP'!$B$2:$B2766=$B814,$C814='Yahoo ADP'!$C$2:$C2766,$D814='Yahoo ADP'!$D$2:$D2766))"),"-")</f>
        <v>-</v>
      </c>
      <c r="G814" s="27">
        <v>798.0</v>
      </c>
      <c r="H814" s="8">
        <f t="shared" si="1"/>
        <v>-15</v>
      </c>
    </row>
    <row r="815">
      <c r="A815" s="10">
        <v>814.0</v>
      </c>
      <c r="B815" s="11" t="s">
        <v>3660</v>
      </c>
      <c r="C815" s="10" t="s">
        <v>22</v>
      </c>
      <c r="D815" s="10" t="s">
        <v>42</v>
      </c>
      <c r="E815" s="13" t="str">
        <f>IFERROR(__xludf.DUMMYFUNCTION("ifna(filter('Yahoo ADP'!$A$2:$A2766,'Yahoo ADP'!$B$2:$B2766=$B815,$C815='Yahoo ADP'!$C$2:$C2766,$D815='Yahoo ADP'!$D$2:$D2766))"),"")</f>
        <v/>
      </c>
      <c r="F815" s="13" t="str">
        <f>IFERROR(__xludf.DUMMYFUNCTION("ifna(filter('Yahoo ADP'!$E$2:$E2766,'Yahoo ADP'!$B$2:$B2766=$B815,$C815='Yahoo ADP'!$C$2:$C2766,$D815='Yahoo ADP'!$D$2:$D2766))"),"-")</f>
        <v>-</v>
      </c>
      <c r="G815" s="27">
        <v>799.0</v>
      </c>
      <c r="H815" s="8">
        <f t="shared" si="1"/>
        <v>-15</v>
      </c>
    </row>
    <row r="816">
      <c r="A816" s="10">
        <v>815.0</v>
      </c>
      <c r="B816" s="11" t="s">
        <v>3661</v>
      </c>
      <c r="C816" s="10" t="s">
        <v>22</v>
      </c>
      <c r="D816" s="10" t="s">
        <v>120</v>
      </c>
      <c r="E816" s="13" t="str">
        <f>IFERROR(__xludf.DUMMYFUNCTION("ifna(filter('Yahoo ADP'!$A$2:$A2766,'Yahoo ADP'!$B$2:$B2766=$B816,$C816='Yahoo ADP'!$C$2:$C2766,$D816='Yahoo ADP'!$D$2:$D2766))"),"")</f>
        <v/>
      </c>
      <c r="F816" s="13" t="str">
        <f>IFERROR(__xludf.DUMMYFUNCTION("ifna(filter('Yahoo ADP'!$E$2:$E2766,'Yahoo ADP'!$B$2:$B2766=$B816,$C816='Yahoo ADP'!$C$2:$C2766,$D816='Yahoo ADP'!$D$2:$D2766))"),"-")</f>
        <v>-</v>
      </c>
      <c r="G816" s="27">
        <v>800.0</v>
      </c>
      <c r="H816" s="8">
        <f t="shared" si="1"/>
        <v>-15</v>
      </c>
    </row>
    <row r="817">
      <c r="A817" s="10">
        <v>816.0</v>
      </c>
      <c r="B817" s="11" t="s">
        <v>3662</v>
      </c>
      <c r="C817" s="10" t="s">
        <v>22</v>
      </c>
      <c r="D817" s="10" t="s">
        <v>67</v>
      </c>
      <c r="E817" s="13" t="str">
        <f>IFERROR(__xludf.DUMMYFUNCTION("ifna(filter('Yahoo ADP'!$A$2:$A2766,'Yahoo ADP'!$B$2:$B2766=$B817,$C817='Yahoo ADP'!$C$2:$C2766,$D817='Yahoo ADP'!$D$2:$D2766))"),"")</f>
        <v/>
      </c>
      <c r="F817" s="13" t="str">
        <f>IFERROR(__xludf.DUMMYFUNCTION("ifna(filter('Yahoo ADP'!$E$2:$E2766,'Yahoo ADP'!$B$2:$B2766=$B817,$C817='Yahoo ADP'!$C$2:$C2766,$D817='Yahoo ADP'!$D$2:$D2766))"),"-")</f>
        <v>-</v>
      </c>
      <c r="G817" s="27">
        <v>801.0</v>
      </c>
      <c r="H817" s="8">
        <f t="shared" si="1"/>
        <v>-15</v>
      </c>
    </row>
    <row r="818">
      <c r="A818" s="10">
        <v>817.0</v>
      </c>
      <c r="B818" s="11" t="s">
        <v>3663</v>
      </c>
      <c r="C818" s="10" t="s">
        <v>22</v>
      </c>
      <c r="D818" s="10" t="s">
        <v>206</v>
      </c>
      <c r="E818" s="13" t="str">
        <f>IFERROR(__xludf.DUMMYFUNCTION("ifna(filter('Yahoo ADP'!$A$2:$A2766,'Yahoo ADP'!$B$2:$B2766=$B818,$C818='Yahoo ADP'!$C$2:$C2766,$D818='Yahoo ADP'!$D$2:$D2766))"),"")</f>
        <v/>
      </c>
      <c r="F818" s="13" t="str">
        <f>IFERROR(__xludf.DUMMYFUNCTION("ifna(filter('Yahoo ADP'!$E$2:$E2766,'Yahoo ADP'!$B$2:$B2766=$B818,$C818='Yahoo ADP'!$C$2:$C2766,$D818='Yahoo ADP'!$D$2:$D2766))"),"-")</f>
        <v>-</v>
      </c>
      <c r="G818" s="27">
        <v>802.0</v>
      </c>
      <c r="H818" s="8">
        <f t="shared" si="1"/>
        <v>-15</v>
      </c>
    </row>
    <row r="819">
      <c r="A819" s="10">
        <v>818.0</v>
      </c>
      <c r="B819" s="11" t="s">
        <v>3664</v>
      </c>
      <c r="C819" s="10" t="s">
        <v>22</v>
      </c>
      <c r="D819" s="10" t="s">
        <v>12</v>
      </c>
      <c r="E819" s="13" t="str">
        <f>IFERROR(__xludf.DUMMYFUNCTION("ifna(filter('Yahoo ADP'!$A$2:$A2766,'Yahoo ADP'!$B$2:$B2766=$B819,$C819='Yahoo ADP'!$C$2:$C2766,$D819='Yahoo ADP'!$D$2:$D2766))"),"")</f>
        <v/>
      </c>
      <c r="F819" s="13" t="str">
        <f>IFERROR(__xludf.DUMMYFUNCTION("ifna(filter('Yahoo ADP'!$E$2:$E2766,'Yahoo ADP'!$B$2:$B2766=$B819,$C819='Yahoo ADP'!$C$2:$C2766,$D819='Yahoo ADP'!$D$2:$D2766))"),"-")</f>
        <v>-</v>
      </c>
      <c r="G819" s="27">
        <v>803.0</v>
      </c>
      <c r="H819" s="8">
        <f t="shared" si="1"/>
        <v>-15</v>
      </c>
    </row>
    <row r="820">
      <c r="A820" s="10">
        <v>819.0</v>
      </c>
      <c r="B820" s="11" t="s">
        <v>3665</v>
      </c>
      <c r="C820" s="10" t="s">
        <v>22</v>
      </c>
      <c r="D820" s="10" t="s">
        <v>18</v>
      </c>
      <c r="E820" s="13" t="str">
        <f>IFERROR(__xludf.DUMMYFUNCTION("ifna(filter('Yahoo ADP'!$A$2:$A2766,'Yahoo ADP'!$B$2:$B2766=$B820,$C820='Yahoo ADP'!$C$2:$C2766,$D820='Yahoo ADP'!$D$2:$D2766))"),"")</f>
        <v/>
      </c>
      <c r="F820" s="13" t="str">
        <f>IFERROR(__xludf.DUMMYFUNCTION("ifna(filter('Yahoo ADP'!$E$2:$E2766,'Yahoo ADP'!$B$2:$B2766=$B820,$C820='Yahoo ADP'!$C$2:$C2766,$D820='Yahoo ADP'!$D$2:$D2766))"),"-")</f>
        <v>-</v>
      </c>
      <c r="G820" s="27">
        <v>804.0</v>
      </c>
      <c r="H820" s="8">
        <f t="shared" si="1"/>
        <v>-15</v>
      </c>
    </row>
    <row r="821">
      <c r="A821" s="10">
        <v>820.0</v>
      </c>
      <c r="B821" s="11" t="s">
        <v>3666</v>
      </c>
      <c r="C821" s="10" t="s">
        <v>22</v>
      </c>
      <c r="D821" s="10" t="s">
        <v>31</v>
      </c>
      <c r="E821" s="13" t="str">
        <f>IFERROR(__xludf.DUMMYFUNCTION("ifna(filter('Yahoo ADP'!$A$2:$A2766,'Yahoo ADP'!$B$2:$B2766=$B821,$C821='Yahoo ADP'!$C$2:$C2766,$D821='Yahoo ADP'!$D$2:$D2766))"),"")</f>
        <v/>
      </c>
      <c r="F821" s="13" t="str">
        <f>IFERROR(__xludf.DUMMYFUNCTION("ifna(filter('Yahoo ADP'!$E$2:$E2766,'Yahoo ADP'!$B$2:$B2766=$B821,$C821='Yahoo ADP'!$C$2:$C2766,$D821='Yahoo ADP'!$D$2:$D2766))"),"-")</f>
        <v>-</v>
      </c>
      <c r="G821" s="27">
        <v>805.0</v>
      </c>
      <c r="H821" s="8">
        <f t="shared" si="1"/>
        <v>-15</v>
      </c>
    </row>
    <row r="822">
      <c r="A822" s="10">
        <v>821.0</v>
      </c>
      <c r="B822" s="11" t="s">
        <v>3667</v>
      </c>
      <c r="C822" s="10" t="s">
        <v>79</v>
      </c>
      <c r="D822" s="10" t="s">
        <v>120</v>
      </c>
      <c r="E822" s="13" t="str">
        <f>IFERROR(__xludf.DUMMYFUNCTION("ifna(filter('Yahoo ADP'!$A$2:$A2766,'Yahoo ADP'!$B$2:$B2766=$B822,$C822='Yahoo ADP'!$C$2:$C2766,$D822='Yahoo ADP'!$D$2:$D2766))"),"")</f>
        <v/>
      </c>
      <c r="F822" s="13" t="str">
        <f>IFERROR(__xludf.DUMMYFUNCTION("ifna(filter('Yahoo ADP'!$E$2:$E2766,'Yahoo ADP'!$B$2:$B2766=$B822,$C822='Yahoo ADP'!$C$2:$C2766,$D822='Yahoo ADP'!$D$2:$D2766))"),"-")</f>
        <v>-</v>
      </c>
      <c r="G822" s="27">
        <v>806.0</v>
      </c>
      <c r="H822" s="8">
        <f t="shared" si="1"/>
        <v>-15</v>
      </c>
    </row>
    <row r="823">
      <c r="A823" s="10">
        <v>822.0</v>
      </c>
      <c r="B823" s="11" t="s">
        <v>3668</v>
      </c>
      <c r="C823" s="10" t="s">
        <v>22</v>
      </c>
      <c r="D823" s="10" t="s">
        <v>122</v>
      </c>
      <c r="E823" s="13" t="str">
        <f>IFERROR(__xludf.DUMMYFUNCTION("ifna(filter('Yahoo ADP'!$A$2:$A2766,'Yahoo ADP'!$B$2:$B2766=$B823,$C823='Yahoo ADP'!$C$2:$C2766,$D823='Yahoo ADP'!$D$2:$D2766))"),"")</f>
        <v/>
      </c>
      <c r="F823" s="13" t="str">
        <f>IFERROR(__xludf.DUMMYFUNCTION("ifna(filter('Yahoo ADP'!$E$2:$E2766,'Yahoo ADP'!$B$2:$B2766=$B823,$C823='Yahoo ADP'!$C$2:$C2766,$D823='Yahoo ADP'!$D$2:$D2766))"),"-")</f>
        <v>-</v>
      </c>
      <c r="G823" s="27">
        <v>807.0</v>
      </c>
      <c r="H823" s="8">
        <f t="shared" si="1"/>
        <v>-15</v>
      </c>
    </row>
    <row r="824">
      <c r="A824" s="10">
        <v>823.0</v>
      </c>
      <c r="B824" s="11" t="s">
        <v>3669</v>
      </c>
      <c r="C824" s="10" t="s">
        <v>22</v>
      </c>
      <c r="D824" s="10" t="s">
        <v>206</v>
      </c>
      <c r="E824" s="13" t="str">
        <f>IFERROR(__xludf.DUMMYFUNCTION("ifna(filter('Yahoo ADP'!$A$2:$A2766,'Yahoo ADP'!$B$2:$B2766=$B824,$C824='Yahoo ADP'!$C$2:$C2766,$D824='Yahoo ADP'!$D$2:$D2766))"),"")</f>
        <v/>
      </c>
      <c r="F824" s="13" t="str">
        <f>IFERROR(__xludf.DUMMYFUNCTION("ifna(filter('Yahoo ADP'!$E$2:$E2766,'Yahoo ADP'!$B$2:$B2766=$B824,$C824='Yahoo ADP'!$C$2:$C2766,$D824='Yahoo ADP'!$D$2:$D2766))"),"-")</f>
        <v>-</v>
      </c>
      <c r="G824" s="27">
        <v>808.0</v>
      </c>
      <c r="H824" s="8">
        <f t="shared" si="1"/>
        <v>-15</v>
      </c>
    </row>
    <row r="825">
      <c r="A825" s="10">
        <v>824.0</v>
      </c>
      <c r="B825" s="11" t="s">
        <v>3670</v>
      </c>
      <c r="C825" s="10" t="s">
        <v>22</v>
      </c>
      <c r="D825" s="10" t="s">
        <v>137</v>
      </c>
      <c r="E825" s="13" t="str">
        <f>IFERROR(__xludf.DUMMYFUNCTION("ifna(filter('Yahoo ADP'!$A$2:$A2766,'Yahoo ADP'!$B$2:$B2766=$B825,$C825='Yahoo ADP'!$C$2:$C2766,$D825='Yahoo ADP'!$D$2:$D2766))"),"")</f>
        <v/>
      </c>
      <c r="F825" s="13" t="str">
        <f>IFERROR(__xludf.DUMMYFUNCTION("ifna(filter('Yahoo ADP'!$E$2:$E2766,'Yahoo ADP'!$B$2:$B2766=$B825,$C825='Yahoo ADP'!$C$2:$C2766,$D825='Yahoo ADP'!$D$2:$D2766))"),"-")</f>
        <v>-</v>
      </c>
      <c r="G825" s="27">
        <v>809.0</v>
      </c>
      <c r="H825" s="8">
        <f t="shared" si="1"/>
        <v>-15</v>
      </c>
    </row>
    <row r="826">
      <c r="A826" s="10">
        <v>825.0</v>
      </c>
      <c r="B826" s="11" t="s">
        <v>3671</v>
      </c>
      <c r="C826" s="10" t="s">
        <v>22</v>
      </c>
      <c r="D826" s="10" t="s">
        <v>46</v>
      </c>
      <c r="E826" s="13" t="str">
        <f>IFERROR(__xludf.DUMMYFUNCTION("ifna(filter('Yahoo ADP'!$A$2:$A2766,'Yahoo ADP'!$B$2:$B2766=$B826,$C826='Yahoo ADP'!$C$2:$C2766,$D826='Yahoo ADP'!$D$2:$D2766))"),"")</f>
        <v/>
      </c>
      <c r="F826" s="13" t="str">
        <f>IFERROR(__xludf.DUMMYFUNCTION("ifna(filter('Yahoo ADP'!$E$2:$E2766,'Yahoo ADP'!$B$2:$B2766=$B826,$C826='Yahoo ADP'!$C$2:$C2766,$D826='Yahoo ADP'!$D$2:$D2766))"),"-")</f>
        <v>-</v>
      </c>
      <c r="G826" s="27">
        <v>810.0</v>
      </c>
      <c r="H826" s="8">
        <f t="shared" si="1"/>
        <v>-15</v>
      </c>
    </row>
    <row r="827">
      <c r="A827" s="10">
        <v>826.0</v>
      </c>
      <c r="B827" s="11" t="s">
        <v>3672</v>
      </c>
      <c r="C827" s="10" t="s">
        <v>79</v>
      </c>
      <c r="D827" s="10" t="s">
        <v>52</v>
      </c>
      <c r="E827" s="13" t="str">
        <f>IFERROR(__xludf.DUMMYFUNCTION("ifna(filter('Yahoo ADP'!$A$2:$A2766,'Yahoo ADP'!$B$2:$B2766=$B827,$C827='Yahoo ADP'!$C$2:$C2766,$D827='Yahoo ADP'!$D$2:$D2766))"),"")</f>
        <v/>
      </c>
      <c r="F827" s="13" t="str">
        <f>IFERROR(__xludf.DUMMYFUNCTION("ifna(filter('Yahoo ADP'!$E$2:$E2766,'Yahoo ADP'!$B$2:$B2766=$B827,$C827='Yahoo ADP'!$C$2:$C2766,$D827='Yahoo ADP'!$D$2:$D2766))"),"-")</f>
        <v>-</v>
      </c>
      <c r="G827" s="27">
        <v>811.0</v>
      </c>
      <c r="H827" s="8">
        <f t="shared" si="1"/>
        <v>-15</v>
      </c>
    </row>
    <row r="828">
      <c r="A828" s="10">
        <v>827.0</v>
      </c>
      <c r="B828" s="11" t="s">
        <v>3673</v>
      </c>
      <c r="C828" s="10" t="s">
        <v>22</v>
      </c>
      <c r="D828" s="10" t="s">
        <v>90</v>
      </c>
      <c r="E828" s="13" t="str">
        <f>IFERROR(__xludf.DUMMYFUNCTION("ifna(filter('Yahoo ADP'!$A$2:$A2766,'Yahoo ADP'!$B$2:$B2766=$B828,$C828='Yahoo ADP'!$C$2:$C2766,$D828='Yahoo ADP'!$D$2:$D2766))"),"")</f>
        <v/>
      </c>
      <c r="F828" s="13" t="str">
        <f>IFERROR(__xludf.DUMMYFUNCTION("ifna(filter('Yahoo ADP'!$E$2:$E2766,'Yahoo ADP'!$B$2:$B2766=$B828,$C828='Yahoo ADP'!$C$2:$C2766,$D828='Yahoo ADP'!$D$2:$D2766))"),"-")</f>
        <v>-</v>
      </c>
      <c r="G828" s="27">
        <v>812.0</v>
      </c>
      <c r="H828" s="8">
        <f t="shared" si="1"/>
        <v>-15</v>
      </c>
    </row>
    <row r="829">
      <c r="A829" s="10">
        <v>828.0</v>
      </c>
      <c r="B829" s="11" t="s">
        <v>3674</v>
      </c>
      <c r="C829" s="10" t="s">
        <v>22</v>
      </c>
      <c r="D829" s="10" t="s">
        <v>82</v>
      </c>
      <c r="E829" s="13" t="str">
        <f>IFERROR(__xludf.DUMMYFUNCTION("ifna(filter('Yahoo ADP'!$A$2:$A2766,'Yahoo ADP'!$B$2:$B2766=$B829,$C829='Yahoo ADP'!$C$2:$C2766,$D829='Yahoo ADP'!$D$2:$D2766))"),"")</f>
        <v/>
      </c>
      <c r="F829" s="13" t="str">
        <f>IFERROR(__xludf.DUMMYFUNCTION("ifna(filter('Yahoo ADP'!$E$2:$E2766,'Yahoo ADP'!$B$2:$B2766=$B829,$C829='Yahoo ADP'!$C$2:$C2766,$D829='Yahoo ADP'!$D$2:$D2766))"),"-")</f>
        <v>-</v>
      </c>
      <c r="G829" s="27">
        <v>813.0</v>
      </c>
      <c r="H829" s="8">
        <f t="shared" si="1"/>
        <v>-15</v>
      </c>
    </row>
    <row r="830">
      <c r="A830" s="10">
        <v>829.0</v>
      </c>
      <c r="B830" s="11" t="s">
        <v>3675</v>
      </c>
      <c r="C830" s="10" t="s">
        <v>22</v>
      </c>
      <c r="D830" s="10" t="s">
        <v>105</v>
      </c>
      <c r="E830" s="13" t="str">
        <f>IFERROR(__xludf.DUMMYFUNCTION("ifna(filter('Yahoo ADP'!$A$2:$A2766,'Yahoo ADP'!$B$2:$B2766=$B830,$C830='Yahoo ADP'!$C$2:$C2766,$D830='Yahoo ADP'!$D$2:$D2766))"),"")</f>
        <v/>
      </c>
      <c r="F830" s="13" t="str">
        <f>IFERROR(__xludf.DUMMYFUNCTION("ifna(filter('Yahoo ADP'!$E$2:$E2766,'Yahoo ADP'!$B$2:$B2766=$B830,$C830='Yahoo ADP'!$C$2:$C2766,$D830='Yahoo ADP'!$D$2:$D2766))"),"-")</f>
        <v>-</v>
      </c>
      <c r="G830" s="27">
        <v>814.0</v>
      </c>
      <c r="H830" s="8">
        <f t="shared" si="1"/>
        <v>-15</v>
      </c>
    </row>
    <row r="831">
      <c r="A831" s="10">
        <v>830.0</v>
      </c>
      <c r="B831" s="11" t="s">
        <v>3676</v>
      </c>
      <c r="C831" s="10" t="s">
        <v>22</v>
      </c>
      <c r="D831" s="10" t="s">
        <v>140</v>
      </c>
      <c r="E831" s="13" t="str">
        <f>IFERROR(__xludf.DUMMYFUNCTION("ifna(filter('Yahoo ADP'!$A$2:$A2766,'Yahoo ADP'!$B$2:$B2766=$B831,$C831='Yahoo ADP'!$C$2:$C2766,$D831='Yahoo ADP'!$D$2:$D2766))"),"")</f>
        <v/>
      </c>
      <c r="F831" s="13" t="str">
        <f>IFERROR(__xludf.DUMMYFUNCTION("ifna(filter('Yahoo ADP'!$E$2:$E2766,'Yahoo ADP'!$B$2:$B2766=$B831,$C831='Yahoo ADP'!$C$2:$C2766,$D831='Yahoo ADP'!$D$2:$D2766))"),"-")</f>
        <v>-</v>
      </c>
      <c r="G831" s="27">
        <v>815.0</v>
      </c>
      <c r="H831" s="8">
        <f t="shared" si="1"/>
        <v>-15</v>
      </c>
    </row>
    <row r="832">
      <c r="A832" s="10">
        <v>831.0</v>
      </c>
      <c r="B832" s="11" t="s">
        <v>3677</v>
      </c>
      <c r="C832" s="10" t="s">
        <v>22</v>
      </c>
      <c r="D832" s="10" t="s">
        <v>140</v>
      </c>
      <c r="E832" s="13" t="str">
        <f>IFERROR(__xludf.DUMMYFUNCTION("ifna(filter('Yahoo ADP'!$A$2:$A2766,'Yahoo ADP'!$B$2:$B2766=$B832,$C832='Yahoo ADP'!$C$2:$C2766,$D832='Yahoo ADP'!$D$2:$D2766))"),"")</f>
        <v/>
      </c>
      <c r="F832" s="13" t="str">
        <f>IFERROR(__xludf.DUMMYFUNCTION("ifna(filter('Yahoo ADP'!$E$2:$E2766,'Yahoo ADP'!$B$2:$B2766=$B832,$C832='Yahoo ADP'!$C$2:$C2766,$D832='Yahoo ADP'!$D$2:$D2766))"),"-")</f>
        <v>-</v>
      </c>
      <c r="G832" s="27">
        <v>816.0</v>
      </c>
      <c r="H832" s="8">
        <f t="shared" si="1"/>
        <v>-15</v>
      </c>
    </row>
    <row r="833">
      <c r="A833" s="10">
        <v>832.0</v>
      </c>
      <c r="B833" s="11" t="s">
        <v>3678</v>
      </c>
      <c r="C833" s="10" t="s">
        <v>22</v>
      </c>
      <c r="D833" s="10" t="s">
        <v>67</v>
      </c>
      <c r="E833" s="13" t="str">
        <f>IFERROR(__xludf.DUMMYFUNCTION("ifna(filter('Yahoo ADP'!$A$2:$A2766,'Yahoo ADP'!$B$2:$B2766=$B833,$C833='Yahoo ADP'!$C$2:$C2766,$D833='Yahoo ADP'!$D$2:$D2766))"),"")</f>
        <v/>
      </c>
      <c r="F833" s="13" t="str">
        <f>IFERROR(__xludf.DUMMYFUNCTION("ifna(filter('Yahoo ADP'!$E$2:$E2766,'Yahoo ADP'!$B$2:$B2766=$B833,$C833='Yahoo ADP'!$C$2:$C2766,$D833='Yahoo ADP'!$D$2:$D2766))"),"-")</f>
        <v>-</v>
      </c>
      <c r="G833" s="27">
        <v>817.0</v>
      </c>
      <c r="H833" s="8">
        <f t="shared" si="1"/>
        <v>-15</v>
      </c>
    </row>
    <row r="834">
      <c r="A834" s="10">
        <v>833.0</v>
      </c>
      <c r="B834" s="11" t="s">
        <v>3679</v>
      </c>
      <c r="C834" s="10" t="s">
        <v>22</v>
      </c>
      <c r="D834" s="10" t="s">
        <v>140</v>
      </c>
      <c r="E834" s="13" t="str">
        <f>IFERROR(__xludf.DUMMYFUNCTION("ifna(filter('Yahoo ADP'!$A$2:$A2766,'Yahoo ADP'!$B$2:$B2766=$B834,$C834='Yahoo ADP'!$C$2:$C2766,$D834='Yahoo ADP'!$D$2:$D2766))"),"")</f>
        <v/>
      </c>
      <c r="F834" s="13" t="str">
        <f>IFERROR(__xludf.DUMMYFUNCTION("ifna(filter('Yahoo ADP'!$E$2:$E2766,'Yahoo ADP'!$B$2:$B2766=$B834,$C834='Yahoo ADP'!$C$2:$C2766,$D834='Yahoo ADP'!$D$2:$D2766))"),"-")</f>
        <v>-</v>
      </c>
      <c r="G834" s="27">
        <v>818.0</v>
      </c>
      <c r="H834" s="8">
        <f t="shared" si="1"/>
        <v>-15</v>
      </c>
    </row>
    <row r="835">
      <c r="A835" s="10">
        <v>834.0</v>
      </c>
      <c r="B835" s="11" t="s">
        <v>3680</v>
      </c>
      <c r="C835" s="10" t="s">
        <v>22</v>
      </c>
      <c r="D835" s="10" t="s">
        <v>90</v>
      </c>
      <c r="E835" s="13" t="str">
        <f>IFERROR(__xludf.DUMMYFUNCTION("ifna(filter('Yahoo ADP'!$A$2:$A2766,'Yahoo ADP'!$B$2:$B2766=$B835,$C835='Yahoo ADP'!$C$2:$C2766,$D835='Yahoo ADP'!$D$2:$D2766))"),"")</f>
        <v/>
      </c>
      <c r="F835" s="13" t="str">
        <f>IFERROR(__xludf.DUMMYFUNCTION("ifna(filter('Yahoo ADP'!$E$2:$E2766,'Yahoo ADP'!$B$2:$B2766=$B835,$C835='Yahoo ADP'!$C$2:$C2766,$D835='Yahoo ADP'!$D$2:$D2766))"),"-")</f>
        <v>-</v>
      </c>
      <c r="G835" s="27">
        <v>819.0</v>
      </c>
      <c r="H835" s="8">
        <f t="shared" si="1"/>
        <v>-15</v>
      </c>
    </row>
    <row r="836">
      <c r="A836" s="10">
        <v>835.0</v>
      </c>
      <c r="B836" s="11" t="s">
        <v>3681</v>
      </c>
      <c r="C836" s="10" t="s">
        <v>79</v>
      </c>
      <c r="D836" s="10" t="s">
        <v>46</v>
      </c>
      <c r="E836" s="13" t="str">
        <f>IFERROR(__xludf.DUMMYFUNCTION("ifna(filter('Yahoo ADP'!$A$2:$A2766,'Yahoo ADP'!$B$2:$B2766=$B836,$C836='Yahoo ADP'!$C$2:$C2766,$D836='Yahoo ADP'!$D$2:$D2766))"),"")</f>
        <v/>
      </c>
      <c r="F836" s="13" t="str">
        <f>IFERROR(__xludf.DUMMYFUNCTION("ifna(filter('Yahoo ADP'!$E$2:$E2766,'Yahoo ADP'!$B$2:$B2766=$B836,$C836='Yahoo ADP'!$C$2:$C2766,$D836='Yahoo ADP'!$D$2:$D2766))"),"-")</f>
        <v>-</v>
      </c>
      <c r="G836" s="27">
        <v>820.0</v>
      </c>
      <c r="H836" s="8">
        <f t="shared" si="1"/>
        <v>-15</v>
      </c>
    </row>
    <row r="837">
      <c r="A837" s="10">
        <v>836.0</v>
      </c>
      <c r="B837" s="11" t="s">
        <v>3682</v>
      </c>
      <c r="C837" s="10" t="s">
        <v>22</v>
      </c>
      <c r="D837" s="10" t="s">
        <v>85</v>
      </c>
      <c r="E837" s="13" t="str">
        <f>IFERROR(__xludf.DUMMYFUNCTION("ifna(filter('Yahoo ADP'!$A$2:$A2766,'Yahoo ADP'!$B$2:$B2766=$B837,$C837='Yahoo ADP'!$C$2:$C2766,$D837='Yahoo ADP'!$D$2:$D2766))"),"")</f>
        <v/>
      </c>
      <c r="F837" s="13" t="str">
        <f>IFERROR(__xludf.DUMMYFUNCTION("ifna(filter('Yahoo ADP'!$E$2:$E2766,'Yahoo ADP'!$B$2:$B2766=$B837,$C837='Yahoo ADP'!$C$2:$C2766,$D837='Yahoo ADP'!$D$2:$D2766))"),"-")</f>
        <v>-</v>
      </c>
      <c r="G837" s="27">
        <v>821.0</v>
      </c>
      <c r="H837" s="8">
        <f t="shared" si="1"/>
        <v>-15</v>
      </c>
    </row>
    <row r="838">
      <c r="A838" s="10">
        <v>837.0</v>
      </c>
      <c r="B838" s="11" t="s">
        <v>3683</v>
      </c>
      <c r="C838" s="10" t="s">
        <v>22</v>
      </c>
      <c r="D838" s="10" t="s">
        <v>34</v>
      </c>
      <c r="E838" s="13" t="str">
        <f>IFERROR(__xludf.DUMMYFUNCTION("ifna(filter('Yahoo ADP'!$A$2:$A2766,'Yahoo ADP'!$B$2:$B2766=$B838,$C838='Yahoo ADP'!$C$2:$C2766,$D838='Yahoo ADP'!$D$2:$D2766))"),"")</f>
        <v/>
      </c>
      <c r="F838" s="13" t="str">
        <f>IFERROR(__xludf.DUMMYFUNCTION("ifna(filter('Yahoo ADP'!$E$2:$E2766,'Yahoo ADP'!$B$2:$B2766=$B838,$C838='Yahoo ADP'!$C$2:$C2766,$D838='Yahoo ADP'!$D$2:$D2766))"),"-")</f>
        <v>-</v>
      </c>
      <c r="G838" s="27">
        <v>822.0</v>
      </c>
      <c r="H838" s="8">
        <f t="shared" si="1"/>
        <v>-15</v>
      </c>
    </row>
    <row r="839">
      <c r="A839" s="10">
        <v>838.0</v>
      </c>
      <c r="B839" s="11" t="s">
        <v>3684</v>
      </c>
      <c r="C839" s="10" t="s">
        <v>79</v>
      </c>
      <c r="D839" s="10" t="s">
        <v>9</v>
      </c>
      <c r="E839" s="13" t="str">
        <f>IFERROR(__xludf.DUMMYFUNCTION("ifna(filter('Yahoo ADP'!$A$2:$A2766,'Yahoo ADP'!$B$2:$B2766=$B839,$C839='Yahoo ADP'!$C$2:$C2766,$D839='Yahoo ADP'!$D$2:$D2766))"),"")</f>
        <v/>
      </c>
      <c r="F839" s="13" t="str">
        <f>IFERROR(__xludf.DUMMYFUNCTION("ifna(filter('Yahoo ADP'!$E$2:$E2766,'Yahoo ADP'!$B$2:$B2766=$B839,$C839='Yahoo ADP'!$C$2:$C2766,$D839='Yahoo ADP'!$D$2:$D2766))"),"-")</f>
        <v>-</v>
      </c>
      <c r="G839" s="27">
        <v>823.0</v>
      </c>
      <c r="H839" s="8">
        <f t="shared" si="1"/>
        <v>-15</v>
      </c>
    </row>
    <row r="840">
      <c r="A840" s="10">
        <v>839.0</v>
      </c>
      <c r="B840" s="11" t="s">
        <v>3685</v>
      </c>
      <c r="C840" s="10" t="s">
        <v>22</v>
      </c>
      <c r="D840" s="10" t="s">
        <v>95</v>
      </c>
      <c r="E840" s="13" t="str">
        <f>IFERROR(__xludf.DUMMYFUNCTION("ifna(filter('Yahoo ADP'!$A$2:$A2766,'Yahoo ADP'!$B$2:$B2766=$B840,$C840='Yahoo ADP'!$C$2:$C2766,$D840='Yahoo ADP'!$D$2:$D2766))"),"")</f>
        <v/>
      </c>
      <c r="F840" s="13" t="str">
        <f>IFERROR(__xludf.DUMMYFUNCTION("ifna(filter('Yahoo ADP'!$E$2:$E2766,'Yahoo ADP'!$B$2:$B2766=$B840,$C840='Yahoo ADP'!$C$2:$C2766,$D840='Yahoo ADP'!$D$2:$D2766))"),"-")</f>
        <v>-</v>
      </c>
      <c r="G840" s="27">
        <v>824.0</v>
      </c>
      <c r="H840" s="8">
        <f t="shared" si="1"/>
        <v>-15</v>
      </c>
    </row>
    <row r="841">
      <c r="A841" s="10">
        <v>840.0</v>
      </c>
      <c r="B841" s="11" t="s">
        <v>3686</v>
      </c>
      <c r="C841" s="10" t="s">
        <v>22</v>
      </c>
      <c r="D841" s="10" t="s">
        <v>85</v>
      </c>
      <c r="E841" s="13" t="str">
        <f>IFERROR(__xludf.DUMMYFUNCTION("ifna(filter('Yahoo ADP'!$A$2:$A2766,'Yahoo ADP'!$B$2:$B2766=$B841,$C841='Yahoo ADP'!$C$2:$C2766,$D841='Yahoo ADP'!$D$2:$D2766))"),"")</f>
        <v/>
      </c>
      <c r="F841" s="13" t="str">
        <f>IFERROR(__xludf.DUMMYFUNCTION("ifna(filter('Yahoo ADP'!$E$2:$E2766,'Yahoo ADP'!$B$2:$B2766=$B841,$C841='Yahoo ADP'!$C$2:$C2766,$D841='Yahoo ADP'!$D$2:$D2766))"),"-")</f>
        <v>-</v>
      </c>
      <c r="G841" s="27">
        <v>825.0</v>
      </c>
      <c r="H841" s="8">
        <f t="shared" si="1"/>
        <v>-15</v>
      </c>
    </row>
    <row r="842">
      <c r="A842" s="10">
        <v>841.0</v>
      </c>
      <c r="B842" s="11" t="s">
        <v>3687</v>
      </c>
      <c r="C842" s="10" t="s">
        <v>22</v>
      </c>
      <c r="D842" s="10" t="s">
        <v>12</v>
      </c>
      <c r="E842" s="13" t="str">
        <f>IFERROR(__xludf.DUMMYFUNCTION("ifna(filter('Yahoo ADP'!$A$2:$A2766,'Yahoo ADP'!$B$2:$B2766=$B842,$C842='Yahoo ADP'!$C$2:$C2766,$D842='Yahoo ADP'!$D$2:$D2766))"),"")</f>
        <v/>
      </c>
      <c r="F842" s="13" t="str">
        <f>IFERROR(__xludf.DUMMYFUNCTION("ifna(filter('Yahoo ADP'!$E$2:$E2766,'Yahoo ADP'!$B$2:$B2766=$B842,$C842='Yahoo ADP'!$C$2:$C2766,$D842='Yahoo ADP'!$D$2:$D2766))"),"-")</f>
        <v>-</v>
      </c>
      <c r="G842" s="27">
        <v>826.0</v>
      </c>
      <c r="H842" s="8">
        <f t="shared" si="1"/>
        <v>-15</v>
      </c>
    </row>
    <row r="843">
      <c r="A843" s="10">
        <v>842.0</v>
      </c>
      <c r="B843" s="11" t="s">
        <v>3688</v>
      </c>
      <c r="C843" s="10" t="s">
        <v>22</v>
      </c>
      <c r="D843" s="10" t="s">
        <v>67</v>
      </c>
      <c r="E843" s="13" t="str">
        <f>IFERROR(__xludf.DUMMYFUNCTION("ifna(filter('Yahoo ADP'!$A$2:$A2766,'Yahoo ADP'!$B$2:$B2766=$B843,$C843='Yahoo ADP'!$C$2:$C2766,$D843='Yahoo ADP'!$D$2:$D2766))"),"")</f>
        <v/>
      </c>
      <c r="F843" s="13" t="str">
        <f>IFERROR(__xludf.DUMMYFUNCTION("ifna(filter('Yahoo ADP'!$E$2:$E2766,'Yahoo ADP'!$B$2:$B2766=$B843,$C843='Yahoo ADP'!$C$2:$C2766,$D843='Yahoo ADP'!$D$2:$D2766))"),"-")</f>
        <v>-</v>
      </c>
      <c r="G843" s="27">
        <v>827.0</v>
      </c>
      <c r="H843" s="8">
        <f t="shared" si="1"/>
        <v>-15</v>
      </c>
    </row>
    <row r="844">
      <c r="A844" s="10">
        <v>843.0</v>
      </c>
      <c r="B844" s="11" t="s">
        <v>3689</v>
      </c>
      <c r="C844" s="10" t="s">
        <v>22</v>
      </c>
      <c r="D844" s="10" t="s">
        <v>140</v>
      </c>
      <c r="E844" s="13" t="str">
        <f>IFERROR(__xludf.DUMMYFUNCTION("ifna(filter('Yahoo ADP'!$A$2:$A2766,'Yahoo ADP'!$B$2:$B2766=$B844,$C844='Yahoo ADP'!$C$2:$C2766,$D844='Yahoo ADP'!$D$2:$D2766))"),"")</f>
        <v/>
      </c>
      <c r="F844" s="13" t="str">
        <f>IFERROR(__xludf.DUMMYFUNCTION("ifna(filter('Yahoo ADP'!$E$2:$E2766,'Yahoo ADP'!$B$2:$B2766=$B844,$C844='Yahoo ADP'!$C$2:$C2766,$D844='Yahoo ADP'!$D$2:$D2766))"),"-")</f>
        <v>-</v>
      </c>
      <c r="G844" s="27">
        <v>828.0</v>
      </c>
      <c r="H844" s="8">
        <f t="shared" si="1"/>
        <v>-15</v>
      </c>
    </row>
    <row r="845">
      <c r="A845" s="10">
        <v>844.0</v>
      </c>
      <c r="B845" s="11" t="s">
        <v>3690</v>
      </c>
      <c r="C845" s="10" t="s">
        <v>22</v>
      </c>
      <c r="D845" s="10" t="s">
        <v>25</v>
      </c>
      <c r="E845" s="13" t="str">
        <f>IFERROR(__xludf.DUMMYFUNCTION("ifna(filter('Yahoo ADP'!$A$2:$A2766,'Yahoo ADP'!$B$2:$B2766=$B845,$C845='Yahoo ADP'!$C$2:$C2766,$D845='Yahoo ADP'!$D$2:$D2766))"),"")</f>
        <v/>
      </c>
      <c r="F845" s="13" t="str">
        <f>IFERROR(__xludf.DUMMYFUNCTION("ifna(filter('Yahoo ADP'!$E$2:$E2766,'Yahoo ADP'!$B$2:$B2766=$B845,$C845='Yahoo ADP'!$C$2:$C2766,$D845='Yahoo ADP'!$D$2:$D2766))"),"-")</f>
        <v>-</v>
      </c>
      <c r="G845" s="27">
        <v>829.0</v>
      </c>
      <c r="H845" s="8">
        <f t="shared" si="1"/>
        <v>-15</v>
      </c>
    </row>
    <row r="846">
      <c r="A846" s="10">
        <v>845.0</v>
      </c>
      <c r="B846" s="11" t="s">
        <v>3691</v>
      </c>
      <c r="C846" s="10" t="s">
        <v>79</v>
      </c>
      <c r="D846" s="10" t="s">
        <v>140</v>
      </c>
      <c r="E846" s="13" t="str">
        <f>IFERROR(__xludf.DUMMYFUNCTION("ifna(filter('Yahoo ADP'!$A$2:$A2766,'Yahoo ADP'!$B$2:$B2766=$B846,$C846='Yahoo ADP'!$C$2:$C2766,$D846='Yahoo ADP'!$D$2:$D2766))"),"")</f>
        <v/>
      </c>
      <c r="F846" s="13" t="str">
        <f>IFERROR(__xludf.DUMMYFUNCTION("ifna(filter('Yahoo ADP'!$E$2:$E2766,'Yahoo ADP'!$B$2:$B2766=$B846,$C846='Yahoo ADP'!$C$2:$C2766,$D846='Yahoo ADP'!$D$2:$D2766))"),"-")</f>
        <v>-</v>
      </c>
      <c r="G846" s="27">
        <v>830.0</v>
      </c>
      <c r="H846" s="8">
        <f t="shared" si="1"/>
        <v>-15</v>
      </c>
    </row>
    <row r="847">
      <c r="A847" s="10">
        <v>846.0</v>
      </c>
      <c r="B847" s="11" t="s">
        <v>3692</v>
      </c>
      <c r="C847" s="10" t="s">
        <v>22</v>
      </c>
      <c r="D847" s="10" t="s">
        <v>206</v>
      </c>
      <c r="E847" s="13" t="str">
        <f>IFERROR(__xludf.DUMMYFUNCTION("ifna(filter('Yahoo ADP'!$A$2:$A2766,'Yahoo ADP'!$B$2:$B2766=$B847,$C847='Yahoo ADP'!$C$2:$C2766,$D847='Yahoo ADP'!$D$2:$D2766))"),"")</f>
        <v/>
      </c>
      <c r="F847" s="13" t="str">
        <f>IFERROR(__xludf.DUMMYFUNCTION("ifna(filter('Yahoo ADP'!$E$2:$E2766,'Yahoo ADP'!$B$2:$B2766=$B847,$C847='Yahoo ADP'!$C$2:$C2766,$D847='Yahoo ADP'!$D$2:$D2766))"),"-")</f>
        <v>-</v>
      </c>
      <c r="G847" s="27">
        <v>831.0</v>
      </c>
      <c r="H847" s="8">
        <f t="shared" si="1"/>
        <v>-15</v>
      </c>
    </row>
    <row r="848">
      <c r="A848" s="10">
        <v>847.0</v>
      </c>
      <c r="B848" s="11" t="s">
        <v>3693</v>
      </c>
      <c r="C848" s="10" t="s">
        <v>79</v>
      </c>
      <c r="D848" s="10" t="s">
        <v>46</v>
      </c>
      <c r="E848" s="13" t="str">
        <f>IFERROR(__xludf.DUMMYFUNCTION("ifna(filter('Yahoo ADP'!$A$2:$A2766,'Yahoo ADP'!$B$2:$B2766=$B848,$C848='Yahoo ADP'!$C$2:$C2766,$D848='Yahoo ADP'!$D$2:$D2766))"),"")</f>
        <v/>
      </c>
      <c r="F848" s="13" t="str">
        <f>IFERROR(__xludf.DUMMYFUNCTION("ifna(filter('Yahoo ADP'!$E$2:$E2766,'Yahoo ADP'!$B$2:$B2766=$B848,$C848='Yahoo ADP'!$C$2:$C2766,$D848='Yahoo ADP'!$D$2:$D2766))"),"-")</f>
        <v>-</v>
      </c>
      <c r="G848" s="27">
        <v>832.0</v>
      </c>
      <c r="H848" s="8">
        <f t="shared" si="1"/>
        <v>-15</v>
      </c>
    </row>
    <row r="849">
      <c r="A849" s="10">
        <v>848.0</v>
      </c>
      <c r="B849" s="11" t="s">
        <v>3694</v>
      </c>
      <c r="C849" s="10" t="s">
        <v>22</v>
      </c>
      <c r="D849" s="10" t="s">
        <v>52</v>
      </c>
      <c r="E849" s="13" t="str">
        <f>IFERROR(__xludf.DUMMYFUNCTION("ifna(filter('Yahoo ADP'!$A$2:$A2766,'Yahoo ADP'!$B$2:$B2766=$B849,$C849='Yahoo ADP'!$C$2:$C2766,$D849='Yahoo ADP'!$D$2:$D2766))"),"")</f>
        <v/>
      </c>
      <c r="F849" s="13" t="str">
        <f>IFERROR(__xludf.DUMMYFUNCTION("ifna(filter('Yahoo ADP'!$E$2:$E2766,'Yahoo ADP'!$B$2:$B2766=$B849,$C849='Yahoo ADP'!$C$2:$C2766,$D849='Yahoo ADP'!$D$2:$D2766))"),"-")</f>
        <v>-</v>
      </c>
      <c r="G849" s="27">
        <v>833.0</v>
      </c>
      <c r="H849" s="8">
        <f t="shared" si="1"/>
        <v>-15</v>
      </c>
    </row>
    <row r="850">
      <c r="A850" s="10">
        <v>849.0</v>
      </c>
      <c r="B850" s="11" t="s">
        <v>3695</v>
      </c>
      <c r="C850" s="10" t="s">
        <v>79</v>
      </c>
      <c r="D850" s="10" t="s">
        <v>137</v>
      </c>
      <c r="E850" s="13" t="str">
        <f>IFERROR(__xludf.DUMMYFUNCTION("ifna(filter('Yahoo ADP'!$A$2:$A2766,'Yahoo ADP'!$B$2:$B2766=$B850,$C850='Yahoo ADP'!$C$2:$C2766,$D850='Yahoo ADP'!$D$2:$D2766))"),"")</f>
        <v/>
      </c>
      <c r="F850" s="13" t="str">
        <f>IFERROR(__xludf.DUMMYFUNCTION("ifna(filter('Yahoo ADP'!$E$2:$E2766,'Yahoo ADP'!$B$2:$B2766=$B850,$C850='Yahoo ADP'!$C$2:$C2766,$D850='Yahoo ADP'!$D$2:$D2766))"),"-")</f>
        <v>-</v>
      </c>
      <c r="G850" s="27">
        <v>834.0</v>
      </c>
      <c r="H850" s="8">
        <f t="shared" si="1"/>
        <v>-15</v>
      </c>
    </row>
    <row r="851">
      <c r="A851" s="10">
        <v>850.0</v>
      </c>
      <c r="B851" s="11" t="s">
        <v>3696</v>
      </c>
      <c r="C851" s="10" t="s">
        <v>22</v>
      </c>
      <c r="D851" s="10" t="s">
        <v>9</v>
      </c>
      <c r="E851" s="13" t="str">
        <f>IFERROR(__xludf.DUMMYFUNCTION("ifna(filter('Yahoo ADP'!$A$2:$A2766,'Yahoo ADP'!$B$2:$B2766=$B851,$C851='Yahoo ADP'!$C$2:$C2766,$D851='Yahoo ADP'!$D$2:$D2766))"),"")</f>
        <v/>
      </c>
      <c r="F851" s="13" t="str">
        <f>IFERROR(__xludf.DUMMYFUNCTION("ifna(filter('Yahoo ADP'!$E$2:$E2766,'Yahoo ADP'!$B$2:$B2766=$B851,$C851='Yahoo ADP'!$C$2:$C2766,$D851='Yahoo ADP'!$D$2:$D2766))"),"")</f>
        <v/>
      </c>
      <c r="G851" s="27">
        <v>835.0</v>
      </c>
      <c r="H851" s="8">
        <f t="shared" si="1"/>
        <v>-15</v>
      </c>
    </row>
    <row r="852">
      <c r="A852" s="10">
        <v>851.0</v>
      </c>
      <c r="B852" s="11" t="s">
        <v>3697</v>
      </c>
      <c r="C852" s="10" t="s">
        <v>22</v>
      </c>
      <c r="D852" s="10" t="s">
        <v>49</v>
      </c>
      <c r="E852" s="13" t="str">
        <f>IFERROR(__xludf.DUMMYFUNCTION("ifna(filter('Yahoo ADP'!$A$2:$A2766,'Yahoo ADP'!$B$2:$B2766=$B852,$C852='Yahoo ADP'!$C$2:$C2766,$D852='Yahoo ADP'!$D$2:$D2766))"),"")</f>
        <v/>
      </c>
      <c r="F852" s="13" t="str">
        <f>IFERROR(__xludf.DUMMYFUNCTION("ifna(filter('Yahoo ADP'!$E$2:$E2766,'Yahoo ADP'!$B$2:$B2766=$B852,$C852='Yahoo ADP'!$C$2:$C2766,$D852='Yahoo ADP'!$D$2:$D2766))"),"-")</f>
        <v>-</v>
      </c>
      <c r="G852" s="27">
        <v>836.0</v>
      </c>
      <c r="H852" s="8">
        <f t="shared" si="1"/>
        <v>-15</v>
      </c>
    </row>
    <row r="853">
      <c r="A853" s="10">
        <v>852.0</v>
      </c>
      <c r="B853" s="11" t="s">
        <v>3698</v>
      </c>
      <c r="C853" s="10" t="s">
        <v>22</v>
      </c>
      <c r="D853" s="10" t="s">
        <v>25</v>
      </c>
      <c r="E853" s="13" t="str">
        <f>IFERROR(__xludf.DUMMYFUNCTION("ifna(filter('Yahoo ADP'!$A$2:$A2766,'Yahoo ADP'!$B$2:$B2766=$B853,$C853='Yahoo ADP'!$C$2:$C2766,$D853='Yahoo ADP'!$D$2:$D2766))"),"")</f>
        <v/>
      </c>
      <c r="F853" s="13" t="str">
        <f>IFERROR(__xludf.DUMMYFUNCTION("ifna(filter('Yahoo ADP'!$E$2:$E2766,'Yahoo ADP'!$B$2:$B2766=$B853,$C853='Yahoo ADP'!$C$2:$C2766,$D853='Yahoo ADP'!$D$2:$D2766))"),"-")</f>
        <v>-</v>
      </c>
      <c r="G853" s="27">
        <v>837.0</v>
      </c>
      <c r="H853" s="8">
        <f t="shared" si="1"/>
        <v>-15</v>
      </c>
    </row>
    <row r="854">
      <c r="A854" s="10">
        <v>853.0</v>
      </c>
      <c r="B854" s="11" t="s">
        <v>3699</v>
      </c>
      <c r="C854" s="10" t="s">
        <v>79</v>
      </c>
      <c r="D854" s="10" t="s">
        <v>36</v>
      </c>
      <c r="E854" s="13" t="str">
        <f>IFERROR(__xludf.DUMMYFUNCTION("ifna(filter('Yahoo ADP'!$A$2:$A2766,'Yahoo ADP'!$B$2:$B2766=$B854,$C854='Yahoo ADP'!$C$2:$C2766,$D854='Yahoo ADP'!$D$2:$D2766))"),"")</f>
        <v/>
      </c>
      <c r="F854" s="13" t="str">
        <f>IFERROR(__xludf.DUMMYFUNCTION("ifna(filter('Yahoo ADP'!$E$2:$E2766,'Yahoo ADP'!$B$2:$B2766=$B854,$C854='Yahoo ADP'!$C$2:$C2766,$D854='Yahoo ADP'!$D$2:$D2766))"),"-")</f>
        <v>-</v>
      </c>
      <c r="G854" s="27">
        <v>838.0</v>
      </c>
      <c r="H854" s="8">
        <f t="shared" si="1"/>
        <v>-15</v>
      </c>
    </row>
    <row r="855">
      <c r="A855" s="10">
        <v>854.0</v>
      </c>
      <c r="B855" s="11" t="s">
        <v>3700</v>
      </c>
      <c r="C855" s="10" t="s">
        <v>22</v>
      </c>
      <c r="D855" s="10" t="s">
        <v>73</v>
      </c>
      <c r="E855" s="13">
        <f>IFERROR(__xludf.DUMMYFUNCTION("ifna(filter('Yahoo ADP'!$A$2:$A2766,'Yahoo ADP'!$B$2:$B2766=$B855,$C855='Yahoo ADP'!$C$2:$C2766,$D855='Yahoo ADP'!$D$2:$D2766))"),243.9)</f>
        <v>243.9</v>
      </c>
      <c r="F855" s="13">
        <f>IFERROR(__xludf.DUMMYFUNCTION("ifna(filter('Yahoo ADP'!$E$2:$E2766,'Yahoo ADP'!$B$2:$B2766=$B855,$C855='Yahoo ADP'!$C$2:$C2766,$D855='Yahoo ADP'!$D$2:$D2766))"),1.2)</f>
        <v>1.2</v>
      </c>
      <c r="G855" s="27">
        <v>839.0</v>
      </c>
      <c r="H855" s="8">
        <f t="shared" si="1"/>
        <v>-15</v>
      </c>
    </row>
    <row r="856">
      <c r="A856" s="10">
        <v>855.0</v>
      </c>
      <c r="B856" s="11" t="s">
        <v>3701</v>
      </c>
      <c r="C856" s="10" t="s">
        <v>79</v>
      </c>
      <c r="D856" s="10" t="s">
        <v>113</v>
      </c>
      <c r="E856" s="13" t="str">
        <f>IFERROR(__xludf.DUMMYFUNCTION("ifna(filter('Yahoo ADP'!$A$2:$A2766,'Yahoo ADP'!$B$2:$B2766=$B856,$C856='Yahoo ADP'!$C$2:$C2766,$D856='Yahoo ADP'!$D$2:$D2766))"),"")</f>
        <v/>
      </c>
      <c r="F856" s="13" t="str">
        <f>IFERROR(__xludf.DUMMYFUNCTION("ifna(filter('Yahoo ADP'!$E$2:$E2766,'Yahoo ADP'!$B$2:$B2766=$B856,$C856='Yahoo ADP'!$C$2:$C2766,$D856='Yahoo ADP'!$D$2:$D2766))"),"-")</f>
        <v>-</v>
      </c>
      <c r="G856" s="27">
        <v>840.0</v>
      </c>
      <c r="H856" s="8">
        <f t="shared" si="1"/>
        <v>-15</v>
      </c>
    </row>
    <row r="857">
      <c r="A857" s="10">
        <v>856.0</v>
      </c>
      <c r="B857" s="11" t="s">
        <v>3702</v>
      </c>
      <c r="C857" s="10" t="s">
        <v>22</v>
      </c>
      <c r="D857" s="10" t="s">
        <v>27</v>
      </c>
      <c r="E857" s="13" t="str">
        <f>IFERROR(__xludf.DUMMYFUNCTION("ifna(filter('Yahoo ADP'!$A$2:$A2766,'Yahoo ADP'!$B$2:$B2766=$B857,$C857='Yahoo ADP'!$C$2:$C2766,$D857='Yahoo ADP'!$D$2:$D2766))"),"")</f>
        <v/>
      </c>
      <c r="F857" s="13" t="str">
        <f>IFERROR(__xludf.DUMMYFUNCTION("ifna(filter('Yahoo ADP'!$E$2:$E2766,'Yahoo ADP'!$B$2:$B2766=$B857,$C857='Yahoo ADP'!$C$2:$C2766,$D857='Yahoo ADP'!$D$2:$D2766))"),"-")</f>
        <v>-</v>
      </c>
      <c r="G857" s="27">
        <v>841.0</v>
      </c>
      <c r="H857" s="8">
        <f t="shared" si="1"/>
        <v>-15</v>
      </c>
    </row>
    <row r="858">
      <c r="A858" s="10">
        <v>857.0</v>
      </c>
      <c r="B858" s="11" t="s">
        <v>3703</v>
      </c>
      <c r="C858" s="10" t="s">
        <v>22</v>
      </c>
      <c r="D858" s="10" t="s">
        <v>99</v>
      </c>
      <c r="E858" s="13" t="str">
        <f>IFERROR(__xludf.DUMMYFUNCTION("ifna(filter('Yahoo ADP'!$A$2:$A2766,'Yahoo ADP'!$B$2:$B2766=$B858,$C858='Yahoo ADP'!$C$2:$C2766,$D858='Yahoo ADP'!$D$2:$D2766))"),"")</f>
        <v/>
      </c>
      <c r="F858" s="13" t="str">
        <f>IFERROR(__xludf.DUMMYFUNCTION("ifna(filter('Yahoo ADP'!$E$2:$E2766,'Yahoo ADP'!$B$2:$B2766=$B858,$C858='Yahoo ADP'!$C$2:$C2766,$D858='Yahoo ADP'!$D$2:$D2766))"),"-")</f>
        <v>-</v>
      </c>
      <c r="G858" s="27">
        <v>842.0</v>
      </c>
      <c r="H858" s="8">
        <f t="shared" si="1"/>
        <v>-15</v>
      </c>
    </row>
    <row r="859">
      <c r="A859" s="10">
        <v>858.0</v>
      </c>
      <c r="B859" s="11" t="s">
        <v>3704</v>
      </c>
      <c r="C859" s="10" t="s">
        <v>22</v>
      </c>
      <c r="D859" s="10" t="s">
        <v>12</v>
      </c>
      <c r="E859" s="13" t="str">
        <f>IFERROR(__xludf.DUMMYFUNCTION("ifna(filter('Yahoo ADP'!$A$2:$A2766,'Yahoo ADP'!$B$2:$B2766=$B859,$C859='Yahoo ADP'!$C$2:$C2766,$D859='Yahoo ADP'!$D$2:$D2766))"),"")</f>
        <v/>
      </c>
      <c r="F859" s="13" t="str">
        <f>IFERROR(__xludf.DUMMYFUNCTION("ifna(filter('Yahoo ADP'!$E$2:$E2766,'Yahoo ADP'!$B$2:$B2766=$B859,$C859='Yahoo ADP'!$C$2:$C2766,$D859='Yahoo ADP'!$D$2:$D2766))"),"-")</f>
        <v>-</v>
      </c>
      <c r="G859" s="27">
        <v>843.0</v>
      </c>
      <c r="H859" s="8">
        <f t="shared" si="1"/>
        <v>-15</v>
      </c>
    </row>
    <row r="860">
      <c r="A860" s="10">
        <v>859.0</v>
      </c>
      <c r="B860" s="11" t="s">
        <v>3705</v>
      </c>
      <c r="C860" s="10" t="s">
        <v>79</v>
      </c>
      <c r="D860" s="10" t="s">
        <v>49</v>
      </c>
      <c r="E860" s="13" t="str">
        <f>IFERROR(__xludf.DUMMYFUNCTION("ifna(filter('Yahoo ADP'!$A$2:$A2766,'Yahoo ADP'!$B$2:$B2766=$B860,$C860='Yahoo ADP'!$C$2:$C2766,$D860='Yahoo ADP'!$D$2:$D2766))"),"")</f>
        <v/>
      </c>
      <c r="F860" s="13" t="str">
        <f>IFERROR(__xludf.DUMMYFUNCTION("ifna(filter('Yahoo ADP'!$E$2:$E2766,'Yahoo ADP'!$B$2:$B2766=$B860,$C860='Yahoo ADP'!$C$2:$C2766,$D860='Yahoo ADP'!$D$2:$D2766))"),"-")</f>
        <v>-</v>
      </c>
      <c r="G860" s="27">
        <v>844.0</v>
      </c>
      <c r="H860" s="8">
        <f t="shared" si="1"/>
        <v>-15</v>
      </c>
    </row>
    <row r="861">
      <c r="A861" s="10">
        <v>860.0</v>
      </c>
      <c r="B861" s="11" t="s">
        <v>3706</v>
      </c>
      <c r="C861" s="10" t="s">
        <v>22</v>
      </c>
      <c r="D861" s="10" t="s">
        <v>113</v>
      </c>
      <c r="E861" s="13" t="str">
        <f>IFERROR(__xludf.DUMMYFUNCTION("ifna(filter('Yahoo ADP'!$A$2:$A2766,'Yahoo ADP'!$B$2:$B2766=$B861,$C861='Yahoo ADP'!$C$2:$C2766,$D861='Yahoo ADP'!$D$2:$D2766))"),"")</f>
        <v/>
      </c>
      <c r="F861" s="13" t="str">
        <f>IFERROR(__xludf.DUMMYFUNCTION("ifna(filter('Yahoo ADP'!$E$2:$E2766,'Yahoo ADP'!$B$2:$B2766=$B861,$C861='Yahoo ADP'!$C$2:$C2766,$D861='Yahoo ADP'!$D$2:$D2766))"),"-")</f>
        <v>-</v>
      </c>
      <c r="G861" s="27">
        <v>845.0</v>
      </c>
      <c r="H861" s="8">
        <f t="shared" si="1"/>
        <v>-15</v>
      </c>
    </row>
    <row r="862">
      <c r="A862" s="10">
        <v>861.0</v>
      </c>
      <c r="B862" s="11" t="s">
        <v>3707</v>
      </c>
      <c r="C862" s="10" t="s">
        <v>79</v>
      </c>
      <c r="D862" s="10" t="s">
        <v>67</v>
      </c>
      <c r="E862" s="13" t="str">
        <f>IFERROR(__xludf.DUMMYFUNCTION("ifna(filter('Yahoo ADP'!$A$2:$A2766,'Yahoo ADP'!$B$2:$B2766=$B862,$C862='Yahoo ADP'!$C$2:$C2766,$D862='Yahoo ADP'!$D$2:$D2766))"),"")</f>
        <v/>
      </c>
      <c r="F862" s="13" t="str">
        <f>IFERROR(__xludf.DUMMYFUNCTION("ifna(filter('Yahoo ADP'!$E$2:$E2766,'Yahoo ADP'!$B$2:$B2766=$B862,$C862='Yahoo ADP'!$C$2:$C2766,$D862='Yahoo ADP'!$D$2:$D2766))"),"-")</f>
        <v>-</v>
      </c>
      <c r="G862" s="27">
        <v>846.0</v>
      </c>
      <c r="H862" s="8">
        <f t="shared" si="1"/>
        <v>-15</v>
      </c>
    </row>
    <row r="863">
      <c r="A863" s="10">
        <v>862.0</v>
      </c>
      <c r="B863" s="11" t="s">
        <v>3708</v>
      </c>
      <c r="C863" s="10" t="s">
        <v>79</v>
      </c>
      <c r="D863" s="10" t="s">
        <v>52</v>
      </c>
      <c r="E863" s="13" t="str">
        <f>IFERROR(__xludf.DUMMYFUNCTION("ifna(filter('Yahoo ADP'!$A$2:$A2766,'Yahoo ADP'!$B$2:$B2766=$B863,$C863='Yahoo ADP'!$C$2:$C2766,$D863='Yahoo ADP'!$D$2:$D2766))"),"")</f>
        <v/>
      </c>
      <c r="F863" s="13" t="str">
        <f>IFERROR(__xludf.DUMMYFUNCTION("ifna(filter('Yahoo ADP'!$E$2:$E2766,'Yahoo ADP'!$B$2:$B2766=$B863,$C863='Yahoo ADP'!$C$2:$C2766,$D863='Yahoo ADP'!$D$2:$D2766))"),"-")</f>
        <v>-</v>
      </c>
      <c r="G863" s="27">
        <v>847.0</v>
      </c>
      <c r="H863" s="8">
        <f t="shared" si="1"/>
        <v>-15</v>
      </c>
    </row>
    <row r="864">
      <c r="A864" s="10">
        <v>863.0</v>
      </c>
      <c r="B864" s="11" t="s">
        <v>3709</v>
      </c>
      <c r="C864" s="10" t="s">
        <v>22</v>
      </c>
      <c r="D864" s="10" t="s">
        <v>113</v>
      </c>
      <c r="E864" s="13" t="str">
        <f>IFERROR(__xludf.DUMMYFUNCTION("ifna(filter('Yahoo ADP'!$A$2:$A2766,'Yahoo ADP'!$B$2:$B2766=$B864,$C864='Yahoo ADP'!$C$2:$C2766,$D864='Yahoo ADP'!$D$2:$D2766))"),"")</f>
        <v/>
      </c>
      <c r="F864" s="13" t="str">
        <f>IFERROR(__xludf.DUMMYFUNCTION("ifna(filter('Yahoo ADP'!$E$2:$E2766,'Yahoo ADP'!$B$2:$B2766=$B864,$C864='Yahoo ADP'!$C$2:$C2766,$D864='Yahoo ADP'!$D$2:$D2766))"),"-")</f>
        <v>-</v>
      </c>
      <c r="G864" s="27">
        <v>848.0</v>
      </c>
      <c r="H864" s="8">
        <f t="shared" si="1"/>
        <v>-15</v>
      </c>
    </row>
    <row r="865">
      <c r="A865" s="10">
        <v>864.0</v>
      </c>
      <c r="B865" s="11" t="s">
        <v>3710</v>
      </c>
      <c r="C865" s="10" t="s">
        <v>22</v>
      </c>
      <c r="D865" s="10" t="s">
        <v>15</v>
      </c>
      <c r="E865" s="13" t="str">
        <f>IFERROR(__xludf.DUMMYFUNCTION("ifna(filter('Yahoo ADP'!$A$2:$A2766,'Yahoo ADP'!$B$2:$B2766=$B865,$C865='Yahoo ADP'!$C$2:$C2766,$D865='Yahoo ADP'!$D$2:$D2766))"),"")</f>
        <v/>
      </c>
      <c r="F865" s="13" t="str">
        <f>IFERROR(__xludf.DUMMYFUNCTION("ifna(filter('Yahoo ADP'!$E$2:$E2766,'Yahoo ADP'!$B$2:$B2766=$B865,$C865='Yahoo ADP'!$C$2:$C2766,$D865='Yahoo ADP'!$D$2:$D2766))"),"-")</f>
        <v>-</v>
      </c>
      <c r="G865" s="27">
        <v>849.0</v>
      </c>
      <c r="H865" s="8">
        <f t="shared" si="1"/>
        <v>-15</v>
      </c>
    </row>
    <row r="866">
      <c r="A866" s="10">
        <v>865.0</v>
      </c>
      <c r="B866" s="11" t="s">
        <v>3711</v>
      </c>
      <c r="C866" s="10" t="s">
        <v>22</v>
      </c>
      <c r="D866" s="10" t="s">
        <v>9</v>
      </c>
      <c r="E866" s="13" t="str">
        <f>IFERROR(__xludf.DUMMYFUNCTION("ifna(filter('Yahoo ADP'!$A$2:$A2766,'Yahoo ADP'!$B$2:$B2766=$B866,$C866='Yahoo ADP'!$C$2:$C2766,$D866='Yahoo ADP'!$D$2:$D2766))"),"")</f>
        <v/>
      </c>
      <c r="F866" s="13" t="str">
        <f>IFERROR(__xludf.DUMMYFUNCTION("ifna(filter('Yahoo ADP'!$E$2:$E2766,'Yahoo ADP'!$B$2:$B2766=$B866,$C866='Yahoo ADP'!$C$2:$C2766,$D866='Yahoo ADP'!$D$2:$D2766))"),"-")</f>
        <v>-</v>
      </c>
      <c r="G866" s="27">
        <v>850.0</v>
      </c>
      <c r="H866" s="8">
        <f t="shared" si="1"/>
        <v>-15</v>
      </c>
    </row>
    <row r="867">
      <c r="A867" s="10">
        <v>866.0</v>
      </c>
      <c r="B867" s="11" t="s">
        <v>3712</v>
      </c>
      <c r="C867" s="10" t="s">
        <v>22</v>
      </c>
      <c r="D867" s="10" t="s">
        <v>85</v>
      </c>
      <c r="E867" s="13" t="str">
        <f>IFERROR(__xludf.DUMMYFUNCTION("ifna(filter('Yahoo ADP'!$A$2:$A2766,'Yahoo ADP'!$B$2:$B2766=$B867,$C867='Yahoo ADP'!$C$2:$C2766,$D867='Yahoo ADP'!$D$2:$D2766))"),"")</f>
        <v/>
      </c>
      <c r="F867" s="13" t="str">
        <f>IFERROR(__xludf.DUMMYFUNCTION("ifna(filter('Yahoo ADP'!$E$2:$E2766,'Yahoo ADP'!$B$2:$B2766=$B867,$C867='Yahoo ADP'!$C$2:$C2766,$D867='Yahoo ADP'!$D$2:$D2766))"),"-")</f>
        <v>-</v>
      </c>
      <c r="G867" s="27">
        <v>851.0</v>
      </c>
      <c r="H867" s="8">
        <f t="shared" si="1"/>
        <v>-15</v>
      </c>
    </row>
    <row r="868">
      <c r="A868" s="10">
        <v>867.0</v>
      </c>
      <c r="B868" s="11" t="s">
        <v>3713</v>
      </c>
      <c r="C868" s="10" t="s">
        <v>22</v>
      </c>
      <c r="D868" s="10" t="s">
        <v>105</v>
      </c>
      <c r="E868" s="13" t="str">
        <f>IFERROR(__xludf.DUMMYFUNCTION("ifna(filter('Yahoo ADP'!$A$2:$A2766,'Yahoo ADP'!$B$2:$B2766=$B868,$C868='Yahoo ADP'!$C$2:$C2766,$D868='Yahoo ADP'!$D$2:$D2766))"),"")</f>
        <v/>
      </c>
      <c r="F868" s="13" t="str">
        <f>IFERROR(__xludf.DUMMYFUNCTION("ifna(filter('Yahoo ADP'!$E$2:$E2766,'Yahoo ADP'!$B$2:$B2766=$B868,$C868='Yahoo ADP'!$C$2:$C2766,$D868='Yahoo ADP'!$D$2:$D2766))"),"-")</f>
        <v>-</v>
      </c>
      <c r="G868" s="27">
        <v>852.0</v>
      </c>
      <c r="H868" s="8">
        <f t="shared" si="1"/>
        <v>-15</v>
      </c>
    </row>
    <row r="869">
      <c r="A869" s="10">
        <v>868.0</v>
      </c>
      <c r="B869" s="11" t="s">
        <v>3714</v>
      </c>
      <c r="C869" s="10" t="s">
        <v>22</v>
      </c>
      <c r="D869" s="10" t="s">
        <v>31</v>
      </c>
      <c r="E869" s="13" t="str">
        <f>IFERROR(__xludf.DUMMYFUNCTION("ifna(filter('Yahoo ADP'!$A$2:$A2766,'Yahoo ADP'!$B$2:$B2766=$B869,$C869='Yahoo ADP'!$C$2:$C2766,$D869='Yahoo ADP'!$D$2:$D2766))"),"")</f>
        <v/>
      </c>
      <c r="F869" s="13" t="str">
        <f>IFERROR(__xludf.DUMMYFUNCTION("ifna(filter('Yahoo ADP'!$E$2:$E2766,'Yahoo ADP'!$B$2:$B2766=$B869,$C869='Yahoo ADP'!$C$2:$C2766,$D869='Yahoo ADP'!$D$2:$D2766))"),"-")</f>
        <v>-</v>
      </c>
      <c r="G869" s="27">
        <v>853.0</v>
      </c>
      <c r="H869" s="8">
        <f t="shared" si="1"/>
        <v>-15</v>
      </c>
    </row>
    <row r="870">
      <c r="A870" s="10">
        <v>869.0</v>
      </c>
      <c r="B870" s="11" t="s">
        <v>3715</v>
      </c>
      <c r="C870" s="10" t="s">
        <v>22</v>
      </c>
      <c r="D870" s="10" t="s">
        <v>129</v>
      </c>
      <c r="E870" s="13" t="str">
        <f>IFERROR(__xludf.DUMMYFUNCTION("ifna(filter('Yahoo ADP'!$A$2:$A2766,'Yahoo ADP'!$B$2:$B2766=$B870,$C870='Yahoo ADP'!$C$2:$C2766,$D870='Yahoo ADP'!$D$2:$D2766))"),"")</f>
        <v/>
      </c>
      <c r="F870" s="13" t="str">
        <f>IFERROR(__xludf.DUMMYFUNCTION("ifna(filter('Yahoo ADP'!$E$2:$E2766,'Yahoo ADP'!$B$2:$B2766=$B870,$C870='Yahoo ADP'!$C$2:$C2766,$D870='Yahoo ADP'!$D$2:$D2766))"),"-")</f>
        <v>-</v>
      </c>
      <c r="G870" s="27">
        <v>854.0</v>
      </c>
      <c r="H870" s="8">
        <f t="shared" si="1"/>
        <v>-15</v>
      </c>
    </row>
    <row r="871">
      <c r="A871" s="10">
        <v>870.0</v>
      </c>
      <c r="B871" s="11" t="s">
        <v>3716</v>
      </c>
      <c r="C871" s="10" t="s">
        <v>22</v>
      </c>
      <c r="D871" s="10" t="s">
        <v>90</v>
      </c>
      <c r="E871" s="13" t="str">
        <f>IFERROR(__xludf.DUMMYFUNCTION("ifna(filter('Yahoo ADP'!$A$2:$A2766,'Yahoo ADP'!$B$2:$B2766=$B871,$C871='Yahoo ADP'!$C$2:$C2766,$D871='Yahoo ADP'!$D$2:$D2766))"),"")</f>
        <v/>
      </c>
      <c r="F871" s="13" t="str">
        <f>IFERROR(__xludf.DUMMYFUNCTION("ifna(filter('Yahoo ADP'!$E$2:$E2766,'Yahoo ADP'!$B$2:$B2766=$B871,$C871='Yahoo ADP'!$C$2:$C2766,$D871='Yahoo ADP'!$D$2:$D2766))"),"-")</f>
        <v>-</v>
      </c>
      <c r="G871" s="27">
        <v>855.0</v>
      </c>
      <c r="H871" s="8">
        <f t="shared" si="1"/>
        <v>-15</v>
      </c>
    </row>
    <row r="872">
      <c r="A872" s="10">
        <v>871.0</v>
      </c>
      <c r="B872" s="11" t="s">
        <v>3717</v>
      </c>
      <c r="C872" s="10" t="s">
        <v>22</v>
      </c>
      <c r="D872" s="10" t="s">
        <v>27</v>
      </c>
      <c r="E872" s="13" t="str">
        <f>IFERROR(__xludf.DUMMYFUNCTION("ifna(filter('Yahoo ADP'!$A$2:$A2766,'Yahoo ADP'!$B$2:$B2766=$B872,$C872='Yahoo ADP'!$C$2:$C2766,$D872='Yahoo ADP'!$D$2:$D2766))"),"")</f>
        <v/>
      </c>
      <c r="F872" s="13" t="str">
        <f>IFERROR(__xludf.DUMMYFUNCTION("ifna(filter('Yahoo ADP'!$E$2:$E2766,'Yahoo ADP'!$B$2:$B2766=$B872,$C872='Yahoo ADP'!$C$2:$C2766,$D872='Yahoo ADP'!$D$2:$D2766))"),"-")</f>
        <v>-</v>
      </c>
      <c r="G872" s="27">
        <v>856.0</v>
      </c>
      <c r="H872" s="8">
        <f t="shared" si="1"/>
        <v>-15</v>
      </c>
    </row>
    <row r="873">
      <c r="A873" s="10">
        <v>872.0</v>
      </c>
      <c r="B873" s="11" t="s">
        <v>3718</v>
      </c>
      <c r="C873" s="10" t="s">
        <v>79</v>
      </c>
      <c r="D873" s="10" t="s">
        <v>99</v>
      </c>
      <c r="E873" s="13" t="str">
        <f>IFERROR(__xludf.DUMMYFUNCTION("ifna(filter('Yahoo ADP'!$A$2:$A2766,'Yahoo ADP'!$B$2:$B2766=$B873,$C873='Yahoo ADP'!$C$2:$C2766,$D873='Yahoo ADP'!$D$2:$D2766))"),"")</f>
        <v/>
      </c>
      <c r="F873" s="13" t="str">
        <f>IFERROR(__xludf.DUMMYFUNCTION("ifna(filter('Yahoo ADP'!$E$2:$E2766,'Yahoo ADP'!$B$2:$B2766=$B873,$C873='Yahoo ADP'!$C$2:$C2766,$D873='Yahoo ADP'!$D$2:$D2766))"),"-")</f>
        <v>-</v>
      </c>
      <c r="G873" s="27">
        <v>857.0</v>
      </c>
      <c r="H873" s="8">
        <f t="shared" si="1"/>
        <v>-15</v>
      </c>
    </row>
    <row r="874">
      <c r="A874" s="10">
        <v>873.0</v>
      </c>
      <c r="B874" s="11" t="s">
        <v>3719</v>
      </c>
      <c r="C874" s="10" t="s">
        <v>22</v>
      </c>
      <c r="D874" s="10" t="s">
        <v>36</v>
      </c>
      <c r="E874" s="13" t="str">
        <f>IFERROR(__xludf.DUMMYFUNCTION("ifna(filter('Yahoo ADP'!$A$2:$A2766,'Yahoo ADP'!$B$2:$B2766=$B874,$C874='Yahoo ADP'!$C$2:$C2766,$D874='Yahoo ADP'!$D$2:$D2766))"),"")</f>
        <v/>
      </c>
      <c r="F874" s="13" t="str">
        <f>IFERROR(__xludf.DUMMYFUNCTION("ifna(filter('Yahoo ADP'!$E$2:$E2766,'Yahoo ADP'!$B$2:$B2766=$B874,$C874='Yahoo ADP'!$C$2:$C2766,$D874='Yahoo ADP'!$D$2:$D2766))"),"-")</f>
        <v>-</v>
      </c>
      <c r="G874" s="27">
        <v>858.0</v>
      </c>
      <c r="H874" s="8">
        <f t="shared" si="1"/>
        <v>-15</v>
      </c>
    </row>
    <row r="875">
      <c r="A875" s="10">
        <v>874.0</v>
      </c>
      <c r="B875" s="11" t="s">
        <v>3720</v>
      </c>
      <c r="C875" s="10" t="s">
        <v>79</v>
      </c>
      <c r="D875" s="10" t="s">
        <v>90</v>
      </c>
      <c r="E875" s="13" t="str">
        <f>IFERROR(__xludf.DUMMYFUNCTION("ifna(filter('Yahoo ADP'!$A$2:$A2766,'Yahoo ADP'!$B$2:$B2766=$B875,$C875='Yahoo ADP'!$C$2:$C2766,$D875='Yahoo ADP'!$D$2:$D2766))"),"")</f>
        <v/>
      </c>
      <c r="F875" s="13" t="str">
        <f>IFERROR(__xludf.DUMMYFUNCTION("ifna(filter('Yahoo ADP'!$E$2:$E2766,'Yahoo ADP'!$B$2:$B2766=$B875,$C875='Yahoo ADP'!$C$2:$C2766,$D875='Yahoo ADP'!$D$2:$D2766))"),"-")</f>
        <v>-</v>
      </c>
      <c r="G875" s="27">
        <v>859.0</v>
      </c>
      <c r="H875" s="8">
        <f t="shared" si="1"/>
        <v>-15</v>
      </c>
    </row>
    <row r="876">
      <c r="A876" s="10">
        <v>875.0</v>
      </c>
      <c r="B876" s="11" t="s">
        <v>3721</v>
      </c>
      <c r="C876" s="10" t="s">
        <v>22</v>
      </c>
      <c r="D876" s="10" t="s">
        <v>36</v>
      </c>
      <c r="E876" s="13" t="str">
        <f>IFERROR(__xludf.DUMMYFUNCTION("ifna(filter('Yahoo ADP'!$A$2:$A2766,'Yahoo ADP'!$B$2:$B2766=$B876,$C876='Yahoo ADP'!$C$2:$C2766,$D876='Yahoo ADP'!$D$2:$D2766))"),"")</f>
        <v/>
      </c>
      <c r="F876" s="13" t="str">
        <f>IFERROR(__xludf.DUMMYFUNCTION("ifna(filter('Yahoo ADP'!$E$2:$E2766,'Yahoo ADP'!$B$2:$B2766=$B876,$C876='Yahoo ADP'!$C$2:$C2766,$D876='Yahoo ADP'!$D$2:$D2766))"),"-")</f>
        <v>-</v>
      </c>
      <c r="G876" s="27">
        <v>860.0</v>
      </c>
      <c r="H876" s="8">
        <f t="shared" si="1"/>
        <v>-15</v>
      </c>
    </row>
    <row r="877">
      <c r="A877" s="10">
        <v>876.0</v>
      </c>
      <c r="B877" s="11" t="s">
        <v>3722</v>
      </c>
      <c r="C877" s="10" t="s">
        <v>22</v>
      </c>
      <c r="D877" s="10" t="s">
        <v>34</v>
      </c>
      <c r="E877" s="13" t="str">
        <f>IFERROR(__xludf.DUMMYFUNCTION("ifna(filter('Yahoo ADP'!$A$2:$A2766,'Yahoo ADP'!$B$2:$B2766=$B877,$C877='Yahoo ADP'!$C$2:$C2766,$D877='Yahoo ADP'!$D$2:$D2766))"),"")</f>
        <v/>
      </c>
      <c r="F877" s="13" t="str">
        <f>IFERROR(__xludf.DUMMYFUNCTION("ifna(filter('Yahoo ADP'!$E$2:$E2766,'Yahoo ADP'!$B$2:$B2766=$B877,$C877='Yahoo ADP'!$C$2:$C2766,$D877='Yahoo ADP'!$D$2:$D2766))"),"-")</f>
        <v>-</v>
      </c>
      <c r="G877" s="27">
        <v>861.0</v>
      </c>
      <c r="H877" s="8">
        <f t="shared" si="1"/>
        <v>-15</v>
      </c>
    </row>
    <row r="878">
      <c r="A878" s="10">
        <v>877.0</v>
      </c>
      <c r="B878" s="11" t="s">
        <v>3723</v>
      </c>
      <c r="C878" s="10" t="s">
        <v>79</v>
      </c>
      <c r="D878" s="10" t="s">
        <v>18</v>
      </c>
      <c r="E878" s="13" t="str">
        <f>IFERROR(__xludf.DUMMYFUNCTION("ifna(filter('Yahoo ADP'!$A$2:$A2766,'Yahoo ADP'!$B$2:$B2766=$B878,$C878='Yahoo ADP'!$C$2:$C2766,$D878='Yahoo ADP'!$D$2:$D2766))"),"")</f>
        <v/>
      </c>
      <c r="F878" s="13" t="str">
        <f>IFERROR(__xludf.DUMMYFUNCTION("ifna(filter('Yahoo ADP'!$E$2:$E2766,'Yahoo ADP'!$B$2:$B2766=$B878,$C878='Yahoo ADP'!$C$2:$C2766,$D878='Yahoo ADP'!$D$2:$D2766))"),"-")</f>
        <v>-</v>
      </c>
      <c r="G878" s="27">
        <v>862.0</v>
      </c>
      <c r="H878" s="8">
        <f t="shared" si="1"/>
        <v>-15</v>
      </c>
    </row>
    <row r="879">
      <c r="A879" s="10">
        <v>878.0</v>
      </c>
      <c r="B879" s="11" t="s">
        <v>3724</v>
      </c>
      <c r="C879" s="10" t="s">
        <v>79</v>
      </c>
      <c r="D879" s="10" t="s">
        <v>42</v>
      </c>
      <c r="E879" s="13" t="str">
        <f>IFERROR(__xludf.DUMMYFUNCTION("ifna(filter('Yahoo ADP'!$A$2:$A2766,'Yahoo ADP'!$B$2:$B2766=$B879,$C879='Yahoo ADP'!$C$2:$C2766,$D879='Yahoo ADP'!$D$2:$D2766))"),"")</f>
        <v/>
      </c>
      <c r="F879" s="13" t="str">
        <f>IFERROR(__xludf.DUMMYFUNCTION("ifna(filter('Yahoo ADP'!$E$2:$E2766,'Yahoo ADP'!$B$2:$B2766=$B879,$C879='Yahoo ADP'!$C$2:$C2766,$D879='Yahoo ADP'!$D$2:$D2766))"),"-")</f>
        <v>-</v>
      </c>
      <c r="G879" s="27">
        <v>863.0</v>
      </c>
      <c r="H879" s="8">
        <f t="shared" si="1"/>
        <v>-15</v>
      </c>
    </row>
    <row r="880">
      <c r="A880" s="10">
        <v>879.0</v>
      </c>
      <c r="B880" s="11" t="s">
        <v>3725</v>
      </c>
      <c r="C880" s="10" t="s">
        <v>22</v>
      </c>
      <c r="D880" s="10" t="s">
        <v>140</v>
      </c>
      <c r="E880" s="13" t="str">
        <f>IFERROR(__xludf.DUMMYFUNCTION("ifna(filter('Yahoo ADP'!$A$2:$A2766,'Yahoo ADP'!$B$2:$B2766=$B880,$C880='Yahoo ADP'!$C$2:$C2766,$D880='Yahoo ADP'!$D$2:$D2766))"),"")</f>
        <v/>
      </c>
      <c r="F880" s="13" t="str">
        <f>IFERROR(__xludf.DUMMYFUNCTION("ifna(filter('Yahoo ADP'!$E$2:$E2766,'Yahoo ADP'!$B$2:$B2766=$B880,$C880='Yahoo ADP'!$C$2:$C2766,$D880='Yahoo ADP'!$D$2:$D2766))"),"-")</f>
        <v>-</v>
      </c>
      <c r="G880" s="27">
        <v>864.0</v>
      </c>
      <c r="H880" s="8">
        <f t="shared" si="1"/>
        <v>-15</v>
      </c>
    </row>
    <row r="881">
      <c r="A881" s="10">
        <v>880.0</v>
      </c>
      <c r="B881" s="11" t="s">
        <v>3726</v>
      </c>
      <c r="C881" s="10" t="s">
        <v>22</v>
      </c>
      <c r="D881" s="10" t="s">
        <v>27</v>
      </c>
      <c r="E881" s="13" t="str">
        <f>IFERROR(__xludf.DUMMYFUNCTION("ifna(filter('Yahoo ADP'!$A$2:$A2766,'Yahoo ADP'!$B$2:$B2766=$B881,$C881='Yahoo ADP'!$C$2:$C2766,$D881='Yahoo ADP'!$D$2:$D2766))"),"")</f>
        <v/>
      </c>
      <c r="F881" s="13" t="str">
        <f>IFERROR(__xludf.DUMMYFUNCTION("ifna(filter('Yahoo ADP'!$E$2:$E2766,'Yahoo ADP'!$B$2:$B2766=$B881,$C881='Yahoo ADP'!$C$2:$C2766,$D881='Yahoo ADP'!$D$2:$D2766))"),"-")</f>
        <v>-</v>
      </c>
      <c r="G881" s="27">
        <v>865.0</v>
      </c>
      <c r="H881" s="8">
        <f t="shared" si="1"/>
        <v>-15</v>
      </c>
    </row>
    <row r="882">
      <c r="A882" s="10">
        <v>881.0</v>
      </c>
      <c r="B882" s="11" t="s">
        <v>3727</v>
      </c>
      <c r="C882" s="10" t="s">
        <v>22</v>
      </c>
      <c r="D882" s="10" t="s">
        <v>9</v>
      </c>
      <c r="E882" s="13" t="str">
        <f>IFERROR(__xludf.DUMMYFUNCTION("ifna(filter('Yahoo ADP'!$A$2:$A2766,'Yahoo ADP'!$B$2:$B2766=$B882,$C882='Yahoo ADP'!$C$2:$C2766,$D882='Yahoo ADP'!$D$2:$D2766))"),"")</f>
        <v/>
      </c>
      <c r="F882" s="13" t="str">
        <f>IFERROR(__xludf.DUMMYFUNCTION("ifna(filter('Yahoo ADP'!$E$2:$E2766,'Yahoo ADP'!$B$2:$B2766=$B882,$C882='Yahoo ADP'!$C$2:$C2766,$D882='Yahoo ADP'!$D$2:$D2766))"),"-")</f>
        <v>-</v>
      </c>
      <c r="G882" s="27">
        <v>866.0</v>
      </c>
      <c r="H882" s="8">
        <f t="shared" si="1"/>
        <v>-15</v>
      </c>
    </row>
    <row r="883">
      <c r="A883" s="10">
        <v>882.0</v>
      </c>
      <c r="B883" s="11" t="s">
        <v>3728</v>
      </c>
      <c r="C883" s="10" t="s">
        <v>22</v>
      </c>
      <c r="D883" s="10" t="s">
        <v>36</v>
      </c>
      <c r="E883" s="13" t="str">
        <f>IFERROR(__xludf.DUMMYFUNCTION("ifna(filter('Yahoo ADP'!$A$2:$A2766,'Yahoo ADP'!$B$2:$B2766=$B883,$C883='Yahoo ADP'!$C$2:$C2766,$D883='Yahoo ADP'!$D$2:$D2766))"),"")</f>
        <v/>
      </c>
      <c r="F883" s="13" t="str">
        <f>IFERROR(__xludf.DUMMYFUNCTION("ifna(filter('Yahoo ADP'!$E$2:$E2766,'Yahoo ADP'!$B$2:$B2766=$B883,$C883='Yahoo ADP'!$C$2:$C2766,$D883='Yahoo ADP'!$D$2:$D2766))"),"-")</f>
        <v>-</v>
      </c>
      <c r="G883" s="27">
        <v>867.0</v>
      </c>
      <c r="H883" s="8">
        <f t="shared" si="1"/>
        <v>-15</v>
      </c>
    </row>
    <row r="884">
      <c r="A884" s="10">
        <v>883.0</v>
      </c>
      <c r="B884" s="11" t="s">
        <v>3729</v>
      </c>
      <c r="C884" s="10" t="s">
        <v>22</v>
      </c>
      <c r="D884" s="10" t="s">
        <v>129</v>
      </c>
      <c r="E884" s="13" t="str">
        <f>IFERROR(__xludf.DUMMYFUNCTION("ifna(filter('Yahoo ADP'!$A$2:$A2766,'Yahoo ADP'!$B$2:$B2766=$B884,$C884='Yahoo ADP'!$C$2:$C2766,$D884='Yahoo ADP'!$D$2:$D2766))"),"")</f>
        <v/>
      </c>
      <c r="F884" s="13" t="str">
        <f>IFERROR(__xludf.DUMMYFUNCTION("ifna(filter('Yahoo ADP'!$E$2:$E2766,'Yahoo ADP'!$B$2:$B2766=$B884,$C884='Yahoo ADP'!$C$2:$C2766,$D884='Yahoo ADP'!$D$2:$D2766))"),"-")</f>
        <v>-</v>
      </c>
      <c r="G884" s="27">
        <v>868.0</v>
      </c>
      <c r="H884" s="8">
        <f t="shared" si="1"/>
        <v>-15</v>
      </c>
    </row>
    <row r="885">
      <c r="A885" s="10">
        <v>884.0</v>
      </c>
      <c r="B885" s="11" t="s">
        <v>3730</v>
      </c>
      <c r="C885" s="10" t="s">
        <v>79</v>
      </c>
      <c r="D885" s="10" t="s">
        <v>105</v>
      </c>
      <c r="E885" s="13" t="str">
        <f>IFERROR(__xludf.DUMMYFUNCTION("ifna(filter('Yahoo ADP'!$A$2:$A2766,'Yahoo ADP'!$B$2:$B2766=$B885,$C885='Yahoo ADP'!$C$2:$C2766,$D885='Yahoo ADP'!$D$2:$D2766))"),"")</f>
        <v/>
      </c>
      <c r="F885" s="13" t="str">
        <f>IFERROR(__xludf.DUMMYFUNCTION("ifna(filter('Yahoo ADP'!$E$2:$E2766,'Yahoo ADP'!$B$2:$B2766=$B885,$C885='Yahoo ADP'!$C$2:$C2766,$D885='Yahoo ADP'!$D$2:$D2766))"),"")</f>
        <v/>
      </c>
      <c r="G885" s="27">
        <v>869.0</v>
      </c>
      <c r="H885" s="8">
        <f t="shared" si="1"/>
        <v>-15</v>
      </c>
    </row>
    <row r="886">
      <c r="A886" s="10">
        <v>885.0</v>
      </c>
      <c r="B886" s="11" t="s">
        <v>3731</v>
      </c>
      <c r="C886" s="10" t="s">
        <v>22</v>
      </c>
      <c r="D886" s="10" t="s">
        <v>34</v>
      </c>
      <c r="E886" s="13" t="str">
        <f>IFERROR(__xludf.DUMMYFUNCTION("ifna(filter('Yahoo ADP'!$A$2:$A2766,'Yahoo ADP'!$B$2:$B2766=$B886,$C886='Yahoo ADP'!$C$2:$C2766,$D886='Yahoo ADP'!$D$2:$D2766))"),"")</f>
        <v/>
      </c>
      <c r="F886" s="13" t="str">
        <f>IFERROR(__xludf.DUMMYFUNCTION("ifna(filter('Yahoo ADP'!$E$2:$E2766,'Yahoo ADP'!$B$2:$B2766=$B886,$C886='Yahoo ADP'!$C$2:$C2766,$D886='Yahoo ADP'!$D$2:$D2766))"),"-")</f>
        <v>-</v>
      </c>
      <c r="G886" s="27">
        <v>870.0</v>
      </c>
      <c r="H886" s="8">
        <f t="shared" si="1"/>
        <v>-15</v>
      </c>
    </row>
    <row r="887">
      <c r="A887" s="10">
        <v>886.0</v>
      </c>
      <c r="B887" s="11" t="s">
        <v>3732</v>
      </c>
      <c r="C887" s="10" t="s">
        <v>79</v>
      </c>
      <c r="D887" s="10" t="s">
        <v>95</v>
      </c>
      <c r="E887" s="13" t="str">
        <f>IFERROR(__xludf.DUMMYFUNCTION("ifna(filter('Yahoo ADP'!$A$2:$A2766,'Yahoo ADP'!$B$2:$B2766=$B887,$C887='Yahoo ADP'!$C$2:$C2766,$D887='Yahoo ADP'!$D$2:$D2766))"),"")</f>
        <v/>
      </c>
      <c r="F887" s="13" t="str">
        <f>IFERROR(__xludf.DUMMYFUNCTION("ifna(filter('Yahoo ADP'!$E$2:$E2766,'Yahoo ADP'!$B$2:$B2766=$B887,$C887='Yahoo ADP'!$C$2:$C2766,$D887='Yahoo ADP'!$D$2:$D2766))"),"-")</f>
        <v>-</v>
      </c>
      <c r="G887" s="27">
        <v>871.0</v>
      </c>
      <c r="H887" s="8">
        <f t="shared" si="1"/>
        <v>-15</v>
      </c>
    </row>
    <row r="888">
      <c r="A888" s="10">
        <v>887.0</v>
      </c>
      <c r="B888" s="11" t="s">
        <v>3733</v>
      </c>
      <c r="C888" s="10" t="s">
        <v>22</v>
      </c>
      <c r="D888" s="10" t="s">
        <v>95</v>
      </c>
      <c r="E888" s="13" t="str">
        <f>IFERROR(__xludf.DUMMYFUNCTION("ifna(filter('Yahoo ADP'!$A$2:$A2766,'Yahoo ADP'!$B$2:$B2766=$B888,$C888='Yahoo ADP'!$C$2:$C2766,$D888='Yahoo ADP'!$D$2:$D2766))"),"")</f>
        <v/>
      </c>
      <c r="F888" s="13" t="str">
        <f>IFERROR(__xludf.DUMMYFUNCTION("ifna(filter('Yahoo ADP'!$E$2:$E2766,'Yahoo ADP'!$B$2:$B2766=$B888,$C888='Yahoo ADP'!$C$2:$C2766,$D888='Yahoo ADP'!$D$2:$D2766))"),"-")</f>
        <v>-</v>
      </c>
      <c r="G888" s="27">
        <v>872.0</v>
      </c>
      <c r="H888" s="8">
        <f t="shared" si="1"/>
        <v>-15</v>
      </c>
    </row>
    <row r="889">
      <c r="A889" s="10">
        <v>888.0</v>
      </c>
      <c r="B889" s="11" t="s">
        <v>3734</v>
      </c>
      <c r="C889" s="10" t="s">
        <v>22</v>
      </c>
      <c r="D889" s="10" t="s">
        <v>52</v>
      </c>
      <c r="E889" s="13" t="str">
        <f>IFERROR(__xludf.DUMMYFUNCTION("ifna(filter('Yahoo ADP'!$A$2:$A2766,'Yahoo ADP'!$B$2:$B2766=$B889,$C889='Yahoo ADP'!$C$2:$C2766,$D889='Yahoo ADP'!$D$2:$D2766))"),"")</f>
        <v/>
      </c>
      <c r="F889" s="13" t="str">
        <f>IFERROR(__xludf.DUMMYFUNCTION("ifna(filter('Yahoo ADP'!$E$2:$E2766,'Yahoo ADP'!$B$2:$B2766=$B889,$C889='Yahoo ADP'!$C$2:$C2766,$D889='Yahoo ADP'!$D$2:$D2766))"),"-")</f>
        <v>-</v>
      </c>
      <c r="G889" s="27">
        <v>873.0</v>
      </c>
      <c r="H889" s="8">
        <f t="shared" si="1"/>
        <v>-15</v>
      </c>
    </row>
    <row r="890">
      <c r="A890" s="10">
        <v>889.0</v>
      </c>
      <c r="B890" s="11" t="s">
        <v>3735</v>
      </c>
      <c r="C890" s="10" t="s">
        <v>79</v>
      </c>
      <c r="D890" s="10" t="s">
        <v>120</v>
      </c>
      <c r="E890" s="13" t="str">
        <f>IFERROR(__xludf.DUMMYFUNCTION("ifna(filter('Yahoo ADP'!$A$2:$A2766,'Yahoo ADP'!$B$2:$B2766=$B890,$C890='Yahoo ADP'!$C$2:$C2766,$D890='Yahoo ADP'!$D$2:$D2766))"),"")</f>
        <v/>
      </c>
      <c r="F890" s="13" t="str">
        <f>IFERROR(__xludf.DUMMYFUNCTION("ifna(filter('Yahoo ADP'!$E$2:$E2766,'Yahoo ADP'!$B$2:$B2766=$B890,$C890='Yahoo ADP'!$C$2:$C2766,$D890='Yahoo ADP'!$D$2:$D2766))"),"-")</f>
        <v>-</v>
      </c>
      <c r="G890" s="27">
        <v>874.0</v>
      </c>
      <c r="H890" s="8">
        <f t="shared" si="1"/>
        <v>-15</v>
      </c>
    </row>
    <row r="891">
      <c r="A891" s="10">
        <v>890.0</v>
      </c>
      <c r="B891" s="11" t="s">
        <v>3736</v>
      </c>
      <c r="C891" s="10" t="s">
        <v>22</v>
      </c>
      <c r="D891" s="10" t="s">
        <v>122</v>
      </c>
      <c r="E891" s="13" t="str">
        <f>IFERROR(__xludf.DUMMYFUNCTION("ifna(filter('Yahoo ADP'!$A$2:$A2766,'Yahoo ADP'!$B$2:$B2766=$B891,$C891='Yahoo ADP'!$C$2:$C2766,$D891='Yahoo ADP'!$D$2:$D2766))"),"")</f>
        <v/>
      </c>
      <c r="F891" s="13" t="str">
        <f>IFERROR(__xludf.DUMMYFUNCTION("ifna(filter('Yahoo ADP'!$E$2:$E2766,'Yahoo ADP'!$B$2:$B2766=$B891,$C891='Yahoo ADP'!$C$2:$C2766,$D891='Yahoo ADP'!$D$2:$D2766))"),"-")</f>
        <v>-</v>
      </c>
      <c r="G891" s="27">
        <v>875.0</v>
      </c>
      <c r="H891" s="8">
        <f t="shared" si="1"/>
        <v>-15</v>
      </c>
    </row>
    <row r="892">
      <c r="A892" s="10">
        <v>891.0</v>
      </c>
      <c r="B892" s="11" t="s">
        <v>3737</v>
      </c>
      <c r="C892" s="10" t="s">
        <v>79</v>
      </c>
      <c r="D892" s="10" t="s">
        <v>206</v>
      </c>
      <c r="E892" s="13" t="str">
        <f>IFERROR(__xludf.DUMMYFUNCTION("ifna(filter('Yahoo ADP'!$A$2:$A2766,'Yahoo ADP'!$B$2:$B2766=$B892,$C892='Yahoo ADP'!$C$2:$C2766,$D892='Yahoo ADP'!$D$2:$D2766))"),"")</f>
        <v/>
      </c>
      <c r="F892" s="13" t="str">
        <f>IFERROR(__xludf.DUMMYFUNCTION("ifna(filter('Yahoo ADP'!$E$2:$E2766,'Yahoo ADP'!$B$2:$B2766=$B892,$C892='Yahoo ADP'!$C$2:$C2766,$D892='Yahoo ADP'!$D$2:$D2766))"),"-")</f>
        <v>-</v>
      </c>
      <c r="G892" s="27">
        <v>876.0</v>
      </c>
      <c r="H892" s="8">
        <f t="shared" si="1"/>
        <v>-15</v>
      </c>
    </row>
    <row r="893">
      <c r="A893" s="10">
        <v>892.0</v>
      </c>
      <c r="B893" s="11" t="s">
        <v>3738</v>
      </c>
      <c r="C893" s="10" t="s">
        <v>22</v>
      </c>
      <c r="D893" s="10" t="s">
        <v>67</v>
      </c>
      <c r="E893" s="13" t="str">
        <f>IFERROR(__xludf.DUMMYFUNCTION("ifna(filter('Yahoo ADP'!$A$2:$A2766,'Yahoo ADP'!$B$2:$B2766=$B893,$C893='Yahoo ADP'!$C$2:$C2766,$D893='Yahoo ADP'!$D$2:$D2766))"),"")</f>
        <v/>
      </c>
      <c r="F893" s="13" t="str">
        <f>IFERROR(__xludf.DUMMYFUNCTION("ifna(filter('Yahoo ADP'!$E$2:$E2766,'Yahoo ADP'!$B$2:$B2766=$B893,$C893='Yahoo ADP'!$C$2:$C2766,$D893='Yahoo ADP'!$D$2:$D2766))"),"-")</f>
        <v>-</v>
      </c>
      <c r="G893" s="27">
        <v>877.0</v>
      </c>
      <c r="H893" s="8">
        <f t="shared" si="1"/>
        <v>-15</v>
      </c>
    </row>
    <row r="894">
      <c r="A894" s="10">
        <v>893.0</v>
      </c>
      <c r="B894" s="11" t="s">
        <v>3739</v>
      </c>
      <c r="C894" s="10" t="s">
        <v>22</v>
      </c>
      <c r="D894" s="10" t="s">
        <v>82</v>
      </c>
      <c r="E894" s="13" t="str">
        <f>IFERROR(__xludf.DUMMYFUNCTION("ifna(filter('Yahoo ADP'!$A$2:$A2766,'Yahoo ADP'!$B$2:$B2766=$B894,$C894='Yahoo ADP'!$C$2:$C2766,$D894='Yahoo ADP'!$D$2:$D2766))"),"")</f>
        <v/>
      </c>
      <c r="F894" s="13" t="str">
        <f>IFERROR(__xludf.DUMMYFUNCTION("ifna(filter('Yahoo ADP'!$E$2:$E2766,'Yahoo ADP'!$B$2:$B2766=$B894,$C894='Yahoo ADP'!$C$2:$C2766,$D894='Yahoo ADP'!$D$2:$D2766))"),"-")</f>
        <v>-</v>
      </c>
      <c r="G894" s="27">
        <v>878.0</v>
      </c>
      <c r="H894" s="8">
        <f t="shared" si="1"/>
        <v>-15</v>
      </c>
    </row>
    <row r="895">
      <c r="A895" s="10">
        <v>894.0</v>
      </c>
      <c r="B895" s="11" t="s">
        <v>3740</v>
      </c>
      <c r="C895" s="10" t="s">
        <v>22</v>
      </c>
      <c r="D895" s="10" t="s">
        <v>23</v>
      </c>
      <c r="E895" s="13" t="str">
        <f>IFERROR(__xludf.DUMMYFUNCTION("ifna(filter('Yahoo ADP'!$A$2:$A2766,'Yahoo ADP'!$B$2:$B2766=$B895,$C895='Yahoo ADP'!$C$2:$C2766,$D895='Yahoo ADP'!$D$2:$D2766))"),"")</f>
        <v/>
      </c>
      <c r="F895" s="13" t="str">
        <f>IFERROR(__xludf.DUMMYFUNCTION("ifna(filter('Yahoo ADP'!$E$2:$E2766,'Yahoo ADP'!$B$2:$B2766=$B895,$C895='Yahoo ADP'!$C$2:$C2766,$D895='Yahoo ADP'!$D$2:$D2766))"),"-")</f>
        <v>-</v>
      </c>
      <c r="G895" s="27">
        <v>879.0</v>
      </c>
      <c r="H895" s="8">
        <f t="shared" si="1"/>
        <v>-15</v>
      </c>
    </row>
    <row r="896">
      <c r="A896" s="10">
        <v>895.0</v>
      </c>
      <c r="B896" s="11" t="s">
        <v>3741</v>
      </c>
      <c r="C896" s="10" t="s">
        <v>79</v>
      </c>
      <c r="D896" s="10" t="s">
        <v>113</v>
      </c>
      <c r="E896" s="13" t="str">
        <f>IFERROR(__xludf.DUMMYFUNCTION("ifna(filter('Yahoo ADP'!$A$2:$A2766,'Yahoo ADP'!$B$2:$B2766=$B896,$C896='Yahoo ADP'!$C$2:$C2766,$D896='Yahoo ADP'!$D$2:$D2766))"),"")</f>
        <v/>
      </c>
      <c r="F896" s="13" t="str">
        <f>IFERROR(__xludf.DUMMYFUNCTION("ifna(filter('Yahoo ADP'!$E$2:$E2766,'Yahoo ADP'!$B$2:$B2766=$B896,$C896='Yahoo ADP'!$C$2:$C2766,$D896='Yahoo ADP'!$D$2:$D2766))"),"-")</f>
        <v>-</v>
      </c>
      <c r="G896" s="27">
        <v>880.0</v>
      </c>
      <c r="H896" s="8">
        <f t="shared" si="1"/>
        <v>-15</v>
      </c>
    </row>
    <row r="897">
      <c r="A897" s="10">
        <v>896.0</v>
      </c>
      <c r="B897" s="11" t="s">
        <v>3742</v>
      </c>
      <c r="C897" s="10" t="s">
        <v>22</v>
      </c>
      <c r="D897" s="10" t="s">
        <v>27</v>
      </c>
      <c r="E897" s="13" t="str">
        <f>IFERROR(__xludf.DUMMYFUNCTION("ifna(filter('Yahoo ADP'!$A$2:$A2766,'Yahoo ADP'!$B$2:$B2766=$B897,$C897='Yahoo ADP'!$C$2:$C2766,$D897='Yahoo ADP'!$D$2:$D2766))"),"")</f>
        <v/>
      </c>
      <c r="F897" s="13" t="str">
        <f>IFERROR(__xludf.DUMMYFUNCTION("ifna(filter('Yahoo ADP'!$E$2:$E2766,'Yahoo ADP'!$B$2:$B2766=$B897,$C897='Yahoo ADP'!$C$2:$C2766,$D897='Yahoo ADP'!$D$2:$D2766))"),"-")</f>
        <v>-</v>
      </c>
      <c r="G897" s="27">
        <v>881.0</v>
      </c>
      <c r="H897" s="8">
        <f t="shared" si="1"/>
        <v>-15</v>
      </c>
    </row>
    <row r="898">
      <c r="A898" s="10">
        <v>897.0</v>
      </c>
      <c r="B898" s="11" t="s">
        <v>3743</v>
      </c>
      <c r="C898" s="10" t="s">
        <v>79</v>
      </c>
      <c r="D898" s="10" t="s">
        <v>71</v>
      </c>
      <c r="E898" s="13" t="str">
        <f>IFERROR(__xludf.DUMMYFUNCTION("ifna(filter('Yahoo ADP'!$A$2:$A2766,'Yahoo ADP'!$B$2:$B2766=$B898,$C898='Yahoo ADP'!$C$2:$C2766,$D898='Yahoo ADP'!$D$2:$D2766))"),"")</f>
        <v/>
      </c>
      <c r="F898" s="13" t="str">
        <f>IFERROR(__xludf.DUMMYFUNCTION("ifna(filter('Yahoo ADP'!$E$2:$E2766,'Yahoo ADP'!$B$2:$B2766=$B898,$C898='Yahoo ADP'!$C$2:$C2766,$D898='Yahoo ADP'!$D$2:$D2766))"),"-")</f>
        <v>-</v>
      </c>
      <c r="G898" s="27">
        <v>882.0</v>
      </c>
      <c r="H898" s="8">
        <f t="shared" si="1"/>
        <v>-15</v>
      </c>
    </row>
    <row r="899">
      <c r="A899" s="10">
        <v>898.0</v>
      </c>
      <c r="B899" s="11" t="s">
        <v>3744</v>
      </c>
      <c r="C899" s="10" t="s">
        <v>220</v>
      </c>
      <c r="D899" s="10" t="s">
        <v>82</v>
      </c>
      <c r="E899" s="13" t="str">
        <f>IFERROR(__xludf.DUMMYFUNCTION("ifna(filter('Yahoo ADP'!$A$2:$A2766,'Yahoo ADP'!$B$2:$B2766=$B899,$C899='Yahoo ADP'!$C$2:$C2766,$D899='Yahoo ADP'!$D$2:$D2766))"),"")</f>
        <v/>
      </c>
      <c r="F899" s="13" t="str">
        <f>IFERROR(__xludf.DUMMYFUNCTION("ifna(filter('Yahoo ADP'!$E$2:$E2766,'Yahoo ADP'!$B$2:$B2766=$B899,$C899='Yahoo ADP'!$C$2:$C2766,$D899='Yahoo ADP'!$D$2:$D2766))"),"-")</f>
        <v>-</v>
      </c>
      <c r="G899" s="27">
        <v>883.0</v>
      </c>
      <c r="H899" s="8">
        <f t="shared" si="1"/>
        <v>-15</v>
      </c>
    </row>
    <row r="900">
      <c r="A900" s="10">
        <v>899.0</v>
      </c>
      <c r="B900" s="11" t="s">
        <v>3745</v>
      </c>
      <c r="C900" s="10" t="s">
        <v>79</v>
      </c>
      <c r="D900" s="10" t="s">
        <v>129</v>
      </c>
      <c r="E900" s="13" t="str">
        <f>IFERROR(__xludf.DUMMYFUNCTION("ifna(filter('Yahoo ADP'!$A$2:$A2766,'Yahoo ADP'!$B$2:$B2766=$B900,$C900='Yahoo ADP'!$C$2:$C2766,$D900='Yahoo ADP'!$D$2:$D2766))"),"")</f>
        <v/>
      </c>
      <c r="F900" s="13" t="str">
        <f>IFERROR(__xludf.DUMMYFUNCTION("ifna(filter('Yahoo ADP'!$E$2:$E2766,'Yahoo ADP'!$B$2:$B2766=$B900,$C900='Yahoo ADP'!$C$2:$C2766,$D900='Yahoo ADP'!$D$2:$D2766))"),"-")</f>
        <v>-</v>
      </c>
      <c r="G900" s="27">
        <v>884.0</v>
      </c>
      <c r="H900" s="8">
        <f t="shared" si="1"/>
        <v>-15</v>
      </c>
    </row>
    <row r="901">
      <c r="A901" s="10">
        <v>900.0</v>
      </c>
      <c r="B901" s="11" t="s">
        <v>3746</v>
      </c>
      <c r="C901" s="10" t="s">
        <v>79</v>
      </c>
      <c r="D901" s="10" t="s">
        <v>23</v>
      </c>
      <c r="E901" s="13" t="str">
        <f>IFERROR(__xludf.DUMMYFUNCTION("ifna(filter('Yahoo ADP'!$A$2:$A2766,'Yahoo ADP'!$B$2:$B2766=$B901,$C901='Yahoo ADP'!$C$2:$C2766,$D901='Yahoo ADP'!$D$2:$D2766))"),"")</f>
        <v/>
      </c>
      <c r="F901" s="13" t="str">
        <f>IFERROR(__xludf.DUMMYFUNCTION("ifna(filter('Yahoo ADP'!$E$2:$E2766,'Yahoo ADP'!$B$2:$B2766=$B901,$C901='Yahoo ADP'!$C$2:$C2766,$D901='Yahoo ADP'!$D$2:$D2766))"),"-")</f>
        <v>-</v>
      </c>
      <c r="G901" s="27">
        <v>885.0</v>
      </c>
      <c r="H901" s="8">
        <f t="shared" si="1"/>
        <v>-15</v>
      </c>
    </row>
    <row r="902">
      <c r="A902" s="10">
        <v>901.0</v>
      </c>
      <c r="B902" s="11" t="s">
        <v>3747</v>
      </c>
      <c r="C902" s="10" t="s">
        <v>22</v>
      </c>
      <c r="D902" s="10" t="s">
        <v>18</v>
      </c>
      <c r="E902" s="13" t="str">
        <f>IFERROR(__xludf.DUMMYFUNCTION("ifna(filter('Yahoo ADP'!$A$2:$A2766,'Yahoo ADP'!$B$2:$B2766=$B902,$C902='Yahoo ADP'!$C$2:$C2766,$D902='Yahoo ADP'!$D$2:$D2766))"),"")</f>
        <v/>
      </c>
      <c r="F902" s="13" t="str">
        <f>IFERROR(__xludf.DUMMYFUNCTION("ifna(filter('Yahoo ADP'!$E$2:$E2766,'Yahoo ADP'!$B$2:$B2766=$B902,$C902='Yahoo ADP'!$C$2:$C2766,$D902='Yahoo ADP'!$D$2:$D2766))"),"-")</f>
        <v>-</v>
      </c>
      <c r="G902" s="27">
        <v>886.0</v>
      </c>
      <c r="H902" s="8">
        <f t="shared" si="1"/>
        <v>-15</v>
      </c>
    </row>
    <row r="903">
      <c r="A903" s="10">
        <v>902.0</v>
      </c>
      <c r="B903" s="11" t="s">
        <v>3748</v>
      </c>
      <c r="C903" s="10" t="s">
        <v>22</v>
      </c>
      <c r="D903" s="10" t="s">
        <v>71</v>
      </c>
      <c r="E903" s="13" t="str">
        <f>IFERROR(__xludf.DUMMYFUNCTION("ifna(filter('Yahoo ADP'!$A$2:$A2766,'Yahoo ADP'!$B$2:$B2766=$B903,$C903='Yahoo ADP'!$C$2:$C2766,$D903='Yahoo ADP'!$D$2:$D2766))"),"")</f>
        <v/>
      </c>
      <c r="F903" s="13" t="str">
        <f>IFERROR(__xludf.DUMMYFUNCTION("ifna(filter('Yahoo ADP'!$E$2:$E2766,'Yahoo ADP'!$B$2:$B2766=$B903,$C903='Yahoo ADP'!$C$2:$C2766,$D903='Yahoo ADP'!$D$2:$D2766))"),"-")</f>
        <v>-</v>
      </c>
      <c r="G903" s="27">
        <v>887.0</v>
      </c>
      <c r="H903" s="8">
        <f t="shared" si="1"/>
        <v>-15</v>
      </c>
    </row>
    <row r="904">
      <c r="A904" s="10">
        <v>903.0</v>
      </c>
      <c r="B904" s="11" t="s">
        <v>3749</v>
      </c>
      <c r="C904" s="10" t="s">
        <v>79</v>
      </c>
      <c r="D904" s="10" t="s">
        <v>49</v>
      </c>
      <c r="E904" s="13" t="str">
        <f>IFERROR(__xludf.DUMMYFUNCTION("ifna(filter('Yahoo ADP'!$A$2:$A2766,'Yahoo ADP'!$B$2:$B2766=$B904,$C904='Yahoo ADP'!$C$2:$C2766,$D904='Yahoo ADP'!$D$2:$D2766))"),"")</f>
        <v/>
      </c>
      <c r="F904" s="13" t="str">
        <f>IFERROR(__xludf.DUMMYFUNCTION("ifna(filter('Yahoo ADP'!$E$2:$E2766,'Yahoo ADP'!$B$2:$B2766=$B904,$C904='Yahoo ADP'!$C$2:$C2766,$D904='Yahoo ADP'!$D$2:$D2766))"),"-")</f>
        <v>-</v>
      </c>
      <c r="G904" s="27">
        <v>888.0</v>
      </c>
      <c r="H904" s="8">
        <f t="shared" si="1"/>
        <v>-15</v>
      </c>
    </row>
    <row r="905">
      <c r="A905" s="10">
        <v>904.0</v>
      </c>
      <c r="B905" s="11" t="s">
        <v>3750</v>
      </c>
      <c r="C905" s="10" t="s">
        <v>22</v>
      </c>
      <c r="D905" s="10" t="s">
        <v>49</v>
      </c>
      <c r="E905" s="13" t="str">
        <f>IFERROR(__xludf.DUMMYFUNCTION("ifna(filter('Yahoo ADP'!$A$2:$A2766,'Yahoo ADP'!$B$2:$B2766=$B905,$C905='Yahoo ADP'!$C$2:$C2766,$D905='Yahoo ADP'!$D$2:$D2766))"),"")</f>
        <v/>
      </c>
      <c r="F905" s="13" t="str">
        <f>IFERROR(__xludf.DUMMYFUNCTION("ifna(filter('Yahoo ADP'!$E$2:$E2766,'Yahoo ADP'!$B$2:$B2766=$B905,$C905='Yahoo ADP'!$C$2:$C2766,$D905='Yahoo ADP'!$D$2:$D2766))"),"-")</f>
        <v>-</v>
      </c>
      <c r="G905" s="27">
        <v>889.0</v>
      </c>
      <c r="H905" s="8">
        <f t="shared" si="1"/>
        <v>-15</v>
      </c>
    </row>
    <row r="906">
      <c r="A906" s="10">
        <v>905.0</v>
      </c>
      <c r="B906" s="11" t="s">
        <v>3751</v>
      </c>
      <c r="C906" s="10" t="s">
        <v>22</v>
      </c>
      <c r="D906" s="10" t="s">
        <v>129</v>
      </c>
      <c r="E906" s="13" t="str">
        <f>IFERROR(__xludf.DUMMYFUNCTION("ifna(filter('Yahoo ADP'!$A$2:$A2766,'Yahoo ADP'!$B$2:$B2766=$B906,$C906='Yahoo ADP'!$C$2:$C2766,$D906='Yahoo ADP'!$D$2:$D2766))"),"")</f>
        <v/>
      </c>
      <c r="F906" s="13" t="str">
        <f>IFERROR(__xludf.DUMMYFUNCTION("ifna(filter('Yahoo ADP'!$E$2:$E2766,'Yahoo ADP'!$B$2:$B2766=$B906,$C906='Yahoo ADP'!$C$2:$C2766,$D906='Yahoo ADP'!$D$2:$D2766))"),"-")</f>
        <v>-</v>
      </c>
      <c r="G906" s="27">
        <v>890.0</v>
      </c>
      <c r="H906" s="8">
        <f t="shared" si="1"/>
        <v>-15</v>
      </c>
    </row>
    <row r="907">
      <c r="A907" s="10">
        <v>906.0</v>
      </c>
      <c r="B907" s="11" t="s">
        <v>3752</v>
      </c>
      <c r="C907" s="10" t="s">
        <v>22</v>
      </c>
      <c r="D907" s="10" t="s">
        <v>42</v>
      </c>
      <c r="E907" s="13" t="str">
        <f>IFERROR(__xludf.DUMMYFUNCTION("ifna(filter('Yahoo ADP'!$A$2:$A2766,'Yahoo ADP'!$B$2:$B2766=$B907,$C907='Yahoo ADP'!$C$2:$C2766,$D907='Yahoo ADP'!$D$2:$D2766))"),"")</f>
        <v/>
      </c>
      <c r="F907" s="13" t="str">
        <f>IFERROR(__xludf.DUMMYFUNCTION("ifna(filter('Yahoo ADP'!$E$2:$E2766,'Yahoo ADP'!$B$2:$B2766=$B907,$C907='Yahoo ADP'!$C$2:$C2766,$D907='Yahoo ADP'!$D$2:$D2766))"),"-")</f>
        <v>-</v>
      </c>
      <c r="G907" s="27">
        <v>891.0</v>
      </c>
      <c r="H907" s="8">
        <f t="shared" si="1"/>
        <v>-15</v>
      </c>
    </row>
    <row r="908">
      <c r="A908" s="10">
        <v>907.0</v>
      </c>
      <c r="B908" s="11" t="s">
        <v>3753</v>
      </c>
      <c r="C908" s="10" t="s">
        <v>22</v>
      </c>
      <c r="D908" s="10" t="s">
        <v>99</v>
      </c>
      <c r="E908" s="13" t="str">
        <f>IFERROR(__xludf.DUMMYFUNCTION("ifna(filter('Yahoo ADP'!$A$2:$A2766,'Yahoo ADP'!$B$2:$B2766=$B908,$C908='Yahoo ADP'!$C$2:$C2766,$D908='Yahoo ADP'!$D$2:$D2766))"),"")</f>
        <v/>
      </c>
      <c r="F908" s="13" t="str">
        <f>IFERROR(__xludf.DUMMYFUNCTION("ifna(filter('Yahoo ADP'!$E$2:$E2766,'Yahoo ADP'!$B$2:$B2766=$B908,$C908='Yahoo ADP'!$C$2:$C2766,$D908='Yahoo ADP'!$D$2:$D2766))"),"-")</f>
        <v>-</v>
      </c>
      <c r="G908" s="27">
        <v>892.0</v>
      </c>
      <c r="H908" s="8">
        <f t="shared" si="1"/>
        <v>-15</v>
      </c>
    </row>
    <row r="909">
      <c r="A909" s="10">
        <v>908.0</v>
      </c>
      <c r="B909" s="11" t="s">
        <v>3754</v>
      </c>
      <c r="C909" s="10" t="s">
        <v>79</v>
      </c>
      <c r="D909" s="10" t="s">
        <v>99</v>
      </c>
      <c r="E909" s="13" t="str">
        <f>IFERROR(__xludf.DUMMYFUNCTION("ifna(filter('Yahoo ADP'!$A$2:$A2766,'Yahoo ADP'!$B$2:$B2766=$B909,$C909='Yahoo ADP'!$C$2:$C2766,$D909='Yahoo ADP'!$D$2:$D2766))"),"")</f>
        <v/>
      </c>
      <c r="F909" s="13" t="str">
        <f>IFERROR(__xludf.DUMMYFUNCTION("ifna(filter('Yahoo ADP'!$E$2:$E2766,'Yahoo ADP'!$B$2:$B2766=$B909,$C909='Yahoo ADP'!$C$2:$C2766,$D909='Yahoo ADP'!$D$2:$D2766))"),"-")</f>
        <v>-</v>
      </c>
      <c r="G909" s="27">
        <v>893.0</v>
      </c>
      <c r="H909" s="8">
        <f t="shared" si="1"/>
        <v>-15</v>
      </c>
    </row>
    <row r="910">
      <c r="A910" s="10">
        <v>909.0</v>
      </c>
      <c r="B910" s="11" t="s">
        <v>3755</v>
      </c>
      <c r="C910" s="10" t="s">
        <v>220</v>
      </c>
      <c r="D910" s="10" t="s">
        <v>206</v>
      </c>
      <c r="E910" s="13" t="str">
        <f>IFERROR(__xludf.DUMMYFUNCTION("ifna(filter('Yahoo ADP'!$A$2:$A2766,'Yahoo ADP'!$B$2:$B2766=$B910,$C910='Yahoo ADP'!$C$2:$C2766,$D910='Yahoo ADP'!$D$2:$D2766))"),"")</f>
        <v/>
      </c>
      <c r="F910" s="13" t="str">
        <f>IFERROR(__xludf.DUMMYFUNCTION("ifna(filter('Yahoo ADP'!$E$2:$E2766,'Yahoo ADP'!$B$2:$B2766=$B910,$C910='Yahoo ADP'!$C$2:$C2766,$D910='Yahoo ADP'!$D$2:$D2766))"),"-")</f>
        <v>-</v>
      </c>
      <c r="G910" s="27">
        <v>894.0</v>
      </c>
      <c r="H910" s="8">
        <f t="shared" si="1"/>
        <v>-15</v>
      </c>
    </row>
    <row r="911">
      <c r="A911" s="10">
        <v>910.0</v>
      </c>
      <c r="B911" s="11" t="s">
        <v>3756</v>
      </c>
      <c r="C911" s="10" t="s">
        <v>22</v>
      </c>
      <c r="D911" s="10" t="s">
        <v>99</v>
      </c>
      <c r="E911" s="13" t="str">
        <f>IFERROR(__xludf.DUMMYFUNCTION("ifna(filter('Yahoo ADP'!$A$2:$A2766,'Yahoo ADP'!$B$2:$B2766=$B911,$C911='Yahoo ADP'!$C$2:$C2766,$D911='Yahoo ADP'!$D$2:$D2766))"),"")</f>
        <v/>
      </c>
      <c r="F911" s="13" t="str">
        <f>IFERROR(__xludf.DUMMYFUNCTION("ifna(filter('Yahoo ADP'!$E$2:$E2766,'Yahoo ADP'!$B$2:$B2766=$B911,$C911='Yahoo ADP'!$C$2:$C2766,$D911='Yahoo ADP'!$D$2:$D2766))"),"-")</f>
        <v>-</v>
      </c>
      <c r="G911" s="27">
        <v>895.0</v>
      </c>
      <c r="H911" s="8">
        <f t="shared" si="1"/>
        <v>-15</v>
      </c>
    </row>
    <row r="912">
      <c r="A912" s="10">
        <v>911.0</v>
      </c>
      <c r="B912" s="11" t="s">
        <v>3757</v>
      </c>
      <c r="C912" s="10" t="s">
        <v>79</v>
      </c>
      <c r="D912" s="10" t="s">
        <v>15</v>
      </c>
      <c r="E912" s="13" t="str">
        <f>IFERROR(__xludf.DUMMYFUNCTION("ifna(filter('Yahoo ADP'!$A$2:$A2766,'Yahoo ADP'!$B$2:$B2766=$B912,$C912='Yahoo ADP'!$C$2:$C2766,$D912='Yahoo ADP'!$D$2:$D2766))"),"")</f>
        <v/>
      </c>
      <c r="F912" s="13" t="str">
        <f>IFERROR(__xludf.DUMMYFUNCTION("ifna(filter('Yahoo ADP'!$E$2:$E2766,'Yahoo ADP'!$B$2:$B2766=$B912,$C912='Yahoo ADP'!$C$2:$C2766,$D912='Yahoo ADP'!$D$2:$D2766))"),"-")</f>
        <v>-</v>
      </c>
      <c r="G912" s="27">
        <v>896.0</v>
      </c>
      <c r="H912" s="8">
        <f t="shared" si="1"/>
        <v>-15</v>
      </c>
    </row>
    <row r="913">
      <c r="A913" s="10">
        <v>912.0</v>
      </c>
      <c r="B913" s="11" t="s">
        <v>3758</v>
      </c>
      <c r="C913" s="10" t="s">
        <v>79</v>
      </c>
      <c r="D913" s="10" t="s">
        <v>129</v>
      </c>
      <c r="E913" s="13" t="str">
        <f>IFERROR(__xludf.DUMMYFUNCTION("ifna(filter('Yahoo ADP'!$A$2:$A2766,'Yahoo ADP'!$B$2:$B2766=$B913,$C913='Yahoo ADP'!$C$2:$C2766,$D913='Yahoo ADP'!$D$2:$D2766))"),"")</f>
        <v/>
      </c>
      <c r="F913" s="13" t="str">
        <f>IFERROR(__xludf.DUMMYFUNCTION("ifna(filter('Yahoo ADP'!$E$2:$E2766,'Yahoo ADP'!$B$2:$B2766=$B913,$C913='Yahoo ADP'!$C$2:$C2766,$D913='Yahoo ADP'!$D$2:$D2766))"),"-")</f>
        <v>-</v>
      </c>
      <c r="G913" s="27">
        <v>897.0</v>
      </c>
      <c r="H913" s="8">
        <f t="shared" si="1"/>
        <v>-15</v>
      </c>
    </row>
    <row r="914">
      <c r="A914" s="10">
        <v>913.0</v>
      </c>
      <c r="B914" s="11" t="s">
        <v>3759</v>
      </c>
      <c r="C914" s="10" t="s">
        <v>79</v>
      </c>
      <c r="D914" s="10" t="s">
        <v>52</v>
      </c>
      <c r="E914" s="13" t="str">
        <f>IFERROR(__xludf.DUMMYFUNCTION("ifna(filter('Yahoo ADP'!$A$2:$A2766,'Yahoo ADP'!$B$2:$B2766=$B914,$C914='Yahoo ADP'!$C$2:$C2766,$D914='Yahoo ADP'!$D$2:$D2766))"),"")</f>
        <v/>
      </c>
      <c r="F914" s="13" t="str">
        <f>IFERROR(__xludf.DUMMYFUNCTION("ifna(filter('Yahoo ADP'!$E$2:$E2766,'Yahoo ADP'!$B$2:$B2766=$B914,$C914='Yahoo ADP'!$C$2:$C2766,$D914='Yahoo ADP'!$D$2:$D2766))"),"-")</f>
        <v>-</v>
      </c>
      <c r="G914" s="27">
        <v>898.0</v>
      </c>
      <c r="H914" s="8">
        <f t="shared" si="1"/>
        <v>-15</v>
      </c>
    </row>
    <row r="915">
      <c r="A915" s="10">
        <v>914.0</v>
      </c>
      <c r="B915" s="11" t="s">
        <v>3760</v>
      </c>
      <c r="C915" s="10" t="s">
        <v>22</v>
      </c>
      <c r="D915" s="10" t="s">
        <v>113</v>
      </c>
      <c r="E915" s="13" t="str">
        <f>IFERROR(__xludf.DUMMYFUNCTION("ifna(filter('Yahoo ADP'!$A$2:$A2766,'Yahoo ADP'!$B$2:$B2766=$B915,$C915='Yahoo ADP'!$C$2:$C2766,$D915='Yahoo ADP'!$D$2:$D2766))"),"")</f>
        <v/>
      </c>
      <c r="F915" s="13" t="str">
        <f>IFERROR(__xludf.DUMMYFUNCTION("ifna(filter('Yahoo ADP'!$E$2:$E2766,'Yahoo ADP'!$B$2:$B2766=$B915,$C915='Yahoo ADP'!$C$2:$C2766,$D915='Yahoo ADP'!$D$2:$D2766))"),"-")</f>
        <v>-</v>
      </c>
      <c r="G915" s="27">
        <v>899.0</v>
      </c>
      <c r="H915" s="8">
        <f t="shared" si="1"/>
        <v>-15</v>
      </c>
    </row>
    <row r="916">
      <c r="A916" s="10">
        <v>915.0</v>
      </c>
      <c r="B916" s="11" t="s">
        <v>3761</v>
      </c>
      <c r="C916" s="10" t="s">
        <v>79</v>
      </c>
      <c r="D916" s="10" t="s">
        <v>49</v>
      </c>
      <c r="E916" s="13" t="str">
        <f>IFERROR(__xludf.DUMMYFUNCTION("ifna(filter('Yahoo ADP'!$A$2:$A2766,'Yahoo ADP'!$B$2:$B2766=$B916,$C916='Yahoo ADP'!$C$2:$C2766,$D916='Yahoo ADP'!$D$2:$D2766))"),"")</f>
        <v/>
      </c>
      <c r="F916" s="13" t="str">
        <f>IFERROR(__xludf.DUMMYFUNCTION("ifna(filter('Yahoo ADP'!$E$2:$E2766,'Yahoo ADP'!$B$2:$B2766=$B916,$C916='Yahoo ADP'!$C$2:$C2766,$D916='Yahoo ADP'!$D$2:$D2766))"),"-")</f>
        <v>-</v>
      </c>
      <c r="G916" s="27">
        <v>900.0</v>
      </c>
      <c r="H916" s="8">
        <f t="shared" si="1"/>
        <v>-15</v>
      </c>
    </row>
    <row r="917">
      <c r="A917" s="10">
        <v>916.0</v>
      </c>
      <c r="B917" s="11" t="s">
        <v>3762</v>
      </c>
      <c r="C917" s="10" t="s">
        <v>22</v>
      </c>
      <c r="D917" s="10" t="s">
        <v>90</v>
      </c>
      <c r="E917" s="13" t="str">
        <f>IFERROR(__xludf.DUMMYFUNCTION("ifna(filter('Yahoo ADP'!$A$2:$A2766,'Yahoo ADP'!$B$2:$B2766=$B917,$C917='Yahoo ADP'!$C$2:$C2766,$D917='Yahoo ADP'!$D$2:$D2766))"),"")</f>
        <v/>
      </c>
      <c r="F917" s="13" t="str">
        <f>IFERROR(__xludf.DUMMYFUNCTION("ifna(filter('Yahoo ADP'!$E$2:$E2766,'Yahoo ADP'!$B$2:$B2766=$B917,$C917='Yahoo ADP'!$C$2:$C2766,$D917='Yahoo ADP'!$D$2:$D2766))"),"-")</f>
        <v>-</v>
      </c>
      <c r="G917" s="27">
        <v>901.0</v>
      </c>
      <c r="H917" s="8">
        <f t="shared" si="1"/>
        <v>-15</v>
      </c>
    </row>
    <row r="918">
      <c r="A918" s="10">
        <v>917.0</v>
      </c>
      <c r="B918" s="11" t="s">
        <v>3763</v>
      </c>
      <c r="C918" s="10" t="s">
        <v>22</v>
      </c>
      <c r="D918" s="10" t="s">
        <v>31</v>
      </c>
      <c r="E918" s="13" t="str">
        <f>IFERROR(__xludf.DUMMYFUNCTION("ifna(filter('Yahoo ADP'!$A$2:$A2766,'Yahoo ADP'!$B$2:$B2766=$B918,$C918='Yahoo ADP'!$C$2:$C2766,$D918='Yahoo ADP'!$D$2:$D2766))"),"")</f>
        <v/>
      </c>
      <c r="F918" s="13" t="str">
        <f>IFERROR(__xludf.DUMMYFUNCTION("ifna(filter('Yahoo ADP'!$E$2:$E2766,'Yahoo ADP'!$B$2:$B2766=$B918,$C918='Yahoo ADP'!$C$2:$C2766,$D918='Yahoo ADP'!$D$2:$D2766))"),"-")</f>
        <v>-</v>
      </c>
      <c r="G918" s="27">
        <v>902.0</v>
      </c>
      <c r="H918" s="8">
        <f t="shared" si="1"/>
        <v>-15</v>
      </c>
    </row>
    <row r="919">
      <c r="A919" s="10">
        <v>918.0</v>
      </c>
      <c r="B919" s="11" t="s">
        <v>3764</v>
      </c>
      <c r="C919" s="10" t="s">
        <v>22</v>
      </c>
      <c r="D919" s="10" t="s">
        <v>71</v>
      </c>
      <c r="E919" s="13" t="str">
        <f>IFERROR(__xludf.DUMMYFUNCTION("ifna(filter('Yahoo ADP'!$A$2:$A2766,'Yahoo ADP'!$B$2:$B2766=$B919,$C919='Yahoo ADP'!$C$2:$C2766,$D919='Yahoo ADP'!$D$2:$D2766))"),"")</f>
        <v/>
      </c>
      <c r="F919" s="13" t="str">
        <f>IFERROR(__xludf.DUMMYFUNCTION("ifna(filter('Yahoo ADP'!$E$2:$E2766,'Yahoo ADP'!$B$2:$B2766=$B919,$C919='Yahoo ADP'!$C$2:$C2766,$D919='Yahoo ADP'!$D$2:$D2766))"),"-")</f>
        <v>-</v>
      </c>
      <c r="G919" s="27">
        <v>903.0</v>
      </c>
      <c r="H919" s="8">
        <f t="shared" si="1"/>
        <v>-15</v>
      </c>
    </row>
    <row r="920">
      <c r="A920" s="10">
        <v>919.0</v>
      </c>
      <c r="B920" s="11" t="s">
        <v>3765</v>
      </c>
      <c r="C920" s="10" t="s">
        <v>22</v>
      </c>
      <c r="D920" s="10" t="s">
        <v>46</v>
      </c>
      <c r="E920" s="13" t="str">
        <f>IFERROR(__xludf.DUMMYFUNCTION("ifna(filter('Yahoo ADP'!$A$2:$A2766,'Yahoo ADP'!$B$2:$B2766=$B920,$C920='Yahoo ADP'!$C$2:$C2766,$D920='Yahoo ADP'!$D$2:$D2766))"),"")</f>
        <v/>
      </c>
      <c r="F920" s="13" t="str">
        <f>IFERROR(__xludf.DUMMYFUNCTION("ifna(filter('Yahoo ADP'!$E$2:$E2766,'Yahoo ADP'!$B$2:$B2766=$B920,$C920='Yahoo ADP'!$C$2:$C2766,$D920='Yahoo ADP'!$D$2:$D2766))"),"-")</f>
        <v>-</v>
      </c>
      <c r="G920" s="27">
        <v>904.0</v>
      </c>
      <c r="H920" s="8">
        <f t="shared" si="1"/>
        <v>-15</v>
      </c>
    </row>
    <row r="921">
      <c r="A921" s="10">
        <v>920.0</v>
      </c>
      <c r="B921" s="11" t="s">
        <v>3766</v>
      </c>
      <c r="C921" s="10" t="s">
        <v>79</v>
      </c>
      <c r="D921" s="10" t="s">
        <v>95</v>
      </c>
      <c r="E921" s="13" t="str">
        <f>IFERROR(__xludf.DUMMYFUNCTION("ifna(filter('Yahoo ADP'!$A$2:$A2766,'Yahoo ADP'!$B$2:$B2766=$B921,$C921='Yahoo ADP'!$C$2:$C2766,$D921='Yahoo ADP'!$D$2:$D2766))"),"")</f>
        <v/>
      </c>
      <c r="F921" s="13" t="str">
        <f>IFERROR(__xludf.DUMMYFUNCTION("ifna(filter('Yahoo ADP'!$E$2:$E2766,'Yahoo ADP'!$B$2:$B2766=$B921,$C921='Yahoo ADP'!$C$2:$C2766,$D921='Yahoo ADP'!$D$2:$D2766))"),"-")</f>
        <v>-</v>
      </c>
      <c r="G921" s="27">
        <v>905.0</v>
      </c>
      <c r="H921" s="8">
        <f t="shared" si="1"/>
        <v>-15</v>
      </c>
    </row>
    <row r="922">
      <c r="A922" s="10">
        <v>921.0</v>
      </c>
      <c r="B922" s="11" t="s">
        <v>3767</v>
      </c>
      <c r="C922" s="10" t="s">
        <v>22</v>
      </c>
      <c r="D922" s="10" t="s">
        <v>34</v>
      </c>
      <c r="E922" s="13" t="str">
        <f>IFERROR(__xludf.DUMMYFUNCTION("ifna(filter('Yahoo ADP'!$A$2:$A2766,'Yahoo ADP'!$B$2:$B2766=$B922,$C922='Yahoo ADP'!$C$2:$C2766,$D922='Yahoo ADP'!$D$2:$D2766))"),"")</f>
        <v/>
      </c>
      <c r="F922" s="13" t="str">
        <f>IFERROR(__xludf.DUMMYFUNCTION("ifna(filter('Yahoo ADP'!$E$2:$E2766,'Yahoo ADP'!$B$2:$B2766=$B922,$C922='Yahoo ADP'!$C$2:$C2766,$D922='Yahoo ADP'!$D$2:$D2766))"),"-")</f>
        <v>-</v>
      </c>
      <c r="G922" s="27">
        <v>906.0</v>
      </c>
      <c r="H922" s="8">
        <f t="shared" si="1"/>
        <v>-15</v>
      </c>
    </row>
    <row r="923">
      <c r="A923" s="10">
        <v>922.0</v>
      </c>
      <c r="B923" s="11" t="s">
        <v>3768</v>
      </c>
      <c r="C923" s="10" t="s">
        <v>22</v>
      </c>
      <c r="D923" s="10" t="s">
        <v>140</v>
      </c>
      <c r="E923" s="13" t="str">
        <f>IFERROR(__xludf.DUMMYFUNCTION("ifna(filter('Yahoo ADP'!$A$2:$A2766,'Yahoo ADP'!$B$2:$B2766=$B923,$C923='Yahoo ADP'!$C$2:$C2766,$D923='Yahoo ADP'!$D$2:$D2766))"),"")</f>
        <v/>
      </c>
      <c r="F923" s="13" t="str">
        <f>IFERROR(__xludf.DUMMYFUNCTION("ifna(filter('Yahoo ADP'!$E$2:$E2766,'Yahoo ADP'!$B$2:$B2766=$B923,$C923='Yahoo ADP'!$C$2:$C2766,$D923='Yahoo ADP'!$D$2:$D2766))"),"-")</f>
        <v>-</v>
      </c>
      <c r="G923" s="27">
        <v>907.0</v>
      </c>
      <c r="H923" s="8">
        <f t="shared" si="1"/>
        <v>-15</v>
      </c>
    </row>
    <row r="924">
      <c r="A924" s="10">
        <v>923.0</v>
      </c>
      <c r="B924" s="11" t="s">
        <v>3769</v>
      </c>
      <c r="C924" s="10" t="s">
        <v>79</v>
      </c>
      <c r="D924" s="10" t="s">
        <v>42</v>
      </c>
      <c r="E924" s="13" t="str">
        <f>IFERROR(__xludf.DUMMYFUNCTION("ifna(filter('Yahoo ADP'!$A$2:$A2766,'Yahoo ADP'!$B$2:$B2766=$B924,$C924='Yahoo ADP'!$C$2:$C2766,$D924='Yahoo ADP'!$D$2:$D2766))"),"")</f>
        <v/>
      </c>
      <c r="F924" s="13" t="str">
        <f>IFERROR(__xludf.DUMMYFUNCTION("ifna(filter('Yahoo ADP'!$E$2:$E2766,'Yahoo ADP'!$B$2:$B2766=$B924,$C924='Yahoo ADP'!$C$2:$C2766,$D924='Yahoo ADP'!$D$2:$D2766))"),"-")</f>
        <v>-</v>
      </c>
      <c r="G924" s="27">
        <v>908.0</v>
      </c>
      <c r="H924" s="8">
        <f t="shared" si="1"/>
        <v>-15</v>
      </c>
    </row>
    <row r="925">
      <c r="A925" s="10">
        <v>924.0</v>
      </c>
      <c r="B925" s="11" t="s">
        <v>3770</v>
      </c>
      <c r="C925" s="10" t="s">
        <v>79</v>
      </c>
      <c r="D925" s="10" t="s">
        <v>120</v>
      </c>
      <c r="E925" s="13" t="str">
        <f>IFERROR(__xludf.DUMMYFUNCTION("ifna(filter('Yahoo ADP'!$A$2:$A2766,'Yahoo ADP'!$B$2:$B2766=$B925,$C925='Yahoo ADP'!$C$2:$C2766,$D925='Yahoo ADP'!$D$2:$D2766))"),"")</f>
        <v/>
      </c>
      <c r="F925" s="13" t="str">
        <f>IFERROR(__xludf.DUMMYFUNCTION("ifna(filter('Yahoo ADP'!$E$2:$E2766,'Yahoo ADP'!$B$2:$B2766=$B925,$C925='Yahoo ADP'!$C$2:$C2766,$D925='Yahoo ADP'!$D$2:$D2766))"),"-")</f>
        <v>-</v>
      </c>
      <c r="G925" s="27">
        <v>909.0</v>
      </c>
      <c r="H925" s="8">
        <f t="shared" si="1"/>
        <v>-15</v>
      </c>
    </row>
    <row r="926">
      <c r="A926" s="10">
        <v>925.0</v>
      </c>
      <c r="B926" s="11" t="s">
        <v>3771</v>
      </c>
      <c r="C926" s="10" t="s">
        <v>22</v>
      </c>
      <c r="D926" s="10" t="s">
        <v>46</v>
      </c>
      <c r="E926" s="13" t="str">
        <f>IFERROR(__xludf.DUMMYFUNCTION("ifna(filter('Yahoo ADP'!$A$2:$A2766,'Yahoo ADP'!$B$2:$B2766=$B926,$C926='Yahoo ADP'!$C$2:$C2766,$D926='Yahoo ADP'!$D$2:$D2766))"),"")</f>
        <v/>
      </c>
      <c r="F926" s="13" t="str">
        <f>IFERROR(__xludf.DUMMYFUNCTION("ifna(filter('Yahoo ADP'!$E$2:$E2766,'Yahoo ADP'!$B$2:$B2766=$B926,$C926='Yahoo ADP'!$C$2:$C2766,$D926='Yahoo ADP'!$D$2:$D2766))"),"-")</f>
        <v>-</v>
      </c>
      <c r="G926" s="27">
        <v>910.0</v>
      </c>
      <c r="H926" s="8">
        <f t="shared" si="1"/>
        <v>-15</v>
      </c>
    </row>
    <row r="927">
      <c r="A927" s="10">
        <v>926.0</v>
      </c>
      <c r="B927" s="11" t="s">
        <v>3772</v>
      </c>
      <c r="C927" s="10" t="s">
        <v>79</v>
      </c>
      <c r="D927" s="10" t="s">
        <v>113</v>
      </c>
      <c r="E927" s="13" t="str">
        <f>IFERROR(__xludf.DUMMYFUNCTION("ifna(filter('Yahoo ADP'!$A$2:$A2766,'Yahoo ADP'!$B$2:$B2766=$B927,$C927='Yahoo ADP'!$C$2:$C2766,$D927='Yahoo ADP'!$D$2:$D2766))"),"")</f>
        <v/>
      </c>
      <c r="F927" s="13" t="str">
        <f>IFERROR(__xludf.DUMMYFUNCTION("ifna(filter('Yahoo ADP'!$E$2:$E2766,'Yahoo ADP'!$B$2:$B2766=$B927,$C927='Yahoo ADP'!$C$2:$C2766,$D927='Yahoo ADP'!$D$2:$D2766))"),"")</f>
        <v/>
      </c>
      <c r="G927" s="27">
        <v>911.0</v>
      </c>
      <c r="H927" s="8">
        <f t="shared" si="1"/>
        <v>-15</v>
      </c>
    </row>
    <row r="928">
      <c r="A928" s="10">
        <v>927.0</v>
      </c>
      <c r="B928" s="11" t="s">
        <v>3773</v>
      </c>
      <c r="C928" s="10" t="s">
        <v>22</v>
      </c>
      <c r="D928" s="10" t="s">
        <v>15</v>
      </c>
      <c r="E928" s="13" t="str">
        <f>IFERROR(__xludf.DUMMYFUNCTION("ifna(filter('Yahoo ADP'!$A$2:$A2766,'Yahoo ADP'!$B$2:$B2766=$B928,$C928='Yahoo ADP'!$C$2:$C2766,$D928='Yahoo ADP'!$D$2:$D2766))"),"")</f>
        <v/>
      </c>
      <c r="F928" s="13" t="str">
        <f>IFERROR(__xludf.DUMMYFUNCTION("ifna(filter('Yahoo ADP'!$E$2:$E2766,'Yahoo ADP'!$B$2:$B2766=$B928,$C928='Yahoo ADP'!$C$2:$C2766,$D928='Yahoo ADP'!$D$2:$D2766))"),"-")</f>
        <v>-</v>
      </c>
      <c r="G928" s="27">
        <v>912.0</v>
      </c>
      <c r="H928" s="8">
        <f t="shared" si="1"/>
        <v>-15</v>
      </c>
    </row>
    <row r="929">
      <c r="A929" s="10">
        <v>928.0</v>
      </c>
      <c r="B929" s="11" t="s">
        <v>3774</v>
      </c>
      <c r="C929" s="10" t="s">
        <v>22</v>
      </c>
      <c r="D929" s="10" t="s">
        <v>137</v>
      </c>
      <c r="E929" s="13" t="str">
        <f>IFERROR(__xludf.DUMMYFUNCTION("ifna(filter('Yahoo ADP'!$A$2:$A2766,'Yahoo ADP'!$B$2:$B2766=$B929,$C929='Yahoo ADP'!$C$2:$C2766,$D929='Yahoo ADP'!$D$2:$D2766))"),"")</f>
        <v/>
      </c>
      <c r="F929" s="13" t="str">
        <f>IFERROR(__xludf.DUMMYFUNCTION("ifna(filter('Yahoo ADP'!$E$2:$E2766,'Yahoo ADP'!$B$2:$B2766=$B929,$C929='Yahoo ADP'!$C$2:$C2766,$D929='Yahoo ADP'!$D$2:$D2766))"),"-")</f>
        <v>-</v>
      </c>
      <c r="G929" s="27">
        <v>913.0</v>
      </c>
      <c r="H929" s="8">
        <f t="shared" si="1"/>
        <v>-15</v>
      </c>
    </row>
    <row r="930">
      <c r="A930" s="10">
        <v>929.0</v>
      </c>
      <c r="B930" s="11" t="s">
        <v>3775</v>
      </c>
      <c r="C930" s="10" t="s">
        <v>79</v>
      </c>
      <c r="D930" s="10" t="s">
        <v>95</v>
      </c>
      <c r="E930" s="13" t="str">
        <f>IFERROR(__xludf.DUMMYFUNCTION("ifna(filter('Yahoo ADP'!$A$2:$A2766,'Yahoo ADP'!$B$2:$B2766=$B930,$C930='Yahoo ADP'!$C$2:$C2766,$D930='Yahoo ADP'!$D$2:$D2766))"),"")</f>
        <v/>
      </c>
      <c r="F930" s="13" t="str">
        <f>IFERROR(__xludf.DUMMYFUNCTION("ifna(filter('Yahoo ADP'!$E$2:$E2766,'Yahoo ADP'!$B$2:$B2766=$B930,$C930='Yahoo ADP'!$C$2:$C2766,$D930='Yahoo ADP'!$D$2:$D2766))"),"-")</f>
        <v>-</v>
      </c>
      <c r="G930" s="27">
        <v>914.0</v>
      </c>
      <c r="H930" s="8">
        <f t="shared" si="1"/>
        <v>-15</v>
      </c>
    </row>
    <row r="931">
      <c r="A931" s="10">
        <v>930.0</v>
      </c>
      <c r="B931" s="11" t="s">
        <v>3776</v>
      </c>
      <c r="C931" s="10" t="s">
        <v>22</v>
      </c>
      <c r="D931" s="10" t="s">
        <v>71</v>
      </c>
      <c r="E931" s="13" t="str">
        <f>IFERROR(__xludf.DUMMYFUNCTION("ifna(filter('Yahoo ADP'!$A$2:$A2766,'Yahoo ADP'!$B$2:$B2766=$B931,$C931='Yahoo ADP'!$C$2:$C2766,$D931='Yahoo ADP'!$D$2:$D2766))"),"")</f>
        <v/>
      </c>
      <c r="F931" s="13" t="str">
        <f>IFERROR(__xludf.DUMMYFUNCTION("ifna(filter('Yahoo ADP'!$E$2:$E2766,'Yahoo ADP'!$B$2:$B2766=$B931,$C931='Yahoo ADP'!$C$2:$C2766,$D931='Yahoo ADP'!$D$2:$D2766))"),"-")</f>
        <v>-</v>
      </c>
      <c r="G931" s="27">
        <v>915.0</v>
      </c>
      <c r="H931" s="8">
        <f t="shared" si="1"/>
        <v>-15</v>
      </c>
    </row>
    <row r="932">
      <c r="A932" s="10">
        <v>931.0</v>
      </c>
      <c r="B932" s="11" t="s">
        <v>3777</v>
      </c>
      <c r="C932" s="10" t="s">
        <v>79</v>
      </c>
      <c r="D932" s="10" t="s">
        <v>34</v>
      </c>
      <c r="E932" s="13" t="str">
        <f>IFERROR(__xludf.DUMMYFUNCTION("ifna(filter('Yahoo ADP'!$A$2:$A2766,'Yahoo ADP'!$B$2:$B2766=$B932,$C932='Yahoo ADP'!$C$2:$C2766,$D932='Yahoo ADP'!$D$2:$D2766))"),"")</f>
        <v/>
      </c>
      <c r="F932" s="13" t="str">
        <f>IFERROR(__xludf.DUMMYFUNCTION("ifna(filter('Yahoo ADP'!$E$2:$E2766,'Yahoo ADP'!$B$2:$B2766=$B932,$C932='Yahoo ADP'!$C$2:$C2766,$D932='Yahoo ADP'!$D$2:$D2766))"),"-")</f>
        <v>-</v>
      </c>
      <c r="G932" s="27">
        <v>916.0</v>
      </c>
      <c r="H932" s="8">
        <f t="shared" si="1"/>
        <v>-15</v>
      </c>
    </row>
    <row r="933">
      <c r="A933" s="10">
        <v>932.0</v>
      </c>
      <c r="B933" s="11" t="s">
        <v>3778</v>
      </c>
      <c r="C933" s="10" t="s">
        <v>220</v>
      </c>
      <c r="D933" s="10" t="s">
        <v>71</v>
      </c>
      <c r="E933" s="13" t="str">
        <f>IFERROR(__xludf.DUMMYFUNCTION("ifna(filter('Yahoo ADP'!$A$2:$A2766,'Yahoo ADP'!$B$2:$B2766=$B933,$C933='Yahoo ADP'!$C$2:$C2766,$D933='Yahoo ADP'!$D$2:$D2766))"),"")</f>
        <v/>
      </c>
      <c r="F933" s="13" t="str">
        <f>IFERROR(__xludf.DUMMYFUNCTION("ifna(filter('Yahoo ADP'!$E$2:$E2766,'Yahoo ADP'!$B$2:$B2766=$B933,$C933='Yahoo ADP'!$C$2:$C2766,$D933='Yahoo ADP'!$D$2:$D2766))"),"-")</f>
        <v>-</v>
      </c>
      <c r="G933" s="27">
        <v>917.0</v>
      </c>
      <c r="H933" s="8">
        <f t="shared" si="1"/>
        <v>-15</v>
      </c>
    </row>
    <row r="934">
      <c r="A934" s="10">
        <v>933.0</v>
      </c>
      <c r="B934" s="11" t="s">
        <v>3779</v>
      </c>
      <c r="C934" s="10" t="s">
        <v>22</v>
      </c>
      <c r="D934" s="10" t="s">
        <v>52</v>
      </c>
      <c r="E934" s="13" t="str">
        <f>IFERROR(__xludf.DUMMYFUNCTION("ifna(filter('Yahoo ADP'!$A$2:$A2766,'Yahoo ADP'!$B$2:$B2766=$B934,$C934='Yahoo ADP'!$C$2:$C2766,$D934='Yahoo ADP'!$D$2:$D2766))"),"")</f>
        <v/>
      </c>
      <c r="F934" s="13" t="str">
        <f>IFERROR(__xludf.DUMMYFUNCTION("ifna(filter('Yahoo ADP'!$E$2:$E2766,'Yahoo ADP'!$B$2:$B2766=$B934,$C934='Yahoo ADP'!$C$2:$C2766,$D934='Yahoo ADP'!$D$2:$D2766))"),"-")</f>
        <v>-</v>
      </c>
      <c r="G934" s="27">
        <v>918.0</v>
      </c>
      <c r="H934" s="8">
        <f t="shared" si="1"/>
        <v>-15</v>
      </c>
    </row>
    <row r="935">
      <c r="A935" s="10">
        <v>934.0</v>
      </c>
      <c r="B935" s="11" t="s">
        <v>3780</v>
      </c>
      <c r="C935" s="10" t="s">
        <v>22</v>
      </c>
      <c r="D935" s="10" t="s">
        <v>95</v>
      </c>
      <c r="E935" s="13" t="str">
        <f>IFERROR(__xludf.DUMMYFUNCTION("ifna(filter('Yahoo ADP'!$A$2:$A2766,'Yahoo ADP'!$B$2:$B2766=$B935,$C935='Yahoo ADP'!$C$2:$C2766,$D935='Yahoo ADP'!$D$2:$D2766))"),"")</f>
        <v/>
      </c>
      <c r="F935" s="13" t="str">
        <f>IFERROR(__xludf.DUMMYFUNCTION("ifna(filter('Yahoo ADP'!$E$2:$E2766,'Yahoo ADP'!$B$2:$B2766=$B935,$C935='Yahoo ADP'!$C$2:$C2766,$D935='Yahoo ADP'!$D$2:$D2766))"),"-")</f>
        <v>-</v>
      </c>
      <c r="G935" s="27">
        <v>919.0</v>
      </c>
      <c r="H935" s="8">
        <f t="shared" si="1"/>
        <v>-15</v>
      </c>
    </row>
    <row r="936">
      <c r="A936" s="10">
        <v>935.0</v>
      </c>
      <c r="B936" s="11" t="s">
        <v>3781</v>
      </c>
      <c r="C936" s="10" t="s">
        <v>79</v>
      </c>
      <c r="D936" s="10" t="s">
        <v>15</v>
      </c>
      <c r="E936" s="13" t="str">
        <f>IFERROR(__xludf.DUMMYFUNCTION("ifna(filter('Yahoo ADP'!$A$2:$A2766,'Yahoo ADP'!$B$2:$B2766=$B936,$C936='Yahoo ADP'!$C$2:$C2766,$D936='Yahoo ADP'!$D$2:$D2766))"),"")</f>
        <v/>
      </c>
      <c r="F936" s="13" t="str">
        <f>IFERROR(__xludf.DUMMYFUNCTION("ifna(filter('Yahoo ADP'!$E$2:$E2766,'Yahoo ADP'!$B$2:$B2766=$B936,$C936='Yahoo ADP'!$C$2:$C2766,$D936='Yahoo ADP'!$D$2:$D2766))"),"-")</f>
        <v>-</v>
      </c>
      <c r="G936" s="27">
        <v>920.0</v>
      </c>
      <c r="H936" s="8">
        <f t="shared" si="1"/>
        <v>-15</v>
      </c>
    </row>
    <row r="937">
      <c r="A937" s="10">
        <v>936.0</v>
      </c>
      <c r="B937" s="11" t="s">
        <v>3782</v>
      </c>
      <c r="C937" s="10" t="s">
        <v>79</v>
      </c>
      <c r="D937" s="10" t="s">
        <v>113</v>
      </c>
      <c r="E937" s="13" t="str">
        <f>IFERROR(__xludf.DUMMYFUNCTION("ifna(filter('Yahoo ADP'!$A$2:$A2766,'Yahoo ADP'!$B$2:$B2766=$B937,$C937='Yahoo ADP'!$C$2:$C2766,$D937='Yahoo ADP'!$D$2:$D2766))"),"")</f>
        <v/>
      </c>
      <c r="F937" s="13" t="str">
        <f>IFERROR(__xludf.DUMMYFUNCTION("ifna(filter('Yahoo ADP'!$E$2:$E2766,'Yahoo ADP'!$B$2:$B2766=$B937,$C937='Yahoo ADP'!$C$2:$C2766,$D937='Yahoo ADP'!$D$2:$D2766))"),"-")</f>
        <v>-</v>
      </c>
      <c r="G937" s="27">
        <v>921.0</v>
      </c>
      <c r="H937" s="8">
        <f t="shared" si="1"/>
        <v>-15</v>
      </c>
    </row>
    <row r="938">
      <c r="A938" s="10">
        <v>937.0</v>
      </c>
      <c r="B938" s="11" t="s">
        <v>3783</v>
      </c>
      <c r="C938" s="10" t="s">
        <v>22</v>
      </c>
      <c r="D938" s="10" t="s">
        <v>137</v>
      </c>
      <c r="E938" s="13" t="str">
        <f>IFERROR(__xludf.DUMMYFUNCTION("ifna(filter('Yahoo ADP'!$A$2:$A2766,'Yahoo ADP'!$B$2:$B2766=$B938,$C938='Yahoo ADP'!$C$2:$C2766,$D938='Yahoo ADP'!$D$2:$D2766))"),"")</f>
        <v/>
      </c>
      <c r="F938" s="13" t="str">
        <f>IFERROR(__xludf.DUMMYFUNCTION("ifna(filter('Yahoo ADP'!$E$2:$E2766,'Yahoo ADP'!$B$2:$B2766=$B938,$C938='Yahoo ADP'!$C$2:$C2766,$D938='Yahoo ADP'!$D$2:$D2766))"),"-")</f>
        <v>-</v>
      </c>
      <c r="G938" s="27">
        <v>922.0</v>
      </c>
      <c r="H938" s="8">
        <f t="shared" si="1"/>
        <v>-15</v>
      </c>
    </row>
    <row r="939">
      <c r="A939" s="10">
        <v>938.0</v>
      </c>
      <c r="B939" s="11" t="s">
        <v>3784</v>
      </c>
      <c r="C939" s="10" t="s">
        <v>22</v>
      </c>
      <c r="D939" s="10" t="s">
        <v>46</v>
      </c>
      <c r="E939" s="13" t="str">
        <f>IFERROR(__xludf.DUMMYFUNCTION("ifna(filter('Yahoo ADP'!$A$2:$A2766,'Yahoo ADP'!$B$2:$B2766=$B939,$C939='Yahoo ADP'!$C$2:$C2766,$D939='Yahoo ADP'!$D$2:$D2766))"),"")</f>
        <v/>
      </c>
      <c r="F939" s="13" t="str">
        <f>IFERROR(__xludf.DUMMYFUNCTION("ifna(filter('Yahoo ADP'!$E$2:$E2766,'Yahoo ADP'!$B$2:$B2766=$B939,$C939='Yahoo ADP'!$C$2:$C2766,$D939='Yahoo ADP'!$D$2:$D2766))"),"-")</f>
        <v>-</v>
      </c>
      <c r="G939" s="27">
        <v>923.0</v>
      </c>
      <c r="H939" s="8">
        <f t="shared" si="1"/>
        <v>-15</v>
      </c>
    </row>
    <row r="940">
      <c r="A940" s="10">
        <v>939.0</v>
      </c>
      <c r="B940" s="11" t="s">
        <v>3785</v>
      </c>
      <c r="C940" s="10" t="s">
        <v>79</v>
      </c>
      <c r="D940" s="10" t="s">
        <v>122</v>
      </c>
      <c r="E940" s="13" t="str">
        <f>IFERROR(__xludf.DUMMYFUNCTION("ifna(filter('Yahoo ADP'!$A$2:$A2766,'Yahoo ADP'!$B$2:$B2766=$B940,$C940='Yahoo ADP'!$C$2:$C2766,$D940='Yahoo ADP'!$D$2:$D2766))"),"")</f>
        <v/>
      </c>
      <c r="F940" s="13" t="str">
        <f>IFERROR(__xludf.DUMMYFUNCTION("ifna(filter('Yahoo ADP'!$E$2:$E2766,'Yahoo ADP'!$B$2:$B2766=$B940,$C940='Yahoo ADP'!$C$2:$C2766,$D940='Yahoo ADP'!$D$2:$D2766))"),"-")</f>
        <v>-</v>
      </c>
      <c r="G940" s="27">
        <v>924.0</v>
      </c>
      <c r="H940" s="8">
        <f t="shared" si="1"/>
        <v>-15</v>
      </c>
    </row>
    <row r="941">
      <c r="A941" s="10">
        <v>940.0</v>
      </c>
      <c r="B941" s="11" t="s">
        <v>3786</v>
      </c>
      <c r="C941" s="10" t="s">
        <v>22</v>
      </c>
      <c r="D941" s="10" t="s">
        <v>90</v>
      </c>
      <c r="E941" s="13" t="str">
        <f>IFERROR(__xludf.DUMMYFUNCTION("ifna(filter('Yahoo ADP'!$A$2:$A2766,'Yahoo ADP'!$B$2:$B2766=$B941,$C941='Yahoo ADP'!$C$2:$C2766,$D941='Yahoo ADP'!$D$2:$D2766))"),"")</f>
        <v/>
      </c>
      <c r="F941" s="13" t="str">
        <f>IFERROR(__xludf.DUMMYFUNCTION("ifna(filter('Yahoo ADP'!$E$2:$E2766,'Yahoo ADP'!$B$2:$B2766=$B941,$C941='Yahoo ADP'!$C$2:$C2766,$D941='Yahoo ADP'!$D$2:$D2766))"),"-")</f>
        <v>-</v>
      </c>
      <c r="G941" s="27">
        <v>925.0</v>
      </c>
      <c r="H941" s="8">
        <f t="shared" si="1"/>
        <v>-15</v>
      </c>
    </row>
    <row r="942">
      <c r="A942" s="10">
        <v>941.0</v>
      </c>
      <c r="B942" s="11" t="s">
        <v>3787</v>
      </c>
      <c r="C942" s="10" t="s">
        <v>22</v>
      </c>
      <c r="D942" s="10" t="s">
        <v>18</v>
      </c>
      <c r="E942" s="13" t="str">
        <f>IFERROR(__xludf.DUMMYFUNCTION("ifna(filter('Yahoo ADP'!$A$2:$A2766,'Yahoo ADP'!$B$2:$B2766=$B942,$C942='Yahoo ADP'!$C$2:$C2766,$D942='Yahoo ADP'!$D$2:$D2766))"),"")</f>
        <v/>
      </c>
      <c r="F942" s="13" t="str">
        <f>IFERROR(__xludf.DUMMYFUNCTION("ifna(filter('Yahoo ADP'!$E$2:$E2766,'Yahoo ADP'!$B$2:$B2766=$B942,$C942='Yahoo ADP'!$C$2:$C2766,$D942='Yahoo ADP'!$D$2:$D2766))"),"-")</f>
        <v>-</v>
      </c>
      <c r="G942" s="27">
        <v>926.0</v>
      </c>
      <c r="H942" s="8">
        <f t="shared" si="1"/>
        <v>-15</v>
      </c>
    </row>
    <row r="943">
      <c r="A943" s="10">
        <v>942.0</v>
      </c>
      <c r="B943" s="11" t="s">
        <v>3788</v>
      </c>
      <c r="C943" s="10" t="s">
        <v>79</v>
      </c>
      <c r="D943" s="10" t="s">
        <v>95</v>
      </c>
      <c r="E943" s="13" t="str">
        <f>IFERROR(__xludf.DUMMYFUNCTION("ifna(filter('Yahoo ADP'!$A$2:$A2766,'Yahoo ADP'!$B$2:$B2766=$B943,$C943='Yahoo ADP'!$C$2:$C2766,$D943='Yahoo ADP'!$D$2:$D2766))"),"")</f>
        <v/>
      </c>
      <c r="F943" s="13" t="str">
        <f>IFERROR(__xludf.DUMMYFUNCTION("ifna(filter('Yahoo ADP'!$E$2:$E2766,'Yahoo ADP'!$B$2:$B2766=$B943,$C943='Yahoo ADP'!$C$2:$C2766,$D943='Yahoo ADP'!$D$2:$D2766))"),"-")</f>
        <v>-</v>
      </c>
      <c r="G943" s="27">
        <v>927.0</v>
      </c>
      <c r="H943" s="8">
        <f t="shared" si="1"/>
        <v>-15</v>
      </c>
    </row>
    <row r="944">
      <c r="A944" s="10">
        <v>943.0</v>
      </c>
      <c r="B944" s="11" t="s">
        <v>3789</v>
      </c>
      <c r="C944" s="10" t="s">
        <v>22</v>
      </c>
      <c r="D944" s="10" t="s">
        <v>18</v>
      </c>
      <c r="E944" s="13" t="str">
        <f>IFERROR(__xludf.DUMMYFUNCTION("ifna(filter('Yahoo ADP'!$A$2:$A2766,'Yahoo ADP'!$B$2:$B2766=$B944,$C944='Yahoo ADP'!$C$2:$C2766,$D944='Yahoo ADP'!$D$2:$D2766))"),"")</f>
        <v/>
      </c>
      <c r="F944" s="13" t="str">
        <f>IFERROR(__xludf.DUMMYFUNCTION("ifna(filter('Yahoo ADP'!$E$2:$E2766,'Yahoo ADP'!$B$2:$B2766=$B944,$C944='Yahoo ADP'!$C$2:$C2766,$D944='Yahoo ADP'!$D$2:$D2766))"),"-")</f>
        <v>-</v>
      </c>
      <c r="G944" s="27">
        <v>928.0</v>
      </c>
      <c r="H944" s="8">
        <f t="shared" si="1"/>
        <v>-15</v>
      </c>
    </row>
    <row r="945">
      <c r="A945" s="10">
        <v>944.0</v>
      </c>
      <c r="B945" s="11" t="s">
        <v>3790</v>
      </c>
      <c r="C945" s="10" t="s">
        <v>79</v>
      </c>
      <c r="D945" s="10" t="s">
        <v>206</v>
      </c>
      <c r="E945" s="13" t="str">
        <f>IFERROR(__xludf.DUMMYFUNCTION("ifna(filter('Yahoo ADP'!$A$2:$A2766,'Yahoo ADP'!$B$2:$B2766=$B945,$C945='Yahoo ADP'!$C$2:$C2766,$D945='Yahoo ADP'!$D$2:$D2766))"),"")</f>
        <v/>
      </c>
      <c r="F945" s="13" t="str">
        <f>IFERROR(__xludf.DUMMYFUNCTION("ifna(filter('Yahoo ADP'!$E$2:$E2766,'Yahoo ADP'!$B$2:$B2766=$B945,$C945='Yahoo ADP'!$C$2:$C2766,$D945='Yahoo ADP'!$D$2:$D2766))"),"")</f>
        <v/>
      </c>
      <c r="G945" s="27">
        <v>929.0</v>
      </c>
      <c r="H945" s="8">
        <f t="shared" si="1"/>
        <v>-15</v>
      </c>
    </row>
    <row r="946">
      <c r="A946" s="10">
        <v>945.0</v>
      </c>
      <c r="B946" s="11" t="s">
        <v>3791</v>
      </c>
      <c r="C946" s="10" t="s">
        <v>22</v>
      </c>
      <c r="D946" s="10" t="s">
        <v>105</v>
      </c>
      <c r="E946" s="13" t="str">
        <f>IFERROR(__xludf.DUMMYFUNCTION("ifna(filter('Yahoo ADP'!$A$2:$A2766,'Yahoo ADP'!$B$2:$B2766=$B946,$C946='Yahoo ADP'!$C$2:$C2766,$D946='Yahoo ADP'!$D$2:$D2766))"),"")</f>
        <v/>
      </c>
      <c r="F946" s="13" t="str">
        <f>IFERROR(__xludf.DUMMYFUNCTION("ifna(filter('Yahoo ADP'!$E$2:$E2766,'Yahoo ADP'!$B$2:$B2766=$B946,$C946='Yahoo ADP'!$C$2:$C2766,$D946='Yahoo ADP'!$D$2:$D2766))"),"-")</f>
        <v>-</v>
      </c>
      <c r="G946" s="27">
        <v>930.0</v>
      </c>
      <c r="H946" s="8">
        <f t="shared" si="1"/>
        <v>-15</v>
      </c>
    </row>
    <row r="947">
      <c r="A947" s="10">
        <v>946.0</v>
      </c>
      <c r="B947" s="11" t="s">
        <v>3792</v>
      </c>
      <c r="C947" s="10" t="s">
        <v>22</v>
      </c>
      <c r="D947" s="10" t="s">
        <v>9</v>
      </c>
      <c r="E947" s="13" t="str">
        <f>IFERROR(__xludf.DUMMYFUNCTION("ifna(filter('Yahoo ADP'!$A$2:$A2766,'Yahoo ADP'!$B$2:$B2766=$B947,$C947='Yahoo ADP'!$C$2:$C2766,$D947='Yahoo ADP'!$D$2:$D2766))"),"")</f>
        <v/>
      </c>
      <c r="F947" s="13" t="str">
        <f>IFERROR(__xludf.DUMMYFUNCTION("ifna(filter('Yahoo ADP'!$E$2:$E2766,'Yahoo ADP'!$B$2:$B2766=$B947,$C947='Yahoo ADP'!$C$2:$C2766,$D947='Yahoo ADP'!$D$2:$D2766))"),"-")</f>
        <v>-</v>
      </c>
      <c r="G947" s="27">
        <v>931.0</v>
      </c>
      <c r="H947" s="8">
        <f t="shared" si="1"/>
        <v>-15</v>
      </c>
    </row>
    <row r="948">
      <c r="A948" s="10">
        <v>947.0</v>
      </c>
      <c r="B948" s="11" t="s">
        <v>3793</v>
      </c>
      <c r="C948" s="10" t="s">
        <v>79</v>
      </c>
      <c r="D948" s="10" t="s">
        <v>42</v>
      </c>
      <c r="E948" s="13" t="str">
        <f>IFERROR(__xludf.DUMMYFUNCTION("ifna(filter('Yahoo ADP'!$A$2:$A2766,'Yahoo ADP'!$B$2:$B2766=$B948,$C948='Yahoo ADP'!$C$2:$C2766,$D948='Yahoo ADP'!$D$2:$D2766))"),"")</f>
        <v/>
      </c>
      <c r="F948" s="13" t="str">
        <f>IFERROR(__xludf.DUMMYFUNCTION("ifna(filter('Yahoo ADP'!$E$2:$E2766,'Yahoo ADP'!$B$2:$B2766=$B948,$C948='Yahoo ADP'!$C$2:$C2766,$D948='Yahoo ADP'!$D$2:$D2766))"),"-")</f>
        <v>-</v>
      </c>
      <c r="G948" s="27">
        <v>932.0</v>
      </c>
      <c r="H948" s="8">
        <f t="shared" si="1"/>
        <v>-15</v>
      </c>
    </row>
    <row r="949">
      <c r="A949" s="10">
        <v>948.0</v>
      </c>
      <c r="B949" s="11" t="s">
        <v>3794</v>
      </c>
      <c r="C949" s="10" t="s">
        <v>79</v>
      </c>
      <c r="D949" s="10" t="s">
        <v>122</v>
      </c>
      <c r="E949" s="13" t="str">
        <f>IFERROR(__xludf.DUMMYFUNCTION("ifna(filter('Yahoo ADP'!$A$2:$A2766,'Yahoo ADP'!$B$2:$B2766=$B949,$C949='Yahoo ADP'!$C$2:$C2766,$D949='Yahoo ADP'!$D$2:$D2766))"),"")</f>
        <v/>
      </c>
      <c r="F949" s="13" t="str">
        <f>IFERROR(__xludf.DUMMYFUNCTION("ifna(filter('Yahoo ADP'!$E$2:$E2766,'Yahoo ADP'!$B$2:$B2766=$B949,$C949='Yahoo ADP'!$C$2:$C2766,$D949='Yahoo ADP'!$D$2:$D2766))"),"-")</f>
        <v>-</v>
      </c>
      <c r="G949" s="27">
        <v>933.0</v>
      </c>
      <c r="H949" s="8">
        <f t="shared" si="1"/>
        <v>-15</v>
      </c>
    </row>
    <row r="950">
      <c r="A950" s="10">
        <v>949.0</v>
      </c>
      <c r="B950" s="11" t="s">
        <v>3795</v>
      </c>
      <c r="C950" s="10" t="s">
        <v>79</v>
      </c>
      <c r="D950" s="10" t="s">
        <v>105</v>
      </c>
      <c r="E950" s="13" t="str">
        <f>IFERROR(__xludf.DUMMYFUNCTION("ifna(filter('Yahoo ADP'!$A$2:$A2766,'Yahoo ADP'!$B$2:$B2766=$B950,$C950='Yahoo ADP'!$C$2:$C2766,$D950='Yahoo ADP'!$D$2:$D2766))"),"")</f>
        <v/>
      </c>
      <c r="F950" s="13" t="str">
        <f>IFERROR(__xludf.DUMMYFUNCTION("ifna(filter('Yahoo ADP'!$E$2:$E2766,'Yahoo ADP'!$B$2:$B2766=$B950,$C950='Yahoo ADP'!$C$2:$C2766,$D950='Yahoo ADP'!$D$2:$D2766))"),"-")</f>
        <v>-</v>
      </c>
      <c r="G950" s="27">
        <v>934.0</v>
      </c>
      <c r="H950" s="8">
        <f t="shared" si="1"/>
        <v>-15</v>
      </c>
    </row>
    <row r="951">
      <c r="A951" s="10">
        <v>950.0</v>
      </c>
      <c r="B951" s="11" t="s">
        <v>3796</v>
      </c>
      <c r="C951" s="10" t="s">
        <v>79</v>
      </c>
      <c r="D951" s="10" t="s">
        <v>122</v>
      </c>
      <c r="E951" s="13" t="str">
        <f>IFERROR(__xludf.DUMMYFUNCTION("ifna(filter('Yahoo ADP'!$A$2:$A2766,'Yahoo ADP'!$B$2:$B2766=$B951,$C951='Yahoo ADP'!$C$2:$C2766,$D951='Yahoo ADP'!$D$2:$D2766))"),"")</f>
        <v/>
      </c>
      <c r="F951" s="13" t="str">
        <f>IFERROR(__xludf.DUMMYFUNCTION("ifna(filter('Yahoo ADP'!$E$2:$E2766,'Yahoo ADP'!$B$2:$B2766=$B951,$C951='Yahoo ADP'!$C$2:$C2766,$D951='Yahoo ADP'!$D$2:$D2766))"),"-")</f>
        <v>-</v>
      </c>
      <c r="G951" s="27">
        <v>935.0</v>
      </c>
      <c r="H951" s="8">
        <f t="shared" si="1"/>
        <v>-15</v>
      </c>
    </row>
    <row r="952">
      <c r="A952" s="10">
        <v>951.0</v>
      </c>
      <c r="B952" s="11" t="s">
        <v>3797</v>
      </c>
      <c r="C952" s="10" t="s">
        <v>79</v>
      </c>
      <c r="D952" s="10" t="s">
        <v>71</v>
      </c>
      <c r="E952" s="13" t="str">
        <f>IFERROR(__xludf.DUMMYFUNCTION("ifna(filter('Yahoo ADP'!$A$2:$A2766,'Yahoo ADP'!$B$2:$B2766=$B952,$C952='Yahoo ADP'!$C$2:$C2766,$D952='Yahoo ADP'!$D$2:$D2766))"),"")</f>
        <v/>
      </c>
      <c r="F952" s="13" t="str">
        <f>IFERROR(__xludf.DUMMYFUNCTION("ifna(filter('Yahoo ADP'!$E$2:$E2766,'Yahoo ADP'!$B$2:$B2766=$B952,$C952='Yahoo ADP'!$C$2:$C2766,$D952='Yahoo ADP'!$D$2:$D2766))"),"-")</f>
        <v>-</v>
      </c>
      <c r="G952" s="27">
        <v>936.0</v>
      </c>
      <c r="H952" s="8">
        <f t="shared" si="1"/>
        <v>-15</v>
      </c>
    </row>
    <row r="953">
      <c r="A953" s="10">
        <v>952.0</v>
      </c>
      <c r="B953" s="11" t="s">
        <v>3798</v>
      </c>
      <c r="C953" s="10" t="s">
        <v>79</v>
      </c>
      <c r="D953" s="10" t="s">
        <v>34</v>
      </c>
      <c r="E953" s="13" t="str">
        <f>IFERROR(__xludf.DUMMYFUNCTION("ifna(filter('Yahoo ADP'!$A$2:$A2766,'Yahoo ADP'!$B$2:$B2766=$B953,$C953='Yahoo ADP'!$C$2:$C2766,$D953='Yahoo ADP'!$D$2:$D2766))"),"")</f>
        <v/>
      </c>
      <c r="F953" s="13" t="str">
        <f>IFERROR(__xludf.DUMMYFUNCTION("ifna(filter('Yahoo ADP'!$E$2:$E2766,'Yahoo ADP'!$B$2:$B2766=$B953,$C953='Yahoo ADP'!$C$2:$C2766,$D953='Yahoo ADP'!$D$2:$D2766))"),"-")</f>
        <v>-</v>
      </c>
      <c r="G953" s="27">
        <v>937.0</v>
      </c>
      <c r="H953" s="8">
        <f t="shared" si="1"/>
        <v>-15</v>
      </c>
    </row>
    <row r="954">
      <c r="A954" s="10">
        <v>953.0</v>
      </c>
      <c r="B954" s="11" t="s">
        <v>3799</v>
      </c>
      <c r="C954" s="10" t="s">
        <v>79</v>
      </c>
      <c r="D954" s="10" t="s">
        <v>85</v>
      </c>
      <c r="E954" s="13" t="str">
        <f>IFERROR(__xludf.DUMMYFUNCTION("ifna(filter('Yahoo ADP'!$A$2:$A2766,'Yahoo ADP'!$B$2:$B2766=$B954,$C954='Yahoo ADP'!$C$2:$C2766,$D954='Yahoo ADP'!$D$2:$D2766))"),"")</f>
        <v/>
      </c>
      <c r="F954" s="13" t="str">
        <f>IFERROR(__xludf.DUMMYFUNCTION("ifna(filter('Yahoo ADP'!$E$2:$E2766,'Yahoo ADP'!$B$2:$B2766=$B954,$C954='Yahoo ADP'!$C$2:$C2766,$D954='Yahoo ADP'!$D$2:$D2766))"),"-")</f>
        <v>-</v>
      </c>
      <c r="G954" s="27">
        <v>938.0</v>
      </c>
      <c r="H954" s="8">
        <f t="shared" si="1"/>
        <v>-15</v>
      </c>
    </row>
    <row r="955">
      <c r="A955" s="10">
        <v>954.0</v>
      </c>
      <c r="B955" s="11" t="s">
        <v>3800</v>
      </c>
      <c r="C955" s="10" t="s">
        <v>22</v>
      </c>
      <c r="D955" s="10" t="s">
        <v>15</v>
      </c>
      <c r="E955" s="13" t="str">
        <f>IFERROR(__xludf.DUMMYFUNCTION("ifna(filter('Yahoo ADP'!$A$2:$A2766,'Yahoo ADP'!$B$2:$B2766=$B955,$C955='Yahoo ADP'!$C$2:$C2766,$D955='Yahoo ADP'!$D$2:$D2766))"),"")</f>
        <v/>
      </c>
      <c r="F955" s="13" t="str">
        <f>IFERROR(__xludf.DUMMYFUNCTION("ifna(filter('Yahoo ADP'!$E$2:$E2766,'Yahoo ADP'!$B$2:$B2766=$B955,$C955='Yahoo ADP'!$C$2:$C2766,$D955='Yahoo ADP'!$D$2:$D2766))"),"-")</f>
        <v>-</v>
      </c>
      <c r="G955" s="27">
        <v>939.0</v>
      </c>
      <c r="H955" s="8">
        <f t="shared" si="1"/>
        <v>-15</v>
      </c>
    </row>
    <row r="956">
      <c r="A956" s="10">
        <v>955.0</v>
      </c>
      <c r="B956" s="11" t="s">
        <v>3801</v>
      </c>
      <c r="C956" s="10" t="s">
        <v>22</v>
      </c>
      <c r="D956" s="10" t="s">
        <v>52</v>
      </c>
      <c r="E956" s="13" t="str">
        <f>IFERROR(__xludf.DUMMYFUNCTION("ifna(filter('Yahoo ADP'!$A$2:$A2766,'Yahoo ADP'!$B$2:$B2766=$B956,$C956='Yahoo ADP'!$C$2:$C2766,$D956='Yahoo ADP'!$D$2:$D2766))"),"")</f>
        <v/>
      </c>
      <c r="F956" s="13" t="str">
        <f>IFERROR(__xludf.DUMMYFUNCTION("ifna(filter('Yahoo ADP'!$E$2:$E2766,'Yahoo ADP'!$B$2:$B2766=$B956,$C956='Yahoo ADP'!$C$2:$C2766,$D956='Yahoo ADP'!$D$2:$D2766))"),"-")</f>
        <v>-</v>
      </c>
      <c r="G956" s="27">
        <v>940.0</v>
      </c>
      <c r="H956" s="8">
        <f t="shared" si="1"/>
        <v>-15</v>
      </c>
    </row>
    <row r="957">
      <c r="A957" s="10">
        <v>956.0</v>
      </c>
      <c r="B957" s="11" t="s">
        <v>3802</v>
      </c>
      <c r="C957" s="10" t="s">
        <v>22</v>
      </c>
      <c r="D957" s="10" t="s">
        <v>67</v>
      </c>
      <c r="E957" s="13" t="str">
        <f>IFERROR(__xludf.DUMMYFUNCTION("ifna(filter('Yahoo ADP'!$A$2:$A2766,'Yahoo ADP'!$B$2:$B2766=$B957,$C957='Yahoo ADP'!$C$2:$C2766,$D957='Yahoo ADP'!$D$2:$D2766))"),"")</f>
        <v/>
      </c>
      <c r="F957" s="13" t="str">
        <f>IFERROR(__xludf.DUMMYFUNCTION("ifna(filter('Yahoo ADP'!$E$2:$E2766,'Yahoo ADP'!$B$2:$B2766=$B957,$C957='Yahoo ADP'!$C$2:$C2766,$D957='Yahoo ADP'!$D$2:$D2766))"),"-")</f>
        <v>-</v>
      </c>
      <c r="G957" s="27">
        <v>941.0</v>
      </c>
      <c r="H957" s="8">
        <f t="shared" si="1"/>
        <v>-15</v>
      </c>
    </row>
    <row r="958">
      <c r="A958" s="10">
        <v>957.0</v>
      </c>
      <c r="B958" s="11" t="s">
        <v>3803</v>
      </c>
      <c r="C958" s="10" t="s">
        <v>22</v>
      </c>
      <c r="D958" s="10" t="s">
        <v>36</v>
      </c>
      <c r="E958" s="13" t="str">
        <f>IFERROR(__xludf.DUMMYFUNCTION("ifna(filter('Yahoo ADP'!$A$2:$A2766,'Yahoo ADP'!$B$2:$B2766=$B958,$C958='Yahoo ADP'!$C$2:$C2766,$D958='Yahoo ADP'!$D$2:$D2766))"),"")</f>
        <v/>
      </c>
      <c r="F958" s="13" t="str">
        <f>IFERROR(__xludf.DUMMYFUNCTION("ifna(filter('Yahoo ADP'!$E$2:$E2766,'Yahoo ADP'!$B$2:$B2766=$B958,$C958='Yahoo ADP'!$C$2:$C2766,$D958='Yahoo ADP'!$D$2:$D2766))"),"-")</f>
        <v>-</v>
      </c>
      <c r="G958" s="27">
        <v>942.0</v>
      </c>
      <c r="H958" s="8">
        <f t="shared" si="1"/>
        <v>-15</v>
      </c>
    </row>
    <row r="959">
      <c r="A959" s="10">
        <v>958.0</v>
      </c>
      <c r="B959" s="11" t="s">
        <v>3804</v>
      </c>
      <c r="C959" s="10" t="s">
        <v>79</v>
      </c>
      <c r="D959" s="10" t="s">
        <v>46</v>
      </c>
      <c r="E959" s="13" t="str">
        <f>IFERROR(__xludf.DUMMYFUNCTION("ifna(filter('Yahoo ADP'!$A$2:$A2766,'Yahoo ADP'!$B$2:$B2766=$B959,$C959='Yahoo ADP'!$C$2:$C2766,$D959='Yahoo ADP'!$D$2:$D2766))"),"")</f>
        <v/>
      </c>
      <c r="F959" s="13" t="str">
        <f>IFERROR(__xludf.DUMMYFUNCTION("ifna(filter('Yahoo ADP'!$E$2:$E2766,'Yahoo ADP'!$B$2:$B2766=$B959,$C959='Yahoo ADP'!$C$2:$C2766,$D959='Yahoo ADP'!$D$2:$D2766))"),"-")</f>
        <v>-</v>
      </c>
      <c r="G959" s="27">
        <v>943.0</v>
      </c>
      <c r="H959" s="8">
        <f t="shared" si="1"/>
        <v>-15</v>
      </c>
    </row>
    <row r="960">
      <c r="A960" s="10">
        <v>959.0</v>
      </c>
      <c r="B960" s="11" t="s">
        <v>3805</v>
      </c>
      <c r="C960" s="10" t="s">
        <v>79</v>
      </c>
      <c r="D960" s="10" t="s">
        <v>42</v>
      </c>
      <c r="E960" s="13" t="str">
        <f>IFERROR(__xludf.DUMMYFUNCTION("ifna(filter('Yahoo ADP'!$A$2:$A2766,'Yahoo ADP'!$B$2:$B2766=$B960,$C960='Yahoo ADP'!$C$2:$C2766,$D960='Yahoo ADP'!$D$2:$D2766))"),"")</f>
        <v/>
      </c>
      <c r="F960" s="13" t="str">
        <f>IFERROR(__xludf.DUMMYFUNCTION("ifna(filter('Yahoo ADP'!$E$2:$E2766,'Yahoo ADP'!$B$2:$B2766=$B960,$C960='Yahoo ADP'!$C$2:$C2766,$D960='Yahoo ADP'!$D$2:$D2766))"),"-")</f>
        <v>-</v>
      </c>
      <c r="G960" s="27">
        <v>944.0</v>
      </c>
      <c r="H960" s="8">
        <f t="shared" si="1"/>
        <v>-15</v>
      </c>
    </row>
    <row r="961">
      <c r="A961" s="10">
        <v>960.0</v>
      </c>
      <c r="B961" s="11" t="s">
        <v>3806</v>
      </c>
      <c r="C961" s="10" t="s">
        <v>22</v>
      </c>
      <c r="D961" s="10" t="s">
        <v>52</v>
      </c>
      <c r="E961" s="13" t="str">
        <f>IFERROR(__xludf.DUMMYFUNCTION("ifna(filter('Yahoo ADP'!$A$2:$A2766,'Yahoo ADP'!$B$2:$B2766=$B961,$C961='Yahoo ADP'!$C$2:$C2766,$D961='Yahoo ADP'!$D$2:$D2766))"),"")</f>
        <v/>
      </c>
      <c r="F961" s="13" t="str">
        <f>IFERROR(__xludf.DUMMYFUNCTION("ifna(filter('Yahoo ADP'!$E$2:$E2766,'Yahoo ADP'!$B$2:$B2766=$B961,$C961='Yahoo ADP'!$C$2:$C2766,$D961='Yahoo ADP'!$D$2:$D2766))"),"-")</f>
        <v>-</v>
      </c>
      <c r="G961" s="27">
        <v>945.0</v>
      </c>
      <c r="H961" s="8">
        <f t="shared" si="1"/>
        <v>-15</v>
      </c>
    </row>
    <row r="962">
      <c r="A962" s="10">
        <v>961.0</v>
      </c>
      <c r="B962" s="11" t="s">
        <v>3807</v>
      </c>
      <c r="C962" s="10" t="s">
        <v>22</v>
      </c>
      <c r="D962" s="10" t="s">
        <v>113</v>
      </c>
      <c r="E962" s="13" t="str">
        <f>IFERROR(__xludf.DUMMYFUNCTION("ifna(filter('Yahoo ADP'!$A$2:$A2766,'Yahoo ADP'!$B$2:$B2766=$B962,$C962='Yahoo ADP'!$C$2:$C2766,$D962='Yahoo ADP'!$D$2:$D2766))"),"")</f>
        <v/>
      </c>
      <c r="F962" s="13" t="str">
        <f>IFERROR(__xludf.DUMMYFUNCTION("ifna(filter('Yahoo ADP'!$E$2:$E2766,'Yahoo ADP'!$B$2:$B2766=$B962,$C962='Yahoo ADP'!$C$2:$C2766,$D962='Yahoo ADP'!$D$2:$D2766))"),"-")</f>
        <v>-</v>
      </c>
      <c r="G962" s="27">
        <v>946.0</v>
      </c>
      <c r="H962" s="8">
        <f t="shared" si="1"/>
        <v>-15</v>
      </c>
    </row>
    <row r="963">
      <c r="A963" s="10">
        <v>962.0</v>
      </c>
      <c r="B963" s="11" t="s">
        <v>3808</v>
      </c>
      <c r="C963" s="10" t="s">
        <v>22</v>
      </c>
      <c r="D963" s="10" t="s">
        <v>52</v>
      </c>
      <c r="E963" s="13" t="str">
        <f>IFERROR(__xludf.DUMMYFUNCTION("ifna(filter('Yahoo ADP'!$A$2:$A2766,'Yahoo ADP'!$B$2:$B2766=$B963,$C963='Yahoo ADP'!$C$2:$C2766,$D963='Yahoo ADP'!$D$2:$D2766))"),"")</f>
        <v/>
      </c>
      <c r="F963" s="13" t="str">
        <f>IFERROR(__xludf.DUMMYFUNCTION("ifna(filter('Yahoo ADP'!$E$2:$E2766,'Yahoo ADP'!$B$2:$B2766=$B963,$C963='Yahoo ADP'!$C$2:$C2766,$D963='Yahoo ADP'!$D$2:$D2766))"),"-")</f>
        <v>-</v>
      </c>
      <c r="G963" s="27">
        <v>947.0</v>
      </c>
      <c r="H963" s="8">
        <f t="shared" si="1"/>
        <v>-15</v>
      </c>
    </row>
    <row r="964">
      <c r="A964" s="10">
        <v>963.0</v>
      </c>
      <c r="B964" s="11" t="s">
        <v>3809</v>
      </c>
      <c r="C964" s="10" t="s">
        <v>22</v>
      </c>
      <c r="D964" s="10" t="s">
        <v>36</v>
      </c>
      <c r="E964" s="13" t="str">
        <f>IFERROR(__xludf.DUMMYFUNCTION("ifna(filter('Yahoo ADP'!$A$2:$A2766,'Yahoo ADP'!$B$2:$B2766=$B964,$C964='Yahoo ADP'!$C$2:$C2766,$D964='Yahoo ADP'!$D$2:$D2766))"),"")</f>
        <v/>
      </c>
      <c r="F964" s="13" t="str">
        <f>IFERROR(__xludf.DUMMYFUNCTION("ifna(filter('Yahoo ADP'!$E$2:$E2766,'Yahoo ADP'!$B$2:$B2766=$B964,$C964='Yahoo ADP'!$C$2:$C2766,$D964='Yahoo ADP'!$D$2:$D2766))"),"-")</f>
        <v>-</v>
      </c>
      <c r="G964" s="27">
        <v>948.0</v>
      </c>
      <c r="H964" s="8">
        <f t="shared" si="1"/>
        <v>-15</v>
      </c>
    </row>
    <row r="965">
      <c r="A965" s="10">
        <v>964.0</v>
      </c>
      <c r="B965" s="11" t="s">
        <v>3810</v>
      </c>
      <c r="C965" s="10" t="s">
        <v>22</v>
      </c>
      <c r="D965" s="10" t="s">
        <v>122</v>
      </c>
      <c r="E965" s="13" t="str">
        <f>IFERROR(__xludf.DUMMYFUNCTION("ifna(filter('Yahoo ADP'!$A$2:$A2766,'Yahoo ADP'!$B$2:$B2766=$B965,$C965='Yahoo ADP'!$C$2:$C2766,$D965='Yahoo ADP'!$D$2:$D2766))"),"")</f>
        <v/>
      </c>
      <c r="F965" s="13" t="str">
        <f>IFERROR(__xludf.DUMMYFUNCTION("ifna(filter('Yahoo ADP'!$E$2:$E2766,'Yahoo ADP'!$B$2:$B2766=$B965,$C965='Yahoo ADP'!$C$2:$C2766,$D965='Yahoo ADP'!$D$2:$D2766))"),"-")</f>
        <v>-</v>
      </c>
      <c r="G965" s="27">
        <v>949.0</v>
      </c>
      <c r="H965" s="8">
        <f t="shared" si="1"/>
        <v>-15</v>
      </c>
    </row>
    <row r="966">
      <c r="A966" s="10">
        <v>965.0</v>
      </c>
      <c r="B966" s="11" t="s">
        <v>3811</v>
      </c>
      <c r="C966" s="10" t="s">
        <v>22</v>
      </c>
      <c r="D966" s="10" t="s">
        <v>120</v>
      </c>
      <c r="E966" s="13" t="str">
        <f>IFERROR(__xludf.DUMMYFUNCTION("ifna(filter('Yahoo ADP'!$A$2:$A2766,'Yahoo ADP'!$B$2:$B2766=$B966,$C966='Yahoo ADP'!$C$2:$C2766,$D966='Yahoo ADP'!$D$2:$D2766))"),"")</f>
        <v/>
      </c>
      <c r="F966" s="13" t="str">
        <f>IFERROR(__xludf.DUMMYFUNCTION("ifna(filter('Yahoo ADP'!$E$2:$E2766,'Yahoo ADP'!$B$2:$B2766=$B966,$C966='Yahoo ADP'!$C$2:$C2766,$D966='Yahoo ADP'!$D$2:$D2766))"),"-")</f>
        <v>-</v>
      </c>
      <c r="G966" s="27">
        <v>950.0</v>
      </c>
      <c r="H966" s="8">
        <f t="shared" si="1"/>
        <v>-15</v>
      </c>
    </row>
    <row r="967">
      <c r="A967" s="10">
        <v>966.0</v>
      </c>
      <c r="B967" s="11" t="s">
        <v>3812</v>
      </c>
      <c r="C967" s="10" t="s">
        <v>22</v>
      </c>
      <c r="D967" s="10" t="s">
        <v>18</v>
      </c>
      <c r="E967" s="13" t="str">
        <f>IFERROR(__xludf.DUMMYFUNCTION("ifna(filter('Yahoo ADP'!$A$2:$A2766,'Yahoo ADP'!$B$2:$B2766=$B967,$C967='Yahoo ADP'!$C$2:$C2766,$D967='Yahoo ADP'!$D$2:$D2766))"),"")</f>
        <v/>
      </c>
      <c r="F967" s="13" t="str">
        <f>IFERROR(__xludf.DUMMYFUNCTION("ifna(filter('Yahoo ADP'!$E$2:$E2766,'Yahoo ADP'!$B$2:$B2766=$B967,$C967='Yahoo ADP'!$C$2:$C2766,$D967='Yahoo ADP'!$D$2:$D2766))"),"-")</f>
        <v>-</v>
      </c>
      <c r="G967" s="27">
        <v>951.0</v>
      </c>
      <c r="H967" s="8">
        <f t="shared" si="1"/>
        <v>-15</v>
      </c>
    </row>
    <row r="968">
      <c r="A968" s="10">
        <v>967.0</v>
      </c>
      <c r="B968" s="11" t="s">
        <v>3813</v>
      </c>
      <c r="C968" s="10" t="s">
        <v>79</v>
      </c>
      <c r="D968" s="10" t="s">
        <v>137</v>
      </c>
      <c r="E968" s="13" t="str">
        <f>IFERROR(__xludf.DUMMYFUNCTION("ifna(filter('Yahoo ADP'!$A$2:$A2766,'Yahoo ADP'!$B$2:$B2766=$B968,$C968='Yahoo ADP'!$C$2:$C2766,$D968='Yahoo ADP'!$D$2:$D2766))"),"")</f>
        <v/>
      </c>
      <c r="F968" s="13" t="str">
        <f>IFERROR(__xludf.DUMMYFUNCTION("ifna(filter('Yahoo ADP'!$E$2:$E2766,'Yahoo ADP'!$B$2:$B2766=$B968,$C968='Yahoo ADP'!$C$2:$C2766,$D968='Yahoo ADP'!$D$2:$D2766))"),"-")</f>
        <v>-</v>
      </c>
      <c r="G968" s="27">
        <v>952.0</v>
      </c>
      <c r="H968" s="8">
        <f t="shared" si="1"/>
        <v>-15</v>
      </c>
    </row>
    <row r="969">
      <c r="A969" s="10">
        <v>968.0</v>
      </c>
      <c r="B969" s="11" t="s">
        <v>3814</v>
      </c>
      <c r="C969" s="10" t="s">
        <v>22</v>
      </c>
      <c r="D969" s="10" t="s">
        <v>82</v>
      </c>
      <c r="E969" s="13" t="str">
        <f>IFERROR(__xludf.DUMMYFUNCTION("ifna(filter('Yahoo ADP'!$A$2:$A2766,'Yahoo ADP'!$B$2:$B2766=$B969,$C969='Yahoo ADP'!$C$2:$C2766,$D969='Yahoo ADP'!$D$2:$D2766))"),"")</f>
        <v/>
      </c>
      <c r="F969" s="13" t="str">
        <f>IFERROR(__xludf.DUMMYFUNCTION("ifna(filter('Yahoo ADP'!$E$2:$E2766,'Yahoo ADP'!$B$2:$B2766=$B969,$C969='Yahoo ADP'!$C$2:$C2766,$D969='Yahoo ADP'!$D$2:$D2766))"),"-")</f>
        <v>-</v>
      </c>
      <c r="G969" s="27">
        <v>953.0</v>
      </c>
      <c r="H969" s="8">
        <f t="shared" si="1"/>
        <v>-15</v>
      </c>
    </row>
    <row r="970">
      <c r="A970" s="10">
        <v>969.0</v>
      </c>
      <c r="B970" s="11" t="s">
        <v>3815</v>
      </c>
      <c r="C970" s="10" t="s">
        <v>22</v>
      </c>
      <c r="D970" s="10" t="s">
        <v>12</v>
      </c>
      <c r="E970" s="13" t="str">
        <f>IFERROR(__xludf.DUMMYFUNCTION("ifna(filter('Yahoo ADP'!$A$2:$A2766,'Yahoo ADP'!$B$2:$B2766=$B970,$C970='Yahoo ADP'!$C$2:$C2766,$D970='Yahoo ADP'!$D$2:$D2766))"),"")</f>
        <v/>
      </c>
      <c r="F970" s="13" t="str">
        <f>IFERROR(__xludf.DUMMYFUNCTION("ifna(filter('Yahoo ADP'!$E$2:$E2766,'Yahoo ADP'!$B$2:$B2766=$B970,$C970='Yahoo ADP'!$C$2:$C2766,$D970='Yahoo ADP'!$D$2:$D2766))"),"-")</f>
        <v>-</v>
      </c>
      <c r="G970" s="27">
        <v>954.0</v>
      </c>
      <c r="H970" s="8">
        <f t="shared" si="1"/>
        <v>-15</v>
      </c>
    </row>
    <row r="971">
      <c r="A971" s="10">
        <v>970.0</v>
      </c>
      <c r="B971" s="11" t="s">
        <v>3816</v>
      </c>
      <c r="C971" s="10" t="s">
        <v>22</v>
      </c>
      <c r="D971" s="10" t="s">
        <v>113</v>
      </c>
      <c r="E971" s="13" t="str">
        <f>IFERROR(__xludf.DUMMYFUNCTION("ifna(filter('Yahoo ADP'!$A$2:$A2766,'Yahoo ADP'!$B$2:$B2766=$B971,$C971='Yahoo ADP'!$C$2:$C2766,$D971='Yahoo ADP'!$D$2:$D2766))"),"")</f>
        <v/>
      </c>
      <c r="F971" s="13" t="str">
        <f>IFERROR(__xludf.DUMMYFUNCTION("ifna(filter('Yahoo ADP'!$E$2:$E2766,'Yahoo ADP'!$B$2:$B2766=$B971,$C971='Yahoo ADP'!$C$2:$C2766,$D971='Yahoo ADP'!$D$2:$D2766))"),"-")</f>
        <v>-</v>
      </c>
      <c r="G971" s="27">
        <v>955.0</v>
      </c>
      <c r="H971" s="8">
        <f t="shared" si="1"/>
        <v>-15</v>
      </c>
    </row>
    <row r="972">
      <c r="A972" s="10">
        <v>971.0</v>
      </c>
      <c r="B972" s="11" t="s">
        <v>3817</v>
      </c>
      <c r="C972" s="10" t="s">
        <v>79</v>
      </c>
      <c r="D972" s="10" t="s">
        <v>18</v>
      </c>
      <c r="E972" s="13" t="str">
        <f>IFERROR(__xludf.DUMMYFUNCTION("ifna(filter('Yahoo ADP'!$A$2:$A2766,'Yahoo ADP'!$B$2:$B2766=$B972,$C972='Yahoo ADP'!$C$2:$C2766,$D972='Yahoo ADP'!$D$2:$D2766))"),"")</f>
        <v/>
      </c>
      <c r="F972" s="13" t="str">
        <f>IFERROR(__xludf.DUMMYFUNCTION("ifna(filter('Yahoo ADP'!$E$2:$E2766,'Yahoo ADP'!$B$2:$B2766=$B972,$C972='Yahoo ADP'!$C$2:$C2766,$D972='Yahoo ADP'!$D$2:$D2766))"),"-")</f>
        <v>-</v>
      </c>
      <c r="G972" s="27">
        <v>956.0</v>
      </c>
      <c r="H972" s="8">
        <f t="shared" si="1"/>
        <v>-15</v>
      </c>
    </row>
    <row r="973">
      <c r="A973" s="10">
        <v>972.0</v>
      </c>
      <c r="B973" s="11" t="s">
        <v>3818</v>
      </c>
      <c r="C973" s="10" t="s">
        <v>79</v>
      </c>
      <c r="D973" s="10" t="s">
        <v>95</v>
      </c>
      <c r="E973" s="13" t="str">
        <f>IFERROR(__xludf.DUMMYFUNCTION("ifna(filter('Yahoo ADP'!$A$2:$A2766,'Yahoo ADP'!$B$2:$B2766=$B973,$C973='Yahoo ADP'!$C$2:$C2766,$D973='Yahoo ADP'!$D$2:$D2766))"),"")</f>
        <v/>
      </c>
      <c r="F973" s="13" t="str">
        <f>IFERROR(__xludf.DUMMYFUNCTION("ifna(filter('Yahoo ADP'!$E$2:$E2766,'Yahoo ADP'!$B$2:$B2766=$B973,$C973='Yahoo ADP'!$C$2:$C2766,$D973='Yahoo ADP'!$D$2:$D2766))"),"-")</f>
        <v>-</v>
      </c>
      <c r="G973" s="27">
        <v>957.0</v>
      </c>
      <c r="H973" s="8">
        <f t="shared" si="1"/>
        <v>-15</v>
      </c>
    </row>
    <row r="974">
      <c r="A974" s="10">
        <v>973.0</v>
      </c>
      <c r="B974" s="11" t="s">
        <v>3819</v>
      </c>
      <c r="C974" s="10" t="s">
        <v>79</v>
      </c>
      <c r="D974" s="10" t="s">
        <v>120</v>
      </c>
      <c r="E974" s="13" t="str">
        <f>IFERROR(__xludf.DUMMYFUNCTION("ifna(filter('Yahoo ADP'!$A$2:$A2766,'Yahoo ADP'!$B$2:$B2766=$B974,$C974='Yahoo ADP'!$C$2:$C2766,$D974='Yahoo ADP'!$D$2:$D2766))"),"")</f>
        <v/>
      </c>
      <c r="F974" s="13" t="str">
        <f>IFERROR(__xludf.DUMMYFUNCTION("ifna(filter('Yahoo ADP'!$E$2:$E2766,'Yahoo ADP'!$B$2:$B2766=$B974,$C974='Yahoo ADP'!$C$2:$C2766,$D974='Yahoo ADP'!$D$2:$D2766))"),"-")</f>
        <v>-</v>
      </c>
      <c r="G974" s="27">
        <v>958.0</v>
      </c>
      <c r="H974" s="8">
        <f t="shared" si="1"/>
        <v>-15</v>
      </c>
    </row>
    <row r="975">
      <c r="A975" s="10">
        <v>974.0</v>
      </c>
      <c r="B975" s="11" t="s">
        <v>3820</v>
      </c>
      <c r="C975" s="10" t="s">
        <v>79</v>
      </c>
      <c r="D975" s="10" t="s">
        <v>31</v>
      </c>
      <c r="E975" s="13" t="str">
        <f>IFERROR(__xludf.DUMMYFUNCTION("ifna(filter('Yahoo ADP'!$A$2:$A2766,'Yahoo ADP'!$B$2:$B2766=$B975,$C975='Yahoo ADP'!$C$2:$C2766,$D975='Yahoo ADP'!$D$2:$D2766))"),"")</f>
        <v/>
      </c>
      <c r="F975" s="13" t="str">
        <f>IFERROR(__xludf.DUMMYFUNCTION("ifna(filter('Yahoo ADP'!$E$2:$E2766,'Yahoo ADP'!$B$2:$B2766=$B975,$C975='Yahoo ADP'!$C$2:$C2766,$D975='Yahoo ADP'!$D$2:$D2766))"),"-")</f>
        <v>-</v>
      </c>
      <c r="G975" s="27">
        <v>959.0</v>
      </c>
      <c r="H975" s="8">
        <f t="shared" si="1"/>
        <v>-15</v>
      </c>
    </row>
    <row r="976">
      <c r="A976" s="10">
        <v>975.0</v>
      </c>
      <c r="B976" s="11" t="s">
        <v>3821</v>
      </c>
      <c r="C976" s="10" t="s">
        <v>22</v>
      </c>
      <c r="D976" s="10" t="s">
        <v>49</v>
      </c>
      <c r="E976" s="13" t="str">
        <f>IFERROR(__xludf.DUMMYFUNCTION("ifna(filter('Yahoo ADP'!$A$2:$A2766,'Yahoo ADP'!$B$2:$B2766=$B976,$C976='Yahoo ADP'!$C$2:$C2766,$D976='Yahoo ADP'!$D$2:$D2766))"),"")</f>
        <v/>
      </c>
      <c r="F976" s="13" t="str">
        <f>IFERROR(__xludf.DUMMYFUNCTION("ifna(filter('Yahoo ADP'!$E$2:$E2766,'Yahoo ADP'!$B$2:$B2766=$B976,$C976='Yahoo ADP'!$C$2:$C2766,$D976='Yahoo ADP'!$D$2:$D2766))"),"-")</f>
        <v>-</v>
      </c>
      <c r="G976" s="27">
        <v>960.0</v>
      </c>
      <c r="H976" s="8">
        <f t="shared" si="1"/>
        <v>-15</v>
      </c>
    </row>
    <row r="977">
      <c r="A977" s="10">
        <v>976.0</v>
      </c>
      <c r="B977" s="11" t="s">
        <v>3822</v>
      </c>
      <c r="C977" s="10" t="s">
        <v>79</v>
      </c>
      <c r="D977" s="10" t="s">
        <v>120</v>
      </c>
      <c r="E977" s="13" t="str">
        <f>IFERROR(__xludf.DUMMYFUNCTION("ifna(filter('Yahoo ADP'!$A$2:$A2766,'Yahoo ADP'!$B$2:$B2766=$B977,$C977='Yahoo ADP'!$C$2:$C2766,$D977='Yahoo ADP'!$D$2:$D2766))"),"")</f>
        <v/>
      </c>
      <c r="F977" s="13" t="str">
        <f>IFERROR(__xludf.DUMMYFUNCTION("ifna(filter('Yahoo ADP'!$E$2:$E2766,'Yahoo ADP'!$B$2:$B2766=$B977,$C977='Yahoo ADP'!$C$2:$C2766,$D977='Yahoo ADP'!$D$2:$D2766))"),"-")</f>
        <v>-</v>
      </c>
      <c r="G977" s="27">
        <v>961.0</v>
      </c>
      <c r="H977" s="8">
        <f t="shared" si="1"/>
        <v>-15</v>
      </c>
    </row>
    <row r="978">
      <c r="A978" s="10">
        <v>977.0</v>
      </c>
      <c r="B978" s="11" t="s">
        <v>3823</v>
      </c>
      <c r="C978" s="10" t="s">
        <v>22</v>
      </c>
      <c r="D978" s="10" t="s">
        <v>122</v>
      </c>
      <c r="E978" s="13" t="str">
        <f>IFERROR(__xludf.DUMMYFUNCTION("ifna(filter('Yahoo ADP'!$A$2:$A2766,'Yahoo ADP'!$B$2:$B2766=$B978,$C978='Yahoo ADP'!$C$2:$C2766,$D978='Yahoo ADP'!$D$2:$D2766))"),"")</f>
        <v/>
      </c>
      <c r="F978" s="13" t="str">
        <f>IFERROR(__xludf.DUMMYFUNCTION("ifna(filter('Yahoo ADP'!$E$2:$E2766,'Yahoo ADP'!$B$2:$B2766=$B978,$C978='Yahoo ADP'!$C$2:$C2766,$D978='Yahoo ADP'!$D$2:$D2766))"),"-")</f>
        <v>-</v>
      </c>
      <c r="G978" s="27">
        <v>962.0</v>
      </c>
      <c r="H978" s="8">
        <f t="shared" si="1"/>
        <v>-15</v>
      </c>
    </row>
    <row r="979">
      <c r="A979" s="10">
        <v>978.0</v>
      </c>
      <c r="B979" s="11" t="s">
        <v>3824</v>
      </c>
      <c r="C979" s="10" t="s">
        <v>79</v>
      </c>
      <c r="D979" s="10" t="s">
        <v>34</v>
      </c>
      <c r="E979" s="13" t="str">
        <f>IFERROR(__xludf.DUMMYFUNCTION("ifna(filter('Yahoo ADP'!$A$2:$A2766,'Yahoo ADP'!$B$2:$B2766=$B979,$C979='Yahoo ADP'!$C$2:$C2766,$D979='Yahoo ADP'!$D$2:$D2766))"),"")</f>
        <v/>
      </c>
      <c r="F979" s="13" t="str">
        <f>IFERROR(__xludf.DUMMYFUNCTION("ifna(filter('Yahoo ADP'!$E$2:$E2766,'Yahoo ADP'!$B$2:$B2766=$B979,$C979='Yahoo ADP'!$C$2:$C2766,$D979='Yahoo ADP'!$D$2:$D2766))"),"-")</f>
        <v>-</v>
      </c>
      <c r="G979" s="27">
        <v>963.0</v>
      </c>
      <c r="H979" s="8">
        <f t="shared" si="1"/>
        <v>-15</v>
      </c>
    </row>
    <row r="980">
      <c r="A980" s="10">
        <v>979.0</v>
      </c>
      <c r="B980" s="11" t="s">
        <v>3825</v>
      </c>
      <c r="C980" s="10" t="s">
        <v>22</v>
      </c>
      <c r="D980" s="10" t="s">
        <v>15</v>
      </c>
      <c r="E980" s="13" t="str">
        <f>IFERROR(__xludf.DUMMYFUNCTION("ifna(filter('Yahoo ADP'!$A$2:$A2766,'Yahoo ADP'!$B$2:$B2766=$B980,$C980='Yahoo ADP'!$C$2:$C2766,$D980='Yahoo ADP'!$D$2:$D2766))"),"")</f>
        <v/>
      </c>
      <c r="F980" s="13" t="str">
        <f>IFERROR(__xludf.DUMMYFUNCTION("ifna(filter('Yahoo ADP'!$E$2:$E2766,'Yahoo ADP'!$B$2:$B2766=$B980,$C980='Yahoo ADP'!$C$2:$C2766,$D980='Yahoo ADP'!$D$2:$D2766))"),"-")</f>
        <v>-</v>
      </c>
      <c r="G980" s="27">
        <v>964.0</v>
      </c>
      <c r="H980" s="8">
        <f t="shared" si="1"/>
        <v>-15</v>
      </c>
    </row>
    <row r="981">
      <c r="A981" s="10">
        <v>980.0</v>
      </c>
      <c r="B981" s="11" t="s">
        <v>3826</v>
      </c>
      <c r="C981" s="10" t="s">
        <v>22</v>
      </c>
      <c r="D981" s="10" t="s">
        <v>42</v>
      </c>
      <c r="E981" s="13" t="str">
        <f>IFERROR(__xludf.DUMMYFUNCTION("ifna(filter('Yahoo ADP'!$A$2:$A2766,'Yahoo ADP'!$B$2:$B2766=$B981,$C981='Yahoo ADP'!$C$2:$C2766,$D981='Yahoo ADP'!$D$2:$D2766))"),"")</f>
        <v/>
      </c>
      <c r="F981" s="13" t="str">
        <f>IFERROR(__xludf.DUMMYFUNCTION("ifna(filter('Yahoo ADP'!$E$2:$E2766,'Yahoo ADP'!$B$2:$B2766=$B981,$C981='Yahoo ADP'!$C$2:$C2766,$D981='Yahoo ADP'!$D$2:$D2766))"),"-")</f>
        <v>-</v>
      </c>
      <c r="G981" s="27">
        <v>965.0</v>
      </c>
      <c r="H981" s="8">
        <f t="shared" si="1"/>
        <v>-15</v>
      </c>
    </row>
    <row r="982">
      <c r="A982" s="10">
        <v>981.0</v>
      </c>
      <c r="B982" s="11" t="s">
        <v>3827</v>
      </c>
      <c r="C982" s="10" t="s">
        <v>22</v>
      </c>
      <c r="D982" s="10" t="s">
        <v>105</v>
      </c>
      <c r="E982" s="13" t="str">
        <f>IFERROR(__xludf.DUMMYFUNCTION("ifna(filter('Yahoo ADP'!$A$2:$A2766,'Yahoo ADP'!$B$2:$B2766=$B982,$C982='Yahoo ADP'!$C$2:$C2766,$D982='Yahoo ADP'!$D$2:$D2766))"),"")</f>
        <v/>
      </c>
      <c r="F982" s="13" t="str">
        <f>IFERROR(__xludf.DUMMYFUNCTION("ifna(filter('Yahoo ADP'!$E$2:$E2766,'Yahoo ADP'!$B$2:$B2766=$B982,$C982='Yahoo ADP'!$C$2:$C2766,$D982='Yahoo ADP'!$D$2:$D2766))"),"-")</f>
        <v>-</v>
      </c>
      <c r="G982" s="27">
        <v>966.0</v>
      </c>
      <c r="H982" s="8">
        <f t="shared" si="1"/>
        <v>-15</v>
      </c>
    </row>
    <row r="983">
      <c r="A983" s="10">
        <v>982.0</v>
      </c>
      <c r="B983" s="11" t="s">
        <v>3828</v>
      </c>
      <c r="C983" s="10" t="s">
        <v>79</v>
      </c>
      <c r="D983" s="10" t="s">
        <v>129</v>
      </c>
      <c r="E983" s="13" t="str">
        <f>IFERROR(__xludf.DUMMYFUNCTION("ifna(filter('Yahoo ADP'!$A$2:$A2766,'Yahoo ADP'!$B$2:$B2766=$B983,$C983='Yahoo ADP'!$C$2:$C2766,$D983='Yahoo ADP'!$D$2:$D2766))"),"")</f>
        <v/>
      </c>
      <c r="F983" s="13" t="str">
        <f>IFERROR(__xludf.DUMMYFUNCTION("ifna(filter('Yahoo ADP'!$E$2:$E2766,'Yahoo ADP'!$B$2:$B2766=$B983,$C983='Yahoo ADP'!$C$2:$C2766,$D983='Yahoo ADP'!$D$2:$D2766))"),"-")</f>
        <v>-</v>
      </c>
      <c r="G983" s="27">
        <v>967.0</v>
      </c>
      <c r="H983" s="8">
        <f t="shared" si="1"/>
        <v>-15</v>
      </c>
    </row>
    <row r="984">
      <c r="A984" s="10">
        <v>983.0</v>
      </c>
      <c r="B984" s="11" t="s">
        <v>3829</v>
      </c>
      <c r="C984" s="10" t="s">
        <v>22</v>
      </c>
      <c r="D984" s="10" t="s">
        <v>42</v>
      </c>
      <c r="E984" s="13" t="str">
        <f>IFERROR(__xludf.DUMMYFUNCTION("ifna(filter('Yahoo ADP'!$A$2:$A2766,'Yahoo ADP'!$B$2:$B2766=$B984,$C984='Yahoo ADP'!$C$2:$C2766,$D984='Yahoo ADP'!$D$2:$D2766))"),"")</f>
        <v/>
      </c>
      <c r="F984" s="13" t="str">
        <f>IFERROR(__xludf.DUMMYFUNCTION("ifna(filter('Yahoo ADP'!$E$2:$E2766,'Yahoo ADP'!$B$2:$B2766=$B984,$C984='Yahoo ADP'!$C$2:$C2766,$D984='Yahoo ADP'!$D$2:$D2766))"),"-")</f>
        <v>-</v>
      </c>
      <c r="G984" s="27">
        <v>968.0</v>
      </c>
      <c r="H984" s="8">
        <f t="shared" si="1"/>
        <v>-15</v>
      </c>
    </row>
    <row r="985">
      <c r="A985" s="10">
        <v>984.0</v>
      </c>
      <c r="B985" s="11" t="s">
        <v>3830</v>
      </c>
      <c r="C985" s="10" t="s">
        <v>22</v>
      </c>
      <c r="D985" s="10" t="s">
        <v>34</v>
      </c>
      <c r="E985" s="13" t="str">
        <f>IFERROR(__xludf.DUMMYFUNCTION("ifna(filter('Yahoo ADP'!$A$2:$A2766,'Yahoo ADP'!$B$2:$B2766=$B985,$C985='Yahoo ADP'!$C$2:$C2766,$D985='Yahoo ADP'!$D$2:$D2766))"),"")</f>
        <v/>
      </c>
      <c r="F985" s="13" t="str">
        <f>IFERROR(__xludf.DUMMYFUNCTION("ifna(filter('Yahoo ADP'!$E$2:$E2766,'Yahoo ADP'!$B$2:$B2766=$B985,$C985='Yahoo ADP'!$C$2:$C2766,$D985='Yahoo ADP'!$D$2:$D2766))"),"-")</f>
        <v>-</v>
      </c>
      <c r="G985" s="27">
        <v>969.0</v>
      </c>
      <c r="H985" s="8">
        <f t="shared" si="1"/>
        <v>-15</v>
      </c>
    </row>
    <row r="986">
      <c r="A986" s="10">
        <v>985.0</v>
      </c>
      <c r="B986" s="11" t="s">
        <v>3831</v>
      </c>
      <c r="C986" s="10" t="s">
        <v>22</v>
      </c>
      <c r="D986" s="10" t="s">
        <v>137</v>
      </c>
      <c r="E986" s="13" t="str">
        <f>IFERROR(__xludf.DUMMYFUNCTION("ifna(filter('Yahoo ADP'!$A$2:$A2766,'Yahoo ADP'!$B$2:$B2766=$B986,$C986='Yahoo ADP'!$C$2:$C2766,$D986='Yahoo ADP'!$D$2:$D2766))"),"")</f>
        <v/>
      </c>
      <c r="F986" s="13" t="str">
        <f>IFERROR(__xludf.DUMMYFUNCTION("ifna(filter('Yahoo ADP'!$E$2:$E2766,'Yahoo ADP'!$B$2:$B2766=$B986,$C986='Yahoo ADP'!$C$2:$C2766,$D986='Yahoo ADP'!$D$2:$D2766))"),"-")</f>
        <v>-</v>
      </c>
      <c r="G986" s="27">
        <v>970.0</v>
      </c>
      <c r="H986" s="8">
        <f t="shared" si="1"/>
        <v>-15</v>
      </c>
    </row>
    <row r="987">
      <c r="A987" s="10">
        <v>986.0</v>
      </c>
      <c r="B987" s="11" t="s">
        <v>3832</v>
      </c>
      <c r="C987" s="10" t="s">
        <v>22</v>
      </c>
      <c r="D987" s="10" t="s">
        <v>120</v>
      </c>
      <c r="E987" s="13" t="str">
        <f>IFERROR(__xludf.DUMMYFUNCTION("ifna(filter('Yahoo ADP'!$A$2:$A2766,'Yahoo ADP'!$B$2:$B2766=$B987,$C987='Yahoo ADP'!$C$2:$C2766,$D987='Yahoo ADP'!$D$2:$D2766))"),"")</f>
        <v/>
      </c>
      <c r="F987" s="13" t="str">
        <f>IFERROR(__xludf.DUMMYFUNCTION("ifna(filter('Yahoo ADP'!$E$2:$E2766,'Yahoo ADP'!$B$2:$B2766=$B987,$C987='Yahoo ADP'!$C$2:$C2766,$D987='Yahoo ADP'!$D$2:$D2766))"),"-")</f>
        <v>-</v>
      </c>
      <c r="G987" s="27">
        <v>971.0</v>
      </c>
      <c r="H987" s="8">
        <f t="shared" si="1"/>
        <v>-15</v>
      </c>
    </row>
    <row r="988">
      <c r="A988" s="10">
        <v>987.0</v>
      </c>
      <c r="B988" s="11" t="s">
        <v>3833</v>
      </c>
      <c r="C988" s="10" t="s">
        <v>79</v>
      </c>
      <c r="D988" s="10" t="s">
        <v>129</v>
      </c>
      <c r="E988" s="13" t="str">
        <f>IFERROR(__xludf.DUMMYFUNCTION("ifna(filter('Yahoo ADP'!$A$2:$A2766,'Yahoo ADP'!$B$2:$B2766=$B988,$C988='Yahoo ADP'!$C$2:$C2766,$D988='Yahoo ADP'!$D$2:$D2766))"),"")</f>
        <v/>
      </c>
      <c r="F988" s="13" t="str">
        <f>IFERROR(__xludf.DUMMYFUNCTION("ifna(filter('Yahoo ADP'!$E$2:$E2766,'Yahoo ADP'!$B$2:$B2766=$B988,$C988='Yahoo ADP'!$C$2:$C2766,$D988='Yahoo ADP'!$D$2:$D2766))"),"-")</f>
        <v>-</v>
      </c>
      <c r="G988" s="27">
        <v>972.0</v>
      </c>
      <c r="H988" s="8">
        <f t="shared" si="1"/>
        <v>-15</v>
      </c>
    </row>
    <row r="989">
      <c r="A989" s="10">
        <v>988.0</v>
      </c>
      <c r="B989" s="11" t="s">
        <v>3834</v>
      </c>
      <c r="C989" s="10" t="s">
        <v>22</v>
      </c>
      <c r="D989" s="10" t="s">
        <v>15</v>
      </c>
      <c r="E989" s="13" t="str">
        <f>IFERROR(__xludf.DUMMYFUNCTION("ifna(filter('Yahoo ADP'!$A$2:$A2766,'Yahoo ADP'!$B$2:$B2766=$B989,$C989='Yahoo ADP'!$C$2:$C2766,$D989='Yahoo ADP'!$D$2:$D2766))"),"")</f>
        <v/>
      </c>
      <c r="F989" s="13" t="str">
        <f>IFERROR(__xludf.DUMMYFUNCTION("ifna(filter('Yahoo ADP'!$E$2:$E2766,'Yahoo ADP'!$B$2:$B2766=$B989,$C989='Yahoo ADP'!$C$2:$C2766,$D989='Yahoo ADP'!$D$2:$D2766))"),"-")</f>
        <v>-</v>
      </c>
      <c r="G989" s="27">
        <v>973.0</v>
      </c>
      <c r="H989" s="8">
        <f t="shared" si="1"/>
        <v>-15</v>
      </c>
    </row>
    <row r="990">
      <c r="A990" s="10">
        <v>989.0</v>
      </c>
      <c r="B990" s="11" t="s">
        <v>3835</v>
      </c>
      <c r="C990" s="10" t="s">
        <v>22</v>
      </c>
      <c r="D990" s="10" t="s">
        <v>18</v>
      </c>
      <c r="E990" s="13" t="str">
        <f>IFERROR(__xludf.DUMMYFUNCTION("ifna(filter('Yahoo ADP'!$A$2:$A2766,'Yahoo ADP'!$B$2:$B2766=$B990,$C990='Yahoo ADP'!$C$2:$C2766,$D990='Yahoo ADP'!$D$2:$D2766))"),"")</f>
        <v/>
      </c>
      <c r="F990" s="13" t="str">
        <f>IFERROR(__xludf.DUMMYFUNCTION("ifna(filter('Yahoo ADP'!$E$2:$E2766,'Yahoo ADP'!$B$2:$B2766=$B990,$C990='Yahoo ADP'!$C$2:$C2766,$D990='Yahoo ADP'!$D$2:$D2766))"),"-")</f>
        <v>-</v>
      </c>
      <c r="G990" s="27">
        <v>974.0</v>
      </c>
      <c r="H990" s="8">
        <f t="shared" si="1"/>
        <v>-15</v>
      </c>
    </row>
    <row r="991">
      <c r="A991" s="10">
        <v>990.0</v>
      </c>
      <c r="B991" s="11" t="s">
        <v>3836</v>
      </c>
      <c r="C991" s="10" t="s">
        <v>79</v>
      </c>
      <c r="D991" s="10" t="s">
        <v>31</v>
      </c>
      <c r="E991" s="13" t="str">
        <f>IFERROR(__xludf.DUMMYFUNCTION("ifna(filter('Yahoo ADP'!$A$2:$A2766,'Yahoo ADP'!$B$2:$B2766=$B991,$C991='Yahoo ADP'!$C$2:$C2766,$D991='Yahoo ADP'!$D$2:$D2766))"),"")</f>
        <v/>
      </c>
      <c r="F991" s="13" t="str">
        <f>IFERROR(__xludf.DUMMYFUNCTION("ifna(filter('Yahoo ADP'!$E$2:$E2766,'Yahoo ADP'!$B$2:$B2766=$B991,$C991='Yahoo ADP'!$C$2:$C2766,$D991='Yahoo ADP'!$D$2:$D2766))"),"-")</f>
        <v>-</v>
      </c>
      <c r="G991" s="27">
        <v>975.0</v>
      </c>
      <c r="H991" s="8">
        <f t="shared" si="1"/>
        <v>-15</v>
      </c>
    </row>
    <row r="992">
      <c r="A992" s="10">
        <v>991.0</v>
      </c>
      <c r="B992" s="11" t="s">
        <v>3837</v>
      </c>
      <c r="C992" s="10" t="s">
        <v>22</v>
      </c>
      <c r="D992" s="10" t="s">
        <v>105</v>
      </c>
      <c r="E992" s="13" t="str">
        <f>IFERROR(__xludf.DUMMYFUNCTION("ifna(filter('Yahoo ADP'!$A$2:$A2766,'Yahoo ADP'!$B$2:$B2766=$B992,$C992='Yahoo ADP'!$C$2:$C2766,$D992='Yahoo ADP'!$D$2:$D2766))"),"")</f>
        <v/>
      </c>
      <c r="F992" s="13" t="str">
        <f>IFERROR(__xludf.DUMMYFUNCTION("ifna(filter('Yahoo ADP'!$E$2:$E2766,'Yahoo ADP'!$B$2:$B2766=$B992,$C992='Yahoo ADP'!$C$2:$C2766,$D992='Yahoo ADP'!$D$2:$D2766))"),"-")</f>
        <v>-</v>
      </c>
      <c r="G992" s="27">
        <v>976.0</v>
      </c>
      <c r="H992" s="8">
        <f t="shared" si="1"/>
        <v>-15</v>
      </c>
    </row>
    <row r="993">
      <c r="A993" s="10">
        <v>992.0</v>
      </c>
      <c r="B993" s="11" t="s">
        <v>3838</v>
      </c>
      <c r="C993" s="10" t="s">
        <v>22</v>
      </c>
      <c r="D993" s="10" t="s">
        <v>49</v>
      </c>
      <c r="E993" s="13" t="str">
        <f>IFERROR(__xludf.DUMMYFUNCTION("ifna(filter('Yahoo ADP'!$A$2:$A2766,'Yahoo ADP'!$B$2:$B2766=$B993,$C993='Yahoo ADP'!$C$2:$C2766,$D993='Yahoo ADP'!$D$2:$D2766))"),"")</f>
        <v/>
      </c>
      <c r="F993" s="13" t="str">
        <f>IFERROR(__xludf.DUMMYFUNCTION("ifna(filter('Yahoo ADP'!$E$2:$E2766,'Yahoo ADP'!$B$2:$B2766=$B993,$C993='Yahoo ADP'!$C$2:$C2766,$D993='Yahoo ADP'!$D$2:$D2766))"),"-")</f>
        <v>-</v>
      </c>
      <c r="G993" s="27">
        <v>977.0</v>
      </c>
      <c r="H993" s="8">
        <f t="shared" si="1"/>
        <v>-15</v>
      </c>
    </row>
    <row r="994">
      <c r="A994" s="10">
        <v>993.0</v>
      </c>
      <c r="B994" s="11" t="s">
        <v>3839</v>
      </c>
      <c r="C994" s="10" t="s">
        <v>22</v>
      </c>
      <c r="D994" s="10" t="s">
        <v>99</v>
      </c>
      <c r="E994" s="13" t="str">
        <f>IFERROR(__xludf.DUMMYFUNCTION("ifna(filter('Yahoo ADP'!$A$2:$A2766,'Yahoo ADP'!$B$2:$B2766=$B994,$C994='Yahoo ADP'!$C$2:$C2766,$D994='Yahoo ADP'!$D$2:$D2766))"),"")</f>
        <v/>
      </c>
      <c r="F994" s="13" t="str">
        <f>IFERROR(__xludf.DUMMYFUNCTION("ifna(filter('Yahoo ADP'!$E$2:$E2766,'Yahoo ADP'!$B$2:$B2766=$B994,$C994='Yahoo ADP'!$C$2:$C2766,$D994='Yahoo ADP'!$D$2:$D2766))"),"-")</f>
        <v>-</v>
      </c>
      <c r="G994" s="27">
        <v>978.0</v>
      </c>
      <c r="H994" s="8">
        <f t="shared" si="1"/>
        <v>-15</v>
      </c>
    </row>
    <row r="995">
      <c r="A995" s="10">
        <v>994.0</v>
      </c>
      <c r="B995" s="11" t="s">
        <v>3840</v>
      </c>
      <c r="C995" s="10" t="s">
        <v>79</v>
      </c>
      <c r="D995" s="10" t="s">
        <v>129</v>
      </c>
      <c r="E995" s="13" t="str">
        <f>IFERROR(__xludf.DUMMYFUNCTION("ifna(filter('Yahoo ADP'!$A$2:$A2766,'Yahoo ADP'!$B$2:$B2766=$B995,$C995='Yahoo ADP'!$C$2:$C2766,$D995='Yahoo ADP'!$D$2:$D2766))"),"")</f>
        <v/>
      </c>
      <c r="F995" s="13" t="str">
        <f>IFERROR(__xludf.DUMMYFUNCTION("ifna(filter('Yahoo ADP'!$E$2:$E2766,'Yahoo ADP'!$B$2:$B2766=$B995,$C995='Yahoo ADP'!$C$2:$C2766,$D995='Yahoo ADP'!$D$2:$D2766))"),"-")</f>
        <v>-</v>
      </c>
      <c r="G995" s="27">
        <v>979.0</v>
      </c>
      <c r="H995" s="8">
        <f t="shared" si="1"/>
        <v>-15</v>
      </c>
    </row>
    <row r="996">
      <c r="A996" s="10">
        <v>995.0</v>
      </c>
      <c r="B996" s="11" t="s">
        <v>3841</v>
      </c>
      <c r="C996" s="10" t="s">
        <v>22</v>
      </c>
      <c r="D996" s="10" t="s">
        <v>122</v>
      </c>
      <c r="E996" s="13" t="str">
        <f>IFERROR(__xludf.DUMMYFUNCTION("ifna(filter('Yahoo ADP'!$A$2:$A2766,'Yahoo ADP'!$B$2:$B2766=$B996,$C996='Yahoo ADP'!$C$2:$C2766,$D996='Yahoo ADP'!$D$2:$D2766))"),"")</f>
        <v/>
      </c>
      <c r="F996" s="13" t="str">
        <f>IFERROR(__xludf.DUMMYFUNCTION("ifna(filter('Yahoo ADP'!$E$2:$E2766,'Yahoo ADP'!$B$2:$B2766=$B996,$C996='Yahoo ADP'!$C$2:$C2766,$D996='Yahoo ADP'!$D$2:$D2766))"),"-")</f>
        <v>-</v>
      </c>
      <c r="G996" s="27">
        <v>980.0</v>
      </c>
      <c r="H996" s="8">
        <f t="shared" si="1"/>
        <v>-15</v>
      </c>
    </row>
    <row r="997">
      <c r="A997" s="10">
        <v>996.0</v>
      </c>
      <c r="B997" s="11" t="s">
        <v>3842</v>
      </c>
      <c r="C997" s="10" t="s">
        <v>22</v>
      </c>
      <c r="D997" s="10" t="s">
        <v>122</v>
      </c>
      <c r="E997" s="13" t="str">
        <f>IFERROR(__xludf.DUMMYFUNCTION("ifna(filter('Yahoo ADP'!$A$2:$A2766,'Yahoo ADP'!$B$2:$B2766=$B997,$C997='Yahoo ADP'!$C$2:$C2766,$D997='Yahoo ADP'!$D$2:$D2766))"),"")</f>
        <v/>
      </c>
      <c r="F997" s="13" t="str">
        <f>IFERROR(__xludf.DUMMYFUNCTION("ifna(filter('Yahoo ADP'!$E$2:$E2766,'Yahoo ADP'!$B$2:$B2766=$B997,$C997='Yahoo ADP'!$C$2:$C2766,$D997='Yahoo ADP'!$D$2:$D2766))"),"-")</f>
        <v>-</v>
      </c>
      <c r="G997" s="27">
        <v>981.0</v>
      </c>
      <c r="H997" s="8">
        <f t="shared" si="1"/>
        <v>-15</v>
      </c>
    </row>
    <row r="998">
      <c r="A998" s="10">
        <v>997.0</v>
      </c>
      <c r="B998" s="11" t="s">
        <v>3843</v>
      </c>
      <c r="C998" s="10" t="s">
        <v>22</v>
      </c>
      <c r="D998" s="10" t="s">
        <v>9</v>
      </c>
      <c r="E998" s="13" t="str">
        <f>IFERROR(__xludf.DUMMYFUNCTION("ifna(filter('Yahoo ADP'!$A$2:$A2766,'Yahoo ADP'!$B$2:$B2766=$B998,$C998='Yahoo ADP'!$C$2:$C2766,$D998='Yahoo ADP'!$D$2:$D2766))"),"")</f>
        <v/>
      </c>
      <c r="F998" s="13" t="str">
        <f>IFERROR(__xludf.DUMMYFUNCTION("ifna(filter('Yahoo ADP'!$E$2:$E2766,'Yahoo ADP'!$B$2:$B2766=$B998,$C998='Yahoo ADP'!$C$2:$C2766,$D998='Yahoo ADP'!$D$2:$D2766))"),"-")</f>
        <v>-</v>
      </c>
      <c r="G998" s="27">
        <v>982.0</v>
      </c>
      <c r="H998" s="8">
        <f t="shared" si="1"/>
        <v>-15</v>
      </c>
    </row>
    <row r="999">
      <c r="A999" s="10">
        <v>998.0</v>
      </c>
      <c r="B999" s="11" t="s">
        <v>3844</v>
      </c>
      <c r="C999" s="10" t="s">
        <v>22</v>
      </c>
      <c r="D999" s="10" t="s">
        <v>52</v>
      </c>
      <c r="E999" s="13" t="str">
        <f>IFERROR(__xludf.DUMMYFUNCTION("ifna(filter('Yahoo ADP'!$A$2:$A2766,'Yahoo ADP'!$B$2:$B2766=$B999,$C999='Yahoo ADP'!$C$2:$C2766,$D999='Yahoo ADP'!$D$2:$D2766))"),"")</f>
        <v/>
      </c>
      <c r="F999" s="13" t="str">
        <f>IFERROR(__xludf.DUMMYFUNCTION("ifna(filter('Yahoo ADP'!$E$2:$E2766,'Yahoo ADP'!$B$2:$B2766=$B999,$C999='Yahoo ADP'!$C$2:$C2766,$D999='Yahoo ADP'!$D$2:$D2766))"),"-")</f>
        <v>-</v>
      </c>
      <c r="G999" s="27">
        <v>983.0</v>
      </c>
      <c r="H999" s="8">
        <f t="shared" si="1"/>
        <v>-15</v>
      </c>
    </row>
    <row r="1000">
      <c r="A1000" s="10">
        <v>999.0</v>
      </c>
      <c r="B1000" s="11" t="s">
        <v>3845</v>
      </c>
      <c r="C1000" s="10" t="s">
        <v>79</v>
      </c>
      <c r="D1000" s="10" t="s">
        <v>34</v>
      </c>
      <c r="E1000" s="13" t="str">
        <f>IFERROR(__xludf.DUMMYFUNCTION("ifna(filter('Yahoo ADP'!$A$2:$A2766,'Yahoo ADP'!$B$2:$B2766=$B1000,$C1000='Yahoo ADP'!$C$2:$C2766,$D1000='Yahoo ADP'!$D$2:$D2766))"),"")</f>
        <v/>
      </c>
      <c r="F1000" s="13" t="str">
        <f>IFERROR(__xludf.DUMMYFUNCTION("ifna(filter('Yahoo ADP'!$E$2:$E2766,'Yahoo ADP'!$B$2:$B2766=$B1000,$C1000='Yahoo ADP'!$C$2:$C2766,$D1000='Yahoo ADP'!$D$2:$D2766))"),"-")</f>
        <v>-</v>
      </c>
      <c r="G1000" s="27">
        <v>984.0</v>
      </c>
      <c r="H1000" s="8">
        <f t="shared" si="1"/>
        <v>-15</v>
      </c>
    </row>
    <row r="1001">
      <c r="A1001" s="10">
        <v>1000.0</v>
      </c>
      <c r="B1001" s="11" t="s">
        <v>3846</v>
      </c>
      <c r="C1001" s="10" t="s">
        <v>22</v>
      </c>
      <c r="D1001" s="10" t="s">
        <v>23</v>
      </c>
      <c r="E1001" s="13" t="str">
        <f>IFERROR(__xludf.DUMMYFUNCTION("ifna(filter('Yahoo ADP'!$A$2:$A2766,'Yahoo ADP'!$B$2:$B2766=$B1001,$C1001='Yahoo ADP'!$C$2:$C2766,$D1001='Yahoo ADP'!$D$2:$D2766))"),"")</f>
        <v/>
      </c>
      <c r="F1001" s="13" t="str">
        <f>IFERROR(__xludf.DUMMYFUNCTION("ifna(filter('Yahoo ADP'!$E$2:$E2766,'Yahoo ADP'!$B$2:$B2766=$B1001,$C1001='Yahoo ADP'!$C$2:$C2766,$D1001='Yahoo ADP'!$D$2:$D2766))"),"-")</f>
        <v>-</v>
      </c>
      <c r="G1001" s="27">
        <v>985.0</v>
      </c>
      <c r="H1001" s="8">
        <f t="shared" si="1"/>
        <v>-15</v>
      </c>
    </row>
    <row r="1002">
      <c r="A1002" s="10">
        <v>1001.0</v>
      </c>
      <c r="B1002" s="11" t="s">
        <v>3847</v>
      </c>
      <c r="C1002" s="10" t="s">
        <v>22</v>
      </c>
      <c r="D1002" s="10" t="s">
        <v>31</v>
      </c>
      <c r="E1002" s="13" t="str">
        <f>IFERROR(__xludf.DUMMYFUNCTION("ifna(filter('Yahoo ADP'!$A$2:$A2766,'Yahoo ADP'!$B$2:$B2766=$B1002,$C1002='Yahoo ADP'!$C$2:$C2766,$D1002='Yahoo ADP'!$D$2:$D2766))"),"")</f>
        <v/>
      </c>
      <c r="F1002" s="13" t="str">
        <f>IFERROR(__xludf.DUMMYFUNCTION("ifna(filter('Yahoo ADP'!$E$2:$E2766,'Yahoo ADP'!$B$2:$B2766=$B1002,$C1002='Yahoo ADP'!$C$2:$C2766,$D1002='Yahoo ADP'!$D$2:$D2766))"),"-")</f>
        <v>-</v>
      </c>
      <c r="G1002" s="27">
        <v>986.0</v>
      </c>
      <c r="H1002" s="8">
        <f t="shared" si="1"/>
        <v>-15</v>
      </c>
    </row>
    <row r="1003">
      <c r="A1003" s="10">
        <v>1002.0</v>
      </c>
      <c r="B1003" s="11" t="s">
        <v>3848</v>
      </c>
      <c r="C1003" s="10" t="s">
        <v>79</v>
      </c>
      <c r="D1003" s="10" t="s">
        <v>140</v>
      </c>
      <c r="E1003" s="13" t="str">
        <f>IFERROR(__xludf.DUMMYFUNCTION("ifna(filter('Yahoo ADP'!$A$2:$A2766,'Yahoo ADP'!$B$2:$B2766=$B1003,$C1003='Yahoo ADP'!$C$2:$C2766,$D1003='Yahoo ADP'!$D$2:$D2766))"),"")</f>
        <v/>
      </c>
      <c r="F1003" s="13" t="str">
        <f>IFERROR(__xludf.DUMMYFUNCTION("ifna(filter('Yahoo ADP'!$E$2:$E2766,'Yahoo ADP'!$B$2:$B2766=$B1003,$C1003='Yahoo ADP'!$C$2:$C2766,$D1003='Yahoo ADP'!$D$2:$D2766))"),"-")</f>
        <v>-</v>
      </c>
      <c r="G1003" s="27">
        <v>987.0</v>
      </c>
      <c r="H1003" s="8">
        <f t="shared" si="1"/>
        <v>-15</v>
      </c>
    </row>
    <row r="1004">
      <c r="A1004" s="10">
        <v>1003.0</v>
      </c>
      <c r="B1004" s="11" t="s">
        <v>3849</v>
      </c>
      <c r="C1004" s="10" t="s">
        <v>22</v>
      </c>
      <c r="D1004" s="10" t="s">
        <v>90</v>
      </c>
      <c r="E1004" s="13" t="str">
        <f>IFERROR(__xludf.DUMMYFUNCTION("ifna(filter('Yahoo ADP'!$A$2:$A2766,'Yahoo ADP'!$B$2:$B2766=$B1004,$C1004='Yahoo ADP'!$C$2:$C2766,$D1004='Yahoo ADP'!$D$2:$D2766))"),"")</f>
        <v/>
      </c>
      <c r="F1004" s="13" t="str">
        <f>IFERROR(__xludf.DUMMYFUNCTION("ifna(filter('Yahoo ADP'!$E$2:$E2766,'Yahoo ADP'!$B$2:$B2766=$B1004,$C1004='Yahoo ADP'!$C$2:$C2766,$D1004='Yahoo ADP'!$D$2:$D2766))"),"-")</f>
        <v>-</v>
      </c>
      <c r="G1004" s="27">
        <v>988.0</v>
      </c>
      <c r="H1004" s="8">
        <f t="shared" si="1"/>
        <v>-15</v>
      </c>
    </row>
    <row r="1005">
      <c r="A1005" s="10">
        <v>1004.0</v>
      </c>
      <c r="B1005" s="11" t="s">
        <v>3850</v>
      </c>
      <c r="C1005" s="10" t="s">
        <v>79</v>
      </c>
      <c r="D1005" s="10" t="s">
        <v>42</v>
      </c>
      <c r="E1005" s="13" t="str">
        <f>IFERROR(__xludf.DUMMYFUNCTION("ifna(filter('Yahoo ADP'!$A$2:$A2766,'Yahoo ADP'!$B$2:$B2766=$B1005,$C1005='Yahoo ADP'!$C$2:$C2766,$D1005='Yahoo ADP'!$D$2:$D2766))"),"")</f>
        <v/>
      </c>
      <c r="F1005" s="13" t="str">
        <f>IFERROR(__xludf.DUMMYFUNCTION("ifna(filter('Yahoo ADP'!$E$2:$E2766,'Yahoo ADP'!$B$2:$B2766=$B1005,$C1005='Yahoo ADP'!$C$2:$C2766,$D1005='Yahoo ADP'!$D$2:$D2766))"),"-")</f>
        <v>-</v>
      </c>
      <c r="G1005" s="27">
        <v>989.0</v>
      </c>
      <c r="H1005" s="8">
        <f t="shared" si="1"/>
        <v>-15</v>
      </c>
    </row>
    <row r="1006">
      <c r="A1006" s="10">
        <v>1005.0</v>
      </c>
      <c r="B1006" s="11" t="s">
        <v>3851</v>
      </c>
      <c r="C1006" s="10" t="s">
        <v>22</v>
      </c>
      <c r="D1006" s="10" t="s">
        <v>52</v>
      </c>
      <c r="E1006" s="13" t="str">
        <f>IFERROR(__xludf.DUMMYFUNCTION("ifna(filter('Yahoo ADP'!$A$2:$A2766,'Yahoo ADP'!$B$2:$B2766=$B1006,$C1006='Yahoo ADP'!$C$2:$C2766,$D1006='Yahoo ADP'!$D$2:$D2766))"),"")</f>
        <v/>
      </c>
      <c r="F1006" s="13" t="str">
        <f>IFERROR(__xludf.DUMMYFUNCTION("ifna(filter('Yahoo ADP'!$E$2:$E2766,'Yahoo ADP'!$B$2:$B2766=$B1006,$C1006='Yahoo ADP'!$C$2:$C2766,$D1006='Yahoo ADP'!$D$2:$D2766))"),"-")</f>
        <v>-</v>
      </c>
      <c r="G1006" s="27">
        <v>990.0</v>
      </c>
      <c r="H1006" s="8">
        <f t="shared" si="1"/>
        <v>-15</v>
      </c>
    </row>
    <row r="1007">
      <c r="A1007" s="10">
        <v>1006.0</v>
      </c>
      <c r="B1007" s="11" t="s">
        <v>3852</v>
      </c>
      <c r="C1007" s="10" t="s">
        <v>22</v>
      </c>
      <c r="D1007" s="10" t="s">
        <v>42</v>
      </c>
      <c r="E1007" s="13" t="str">
        <f>IFERROR(__xludf.DUMMYFUNCTION("ifna(filter('Yahoo ADP'!$A$2:$A2766,'Yahoo ADP'!$B$2:$B2766=$B1007,$C1007='Yahoo ADP'!$C$2:$C2766,$D1007='Yahoo ADP'!$D$2:$D2766))"),"")</f>
        <v/>
      </c>
      <c r="F1007" s="13" t="str">
        <f>IFERROR(__xludf.DUMMYFUNCTION("ifna(filter('Yahoo ADP'!$E$2:$E2766,'Yahoo ADP'!$B$2:$B2766=$B1007,$C1007='Yahoo ADP'!$C$2:$C2766,$D1007='Yahoo ADP'!$D$2:$D2766))"),"-")</f>
        <v>-</v>
      </c>
      <c r="G1007" s="27">
        <v>991.0</v>
      </c>
      <c r="H1007" s="8">
        <f t="shared" si="1"/>
        <v>-15</v>
      </c>
    </row>
    <row r="1008">
      <c r="A1008" s="10">
        <v>1007.0</v>
      </c>
      <c r="B1008" s="11" t="s">
        <v>3853</v>
      </c>
      <c r="C1008" s="10" t="s">
        <v>79</v>
      </c>
      <c r="D1008" s="10" t="s">
        <v>27</v>
      </c>
      <c r="E1008" s="13" t="str">
        <f>IFERROR(__xludf.DUMMYFUNCTION("ifna(filter('Yahoo ADP'!$A$2:$A2766,'Yahoo ADP'!$B$2:$B2766=$B1008,$C1008='Yahoo ADP'!$C$2:$C2766,$D1008='Yahoo ADP'!$D$2:$D2766))"),"")</f>
        <v/>
      </c>
      <c r="F1008" s="13" t="str">
        <f>IFERROR(__xludf.DUMMYFUNCTION("ifna(filter('Yahoo ADP'!$E$2:$E2766,'Yahoo ADP'!$B$2:$B2766=$B1008,$C1008='Yahoo ADP'!$C$2:$C2766,$D1008='Yahoo ADP'!$D$2:$D2766))"),"-")</f>
        <v>-</v>
      </c>
      <c r="G1008" s="27">
        <v>992.0</v>
      </c>
      <c r="H1008" s="8">
        <f t="shared" si="1"/>
        <v>-15</v>
      </c>
    </row>
    <row r="1009">
      <c r="A1009" s="10">
        <v>1008.0</v>
      </c>
      <c r="B1009" s="11" t="s">
        <v>3854</v>
      </c>
      <c r="C1009" s="10" t="s">
        <v>79</v>
      </c>
      <c r="D1009" s="10" t="s">
        <v>113</v>
      </c>
      <c r="E1009" s="13" t="str">
        <f>IFERROR(__xludf.DUMMYFUNCTION("ifna(filter('Yahoo ADP'!$A$2:$A2766,'Yahoo ADP'!$B$2:$B2766=$B1009,$C1009='Yahoo ADP'!$C$2:$C2766,$D1009='Yahoo ADP'!$D$2:$D2766))"),"")</f>
        <v/>
      </c>
      <c r="F1009" s="13" t="str">
        <f>IFERROR(__xludf.DUMMYFUNCTION("ifna(filter('Yahoo ADP'!$E$2:$E2766,'Yahoo ADP'!$B$2:$B2766=$B1009,$C1009='Yahoo ADP'!$C$2:$C2766,$D1009='Yahoo ADP'!$D$2:$D2766))"),"-")</f>
        <v>-</v>
      </c>
      <c r="G1009" s="27">
        <v>993.0</v>
      </c>
      <c r="H1009" s="8">
        <f t="shared" si="1"/>
        <v>-15</v>
      </c>
    </row>
    <row r="1010">
      <c r="A1010" s="10">
        <v>1009.0</v>
      </c>
      <c r="B1010" s="11" t="s">
        <v>3855</v>
      </c>
      <c r="C1010" s="10" t="s">
        <v>22</v>
      </c>
      <c r="D1010" s="10" t="s">
        <v>36</v>
      </c>
      <c r="E1010" s="13" t="str">
        <f>IFERROR(__xludf.DUMMYFUNCTION("ifna(filter('Yahoo ADP'!$A$2:$A2766,'Yahoo ADP'!$B$2:$B2766=$B1010,$C1010='Yahoo ADP'!$C$2:$C2766,$D1010='Yahoo ADP'!$D$2:$D2766))"),"")</f>
        <v/>
      </c>
      <c r="F1010" s="13" t="str">
        <f>IFERROR(__xludf.DUMMYFUNCTION("ifna(filter('Yahoo ADP'!$E$2:$E2766,'Yahoo ADP'!$B$2:$B2766=$B1010,$C1010='Yahoo ADP'!$C$2:$C2766,$D1010='Yahoo ADP'!$D$2:$D2766))"),"-")</f>
        <v>-</v>
      </c>
      <c r="G1010" s="27">
        <v>994.0</v>
      </c>
      <c r="H1010" s="8">
        <f t="shared" si="1"/>
        <v>-15</v>
      </c>
    </row>
    <row r="1011">
      <c r="A1011" s="10">
        <v>1010.0</v>
      </c>
      <c r="B1011" s="11" t="s">
        <v>3856</v>
      </c>
      <c r="C1011" s="10" t="s">
        <v>79</v>
      </c>
      <c r="D1011" s="10" t="s">
        <v>206</v>
      </c>
      <c r="E1011" s="13" t="str">
        <f>IFERROR(__xludf.DUMMYFUNCTION("ifna(filter('Yahoo ADP'!$A$2:$A2766,'Yahoo ADP'!$B$2:$B2766=$B1011,$C1011='Yahoo ADP'!$C$2:$C2766,$D1011='Yahoo ADP'!$D$2:$D2766))"),"")</f>
        <v/>
      </c>
      <c r="F1011" s="13" t="str">
        <f>IFERROR(__xludf.DUMMYFUNCTION("ifna(filter('Yahoo ADP'!$E$2:$E2766,'Yahoo ADP'!$B$2:$B2766=$B1011,$C1011='Yahoo ADP'!$C$2:$C2766,$D1011='Yahoo ADP'!$D$2:$D2766))"),"-")</f>
        <v>-</v>
      </c>
      <c r="G1011" s="27">
        <v>995.0</v>
      </c>
      <c r="H1011" s="8">
        <f t="shared" si="1"/>
        <v>-15</v>
      </c>
    </row>
    <row r="1012">
      <c r="A1012" s="10">
        <v>1011.0</v>
      </c>
      <c r="B1012" s="11" t="s">
        <v>3857</v>
      </c>
      <c r="C1012" s="10" t="s">
        <v>22</v>
      </c>
      <c r="D1012" s="10" t="s">
        <v>113</v>
      </c>
      <c r="E1012" s="13" t="str">
        <f>IFERROR(__xludf.DUMMYFUNCTION("ifna(filter('Yahoo ADP'!$A$2:$A2766,'Yahoo ADP'!$B$2:$B2766=$B1012,$C1012='Yahoo ADP'!$C$2:$C2766,$D1012='Yahoo ADP'!$D$2:$D2766))"),"")</f>
        <v/>
      </c>
      <c r="F1012" s="13" t="str">
        <f>IFERROR(__xludf.DUMMYFUNCTION("ifna(filter('Yahoo ADP'!$E$2:$E2766,'Yahoo ADP'!$B$2:$B2766=$B1012,$C1012='Yahoo ADP'!$C$2:$C2766,$D1012='Yahoo ADP'!$D$2:$D2766))"),"-")</f>
        <v>-</v>
      </c>
      <c r="G1012" s="27">
        <v>996.0</v>
      </c>
      <c r="H1012" s="8">
        <f t="shared" si="1"/>
        <v>-15</v>
      </c>
    </row>
    <row r="1013">
      <c r="A1013" s="10">
        <v>1012.0</v>
      </c>
      <c r="B1013" s="11" t="s">
        <v>3858</v>
      </c>
      <c r="C1013" s="10" t="s">
        <v>220</v>
      </c>
      <c r="D1013" s="10" t="s">
        <v>99</v>
      </c>
      <c r="E1013" s="13" t="str">
        <f>IFERROR(__xludf.DUMMYFUNCTION("ifna(filter('Yahoo ADP'!$A$2:$A2766,'Yahoo ADP'!$B$2:$B2766=$B1013,$C1013='Yahoo ADP'!$C$2:$C2766,$D1013='Yahoo ADP'!$D$2:$D2766))"),"")</f>
        <v/>
      </c>
      <c r="F1013" s="13" t="str">
        <f>IFERROR(__xludf.DUMMYFUNCTION("ifna(filter('Yahoo ADP'!$E$2:$E2766,'Yahoo ADP'!$B$2:$B2766=$B1013,$C1013='Yahoo ADP'!$C$2:$C2766,$D1013='Yahoo ADP'!$D$2:$D2766))"),"-")</f>
        <v>-</v>
      </c>
      <c r="G1013" s="27">
        <v>997.0</v>
      </c>
      <c r="H1013" s="8">
        <f t="shared" si="1"/>
        <v>-15</v>
      </c>
    </row>
    <row r="1014">
      <c r="A1014" s="10">
        <v>1013.0</v>
      </c>
      <c r="B1014" s="11" t="s">
        <v>3859</v>
      </c>
      <c r="C1014" s="10" t="s">
        <v>22</v>
      </c>
      <c r="D1014" s="10" t="s">
        <v>99</v>
      </c>
      <c r="E1014" s="13" t="str">
        <f>IFERROR(__xludf.DUMMYFUNCTION("ifna(filter('Yahoo ADP'!$A$2:$A2766,'Yahoo ADP'!$B$2:$B2766=$B1014,$C1014='Yahoo ADP'!$C$2:$C2766,$D1014='Yahoo ADP'!$D$2:$D2766))"),"")</f>
        <v/>
      </c>
      <c r="F1014" s="13" t="str">
        <f>IFERROR(__xludf.DUMMYFUNCTION("ifna(filter('Yahoo ADP'!$E$2:$E2766,'Yahoo ADP'!$B$2:$B2766=$B1014,$C1014='Yahoo ADP'!$C$2:$C2766,$D1014='Yahoo ADP'!$D$2:$D2766))"),"-")</f>
        <v>-</v>
      </c>
      <c r="G1014" s="27">
        <v>998.0</v>
      </c>
      <c r="H1014" s="8">
        <f t="shared" si="1"/>
        <v>-15</v>
      </c>
    </row>
    <row r="1015">
      <c r="A1015" s="10">
        <v>1014.0</v>
      </c>
      <c r="B1015" s="11" t="s">
        <v>3860</v>
      </c>
      <c r="C1015" s="10" t="s">
        <v>22</v>
      </c>
      <c r="D1015" s="10" t="s">
        <v>18</v>
      </c>
      <c r="E1015" s="13" t="str">
        <f>IFERROR(__xludf.DUMMYFUNCTION("ifna(filter('Yahoo ADP'!$A$2:$A2766,'Yahoo ADP'!$B$2:$B2766=$B1015,$C1015='Yahoo ADP'!$C$2:$C2766,$D1015='Yahoo ADP'!$D$2:$D2766))"),"")</f>
        <v/>
      </c>
      <c r="F1015" s="13" t="str">
        <f>IFERROR(__xludf.DUMMYFUNCTION("ifna(filter('Yahoo ADP'!$E$2:$E2766,'Yahoo ADP'!$B$2:$B2766=$B1015,$C1015='Yahoo ADP'!$C$2:$C2766,$D1015='Yahoo ADP'!$D$2:$D2766))"),"-")</f>
        <v>-</v>
      </c>
      <c r="G1015" s="27">
        <v>999.0</v>
      </c>
      <c r="H1015" s="8">
        <f t="shared" si="1"/>
        <v>-15</v>
      </c>
    </row>
    <row r="1016">
      <c r="A1016" s="10">
        <v>1015.0</v>
      </c>
      <c r="B1016" s="11" t="s">
        <v>3861</v>
      </c>
      <c r="C1016" s="10" t="s">
        <v>22</v>
      </c>
      <c r="D1016" s="10" t="s">
        <v>31</v>
      </c>
      <c r="E1016" s="13" t="str">
        <f>IFERROR(__xludf.DUMMYFUNCTION("ifna(filter('Yahoo ADP'!$A$2:$A2766,'Yahoo ADP'!$B$2:$B2766=$B1016,$C1016='Yahoo ADP'!$C$2:$C2766,$D1016='Yahoo ADP'!$D$2:$D2766))"),"")</f>
        <v/>
      </c>
      <c r="F1016" s="13" t="str">
        <f>IFERROR(__xludf.DUMMYFUNCTION("ifna(filter('Yahoo ADP'!$E$2:$E2766,'Yahoo ADP'!$B$2:$B2766=$B1016,$C1016='Yahoo ADP'!$C$2:$C2766,$D1016='Yahoo ADP'!$D$2:$D2766))"),"-")</f>
        <v>-</v>
      </c>
      <c r="G1016" s="27">
        <v>1000.0</v>
      </c>
      <c r="H1016" s="8">
        <f t="shared" si="1"/>
        <v>-15</v>
      </c>
    </row>
    <row r="1017">
      <c r="A1017" s="10">
        <v>1016.0</v>
      </c>
      <c r="B1017" s="11" t="s">
        <v>3862</v>
      </c>
      <c r="C1017" s="10" t="s">
        <v>22</v>
      </c>
      <c r="D1017" s="10" t="s">
        <v>12</v>
      </c>
      <c r="E1017" s="13" t="str">
        <f>IFERROR(__xludf.DUMMYFUNCTION("ifna(filter('Yahoo ADP'!$A$2:$A2766,'Yahoo ADP'!$B$2:$B2766=$B1017,$C1017='Yahoo ADP'!$C$2:$C2766,$D1017='Yahoo ADP'!$D$2:$D2766))"),"")</f>
        <v/>
      </c>
      <c r="F1017" s="13" t="str">
        <f>IFERROR(__xludf.DUMMYFUNCTION("ifna(filter('Yahoo ADP'!$E$2:$E2766,'Yahoo ADP'!$B$2:$B2766=$B1017,$C1017='Yahoo ADP'!$C$2:$C2766,$D1017='Yahoo ADP'!$D$2:$D2766))"),"-")</f>
        <v>-</v>
      </c>
      <c r="G1017" s="27">
        <v>1001.0</v>
      </c>
      <c r="H1017" s="8">
        <f t="shared" si="1"/>
        <v>-15</v>
      </c>
    </row>
    <row r="1018">
      <c r="A1018" s="10">
        <v>1017.0</v>
      </c>
      <c r="B1018" s="11" t="s">
        <v>3863</v>
      </c>
      <c r="C1018" s="10" t="s">
        <v>22</v>
      </c>
      <c r="D1018" s="10" t="s">
        <v>15</v>
      </c>
      <c r="E1018" s="13" t="str">
        <f>IFERROR(__xludf.DUMMYFUNCTION("ifna(filter('Yahoo ADP'!$A$2:$A2766,'Yahoo ADP'!$B$2:$B2766=$B1018,$C1018='Yahoo ADP'!$C$2:$C2766,$D1018='Yahoo ADP'!$D$2:$D2766))"),"")</f>
        <v/>
      </c>
      <c r="F1018" s="13" t="str">
        <f>IFERROR(__xludf.DUMMYFUNCTION("ifna(filter('Yahoo ADP'!$E$2:$E2766,'Yahoo ADP'!$B$2:$B2766=$B1018,$C1018='Yahoo ADP'!$C$2:$C2766,$D1018='Yahoo ADP'!$D$2:$D2766))"),"-")</f>
        <v>-</v>
      </c>
      <c r="G1018" s="27">
        <v>1002.0</v>
      </c>
      <c r="H1018" s="8">
        <f t="shared" si="1"/>
        <v>-15</v>
      </c>
    </row>
    <row r="1019">
      <c r="A1019" s="10">
        <v>1018.0</v>
      </c>
      <c r="B1019" s="11" t="s">
        <v>3864</v>
      </c>
      <c r="C1019" s="10" t="s">
        <v>22</v>
      </c>
      <c r="D1019" s="10" t="s">
        <v>25</v>
      </c>
      <c r="E1019" s="13" t="str">
        <f>IFERROR(__xludf.DUMMYFUNCTION("ifna(filter('Yahoo ADP'!$A$2:$A2766,'Yahoo ADP'!$B$2:$B2766=$B1019,$C1019='Yahoo ADP'!$C$2:$C2766,$D1019='Yahoo ADP'!$D$2:$D2766))"),"")</f>
        <v/>
      </c>
      <c r="F1019" s="13" t="str">
        <f>IFERROR(__xludf.DUMMYFUNCTION("ifna(filter('Yahoo ADP'!$E$2:$E2766,'Yahoo ADP'!$B$2:$B2766=$B1019,$C1019='Yahoo ADP'!$C$2:$C2766,$D1019='Yahoo ADP'!$D$2:$D2766))"),"-")</f>
        <v>-</v>
      </c>
      <c r="G1019" s="27">
        <v>1003.0</v>
      </c>
      <c r="H1019" s="8">
        <f t="shared" si="1"/>
        <v>-15</v>
      </c>
    </row>
    <row r="1020">
      <c r="A1020" s="10">
        <v>1019.0</v>
      </c>
      <c r="B1020" s="11" t="s">
        <v>3865</v>
      </c>
      <c r="C1020" s="10" t="s">
        <v>79</v>
      </c>
      <c r="D1020" s="10" t="s">
        <v>99</v>
      </c>
      <c r="E1020" s="13" t="str">
        <f>IFERROR(__xludf.DUMMYFUNCTION("ifna(filter('Yahoo ADP'!$A$2:$A2766,'Yahoo ADP'!$B$2:$B2766=$B1020,$C1020='Yahoo ADP'!$C$2:$C2766,$D1020='Yahoo ADP'!$D$2:$D2766))"),"")</f>
        <v/>
      </c>
      <c r="F1020" s="13" t="str">
        <f>IFERROR(__xludf.DUMMYFUNCTION("ifna(filter('Yahoo ADP'!$E$2:$E2766,'Yahoo ADP'!$B$2:$B2766=$B1020,$C1020='Yahoo ADP'!$C$2:$C2766,$D1020='Yahoo ADP'!$D$2:$D2766))"),"-")</f>
        <v>-</v>
      </c>
      <c r="G1020" s="27">
        <v>1004.0</v>
      </c>
      <c r="H1020" s="8">
        <f t="shared" si="1"/>
        <v>-15</v>
      </c>
    </row>
    <row r="1021">
      <c r="A1021" s="10">
        <v>1020.0</v>
      </c>
      <c r="B1021" s="11" t="s">
        <v>3866</v>
      </c>
      <c r="C1021" s="10" t="s">
        <v>79</v>
      </c>
      <c r="D1021" s="10" t="s">
        <v>206</v>
      </c>
      <c r="E1021" s="13" t="str">
        <f>IFERROR(__xludf.DUMMYFUNCTION("ifna(filter('Yahoo ADP'!$A$2:$A2766,'Yahoo ADP'!$B$2:$B2766=$B1021,$C1021='Yahoo ADP'!$C$2:$C2766,$D1021='Yahoo ADP'!$D$2:$D2766))"),"")</f>
        <v/>
      </c>
      <c r="F1021" s="13" t="str">
        <f>IFERROR(__xludf.DUMMYFUNCTION("ifna(filter('Yahoo ADP'!$E$2:$E2766,'Yahoo ADP'!$B$2:$B2766=$B1021,$C1021='Yahoo ADP'!$C$2:$C2766,$D1021='Yahoo ADP'!$D$2:$D2766))"),"-")</f>
        <v>-</v>
      </c>
      <c r="G1021" s="27">
        <v>1005.0</v>
      </c>
      <c r="H1021" s="8">
        <f t="shared" si="1"/>
        <v>-15</v>
      </c>
    </row>
    <row r="1022">
      <c r="A1022" s="10">
        <v>1021.0</v>
      </c>
      <c r="B1022" s="11" t="s">
        <v>3867</v>
      </c>
      <c r="C1022" s="10" t="s">
        <v>22</v>
      </c>
      <c r="D1022" s="10" t="s">
        <v>85</v>
      </c>
      <c r="E1022" s="13" t="str">
        <f>IFERROR(__xludf.DUMMYFUNCTION("ifna(filter('Yahoo ADP'!$A$2:$A2766,'Yahoo ADP'!$B$2:$B2766=$B1022,$C1022='Yahoo ADP'!$C$2:$C2766,$D1022='Yahoo ADP'!$D$2:$D2766))"),"")</f>
        <v/>
      </c>
      <c r="F1022" s="13" t="str">
        <f>IFERROR(__xludf.DUMMYFUNCTION("ifna(filter('Yahoo ADP'!$E$2:$E2766,'Yahoo ADP'!$B$2:$B2766=$B1022,$C1022='Yahoo ADP'!$C$2:$C2766,$D1022='Yahoo ADP'!$D$2:$D2766))"),"-")</f>
        <v>-</v>
      </c>
      <c r="G1022" s="27">
        <v>1006.0</v>
      </c>
      <c r="H1022" s="8">
        <f t="shared" si="1"/>
        <v>-15</v>
      </c>
    </row>
    <row r="1023">
      <c r="A1023" s="10">
        <v>1022.0</v>
      </c>
      <c r="B1023" s="11" t="s">
        <v>3868</v>
      </c>
      <c r="C1023" s="10" t="s">
        <v>22</v>
      </c>
      <c r="D1023" s="10" t="s">
        <v>206</v>
      </c>
      <c r="E1023" s="13" t="str">
        <f>IFERROR(__xludf.DUMMYFUNCTION("ifna(filter('Yahoo ADP'!$A$2:$A2766,'Yahoo ADP'!$B$2:$B2766=$B1023,$C1023='Yahoo ADP'!$C$2:$C2766,$D1023='Yahoo ADP'!$D$2:$D2766))"),"")</f>
        <v/>
      </c>
      <c r="F1023" s="13" t="str">
        <f>IFERROR(__xludf.DUMMYFUNCTION("ifna(filter('Yahoo ADP'!$E$2:$E2766,'Yahoo ADP'!$B$2:$B2766=$B1023,$C1023='Yahoo ADP'!$C$2:$C2766,$D1023='Yahoo ADP'!$D$2:$D2766))"),"-")</f>
        <v>-</v>
      </c>
      <c r="G1023" s="27">
        <v>1007.0</v>
      </c>
      <c r="H1023" s="8">
        <f t="shared" si="1"/>
        <v>-15</v>
      </c>
    </row>
    <row r="1024">
      <c r="A1024" s="10">
        <v>1023.0</v>
      </c>
      <c r="B1024" s="11" t="s">
        <v>3869</v>
      </c>
      <c r="C1024" s="10" t="s">
        <v>79</v>
      </c>
      <c r="D1024" s="10" t="s">
        <v>206</v>
      </c>
      <c r="E1024" s="13" t="str">
        <f>IFERROR(__xludf.DUMMYFUNCTION("ifna(filter('Yahoo ADP'!$A$2:$A2766,'Yahoo ADP'!$B$2:$B2766=$B1024,$C1024='Yahoo ADP'!$C$2:$C2766,$D1024='Yahoo ADP'!$D$2:$D2766))"),"")</f>
        <v/>
      </c>
      <c r="F1024" s="13" t="str">
        <f>IFERROR(__xludf.DUMMYFUNCTION("ifna(filter('Yahoo ADP'!$E$2:$E2766,'Yahoo ADP'!$B$2:$B2766=$B1024,$C1024='Yahoo ADP'!$C$2:$C2766,$D1024='Yahoo ADP'!$D$2:$D2766))"),"-")</f>
        <v>-</v>
      </c>
      <c r="G1024" s="27">
        <v>1008.0</v>
      </c>
      <c r="H1024" s="8">
        <f t="shared" si="1"/>
        <v>-15</v>
      </c>
    </row>
    <row r="1025">
      <c r="A1025" s="10">
        <v>1024.0</v>
      </c>
      <c r="B1025" s="11" t="s">
        <v>3870</v>
      </c>
      <c r="C1025" s="10" t="s">
        <v>22</v>
      </c>
      <c r="D1025" s="10" t="s">
        <v>31</v>
      </c>
      <c r="E1025" s="13" t="str">
        <f>IFERROR(__xludf.DUMMYFUNCTION("ifna(filter('Yahoo ADP'!$A$2:$A2766,'Yahoo ADP'!$B$2:$B2766=$B1025,$C1025='Yahoo ADP'!$C$2:$C2766,$D1025='Yahoo ADP'!$D$2:$D2766))"),"")</f>
        <v/>
      </c>
      <c r="F1025" s="13" t="str">
        <f>IFERROR(__xludf.DUMMYFUNCTION("ifna(filter('Yahoo ADP'!$E$2:$E2766,'Yahoo ADP'!$B$2:$B2766=$B1025,$C1025='Yahoo ADP'!$C$2:$C2766,$D1025='Yahoo ADP'!$D$2:$D2766))"),"-")</f>
        <v>-</v>
      </c>
      <c r="G1025" s="27">
        <v>1009.0</v>
      </c>
      <c r="H1025" s="8">
        <f t="shared" si="1"/>
        <v>-15</v>
      </c>
    </row>
    <row r="1026">
      <c r="A1026" s="10">
        <v>1025.0</v>
      </c>
      <c r="B1026" s="11" t="s">
        <v>3871</v>
      </c>
      <c r="C1026" s="10" t="s">
        <v>22</v>
      </c>
      <c r="D1026" s="10" t="s">
        <v>122</v>
      </c>
      <c r="E1026" s="13" t="str">
        <f>IFERROR(__xludf.DUMMYFUNCTION("ifna(filter('Yahoo ADP'!$A$2:$A2766,'Yahoo ADP'!$B$2:$B2766=$B1026,$C1026='Yahoo ADP'!$C$2:$C2766,$D1026='Yahoo ADP'!$D$2:$D2766))"),"")</f>
        <v/>
      </c>
      <c r="F1026" s="13" t="str">
        <f>IFERROR(__xludf.DUMMYFUNCTION("ifna(filter('Yahoo ADP'!$E$2:$E2766,'Yahoo ADP'!$B$2:$B2766=$B1026,$C1026='Yahoo ADP'!$C$2:$C2766,$D1026='Yahoo ADP'!$D$2:$D2766))"),"-")</f>
        <v>-</v>
      </c>
      <c r="G1026" s="27">
        <v>1010.0</v>
      </c>
      <c r="H1026" s="8">
        <f t="shared" si="1"/>
        <v>-15</v>
      </c>
    </row>
    <row r="1027">
      <c r="A1027" s="10">
        <v>1026.0</v>
      </c>
      <c r="B1027" s="11" t="s">
        <v>3872</v>
      </c>
      <c r="C1027" s="10" t="s">
        <v>22</v>
      </c>
      <c r="D1027" s="10" t="s">
        <v>36</v>
      </c>
      <c r="E1027" s="13" t="str">
        <f>IFERROR(__xludf.DUMMYFUNCTION("ifna(filter('Yahoo ADP'!$A$2:$A2766,'Yahoo ADP'!$B$2:$B2766=$B1027,$C1027='Yahoo ADP'!$C$2:$C2766,$D1027='Yahoo ADP'!$D$2:$D2766))"),"")</f>
        <v/>
      </c>
      <c r="F1027" s="13" t="str">
        <f>IFERROR(__xludf.DUMMYFUNCTION("ifna(filter('Yahoo ADP'!$E$2:$E2766,'Yahoo ADP'!$B$2:$B2766=$B1027,$C1027='Yahoo ADP'!$C$2:$C2766,$D1027='Yahoo ADP'!$D$2:$D2766))"),"-")</f>
        <v>-</v>
      </c>
      <c r="G1027" s="27">
        <v>1011.0</v>
      </c>
      <c r="H1027" s="8">
        <f t="shared" si="1"/>
        <v>-15</v>
      </c>
    </row>
    <row r="1028">
      <c r="A1028" s="10">
        <v>1027.0</v>
      </c>
      <c r="B1028" s="11" t="s">
        <v>3873</v>
      </c>
      <c r="C1028" s="10" t="s">
        <v>22</v>
      </c>
      <c r="D1028" s="10" t="s">
        <v>46</v>
      </c>
      <c r="E1028" s="13" t="str">
        <f>IFERROR(__xludf.DUMMYFUNCTION("ifna(filter('Yahoo ADP'!$A$2:$A2766,'Yahoo ADP'!$B$2:$B2766=$B1028,$C1028='Yahoo ADP'!$C$2:$C2766,$D1028='Yahoo ADP'!$D$2:$D2766))"),"")</f>
        <v/>
      </c>
      <c r="F1028" s="13" t="str">
        <f>IFERROR(__xludf.DUMMYFUNCTION("ifna(filter('Yahoo ADP'!$E$2:$E2766,'Yahoo ADP'!$B$2:$B2766=$B1028,$C1028='Yahoo ADP'!$C$2:$C2766,$D1028='Yahoo ADP'!$D$2:$D2766))"),"-")</f>
        <v>-</v>
      </c>
      <c r="G1028" s="27">
        <v>1012.0</v>
      </c>
      <c r="H1028" s="8">
        <f t="shared" si="1"/>
        <v>-15</v>
      </c>
    </row>
    <row r="1029">
      <c r="A1029" s="10">
        <v>1028.0</v>
      </c>
      <c r="B1029" s="11" t="s">
        <v>3874</v>
      </c>
      <c r="C1029" s="10" t="s">
        <v>79</v>
      </c>
      <c r="D1029" s="10" t="s">
        <v>129</v>
      </c>
      <c r="E1029" s="13" t="str">
        <f>IFERROR(__xludf.DUMMYFUNCTION("ifna(filter('Yahoo ADP'!$A$2:$A2766,'Yahoo ADP'!$B$2:$B2766=$B1029,$C1029='Yahoo ADP'!$C$2:$C2766,$D1029='Yahoo ADP'!$D$2:$D2766))"),"")</f>
        <v/>
      </c>
      <c r="F1029" s="13" t="str">
        <f>IFERROR(__xludf.DUMMYFUNCTION("ifna(filter('Yahoo ADP'!$E$2:$E2766,'Yahoo ADP'!$B$2:$B2766=$B1029,$C1029='Yahoo ADP'!$C$2:$C2766,$D1029='Yahoo ADP'!$D$2:$D2766))"),"")</f>
        <v/>
      </c>
      <c r="G1029" s="27">
        <v>1013.0</v>
      </c>
      <c r="H1029" s="8">
        <f t="shared" si="1"/>
        <v>-15</v>
      </c>
    </row>
    <row r="1030">
      <c r="A1030" s="10">
        <v>1029.0</v>
      </c>
      <c r="B1030" s="11" t="s">
        <v>3875</v>
      </c>
      <c r="C1030" s="10" t="s">
        <v>22</v>
      </c>
      <c r="D1030" s="10" t="s">
        <v>34</v>
      </c>
      <c r="E1030" s="13" t="str">
        <f>IFERROR(__xludf.DUMMYFUNCTION("ifna(filter('Yahoo ADP'!$A$2:$A2766,'Yahoo ADP'!$B$2:$B2766=$B1030,$C1030='Yahoo ADP'!$C$2:$C2766,$D1030='Yahoo ADP'!$D$2:$D2766))"),"")</f>
        <v/>
      </c>
      <c r="F1030" s="13" t="str">
        <f>IFERROR(__xludf.DUMMYFUNCTION("ifna(filter('Yahoo ADP'!$E$2:$E2766,'Yahoo ADP'!$B$2:$B2766=$B1030,$C1030='Yahoo ADP'!$C$2:$C2766,$D1030='Yahoo ADP'!$D$2:$D2766))"),"-")</f>
        <v>-</v>
      </c>
      <c r="G1030" s="27">
        <v>1014.0</v>
      </c>
      <c r="H1030" s="8">
        <f t="shared" si="1"/>
        <v>-15</v>
      </c>
    </row>
    <row r="1031">
      <c r="A1031" s="10">
        <v>1030.0</v>
      </c>
      <c r="B1031" s="11" t="s">
        <v>3876</v>
      </c>
      <c r="C1031" s="10" t="s">
        <v>22</v>
      </c>
      <c r="D1031" s="10" t="s">
        <v>113</v>
      </c>
      <c r="E1031" s="13" t="str">
        <f>IFERROR(__xludf.DUMMYFUNCTION("ifna(filter('Yahoo ADP'!$A$2:$A2766,'Yahoo ADP'!$B$2:$B2766=$B1031,$C1031='Yahoo ADP'!$C$2:$C2766,$D1031='Yahoo ADP'!$D$2:$D2766))"),"")</f>
        <v/>
      </c>
      <c r="F1031" s="13" t="str">
        <f>IFERROR(__xludf.DUMMYFUNCTION("ifna(filter('Yahoo ADP'!$E$2:$E2766,'Yahoo ADP'!$B$2:$B2766=$B1031,$C1031='Yahoo ADP'!$C$2:$C2766,$D1031='Yahoo ADP'!$D$2:$D2766))"),"-")</f>
        <v>-</v>
      </c>
      <c r="G1031" s="27">
        <v>1015.0</v>
      </c>
      <c r="H1031" s="8">
        <f t="shared" si="1"/>
        <v>-15</v>
      </c>
    </row>
    <row r="1032">
      <c r="A1032" s="10">
        <v>1031.0</v>
      </c>
      <c r="B1032" s="11" t="s">
        <v>3877</v>
      </c>
      <c r="C1032" s="10" t="s">
        <v>22</v>
      </c>
      <c r="D1032" s="10" t="s">
        <v>46</v>
      </c>
      <c r="E1032" s="13" t="str">
        <f>IFERROR(__xludf.DUMMYFUNCTION("ifna(filter('Yahoo ADP'!$A$2:$A2766,'Yahoo ADP'!$B$2:$B2766=$B1032,$C1032='Yahoo ADP'!$C$2:$C2766,$D1032='Yahoo ADP'!$D$2:$D2766))"),"")</f>
        <v/>
      </c>
      <c r="F1032" s="13" t="str">
        <f>IFERROR(__xludf.DUMMYFUNCTION("ifna(filter('Yahoo ADP'!$E$2:$E2766,'Yahoo ADP'!$B$2:$B2766=$B1032,$C1032='Yahoo ADP'!$C$2:$C2766,$D1032='Yahoo ADP'!$D$2:$D2766))"),"-")</f>
        <v>-</v>
      </c>
      <c r="G1032" s="27">
        <v>1016.0</v>
      </c>
      <c r="H1032" s="8">
        <f t="shared" si="1"/>
        <v>-15</v>
      </c>
    </row>
    <row r="1033">
      <c r="A1033" s="10">
        <v>1032.0</v>
      </c>
      <c r="B1033" s="11" t="s">
        <v>3878</v>
      </c>
      <c r="C1033" s="10" t="s">
        <v>22</v>
      </c>
      <c r="D1033" s="10" t="s">
        <v>140</v>
      </c>
      <c r="E1033" s="13" t="str">
        <f>IFERROR(__xludf.DUMMYFUNCTION("ifna(filter('Yahoo ADP'!$A$2:$A2766,'Yahoo ADP'!$B$2:$B2766=$B1033,$C1033='Yahoo ADP'!$C$2:$C2766,$D1033='Yahoo ADP'!$D$2:$D2766))"),"")</f>
        <v/>
      </c>
      <c r="F1033" s="13" t="str">
        <f>IFERROR(__xludf.DUMMYFUNCTION("ifna(filter('Yahoo ADP'!$E$2:$E2766,'Yahoo ADP'!$B$2:$B2766=$B1033,$C1033='Yahoo ADP'!$C$2:$C2766,$D1033='Yahoo ADP'!$D$2:$D2766))"),"-")</f>
        <v>-</v>
      </c>
      <c r="G1033" s="27">
        <v>1017.0</v>
      </c>
      <c r="H1033" s="8">
        <f t="shared" si="1"/>
        <v>-15</v>
      </c>
    </row>
    <row r="1034">
      <c r="A1034" s="10">
        <v>1033.0</v>
      </c>
      <c r="B1034" s="11" t="s">
        <v>3879</v>
      </c>
      <c r="C1034" s="10" t="s">
        <v>22</v>
      </c>
      <c r="D1034" s="10" t="s">
        <v>71</v>
      </c>
      <c r="E1034" s="13" t="str">
        <f>IFERROR(__xludf.DUMMYFUNCTION("ifna(filter('Yahoo ADP'!$A$2:$A2766,'Yahoo ADP'!$B$2:$B2766=$B1034,$C1034='Yahoo ADP'!$C$2:$C2766,$D1034='Yahoo ADP'!$D$2:$D2766))"),"")</f>
        <v/>
      </c>
      <c r="F1034" s="13" t="str">
        <f>IFERROR(__xludf.DUMMYFUNCTION("ifna(filter('Yahoo ADP'!$E$2:$E2766,'Yahoo ADP'!$B$2:$B2766=$B1034,$C1034='Yahoo ADP'!$C$2:$C2766,$D1034='Yahoo ADP'!$D$2:$D2766))"),"-")</f>
        <v>-</v>
      </c>
      <c r="G1034" s="27">
        <v>1018.0</v>
      </c>
      <c r="H1034" s="8">
        <f t="shared" si="1"/>
        <v>-15</v>
      </c>
    </row>
    <row r="1035">
      <c r="A1035" s="10">
        <v>1034.0</v>
      </c>
      <c r="B1035" s="11" t="s">
        <v>3880</v>
      </c>
      <c r="C1035" s="10" t="s">
        <v>22</v>
      </c>
      <c r="D1035" s="10" t="s">
        <v>105</v>
      </c>
      <c r="E1035" s="13" t="str">
        <f>IFERROR(__xludf.DUMMYFUNCTION("ifna(filter('Yahoo ADP'!$A$2:$A2766,'Yahoo ADP'!$B$2:$B2766=$B1035,$C1035='Yahoo ADP'!$C$2:$C2766,$D1035='Yahoo ADP'!$D$2:$D2766))"),"")</f>
        <v/>
      </c>
      <c r="F1035" s="13" t="str">
        <f>IFERROR(__xludf.DUMMYFUNCTION("ifna(filter('Yahoo ADP'!$E$2:$E2766,'Yahoo ADP'!$B$2:$B2766=$B1035,$C1035='Yahoo ADP'!$C$2:$C2766,$D1035='Yahoo ADP'!$D$2:$D2766))"),"-")</f>
        <v>-</v>
      </c>
      <c r="G1035" s="27">
        <v>1019.0</v>
      </c>
      <c r="H1035" s="8">
        <f t="shared" si="1"/>
        <v>-15</v>
      </c>
    </row>
    <row r="1036">
      <c r="A1036" s="10">
        <v>1035.0</v>
      </c>
      <c r="B1036" s="11" t="s">
        <v>3881</v>
      </c>
      <c r="C1036" s="10" t="s">
        <v>79</v>
      </c>
      <c r="D1036" s="10" t="s">
        <v>27</v>
      </c>
      <c r="E1036" s="13" t="str">
        <f>IFERROR(__xludf.DUMMYFUNCTION("ifna(filter('Yahoo ADP'!$A$2:$A2766,'Yahoo ADP'!$B$2:$B2766=$B1036,$C1036='Yahoo ADP'!$C$2:$C2766,$D1036='Yahoo ADP'!$D$2:$D2766))"),"")</f>
        <v/>
      </c>
      <c r="F1036" s="13" t="str">
        <f>IFERROR(__xludf.DUMMYFUNCTION("ifna(filter('Yahoo ADP'!$E$2:$E2766,'Yahoo ADP'!$B$2:$B2766=$B1036,$C1036='Yahoo ADP'!$C$2:$C2766,$D1036='Yahoo ADP'!$D$2:$D2766))"),"-")</f>
        <v>-</v>
      </c>
      <c r="G1036" s="27">
        <v>1020.0</v>
      </c>
      <c r="H1036" s="8">
        <f t="shared" si="1"/>
        <v>-15</v>
      </c>
    </row>
    <row r="1037">
      <c r="A1037" s="10">
        <v>1036.0</v>
      </c>
      <c r="B1037" s="11" t="s">
        <v>3882</v>
      </c>
      <c r="C1037" s="10" t="s">
        <v>22</v>
      </c>
      <c r="D1037" s="10" t="s">
        <v>34</v>
      </c>
      <c r="E1037" s="13" t="str">
        <f>IFERROR(__xludf.DUMMYFUNCTION("ifna(filter('Yahoo ADP'!$A$2:$A2766,'Yahoo ADP'!$B$2:$B2766=$B1037,$C1037='Yahoo ADP'!$C$2:$C2766,$D1037='Yahoo ADP'!$D$2:$D2766))"),"")</f>
        <v/>
      </c>
      <c r="F1037" s="13" t="str">
        <f>IFERROR(__xludf.DUMMYFUNCTION("ifna(filter('Yahoo ADP'!$E$2:$E2766,'Yahoo ADP'!$B$2:$B2766=$B1037,$C1037='Yahoo ADP'!$C$2:$C2766,$D1037='Yahoo ADP'!$D$2:$D2766))"),"-")</f>
        <v>-</v>
      </c>
      <c r="G1037" s="27">
        <v>1021.0</v>
      </c>
      <c r="H1037" s="8">
        <f t="shared" si="1"/>
        <v>-15</v>
      </c>
    </row>
    <row r="1038">
      <c r="A1038" s="10">
        <v>1037.0</v>
      </c>
      <c r="B1038" s="11" t="s">
        <v>3883</v>
      </c>
      <c r="C1038" s="10" t="s">
        <v>22</v>
      </c>
      <c r="D1038" s="10" t="s">
        <v>95</v>
      </c>
      <c r="E1038" s="13" t="str">
        <f>IFERROR(__xludf.DUMMYFUNCTION("ifna(filter('Yahoo ADP'!$A$2:$A2766,'Yahoo ADP'!$B$2:$B2766=$B1038,$C1038='Yahoo ADP'!$C$2:$C2766,$D1038='Yahoo ADP'!$D$2:$D2766))"),"")</f>
        <v/>
      </c>
      <c r="F1038" s="13" t="str">
        <f>IFERROR(__xludf.DUMMYFUNCTION("ifna(filter('Yahoo ADP'!$E$2:$E2766,'Yahoo ADP'!$B$2:$B2766=$B1038,$C1038='Yahoo ADP'!$C$2:$C2766,$D1038='Yahoo ADP'!$D$2:$D2766))"),"-")</f>
        <v>-</v>
      </c>
      <c r="G1038" s="27">
        <v>1022.0</v>
      </c>
      <c r="H1038" s="8">
        <f t="shared" si="1"/>
        <v>-15</v>
      </c>
    </row>
    <row r="1039">
      <c r="A1039" s="10">
        <v>1038.0</v>
      </c>
      <c r="B1039" s="11" t="s">
        <v>3884</v>
      </c>
      <c r="C1039" s="10" t="s">
        <v>22</v>
      </c>
      <c r="D1039" s="10" t="s">
        <v>82</v>
      </c>
      <c r="E1039" s="13" t="str">
        <f>IFERROR(__xludf.DUMMYFUNCTION("ifna(filter('Yahoo ADP'!$A$2:$A2766,'Yahoo ADP'!$B$2:$B2766=$B1039,$C1039='Yahoo ADP'!$C$2:$C2766,$D1039='Yahoo ADP'!$D$2:$D2766))"),"")</f>
        <v/>
      </c>
      <c r="F1039" s="13" t="str">
        <f>IFERROR(__xludf.DUMMYFUNCTION("ifna(filter('Yahoo ADP'!$E$2:$E2766,'Yahoo ADP'!$B$2:$B2766=$B1039,$C1039='Yahoo ADP'!$C$2:$C2766,$D1039='Yahoo ADP'!$D$2:$D2766))"),"-")</f>
        <v>-</v>
      </c>
      <c r="G1039" s="27">
        <v>1023.0</v>
      </c>
      <c r="H1039" s="8">
        <f t="shared" si="1"/>
        <v>-15</v>
      </c>
    </row>
    <row r="1040">
      <c r="A1040" s="10">
        <v>1039.0</v>
      </c>
      <c r="B1040" s="11" t="s">
        <v>3885</v>
      </c>
      <c r="C1040" s="10" t="s">
        <v>22</v>
      </c>
      <c r="D1040" s="10" t="s">
        <v>49</v>
      </c>
      <c r="E1040" s="13" t="str">
        <f>IFERROR(__xludf.DUMMYFUNCTION("ifna(filter('Yahoo ADP'!$A$2:$A2766,'Yahoo ADP'!$B$2:$B2766=$B1040,$C1040='Yahoo ADP'!$C$2:$C2766,$D1040='Yahoo ADP'!$D$2:$D2766))"),"")</f>
        <v/>
      </c>
      <c r="F1040" s="13" t="str">
        <f>IFERROR(__xludf.DUMMYFUNCTION("ifna(filter('Yahoo ADP'!$E$2:$E2766,'Yahoo ADP'!$B$2:$B2766=$B1040,$C1040='Yahoo ADP'!$C$2:$C2766,$D1040='Yahoo ADP'!$D$2:$D2766))"),"-")</f>
        <v>-</v>
      </c>
      <c r="G1040" s="27">
        <v>1024.0</v>
      </c>
      <c r="H1040" s="8">
        <f t="shared" si="1"/>
        <v>-15</v>
      </c>
    </row>
    <row r="1041">
      <c r="A1041" s="10">
        <v>1040.0</v>
      </c>
      <c r="B1041" s="11" t="s">
        <v>3886</v>
      </c>
      <c r="C1041" s="10" t="s">
        <v>79</v>
      </c>
      <c r="D1041" s="10" t="s">
        <v>31</v>
      </c>
      <c r="E1041" s="13" t="str">
        <f>IFERROR(__xludf.DUMMYFUNCTION("ifna(filter('Yahoo ADP'!$A$2:$A2766,'Yahoo ADP'!$B$2:$B2766=$B1041,$C1041='Yahoo ADP'!$C$2:$C2766,$D1041='Yahoo ADP'!$D$2:$D2766))"),"")</f>
        <v/>
      </c>
      <c r="F1041" s="13" t="str">
        <f>IFERROR(__xludf.DUMMYFUNCTION("ifna(filter('Yahoo ADP'!$E$2:$E2766,'Yahoo ADP'!$B$2:$B2766=$B1041,$C1041='Yahoo ADP'!$C$2:$C2766,$D1041='Yahoo ADP'!$D$2:$D2766))"),"-")</f>
        <v>-</v>
      </c>
      <c r="G1041" s="27">
        <v>1025.0</v>
      </c>
      <c r="H1041" s="8">
        <f t="shared" si="1"/>
        <v>-15</v>
      </c>
    </row>
    <row r="1042">
      <c r="A1042" s="10">
        <v>1041.0</v>
      </c>
      <c r="B1042" s="11" t="s">
        <v>3887</v>
      </c>
      <c r="C1042" s="10" t="s">
        <v>22</v>
      </c>
      <c r="D1042" s="10" t="s">
        <v>67</v>
      </c>
      <c r="E1042" s="13" t="str">
        <f>IFERROR(__xludf.DUMMYFUNCTION("ifna(filter('Yahoo ADP'!$A$2:$A2766,'Yahoo ADP'!$B$2:$B2766=$B1042,$C1042='Yahoo ADP'!$C$2:$C2766,$D1042='Yahoo ADP'!$D$2:$D2766))"),"")</f>
        <v/>
      </c>
      <c r="F1042" s="13" t="str">
        <f>IFERROR(__xludf.DUMMYFUNCTION("ifna(filter('Yahoo ADP'!$E$2:$E2766,'Yahoo ADP'!$B$2:$B2766=$B1042,$C1042='Yahoo ADP'!$C$2:$C2766,$D1042='Yahoo ADP'!$D$2:$D2766))"),"-")</f>
        <v>-</v>
      </c>
      <c r="G1042" s="27">
        <v>1026.0</v>
      </c>
      <c r="H1042" s="8">
        <f t="shared" si="1"/>
        <v>-15</v>
      </c>
    </row>
    <row r="1043">
      <c r="A1043" s="10">
        <v>1042.0</v>
      </c>
      <c r="B1043" s="11" t="s">
        <v>3888</v>
      </c>
      <c r="C1043" s="10" t="s">
        <v>22</v>
      </c>
      <c r="D1043" s="10" t="s">
        <v>25</v>
      </c>
      <c r="E1043" s="13" t="str">
        <f>IFERROR(__xludf.DUMMYFUNCTION("ifna(filter('Yahoo ADP'!$A$2:$A2766,'Yahoo ADP'!$B$2:$B2766=$B1043,$C1043='Yahoo ADP'!$C$2:$C2766,$D1043='Yahoo ADP'!$D$2:$D2766))"),"")</f>
        <v/>
      </c>
      <c r="F1043" s="13" t="str">
        <f>IFERROR(__xludf.DUMMYFUNCTION("ifna(filter('Yahoo ADP'!$E$2:$E2766,'Yahoo ADP'!$B$2:$B2766=$B1043,$C1043='Yahoo ADP'!$C$2:$C2766,$D1043='Yahoo ADP'!$D$2:$D2766))"),"-")</f>
        <v>-</v>
      </c>
      <c r="G1043" s="27">
        <v>1027.0</v>
      </c>
      <c r="H1043" s="8">
        <f t="shared" si="1"/>
        <v>-15</v>
      </c>
    </row>
    <row r="1044">
      <c r="A1044" s="10">
        <v>1043.0</v>
      </c>
      <c r="B1044" s="11" t="s">
        <v>3889</v>
      </c>
      <c r="C1044" s="10" t="s">
        <v>22</v>
      </c>
      <c r="D1044" s="10" t="s">
        <v>42</v>
      </c>
      <c r="E1044" s="13" t="str">
        <f>IFERROR(__xludf.DUMMYFUNCTION("ifna(filter('Yahoo ADP'!$A$2:$A2766,'Yahoo ADP'!$B$2:$B2766=$B1044,$C1044='Yahoo ADP'!$C$2:$C2766,$D1044='Yahoo ADP'!$D$2:$D2766))"),"")</f>
        <v/>
      </c>
      <c r="F1044" s="13" t="str">
        <f>IFERROR(__xludf.DUMMYFUNCTION("ifna(filter('Yahoo ADP'!$E$2:$E2766,'Yahoo ADP'!$B$2:$B2766=$B1044,$C1044='Yahoo ADP'!$C$2:$C2766,$D1044='Yahoo ADP'!$D$2:$D2766))"),"-")</f>
        <v>-</v>
      </c>
      <c r="G1044" s="27">
        <v>1028.0</v>
      </c>
      <c r="H1044" s="8">
        <f t="shared" si="1"/>
        <v>-15</v>
      </c>
    </row>
    <row r="1045">
      <c r="A1045" s="10">
        <v>1044.0</v>
      </c>
      <c r="B1045" s="11" t="s">
        <v>3890</v>
      </c>
      <c r="C1045" s="10" t="s">
        <v>79</v>
      </c>
      <c r="D1045" s="10" t="s">
        <v>52</v>
      </c>
      <c r="E1045" s="13" t="str">
        <f>IFERROR(__xludf.DUMMYFUNCTION("ifna(filter('Yahoo ADP'!$A$2:$A2766,'Yahoo ADP'!$B$2:$B2766=$B1045,$C1045='Yahoo ADP'!$C$2:$C2766,$D1045='Yahoo ADP'!$D$2:$D2766))"),"")</f>
        <v/>
      </c>
      <c r="F1045" s="13" t="str">
        <f>IFERROR(__xludf.DUMMYFUNCTION("ifna(filter('Yahoo ADP'!$E$2:$E2766,'Yahoo ADP'!$B$2:$B2766=$B1045,$C1045='Yahoo ADP'!$C$2:$C2766,$D1045='Yahoo ADP'!$D$2:$D2766))"),"-")</f>
        <v>-</v>
      </c>
      <c r="G1045" s="27">
        <v>1029.0</v>
      </c>
      <c r="H1045" s="8">
        <f t="shared" si="1"/>
        <v>-15</v>
      </c>
    </row>
    <row r="1046">
      <c r="A1046" s="10">
        <v>1045.0</v>
      </c>
      <c r="B1046" s="11" t="s">
        <v>3891</v>
      </c>
      <c r="C1046" s="10" t="s">
        <v>22</v>
      </c>
      <c r="D1046" s="10" t="s">
        <v>18</v>
      </c>
      <c r="E1046" s="13" t="str">
        <f>IFERROR(__xludf.DUMMYFUNCTION("ifna(filter('Yahoo ADP'!$A$2:$A2766,'Yahoo ADP'!$B$2:$B2766=$B1046,$C1046='Yahoo ADP'!$C$2:$C2766,$D1046='Yahoo ADP'!$D$2:$D2766))"),"")</f>
        <v/>
      </c>
      <c r="F1046" s="13" t="str">
        <f>IFERROR(__xludf.DUMMYFUNCTION("ifna(filter('Yahoo ADP'!$E$2:$E2766,'Yahoo ADP'!$B$2:$B2766=$B1046,$C1046='Yahoo ADP'!$C$2:$C2766,$D1046='Yahoo ADP'!$D$2:$D2766))"),"-")</f>
        <v>-</v>
      </c>
      <c r="G1046" s="27">
        <v>1030.0</v>
      </c>
      <c r="H1046" s="8">
        <f t="shared" si="1"/>
        <v>-15</v>
      </c>
    </row>
    <row r="1047">
      <c r="A1047" s="10">
        <v>1046.0</v>
      </c>
      <c r="B1047" s="11" t="s">
        <v>3892</v>
      </c>
      <c r="C1047" s="10" t="s">
        <v>22</v>
      </c>
      <c r="D1047" s="10" t="s">
        <v>137</v>
      </c>
      <c r="E1047" s="13" t="str">
        <f>IFERROR(__xludf.DUMMYFUNCTION("ifna(filter('Yahoo ADP'!$A$2:$A2766,'Yahoo ADP'!$B$2:$B2766=$B1047,$C1047='Yahoo ADP'!$C$2:$C2766,$D1047='Yahoo ADP'!$D$2:$D2766))"),"")</f>
        <v/>
      </c>
      <c r="F1047" s="13" t="str">
        <f>IFERROR(__xludf.DUMMYFUNCTION("ifna(filter('Yahoo ADP'!$E$2:$E2766,'Yahoo ADP'!$B$2:$B2766=$B1047,$C1047='Yahoo ADP'!$C$2:$C2766,$D1047='Yahoo ADP'!$D$2:$D2766))"),"-")</f>
        <v>-</v>
      </c>
      <c r="G1047" s="27">
        <v>1031.0</v>
      </c>
      <c r="H1047" s="8">
        <f t="shared" si="1"/>
        <v>-15</v>
      </c>
    </row>
    <row r="1048">
      <c r="A1048" s="10">
        <v>1047.0</v>
      </c>
      <c r="B1048" s="11" t="s">
        <v>3893</v>
      </c>
      <c r="C1048" s="10" t="s">
        <v>79</v>
      </c>
      <c r="D1048" s="10" t="s">
        <v>82</v>
      </c>
      <c r="E1048" s="13" t="str">
        <f>IFERROR(__xludf.DUMMYFUNCTION("ifna(filter('Yahoo ADP'!$A$2:$A2766,'Yahoo ADP'!$B$2:$B2766=$B1048,$C1048='Yahoo ADP'!$C$2:$C2766,$D1048='Yahoo ADP'!$D$2:$D2766))"),"")</f>
        <v/>
      </c>
      <c r="F1048" s="13" t="str">
        <f>IFERROR(__xludf.DUMMYFUNCTION("ifna(filter('Yahoo ADP'!$E$2:$E2766,'Yahoo ADP'!$B$2:$B2766=$B1048,$C1048='Yahoo ADP'!$C$2:$C2766,$D1048='Yahoo ADP'!$D$2:$D2766))"),"-")</f>
        <v>-</v>
      </c>
      <c r="G1048" s="27">
        <v>1032.0</v>
      </c>
      <c r="H1048" s="8">
        <f t="shared" si="1"/>
        <v>-15</v>
      </c>
    </row>
    <row r="1049">
      <c r="A1049" s="10">
        <v>1048.0</v>
      </c>
      <c r="B1049" s="11" t="s">
        <v>3894</v>
      </c>
      <c r="C1049" s="10" t="s">
        <v>22</v>
      </c>
      <c r="D1049" s="10" t="s">
        <v>67</v>
      </c>
      <c r="E1049" s="13" t="str">
        <f>IFERROR(__xludf.DUMMYFUNCTION("ifna(filter('Yahoo ADP'!$A$2:$A2766,'Yahoo ADP'!$B$2:$B2766=$B1049,$C1049='Yahoo ADP'!$C$2:$C2766,$D1049='Yahoo ADP'!$D$2:$D2766))"),"")</f>
        <v/>
      </c>
      <c r="F1049" s="13" t="str">
        <f>IFERROR(__xludf.DUMMYFUNCTION("ifna(filter('Yahoo ADP'!$E$2:$E2766,'Yahoo ADP'!$B$2:$B2766=$B1049,$C1049='Yahoo ADP'!$C$2:$C2766,$D1049='Yahoo ADP'!$D$2:$D2766))"),"-")</f>
        <v>-</v>
      </c>
      <c r="G1049" s="27">
        <v>1033.0</v>
      </c>
      <c r="H1049" s="8">
        <f t="shared" si="1"/>
        <v>-15</v>
      </c>
    </row>
    <row r="1050">
      <c r="A1050" s="10">
        <v>1049.0</v>
      </c>
      <c r="B1050" s="11" t="s">
        <v>3895</v>
      </c>
      <c r="C1050" s="10" t="s">
        <v>22</v>
      </c>
      <c r="D1050" s="10" t="s">
        <v>95</v>
      </c>
      <c r="E1050" s="13" t="str">
        <f>IFERROR(__xludf.DUMMYFUNCTION("ifna(filter('Yahoo ADP'!$A$2:$A2766,'Yahoo ADP'!$B$2:$B2766=$B1050,$C1050='Yahoo ADP'!$C$2:$C2766,$D1050='Yahoo ADP'!$D$2:$D2766))"),"")</f>
        <v/>
      </c>
      <c r="F1050" s="13" t="str">
        <f>IFERROR(__xludf.DUMMYFUNCTION("ifna(filter('Yahoo ADP'!$E$2:$E2766,'Yahoo ADP'!$B$2:$B2766=$B1050,$C1050='Yahoo ADP'!$C$2:$C2766,$D1050='Yahoo ADP'!$D$2:$D2766))"),"-")</f>
        <v>-</v>
      </c>
      <c r="G1050" s="27">
        <v>1034.0</v>
      </c>
      <c r="H1050" s="8">
        <f t="shared" si="1"/>
        <v>-15</v>
      </c>
    </row>
    <row r="1051">
      <c r="A1051" s="10">
        <v>1050.0</v>
      </c>
      <c r="B1051" s="11" t="s">
        <v>3896</v>
      </c>
      <c r="C1051" s="10" t="s">
        <v>79</v>
      </c>
      <c r="D1051" s="10" t="s">
        <v>105</v>
      </c>
      <c r="E1051" s="13" t="str">
        <f>IFERROR(__xludf.DUMMYFUNCTION("ifna(filter('Yahoo ADP'!$A$2:$A2766,'Yahoo ADP'!$B$2:$B2766=$B1051,$C1051='Yahoo ADP'!$C$2:$C2766,$D1051='Yahoo ADP'!$D$2:$D2766))"),"")</f>
        <v/>
      </c>
      <c r="F1051" s="13" t="str">
        <f>IFERROR(__xludf.DUMMYFUNCTION("ifna(filter('Yahoo ADP'!$E$2:$E2766,'Yahoo ADP'!$B$2:$B2766=$B1051,$C1051='Yahoo ADP'!$C$2:$C2766,$D1051='Yahoo ADP'!$D$2:$D2766))"),"-")</f>
        <v>-</v>
      </c>
      <c r="G1051" s="27">
        <v>1035.0</v>
      </c>
      <c r="H1051" s="8">
        <f t="shared" si="1"/>
        <v>-15</v>
      </c>
    </row>
    <row r="1052">
      <c r="A1052" s="10">
        <v>1051.0</v>
      </c>
      <c r="B1052" s="11" t="s">
        <v>3897</v>
      </c>
      <c r="C1052" s="10" t="s">
        <v>22</v>
      </c>
      <c r="D1052" s="10" t="s">
        <v>105</v>
      </c>
      <c r="E1052" s="13" t="str">
        <f>IFERROR(__xludf.DUMMYFUNCTION("ifna(filter('Yahoo ADP'!$A$2:$A2766,'Yahoo ADP'!$B$2:$B2766=$B1052,$C1052='Yahoo ADP'!$C$2:$C2766,$D1052='Yahoo ADP'!$D$2:$D2766))"),"")</f>
        <v/>
      </c>
      <c r="F1052" s="13" t="str">
        <f>IFERROR(__xludf.DUMMYFUNCTION("ifna(filter('Yahoo ADP'!$E$2:$E2766,'Yahoo ADP'!$B$2:$B2766=$B1052,$C1052='Yahoo ADP'!$C$2:$C2766,$D1052='Yahoo ADP'!$D$2:$D2766))"),"-")</f>
        <v>-</v>
      </c>
      <c r="G1052" s="27">
        <v>1036.0</v>
      </c>
      <c r="H1052" s="8">
        <f t="shared" si="1"/>
        <v>-15</v>
      </c>
    </row>
    <row r="1053">
      <c r="A1053" s="10">
        <v>1052.0</v>
      </c>
      <c r="B1053" s="11" t="s">
        <v>3898</v>
      </c>
      <c r="C1053" s="10" t="s">
        <v>79</v>
      </c>
      <c r="D1053" s="10" t="s">
        <v>73</v>
      </c>
      <c r="E1053" s="13" t="str">
        <f>IFERROR(__xludf.DUMMYFUNCTION("ifna(filter('Yahoo ADP'!$A$2:$A2766,'Yahoo ADP'!$B$2:$B2766=$B1053,$C1053='Yahoo ADP'!$C$2:$C2766,$D1053='Yahoo ADP'!$D$2:$D2766))"),"")</f>
        <v/>
      </c>
      <c r="F1053" s="13" t="str">
        <f>IFERROR(__xludf.DUMMYFUNCTION("ifna(filter('Yahoo ADP'!$E$2:$E2766,'Yahoo ADP'!$B$2:$B2766=$B1053,$C1053='Yahoo ADP'!$C$2:$C2766,$D1053='Yahoo ADP'!$D$2:$D2766))"),"-")</f>
        <v>-</v>
      </c>
      <c r="G1053" s="27">
        <v>1037.0</v>
      </c>
      <c r="H1053" s="8">
        <f t="shared" si="1"/>
        <v>-15</v>
      </c>
    </row>
    <row r="1054">
      <c r="A1054" s="10">
        <v>1053.0</v>
      </c>
      <c r="B1054" s="11" t="s">
        <v>3899</v>
      </c>
      <c r="C1054" s="10" t="s">
        <v>22</v>
      </c>
      <c r="D1054" s="10" t="s">
        <v>23</v>
      </c>
      <c r="E1054" s="13" t="str">
        <f>IFERROR(__xludf.DUMMYFUNCTION("ifna(filter('Yahoo ADP'!$A$2:$A2766,'Yahoo ADP'!$B$2:$B2766=$B1054,$C1054='Yahoo ADP'!$C$2:$C2766,$D1054='Yahoo ADP'!$D$2:$D2766))"),"")</f>
        <v/>
      </c>
      <c r="F1054" s="13" t="str">
        <f>IFERROR(__xludf.DUMMYFUNCTION("ifna(filter('Yahoo ADP'!$E$2:$E2766,'Yahoo ADP'!$B$2:$B2766=$B1054,$C1054='Yahoo ADP'!$C$2:$C2766,$D1054='Yahoo ADP'!$D$2:$D2766))"),"")</f>
        <v/>
      </c>
      <c r="G1054" s="27">
        <v>1038.0</v>
      </c>
      <c r="H1054" s="8">
        <f t="shared" si="1"/>
        <v>-15</v>
      </c>
    </row>
    <row r="1055">
      <c r="A1055" s="10">
        <v>1054.0</v>
      </c>
      <c r="B1055" s="11" t="s">
        <v>3900</v>
      </c>
      <c r="C1055" s="10" t="s">
        <v>79</v>
      </c>
      <c r="D1055" s="10" t="s">
        <v>27</v>
      </c>
      <c r="E1055" s="13" t="str">
        <f>IFERROR(__xludf.DUMMYFUNCTION("ifna(filter('Yahoo ADP'!$A$2:$A2766,'Yahoo ADP'!$B$2:$B2766=$B1055,$C1055='Yahoo ADP'!$C$2:$C2766,$D1055='Yahoo ADP'!$D$2:$D2766))"),"")</f>
        <v/>
      </c>
      <c r="F1055" s="13" t="str">
        <f>IFERROR(__xludf.DUMMYFUNCTION("ifna(filter('Yahoo ADP'!$E$2:$E2766,'Yahoo ADP'!$B$2:$B2766=$B1055,$C1055='Yahoo ADP'!$C$2:$C2766,$D1055='Yahoo ADP'!$D$2:$D2766))"),"-")</f>
        <v>-</v>
      </c>
      <c r="G1055" s="27">
        <v>1039.0</v>
      </c>
      <c r="H1055" s="8">
        <f t="shared" si="1"/>
        <v>-15</v>
      </c>
    </row>
    <row r="1056">
      <c r="A1056" s="10">
        <v>1055.0</v>
      </c>
      <c r="B1056" s="11" t="s">
        <v>3901</v>
      </c>
      <c r="C1056" s="10" t="s">
        <v>22</v>
      </c>
      <c r="D1056" s="10" t="s">
        <v>137</v>
      </c>
      <c r="E1056" s="13" t="str">
        <f>IFERROR(__xludf.DUMMYFUNCTION("ifna(filter('Yahoo ADP'!$A$2:$A2766,'Yahoo ADP'!$B$2:$B2766=$B1056,$C1056='Yahoo ADP'!$C$2:$C2766,$D1056='Yahoo ADP'!$D$2:$D2766))"),"")</f>
        <v/>
      </c>
      <c r="F1056" s="13" t="str">
        <f>IFERROR(__xludf.DUMMYFUNCTION("ifna(filter('Yahoo ADP'!$E$2:$E2766,'Yahoo ADP'!$B$2:$B2766=$B1056,$C1056='Yahoo ADP'!$C$2:$C2766,$D1056='Yahoo ADP'!$D$2:$D2766))"),"-")</f>
        <v>-</v>
      </c>
      <c r="G1056" s="27">
        <v>1040.0</v>
      </c>
      <c r="H1056" s="8">
        <f t="shared" si="1"/>
        <v>-15</v>
      </c>
    </row>
    <row r="1057">
      <c r="A1057" s="10">
        <v>1056.0</v>
      </c>
      <c r="B1057" s="11" t="s">
        <v>3902</v>
      </c>
      <c r="C1057" s="10" t="s">
        <v>79</v>
      </c>
      <c r="D1057" s="10" t="s">
        <v>12</v>
      </c>
      <c r="E1057" s="13" t="str">
        <f>IFERROR(__xludf.DUMMYFUNCTION("ifna(filter('Yahoo ADP'!$A$2:$A2766,'Yahoo ADP'!$B$2:$B2766=$B1057,$C1057='Yahoo ADP'!$C$2:$C2766,$D1057='Yahoo ADP'!$D$2:$D2766))"),"")</f>
        <v/>
      </c>
      <c r="F1057" s="13" t="str">
        <f>IFERROR(__xludf.DUMMYFUNCTION("ifna(filter('Yahoo ADP'!$E$2:$E2766,'Yahoo ADP'!$B$2:$B2766=$B1057,$C1057='Yahoo ADP'!$C$2:$C2766,$D1057='Yahoo ADP'!$D$2:$D2766))"),"-")</f>
        <v>-</v>
      </c>
      <c r="G1057" s="27">
        <v>1041.0</v>
      </c>
      <c r="H1057" s="8">
        <f t="shared" si="1"/>
        <v>-15</v>
      </c>
    </row>
    <row r="1058">
      <c r="A1058" s="10">
        <v>1057.0</v>
      </c>
      <c r="B1058" s="11" t="s">
        <v>3903</v>
      </c>
      <c r="C1058" s="10" t="s">
        <v>22</v>
      </c>
      <c r="D1058" s="10" t="s">
        <v>137</v>
      </c>
      <c r="E1058" s="13" t="str">
        <f>IFERROR(__xludf.DUMMYFUNCTION("ifna(filter('Yahoo ADP'!$A$2:$A2766,'Yahoo ADP'!$B$2:$B2766=$B1058,$C1058='Yahoo ADP'!$C$2:$C2766,$D1058='Yahoo ADP'!$D$2:$D2766))"),"")</f>
        <v/>
      </c>
      <c r="F1058" s="13" t="str">
        <f>IFERROR(__xludf.DUMMYFUNCTION("ifna(filter('Yahoo ADP'!$E$2:$E2766,'Yahoo ADP'!$B$2:$B2766=$B1058,$C1058='Yahoo ADP'!$C$2:$C2766,$D1058='Yahoo ADP'!$D$2:$D2766))"),"-")</f>
        <v>-</v>
      </c>
      <c r="G1058" s="27">
        <v>1042.0</v>
      </c>
      <c r="H1058" s="8">
        <f t="shared" si="1"/>
        <v>-15</v>
      </c>
    </row>
    <row r="1059">
      <c r="A1059" s="10">
        <v>1058.0</v>
      </c>
      <c r="B1059" s="11" t="s">
        <v>3904</v>
      </c>
      <c r="C1059" s="10" t="s">
        <v>79</v>
      </c>
      <c r="D1059" s="10" t="s">
        <v>122</v>
      </c>
      <c r="E1059" s="13" t="str">
        <f>IFERROR(__xludf.DUMMYFUNCTION("ifna(filter('Yahoo ADP'!$A$2:$A2766,'Yahoo ADP'!$B$2:$B2766=$B1059,$C1059='Yahoo ADP'!$C$2:$C2766,$D1059='Yahoo ADP'!$D$2:$D2766))"),"")</f>
        <v/>
      </c>
      <c r="F1059" s="13" t="str">
        <f>IFERROR(__xludf.DUMMYFUNCTION("ifna(filter('Yahoo ADP'!$E$2:$E2766,'Yahoo ADP'!$B$2:$B2766=$B1059,$C1059='Yahoo ADP'!$C$2:$C2766,$D1059='Yahoo ADP'!$D$2:$D2766))"),"-")</f>
        <v>-</v>
      </c>
      <c r="G1059" s="27">
        <v>1043.0</v>
      </c>
      <c r="H1059" s="8">
        <f t="shared" si="1"/>
        <v>-15</v>
      </c>
    </row>
    <row r="1060">
      <c r="A1060" s="10">
        <v>1059.0</v>
      </c>
      <c r="B1060" s="11" t="s">
        <v>3905</v>
      </c>
      <c r="C1060" s="10" t="s">
        <v>22</v>
      </c>
      <c r="D1060" s="10" t="s">
        <v>49</v>
      </c>
      <c r="E1060" s="13" t="str">
        <f>IFERROR(__xludf.DUMMYFUNCTION("ifna(filter('Yahoo ADP'!$A$2:$A2766,'Yahoo ADP'!$B$2:$B2766=$B1060,$C1060='Yahoo ADP'!$C$2:$C2766,$D1060='Yahoo ADP'!$D$2:$D2766))"),"")</f>
        <v/>
      </c>
      <c r="F1060" s="13" t="str">
        <f>IFERROR(__xludf.DUMMYFUNCTION("ifna(filter('Yahoo ADP'!$E$2:$E2766,'Yahoo ADP'!$B$2:$B2766=$B1060,$C1060='Yahoo ADP'!$C$2:$C2766,$D1060='Yahoo ADP'!$D$2:$D2766))"),"-")</f>
        <v>-</v>
      </c>
      <c r="G1060" s="27">
        <v>1044.0</v>
      </c>
      <c r="H1060" s="8">
        <f t="shared" si="1"/>
        <v>-15</v>
      </c>
    </row>
    <row r="1061">
      <c r="A1061" s="10">
        <v>1060.0</v>
      </c>
      <c r="B1061" s="11" t="s">
        <v>3906</v>
      </c>
      <c r="C1061" s="10" t="s">
        <v>79</v>
      </c>
      <c r="D1061" s="10" t="s">
        <v>113</v>
      </c>
      <c r="E1061" s="13" t="str">
        <f>IFERROR(__xludf.DUMMYFUNCTION("ifna(filter('Yahoo ADP'!$A$2:$A2766,'Yahoo ADP'!$B$2:$B2766=$B1061,$C1061='Yahoo ADP'!$C$2:$C2766,$D1061='Yahoo ADP'!$D$2:$D2766))"),"")</f>
        <v/>
      </c>
      <c r="F1061" s="13" t="str">
        <f>IFERROR(__xludf.DUMMYFUNCTION("ifna(filter('Yahoo ADP'!$E$2:$E2766,'Yahoo ADP'!$B$2:$B2766=$B1061,$C1061='Yahoo ADP'!$C$2:$C2766,$D1061='Yahoo ADP'!$D$2:$D2766))"),"-")</f>
        <v>-</v>
      </c>
      <c r="G1061" s="27">
        <v>1045.0</v>
      </c>
      <c r="H1061" s="8">
        <f t="shared" si="1"/>
        <v>-15</v>
      </c>
    </row>
    <row r="1062">
      <c r="A1062" s="10">
        <v>1061.0</v>
      </c>
      <c r="B1062" s="11" t="s">
        <v>3907</v>
      </c>
      <c r="C1062" s="10" t="s">
        <v>79</v>
      </c>
      <c r="D1062" s="10" t="s">
        <v>129</v>
      </c>
      <c r="E1062" s="13" t="str">
        <f>IFERROR(__xludf.DUMMYFUNCTION("ifna(filter('Yahoo ADP'!$A$2:$A2766,'Yahoo ADP'!$B$2:$B2766=$B1062,$C1062='Yahoo ADP'!$C$2:$C2766,$D1062='Yahoo ADP'!$D$2:$D2766))"),"")</f>
        <v/>
      </c>
      <c r="F1062" s="13" t="str">
        <f>IFERROR(__xludf.DUMMYFUNCTION("ifna(filter('Yahoo ADP'!$E$2:$E2766,'Yahoo ADP'!$B$2:$B2766=$B1062,$C1062='Yahoo ADP'!$C$2:$C2766,$D1062='Yahoo ADP'!$D$2:$D2766))"),"-")</f>
        <v>-</v>
      </c>
      <c r="G1062" s="27">
        <v>1046.0</v>
      </c>
      <c r="H1062" s="8">
        <f t="shared" si="1"/>
        <v>-15</v>
      </c>
    </row>
    <row r="1063">
      <c r="A1063" s="10">
        <v>1062.0</v>
      </c>
      <c r="B1063" s="11" t="s">
        <v>3908</v>
      </c>
      <c r="C1063" s="10" t="s">
        <v>22</v>
      </c>
      <c r="D1063" s="10" t="s">
        <v>25</v>
      </c>
      <c r="E1063" s="13" t="str">
        <f>IFERROR(__xludf.DUMMYFUNCTION("ifna(filter('Yahoo ADP'!$A$2:$A2766,'Yahoo ADP'!$B$2:$B2766=$B1063,$C1063='Yahoo ADP'!$C$2:$C2766,$D1063='Yahoo ADP'!$D$2:$D2766))"),"")</f>
        <v/>
      </c>
      <c r="F1063" s="13" t="str">
        <f>IFERROR(__xludf.DUMMYFUNCTION("ifna(filter('Yahoo ADP'!$E$2:$E2766,'Yahoo ADP'!$B$2:$B2766=$B1063,$C1063='Yahoo ADP'!$C$2:$C2766,$D1063='Yahoo ADP'!$D$2:$D2766))"),"-")</f>
        <v>-</v>
      </c>
      <c r="G1063" s="27">
        <v>1047.0</v>
      </c>
      <c r="H1063" s="8">
        <f t="shared" si="1"/>
        <v>-15</v>
      </c>
    </row>
    <row r="1064">
      <c r="A1064" s="10">
        <v>1063.0</v>
      </c>
      <c r="B1064" s="11" t="s">
        <v>3909</v>
      </c>
      <c r="C1064" s="10" t="s">
        <v>79</v>
      </c>
      <c r="D1064" s="10" t="s">
        <v>113</v>
      </c>
      <c r="E1064" s="13" t="str">
        <f>IFERROR(__xludf.DUMMYFUNCTION("ifna(filter('Yahoo ADP'!$A$2:$A2766,'Yahoo ADP'!$B$2:$B2766=$B1064,$C1064='Yahoo ADP'!$C$2:$C2766,$D1064='Yahoo ADP'!$D$2:$D2766))"),"")</f>
        <v/>
      </c>
      <c r="F1064" s="13" t="str">
        <f>IFERROR(__xludf.DUMMYFUNCTION("ifna(filter('Yahoo ADP'!$E$2:$E2766,'Yahoo ADP'!$B$2:$B2766=$B1064,$C1064='Yahoo ADP'!$C$2:$C2766,$D1064='Yahoo ADP'!$D$2:$D2766))"),"-")</f>
        <v>-</v>
      </c>
      <c r="G1064" s="27">
        <v>1048.0</v>
      </c>
      <c r="H1064" s="8">
        <f t="shared" si="1"/>
        <v>-15</v>
      </c>
    </row>
    <row r="1065">
      <c r="A1065" s="10">
        <v>1064.0</v>
      </c>
      <c r="B1065" s="11" t="s">
        <v>3910</v>
      </c>
      <c r="C1065" s="10" t="s">
        <v>79</v>
      </c>
      <c r="D1065" s="10" t="s">
        <v>49</v>
      </c>
      <c r="E1065" s="13" t="str">
        <f>IFERROR(__xludf.DUMMYFUNCTION("ifna(filter('Yahoo ADP'!$A$2:$A2766,'Yahoo ADP'!$B$2:$B2766=$B1065,$C1065='Yahoo ADP'!$C$2:$C2766,$D1065='Yahoo ADP'!$D$2:$D2766))"),"")</f>
        <v/>
      </c>
      <c r="F1065" s="13" t="str">
        <f>IFERROR(__xludf.DUMMYFUNCTION("ifna(filter('Yahoo ADP'!$E$2:$E2766,'Yahoo ADP'!$B$2:$B2766=$B1065,$C1065='Yahoo ADP'!$C$2:$C2766,$D1065='Yahoo ADP'!$D$2:$D2766))"),"-")</f>
        <v>-</v>
      </c>
      <c r="G1065" s="27">
        <v>1049.0</v>
      </c>
      <c r="H1065" s="8">
        <f t="shared" si="1"/>
        <v>-15</v>
      </c>
    </row>
    <row r="1066">
      <c r="A1066" s="10">
        <v>1065.0</v>
      </c>
      <c r="B1066" s="11" t="s">
        <v>3911</v>
      </c>
      <c r="C1066" s="10" t="s">
        <v>22</v>
      </c>
      <c r="D1066" s="10" t="s">
        <v>120</v>
      </c>
      <c r="E1066" s="13" t="str">
        <f>IFERROR(__xludf.DUMMYFUNCTION("ifna(filter('Yahoo ADP'!$A$2:$A2766,'Yahoo ADP'!$B$2:$B2766=$B1066,$C1066='Yahoo ADP'!$C$2:$C2766,$D1066='Yahoo ADP'!$D$2:$D2766))"),"")</f>
        <v/>
      </c>
      <c r="F1066" s="13" t="str">
        <f>IFERROR(__xludf.DUMMYFUNCTION("ifna(filter('Yahoo ADP'!$E$2:$E2766,'Yahoo ADP'!$B$2:$B2766=$B1066,$C1066='Yahoo ADP'!$C$2:$C2766,$D1066='Yahoo ADP'!$D$2:$D2766))"),"-")</f>
        <v>-</v>
      </c>
      <c r="G1066" s="27">
        <v>1050.0</v>
      </c>
      <c r="H1066" s="8">
        <f t="shared" si="1"/>
        <v>-15</v>
      </c>
    </row>
    <row r="1067">
      <c r="A1067" s="10">
        <v>1066.0</v>
      </c>
      <c r="B1067" s="11" t="s">
        <v>3912</v>
      </c>
      <c r="C1067" s="10" t="s">
        <v>22</v>
      </c>
      <c r="D1067" s="10" t="s">
        <v>49</v>
      </c>
      <c r="E1067" s="13" t="str">
        <f>IFERROR(__xludf.DUMMYFUNCTION("ifna(filter('Yahoo ADP'!$A$2:$A2766,'Yahoo ADP'!$B$2:$B2766=$B1067,$C1067='Yahoo ADP'!$C$2:$C2766,$D1067='Yahoo ADP'!$D$2:$D2766))"),"")</f>
        <v/>
      </c>
      <c r="F1067" s="13" t="str">
        <f>IFERROR(__xludf.DUMMYFUNCTION("ifna(filter('Yahoo ADP'!$E$2:$E2766,'Yahoo ADP'!$B$2:$B2766=$B1067,$C1067='Yahoo ADP'!$C$2:$C2766,$D1067='Yahoo ADP'!$D$2:$D2766))"),"-")</f>
        <v>-</v>
      </c>
      <c r="G1067" s="27">
        <v>1051.0</v>
      </c>
      <c r="H1067" s="8">
        <f t="shared" si="1"/>
        <v>-15</v>
      </c>
    </row>
    <row r="1068">
      <c r="A1068" s="10">
        <v>1067.0</v>
      </c>
      <c r="B1068" s="11" t="s">
        <v>3913</v>
      </c>
      <c r="C1068" s="10" t="s">
        <v>79</v>
      </c>
      <c r="D1068" s="10" t="s">
        <v>46</v>
      </c>
      <c r="E1068" s="13" t="str">
        <f>IFERROR(__xludf.DUMMYFUNCTION("ifna(filter('Yahoo ADP'!$A$2:$A2766,'Yahoo ADP'!$B$2:$B2766=$B1068,$C1068='Yahoo ADP'!$C$2:$C2766,$D1068='Yahoo ADP'!$D$2:$D2766))"),"")</f>
        <v/>
      </c>
      <c r="F1068" s="13" t="str">
        <f>IFERROR(__xludf.DUMMYFUNCTION("ifna(filter('Yahoo ADP'!$E$2:$E2766,'Yahoo ADP'!$B$2:$B2766=$B1068,$C1068='Yahoo ADP'!$C$2:$C2766,$D1068='Yahoo ADP'!$D$2:$D2766))"),"-")</f>
        <v>-</v>
      </c>
      <c r="G1068" s="27">
        <v>1052.0</v>
      </c>
      <c r="H1068" s="8">
        <f t="shared" si="1"/>
        <v>-15</v>
      </c>
    </row>
    <row r="1069">
      <c r="A1069" s="10">
        <v>1068.0</v>
      </c>
      <c r="B1069" s="11" t="s">
        <v>3914</v>
      </c>
      <c r="C1069" s="10" t="s">
        <v>79</v>
      </c>
      <c r="D1069" s="10" t="s">
        <v>122</v>
      </c>
      <c r="E1069" s="13" t="str">
        <f>IFERROR(__xludf.DUMMYFUNCTION("ifna(filter('Yahoo ADP'!$A$2:$A2766,'Yahoo ADP'!$B$2:$B2766=$B1069,$C1069='Yahoo ADP'!$C$2:$C2766,$D1069='Yahoo ADP'!$D$2:$D2766))"),"")</f>
        <v/>
      </c>
      <c r="F1069" s="13" t="str">
        <f>IFERROR(__xludf.DUMMYFUNCTION("ifna(filter('Yahoo ADP'!$E$2:$E2766,'Yahoo ADP'!$B$2:$B2766=$B1069,$C1069='Yahoo ADP'!$C$2:$C2766,$D1069='Yahoo ADP'!$D$2:$D2766))"),"-")</f>
        <v>-</v>
      </c>
      <c r="G1069" s="27">
        <v>1053.0</v>
      </c>
      <c r="H1069" s="8">
        <f t="shared" si="1"/>
        <v>-15</v>
      </c>
    </row>
    <row r="1070">
      <c r="A1070" s="10">
        <v>1069.0</v>
      </c>
      <c r="B1070" s="11" t="s">
        <v>3915</v>
      </c>
      <c r="C1070" s="10" t="s">
        <v>22</v>
      </c>
      <c r="D1070" s="10" t="s">
        <v>67</v>
      </c>
      <c r="E1070" s="13" t="str">
        <f>IFERROR(__xludf.DUMMYFUNCTION("ifna(filter('Yahoo ADP'!$A$2:$A2766,'Yahoo ADP'!$B$2:$B2766=$B1070,$C1070='Yahoo ADP'!$C$2:$C2766,$D1070='Yahoo ADP'!$D$2:$D2766))"),"")</f>
        <v/>
      </c>
      <c r="F1070" s="13" t="str">
        <f>IFERROR(__xludf.DUMMYFUNCTION("ifna(filter('Yahoo ADP'!$E$2:$E2766,'Yahoo ADP'!$B$2:$B2766=$B1070,$C1070='Yahoo ADP'!$C$2:$C2766,$D1070='Yahoo ADP'!$D$2:$D2766))"),"-")</f>
        <v>-</v>
      </c>
      <c r="G1070" s="27">
        <v>1054.0</v>
      </c>
      <c r="H1070" s="8">
        <f t="shared" si="1"/>
        <v>-15</v>
      </c>
    </row>
    <row r="1071">
      <c r="A1071" s="10">
        <v>1070.0</v>
      </c>
      <c r="B1071" s="11" t="s">
        <v>3916</v>
      </c>
      <c r="C1071" s="10" t="s">
        <v>22</v>
      </c>
      <c r="D1071" s="10" t="s">
        <v>99</v>
      </c>
      <c r="E1071" s="13" t="str">
        <f>IFERROR(__xludf.DUMMYFUNCTION("ifna(filter('Yahoo ADP'!$A$2:$A2766,'Yahoo ADP'!$B$2:$B2766=$B1071,$C1071='Yahoo ADP'!$C$2:$C2766,$D1071='Yahoo ADP'!$D$2:$D2766))"),"")</f>
        <v/>
      </c>
      <c r="F1071" s="13" t="str">
        <f>IFERROR(__xludf.DUMMYFUNCTION("ifna(filter('Yahoo ADP'!$E$2:$E2766,'Yahoo ADP'!$B$2:$B2766=$B1071,$C1071='Yahoo ADP'!$C$2:$C2766,$D1071='Yahoo ADP'!$D$2:$D2766))"),"-")</f>
        <v>-</v>
      </c>
      <c r="G1071" s="27">
        <v>1055.0</v>
      </c>
      <c r="H1071" s="8">
        <f t="shared" si="1"/>
        <v>-15</v>
      </c>
    </row>
    <row r="1072">
      <c r="A1072" s="10">
        <v>1071.0</v>
      </c>
      <c r="B1072" s="11" t="s">
        <v>3917</v>
      </c>
      <c r="C1072" s="10" t="s">
        <v>22</v>
      </c>
      <c r="D1072" s="10" t="s">
        <v>71</v>
      </c>
      <c r="E1072" s="13" t="str">
        <f>IFERROR(__xludf.DUMMYFUNCTION("ifna(filter('Yahoo ADP'!$A$2:$A2766,'Yahoo ADP'!$B$2:$B2766=$B1072,$C1072='Yahoo ADP'!$C$2:$C2766,$D1072='Yahoo ADP'!$D$2:$D2766))"),"")</f>
        <v/>
      </c>
      <c r="F1072" s="13" t="str">
        <f>IFERROR(__xludf.DUMMYFUNCTION("ifna(filter('Yahoo ADP'!$E$2:$E2766,'Yahoo ADP'!$B$2:$B2766=$B1072,$C1072='Yahoo ADP'!$C$2:$C2766,$D1072='Yahoo ADP'!$D$2:$D2766))"),"-")</f>
        <v>-</v>
      </c>
      <c r="G1072" s="27">
        <v>1056.0</v>
      </c>
      <c r="H1072" s="8">
        <f t="shared" si="1"/>
        <v>-15</v>
      </c>
    </row>
    <row r="1073">
      <c r="A1073" s="10">
        <v>1072.0</v>
      </c>
      <c r="B1073" s="11" t="s">
        <v>3918</v>
      </c>
      <c r="C1073" s="10" t="s">
        <v>22</v>
      </c>
      <c r="D1073" s="10" t="s">
        <v>23</v>
      </c>
      <c r="E1073" s="13" t="str">
        <f>IFERROR(__xludf.DUMMYFUNCTION("ifna(filter('Yahoo ADP'!$A$2:$A2766,'Yahoo ADP'!$B$2:$B2766=$B1073,$C1073='Yahoo ADP'!$C$2:$C2766,$D1073='Yahoo ADP'!$D$2:$D2766))"),"")</f>
        <v/>
      </c>
      <c r="F1073" s="13" t="str">
        <f>IFERROR(__xludf.DUMMYFUNCTION("ifna(filter('Yahoo ADP'!$E$2:$E2766,'Yahoo ADP'!$B$2:$B2766=$B1073,$C1073='Yahoo ADP'!$C$2:$C2766,$D1073='Yahoo ADP'!$D$2:$D2766))"),"-")</f>
        <v>-</v>
      </c>
      <c r="G1073" s="27">
        <v>1057.0</v>
      </c>
      <c r="H1073" s="8">
        <f t="shared" si="1"/>
        <v>-15</v>
      </c>
    </row>
    <row r="1074">
      <c r="A1074" s="10">
        <v>1073.0</v>
      </c>
      <c r="B1074" s="11" t="s">
        <v>3919</v>
      </c>
      <c r="C1074" s="10" t="s">
        <v>79</v>
      </c>
      <c r="D1074" s="10" t="s">
        <v>140</v>
      </c>
      <c r="E1074" s="13" t="str">
        <f>IFERROR(__xludf.DUMMYFUNCTION("ifna(filter('Yahoo ADP'!$A$2:$A2766,'Yahoo ADP'!$B$2:$B2766=$B1074,$C1074='Yahoo ADP'!$C$2:$C2766,$D1074='Yahoo ADP'!$D$2:$D2766))"),"")</f>
        <v/>
      </c>
      <c r="F1074" s="13" t="str">
        <f>IFERROR(__xludf.DUMMYFUNCTION("ifna(filter('Yahoo ADP'!$E$2:$E2766,'Yahoo ADP'!$B$2:$B2766=$B1074,$C1074='Yahoo ADP'!$C$2:$C2766,$D1074='Yahoo ADP'!$D$2:$D2766))"),"-")</f>
        <v>-</v>
      </c>
      <c r="G1074" s="27">
        <v>1058.0</v>
      </c>
      <c r="H1074" s="8">
        <f t="shared" si="1"/>
        <v>-15</v>
      </c>
    </row>
    <row r="1075">
      <c r="A1075" s="10">
        <v>1074.0</v>
      </c>
      <c r="B1075" s="11" t="s">
        <v>3920</v>
      </c>
      <c r="C1075" s="10" t="s">
        <v>22</v>
      </c>
      <c r="D1075" s="10" t="s">
        <v>95</v>
      </c>
      <c r="E1075" s="13" t="str">
        <f>IFERROR(__xludf.DUMMYFUNCTION("ifna(filter('Yahoo ADP'!$A$2:$A2766,'Yahoo ADP'!$B$2:$B2766=$B1075,$C1075='Yahoo ADP'!$C$2:$C2766,$D1075='Yahoo ADP'!$D$2:$D2766))"),"")</f>
        <v/>
      </c>
      <c r="F1075" s="13" t="str">
        <f>IFERROR(__xludf.DUMMYFUNCTION("ifna(filter('Yahoo ADP'!$E$2:$E2766,'Yahoo ADP'!$B$2:$B2766=$B1075,$C1075='Yahoo ADP'!$C$2:$C2766,$D1075='Yahoo ADP'!$D$2:$D2766))"),"-")</f>
        <v>-</v>
      </c>
      <c r="G1075" s="27">
        <v>1059.0</v>
      </c>
      <c r="H1075" s="8">
        <f t="shared" si="1"/>
        <v>-15</v>
      </c>
    </row>
    <row r="1076">
      <c r="A1076" s="10">
        <v>1075.0</v>
      </c>
      <c r="B1076" s="11" t="s">
        <v>3921</v>
      </c>
      <c r="C1076" s="10" t="s">
        <v>22</v>
      </c>
      <c r="D1076" s="10" t="s">
        <v>12</v>
      </c>
      <c r="E1076" s="13" t="str">
        <f>IFERROR(__xludf.DUMMYFUNCTION("ifna(filter('Yahoo ADP'!$A$2:$A2766,'Yahoo ADP'!$B$2:$B2766=$B1076,$C1076='Yahoo ADP'!$C$2:$C2766,$D1076='Yahoo ADP'!$D$2:$D2766))"),"")</f>
        <v/>
      </c>
      <c r="F1076" s="13" t="str">
        <f>IFERROR(__xludf.DUMMYFUNCTION("ifna(filter('Yahoo ADP'!$E$2:$E2766,'Yahoo ADP'!$B$2:$B2766=$B1076,$C1076='Yahoo ADP'!$C$2:$C2766,$D1076='Yahoo ADP'!$D$2:$D2766))"),"-")</f>
        <v>-</v>
      </c>
      <c r="G1076" s="27">
        <v>1060.0</v>
      </c>
      <c r="H1076" s="8">
        <f t="shared" si="1"/>
        <v>-15</v>
      </c>
    </row>
    <row r="1077">
      <c r="A1077" s="10">
        <v>1076.0</v>
      </c>
      <c r="B1077" s="11" t="s">
        <v>3922</v>
      </c>
      <c r="C1077" s="10" t="s">
        <v>79</v>
      </c>
      <c r="D1077" s="10" t="s">
        <v>9</v>
      </c>
      <c r="E1077" s="13" t="str">
        <f>IFERROR(__xludf.DUMMYFUNCTION("ifna(filter('Yahoo ADP'!$A$2:$A2766,'Yahoo ADP'!$B$2:$B2766=$B1077,$C1077='Yahoo ADP'!$C$2:$C2766,$D1077='Yahoo ADP'!$D$2:$D2766))"),"")</f>
        <v/>
      </c>
      <c r="F1077" s="13" t="str">
        <f>IFERROR(__xludf.DUMMYFUNCTION("ifna(filter('Yahoo ADP'!$E$2:$E2766,'Yahoo ADP'!$B$2:$B2766=$B1077,$C1077='Yahoo ADP'!$C$2:$C2766,$D1077='Yahoo ADP'!$D$2:$D2766))"),"-")</f>
        <v>-</v>
      </c>
      <c r="G1077" s="27">
        <v>1061.0</v>
      </c>
      <c r="H1077" s="8">
        <f t="shared" si="1"/>
        <v>-15</v>
      </c>
    </row>
    <row r="1078">
      <c r="A1078" s="10">
        <v>1077.0</v>
      </c>
      <c r="B1078" s="11" t="s">
        <v>3923</v>
      </c>
      <c r="C1078" s="10" t="s">
        <v>220</v>
      </c>
      <c r="D1078" s="10" t="s">
        <v>42</v>
      </c>
      <c r="E1078" s="13" t="str">
        <f>IFERROR(__xludf.DUMMYFUNCTION("ifna(filter('Yahoo ADP'!$A$2:$A2766,'Yahoo ADP'!$B$2:$B2766=$B1078,$C1078='Yahoo ADP'!$C$2:$C2766,$D1078='Yahoo ADP'!$D$2:$D2766))"),"")</f>
        <v/>
      </c>
      <c r="F1078" s="13" t="str">
        <f>IFERROR(__xludf.DUMMYFUNCTION("ifna(filter('Yahoo ADP'!$E$2:$E2766,'Yahoo ADP'!$B$2:$B2766=$B1078,$C1078='Yahoo ADP'!$C$2:$C2766,$D1078='Yahoo ADP'!$D$2:$D2766))"),"-")</f>
        <v>-</v>
      </c>
      <c r="G1078" s="27">
        <v>1062.0</v>
      </c>
      <c r="H1078" s="8">
        <f t="shared" si="1"/>
        <v>-15</v>
      </c>
    </row>
    <row r="1079">
      <c r="A1079" s="10">
        <v>1078.0</v>
      </c>
      <c r="B1079" s="11" t="s">
        <v>3924</v>
      </c>
      <c r="C1079" s="10" t="s">
        <v>79</v>
      </c>
      <c r="D1079" s="10" t="s">
        <v>67</v>
      </c>
      <c r="E1079" s="13" t="str">
        <f>IFERROR(__xludf.DUMMYFUNCTION("ifna(filter('Yahoo ADP'!$A$2:$A2766,'Yahoo ADP'!$B$2:$B2766=$B1079,$C1079='Yahoo ADP'!$C$2:$C2766,$D1079='Yahoo ADP'!$D$2:$D2766))"),"")</f>
        <v/>
      </c>
      <c r="F1079" s="13" t="str">
        <f>IFERROR(__xludf.DUMMYFUNCTION("ifna(filter('Yahoo ADP'!$E$2:$E2766,'Yahoo ADP'!$B$2:$B2766=$B1079,$C1079='Yahoo ADP'!$C$2:$C2766,$D1079='Yahoo ADP'!$D$2:$D2766))"),"-")</f>
        <v>-</v>
      </c>
      <c r="G1079" s="27">
        <v>1064.0</v>
      </c>
      <c r="H1079" s="8">
        <f t="shared" si="1"/>
        <v>-14</v>
      </c>
    </row>
    <row r="1080">
      <c r="A1080" s="10">
        <v>1079.0</v>
      </c>
      <c r="B1080" s="11" t="s">
        <v>3925</v>
      </c>
      <c r="C1080" s="10" t="s">
        <v>22</v>
      </c>
      <c r="D1080" s="10" t="s">
        <v>206</v>
      </c>
      <c r="E1080" s="13" t="str">
        <f>IFERROR(__xludf.DUMMYFUNCTION("ifna(filter('Yahoo ADP'!$A$2:$A2766,'Yahoo ADP'!$B$2:$B2766=$B1080,$C1080='Yahoo ADP'!$C$2:$C2766,$D1080='Yahoo ADP'!$D$2:$D2766))"),"")</f>
        <v/>
      </c>
      <c r="F1080" s="13" t="str">
        <f>IFERROR(__xludf.DUMMYFUNCTION("ifna(filter('Yahoo ADP'!$E$2:$E2766,'Yahoo ADP'!$B$2:$B2766=$B1080,$C1080='Yahoo ADP'!$C$2:$C2766,$D1080='Yahoo ADP'!$D$2:$D2766))"),"-")</f>
        <v>-</v>
      </c>
      <c r="G1080" s="27">
        <v>1065.0</v>
      </c>
      <c r="H1080" s="8">
        <f t="shared" si="1"/>
        <v>-14</v>
      </c>
    </row>
    <row r="1081">
      <c r="A1081" s="10">
        <v>1080.0</v>
      </c>
      <c r="B1081" s="11" t="s">
        <v>3926</v>
      </c>
      <c r="C1081" s="10" t="s">
        <v>22</v>
      </c>
      <c r="D1081" s="10" t="s">
        <v>113</v>
      </c>
      <c r="E1081" s="13" t="str">
        <f>IFERROR(__xludf.DUMMYFUNCTION("ifna(filter('Yahoo ADP'!$A$2:$A2766,'Yahoo ADP'!$B$2:$B2766=$B1081,$C1081='Yahoo ADP'!$C$2:$C2766,$D1081='Yahoo ADP'!$D$2:$D2766))"),"")</f>
        <v/>
      </c>
      <c r="F1081" s="13" t="str">
        <f>IFERROR(__xludf.DUMMYFUNCTION("ifna(filter('Yahoo ADP'!$E$2:$E2766,'Yahoo ADP'!$B$2:$B2766=$B1081,$C1081='Yahoo ADP'!$C$2:$C2766,$D1081='Yahoo ADP'!$D$2:$D2766))"),"-")</f>
        <v>-</v>
      </c>
      <c r="G1081" s="27">
        <v>1066.0</v>
      </c>
      <c r="H1081" s="8">
        <f t="shared" si="1"/>
        <v>-14</v>
      </c>
    </row>
    <row r="1082">
      <c r="A1082" s="10">
        <v>1081.0</v>
      </c>
      <c r="B1082" s="11" t="s">
        <v>3927</v>
      </c>
      <c r="C1082" s="10" t="s">
        <v>22</v>
      </c>
      <c r="D1082" s="10" t="s">
        <v>120</v>
      </c>
      <c r="E1082" s="13" t="str">
        <f>IFERROR(__xludf.DUMMYFUNCTION("ifna(filter('Yahoo ADP'!$A$2:$A2766,'Yahoo ADP'!$B$2:$B2766=$B1082,$C1082='Yahoo ADP'!$C$2:$C2766,$D1082='Yahoo ADP'!$D$2:$D2766))"),"")</f>
        <v/>
      </c>
      <c r="F1082" s="13" t="str">
        <f>IFERROR(__xludf.DUMMYFUNCTION("ifna(filter('Yahoo ADP'!$E$2:$E2766,'Yahoo ADP'!$B$2:$B2766=$B1082,$C1082='Yahoo ADP'!$C$2:$C2766,$D1082='Yahoo ADP'!$D$2:$D2766))"),"-")</f>
        <v>-</v>
      </c>
      <c r="G1082" s="27">
        <v>1067.0</v>
      </c>
      <c r="H1082" s="8">
        <f t="shared" si="1"/>
        <v>-14</v>
      </c>
    </row>
    <row r="1083">
      <c r="A1083" s="10">
        <v>1082.0</v>
      </c>
      <c r="B1083" s="11" t="s">
        <v>3928</v>
      </c>
      <c r="C1083" s="10" t="s">
        <v>79</v>
      </c>
      <c r="D1083" s="10" t="s">
        <v>18</v>
      </c>
      <c r="E1083" s="13" t="str">
        <f>IFERROR(__xludf.DUMMYFUNCTION("ifna(filter('Yahoo ADP'!$A$2:$A2766,'Yahoo ADP'!$B$2:$B2766=$B1083,$C1083='Yahoo ADP'!$C$2:$C2766,$D1083='Yahoo ADP'!$D$2:$D2766))"),"")</f>
        <v/>
      </c>
      <c r="F1083" s="13" t="str">
        <f>IFERROR(__xludf.DUMMYFUNCTION("ifna(filter('Yahoo ADP'!$E$2:$E2766,'Yahoo ADP'!$B$2:$B2766=$B1083,$C1083='Yahoo ADP'!$C$2:$C2766,$D1083='Yahoo ADP'!$D$2:$D2766))"),"-")</f>
        <v>-</v>
      </c>
      <c r="G1083" s="27">
        <v>1068.0</v>
      </c>
      <c r="H1083" s="8">
        <f t="shared" si="1"/>
        <v>-14</v>
      </c>
    </row>
    <row r="1084">
      <c r="A1084" s="10">
        <v>1083.0</v>
      </c>
      <c r="B1084" s="11" t="s">
        <v>3929</v>
      </c>
      <c r="C1084" s="10" t="s">
        <v>22</v>
      </c>
      <c r="D1084" s="10" t="s">
        <v>99</v>
      </c>
      <c r="E1084" s="13" t="str">
        <f>IFERROR(__xludf.DUMMYFUNCTION("ifna(filter('Yahoo ADP'!$A$2:$A2766,'Yahoo ADP'!$B$2:$B2766=$B1084,$C1084='Yahoo ADP'!$C$2:$C2766,$D1084='Yahoo ADP'!$D$2:$D2766))"),"")</f>
        <v/>
      </c>
      <c r="F1084" s="13" t="str">
        <f>IFERROR(__xludf.DUMMYFUNCTION("ifna(filter('Yahoo ADP'!$E$2:$E2766,'Yahoo ADP'!$B$2:$B2766=$B1084,$C1084='Yahoo ADP'!$C$2:$C2766,$D1084='Yahoo ADP'!$D$2:$D2766))"),"-")</f>
        <v>-</v>
      </c>
      <c r="G1084" s="27">
        <v>1069.0</v>
      </c>
      <c r="H1084" s="8">
        <f t="shared" si="1"/>
        <v>-14</v>
      </c>
    </row>
    <row r="1085">
      <c r="A1085" s="10">
        <v>1084.0</v>
      </c>
      <c r="B1085" s="11" t="s">
        <v>3930</v>
      </c>
      <c r="C1085" s="10" t="s">
        <v>22</v>
      </c>
      <c r="D1085" s="10" t="s">
        <v>122</v>
      </c>
      <c r="E1085" s="13" t="str">
        <f>IFERROR(__xludf.DUMMYFUNCTION("ifna(filter('Yahoo ADP'!$A$2:$A2766,'Yahoo ADP'!$B$2:$B2766=$B1085,$C1085='Yahoo ADP'!$C$2:$C2766,$D1085='Yahoo ADP'!$D$2:$D2766))"),"")</f>
        <v/>
      </c>
      <c r="F1085" s="13" t="str">
        <f>IFERROR(__xludf.DUMMYFUNCTION("ifna(filter('Yahoo ADP'!$E$2:$E2766,'Yahoo ADP'!$B$2:$B2766=$B1085,$C1085='Yahoo ADP'!$C$2:$C2766,$D1085='Yahoo ADP'!$D$2:$D2766))"),"-")</f>
        <v>-</v>
      </c>
      <c r="G1085" s="27">
        <v>1070.0</v>
      </c>
      <c r="H1085" s="8">
        <f t="shared" si="1"/>
        <v>-14</v>
      </c>
    </row>
    <row r="1086">
      <c r="A1086" s="10">
        <v>1085.0</v>
      </c>
      <c r="B1086" s="11" t="s">
        <v>3931</v>
      </c>
      <c r="C1086" s="10" t="s">
        <v>79</v>
      </c>
      <c r="D1086" s="10" t="s">
        <v>31</v>
      </c>
      <c r="E1086" s="13" t="str">
        <f>IFERROR(__xludf.DUMMYFUNCTION("ifna(filter('Yahoo ADP'!$A$2:$A2766,'Yahoo ADP'!$B$2:$B2766=$B1086,$C1086='Yahoo ADP'!$C$2:$C2766,$D1086='Yahoo ADP'!$D$2:$D2766))"),"")</f>
        <v/>
      </c>
      <c r="F1086" s="13" t="str">
        <f>IFERROR(__xludf.DUMMYFUNCTION("ifna(filter('Yahoo ADP'!$E$2:$E2766,'Yahoo ADP'!$B$2:$B2766=$B1086,$C1086='Yahoo ADP'!$C$2:$C2766,$D1086='Yahoo ADP'!$D$2:$D2766))"),"-")</f>
        <v>-</v>
      </c>
      <c r="G1086" s="27">
        <v>1071.0</v>
      </c>
      <c r="H1086" s="8">
        <f t="shared" si="1"/>
        <v>-14</v>
      </c>
    </row>
    <row r="1087">
      <c r="A1087" s="10">
        <v>1086.0</v>
      </c>
      <c r="B1087" s="11" t="s">
        <v>3932</v>
      </c>
      <c r="C1087" s="10" t="s">
        <v>79</v>
      </c>
      <c r="D1087" s="10" t="s">
        <v>140</v>
      </c>
      <c r="E1087" s="13" t="str">
        <f>IFERROR(__xludf.DUMMYFUNCTION("ifna(filter('Yahoo ADP'!$A$2:$A2766,'Yahoo ADP'!$B$2:$B2766=$B1087,$C1087='Yahoo ADP'!$C$2:$C2766,$D1087='Yahoo ADP'!$D$2:$D2766))"),"")</f>
        <v/>
      </c>
      <c r="F1087" s="13" t="str">
        <f>IFERROR(__xludf.DUMMYFUNCTION("ifna(filter('Yahoo ADP'!$E$2:$E2766,'Yahoo ADP'!$B$2:$B2766=$B1087,$C1087='Yahoo ADP'!$C$2:$C2766,$D1087='Yahoo ADP'!$D$2:$D2766))"),"-")</f>
        <v>-</v>
      </c>
      <c r="G1087" s="27">
        <v>1072.0</v>
      </c>
      <c r="H1087" s="8">
        <f t="shared" si="1"/>
        <v>-14</v>
      </c>
    </row>
    <row r="1088">
      <c r="A1088" s="10">
        <v>1087.0</v>
      </c>
      <c r="B1088" s="11" t="s">
        <v>3933</v>
      </c>
      <c r="C1088" s="10" t="s">
        <v>22</v>
      </c>
      <c r="D1088" s="10" t="s">
        <v>99</v>
      </c>
      <c r="E1088" s="13" t="str">
        <f>IFERROR(__xludf.DUMMYFUNCTION("ifna(filter('Yahoo ADP'!$A$2:$A2766,'Yahoo ADP'!$B$2:$B2766=$B1088,$C1088='Yahoo ADP'!$C$2:$C2766,$D1088='Yahoo ADP'!$D$2:$D2766))"),"")</f>
        <v/>
      </c>
      <c r="F1088" s="13" t="str">
        <f>IFERROR(__xludf.DUMMYFUNCTION("ifna(filter('Yahoo ADP'!$E$2:$E2766,'Yahoo ADP'!$B$2:$B2766=$B1088,$C1088='Yahoo ADP'!$C$2:$C2766,$D1088='Yahoo ADP'!$D$2:$D2766))"),"-")</f>
        <v>-</v>
      </c>
      <c r="G1088" s="27">
        <v>1073.0</v>
      </c>
      <c r="H1088" s="8">
        <f t="shared" si="1"/>
        <v>-14</v>
      </c>
    </row>
    <row r="1089">
      <c r="A1089" s="10">
        <v>1088.0</v>
      </c>
      <c r="B1089" s="11" t="s">
        <v>3934</v>
      </c>
      <c r="C1089" s="10" t="s">
        <v>79</v>
      </c>
      <c r="D1089" s="10" t="s">
        <v>113</v>
      </c>
      <c r="E1089" s="13" t="str">
        <f>IFERROR(__xludf.DUMMYFUNCTION("ifna(filter('Yahoo ADP'!$A$2:$A2766,'Yahoo ADP'!$B$2:$B2766=$B1089,$C1089='Yahoo ADP'!$C$2:$C2766,$D1089='Yahoo ADP'!$D$2:$D2766))"),"")</f>
        <v/>
      </c>
      <c r="F1089" s="13" t="str">
        <f>IFERROR(__xludf.DUMMYFUNCTION("ifna(filter('Yahoo ADP'!$E$2:$E2766,'Yahoo ADP'!$B$2:$B2766=$B1089,$C1089='Yahoo ADP'!$C$2:$C2766,$D1089='Yahoo ADP'!$D$2:$D2766))"),"-")</f>
        <v>-</v>
      </c>
      <c r="G1089" s="27">
        <v>1074.0</v>
      </c>
      <c r="H1089" s="8">
        <f t="shared" si="1"/>
        <v>-14</v>
      </c>
    </row>
    <row r="1090">
      <c r="A1090" s="10">
        <v>1089.0</v>
      </c>
      <c r="B1090" s="11" t="s">
        <v>3935</v>
      </c>
      <c r="C1090" s="10" t="s">
        <v>22</v>
      </c>
      <c r="D1090" s="10" t="s">
        <v>36</v>
      </c>
      <c r="E1090" s="13" t="str">
        <f>IFERROR(__xludf.DUMMYFUNCTION("ifna(filter('Yahoo ADP'!$A$2:$A2766,'Yahoo ADP'!$B$2:$B2766=$B1090,$C1090='Yahoo ADP'!$C$2:$C2766,$D1090='Yahoo ADP'!$D$2:$D2766))"),"")</f>
        <v/>
      </c>
      <c r="F1090" s="13" t="str">
        <f>IFERROR(__xludf.DUMMYFUNCTION("ifna(filter('Yahoo ADP'!$E$2:$E2766,'Yahoo ADP'!$B$2:$B2766=$B1090,$C1090='Yahoo ADP'!$C$2:$C2766,$D1090='Yahoo ADP'!$D$2:$D2766))"),"-")</f>
        <v>-</v>
      </c>
      <c r="G1090" s="27">
        <v>1075.0</v>
      </c>
      <c r="H1090" s="8">
        <f t="shared" si="1"/>
        <v>-14</v>
      </c>
    </row>
    <row r="1091">
      <c r="A1091" s="10">
        <v>1090.0</v>
      </c>
      <c r="B1091" s="11" t="s">
        <v>3936</v>
      </c>
      <c r="C1091" s="10" t="s">
        <v>22</v>
      </c>
      <c r="D1091" s="10" t="s">
        <v>90</v>
      </c>
      <c r="E1091" s="13" t="str">
        <f>IFERROR(__xludf.DUMMYFUNCTION("ifna(filter('Yahoo ADP'!$A$2:$A2766,'Yahoo ADP'!$B$2:$B2766=$B1091,$C1091='Yahoo ADP'!$C$2:$C2766,$D1091='Yahoo ADP'!$D$2:$D2766))"),"")</f>
        <v/>
      </c>
      <c r="F1091" s="13" t="str">
        <f>IFERROR(__xludf.DUMMYFUNCTION("ifna(filter('Yahoo ADP'!$E$2:$E2766,'Yahoo ADP'!$B$2:$B2766=$B1091,$C1091='Yahoo ADP'!$C$2:$C2766,$D1091='Yahoo ADP'!$D$2:$D2766))"),"-")</f>
        <v>-</v>
      </c>
      <c r="G1091" s="27">
        <v>1076.0</v>
      </c>
      <c r="H1091" s="8">
        <f t="shared" si="1"/>
        <v>-14</v>
      </c>
    </row>
    <row r="1092">
      <c r="A1092" s="10">
        <v>1091.0</v>
      </c>
      <c r="B1092" s="11" t="s">
        <v>3937</v>
      </c>
      <c r="C1092" s="10" t="s">
        <v>220</v>
      </c>
      <c r="D1092" s="10" t="s">
        <v>95</v>
      </c>
      <c r="E1092" s="13" t="str">
        <f>IFERROR(__xludf.DUMMYFUNCTION("ifna(filter('Yahoo ADP'!$A$2:$A2766,'Yahoo ADP'!$B$2:$B2766=$B1092,$C1092='Yahoo ADP'!$C$2:$C2766,$D1092='Yahoo ADP'!$D$2:$D2766))"),"")</f>
        <v/>
      </c>
      <c r="F1092" s="13" t="str">
        <f>IFERROR(__xludf.DUMMYFUNCTION("ifna(filter('Yahoo ADP'!$E$2:$E2766,'Yahoo ADP'!$B$2:$B2766=$B1092,$C1092='Yahoo ADP'!$C$2:$C2766,$D1092='Yahoo ADP'!$D$2:$D2766))"),"-")</f>
        <v>-</v>
      </c>
      <c r="G1092" s="27">
        <v>1077.0</v>
      </c>
      <c r="H1092" s="8">
        <f t="shared" si="1"/>
        <v>-14</v>
      </c>
    </row>
    <row r="1093">
      <c r="A1093" s="10">
        <v>1092.0</v>
      </c>
      <c r="B1093" s="11" t="s">
        <v>3938</v>
      </c>
      <c r="C1093" s="10" t="s">
        <v>79</v>
      </c>
      <c r="D1093" s="10" t="s">
        <v>31</v>
      </c>
      <c r="E1093" s="13" t="str">
        <f>IFERROR(__xludf.DUMMYFUNCTION("ifna(filter('Yahoo ADP'!$A$2:$A2766,'Yahoo ADP'!$B$2:$B2766=$B1093,$C1093='Yahoo ADP'!$C$2:$C2766,$D1093='Yahoo ADP'!$D$2:$D2766))"),"")</f>
        <v/>
      </c>
      <c r="F1093" s="13" t="str">
        <f>IFERROR(__xludf.DUMMYFUNCTION("ifna(filter('Yahoo ADP'!$E$2:$E2766,'Yahoo ADP'!$B$2:$B2766=$B1093,$C1093='Yahoo ADP'!$C$2:$C2766,$D1093='Yahoo ADP'!$D$2:$D2766))"),"-")</f>
        <v>-</v>
      </c>
      <c r="G1093" s="27">
        <v>1078.0</v>
      </c>
      <c r="H1093" s="8">
        <f t="shared" si="1"/>
        <v>-14</v>
      </c>
    </row>
    <row r="1094">
      <c r="A1094" s="10">
        <v>1093.0</v>
      </c>
      <c r="B1094" s="11" t="s">
        <v>3939</v>
      </c>
      <c r="C1094" s="10" t="s">
        <v>22</v>
      </c>
      <c r="D1094" s="10" t="s">
        <v>129</v>
      </c>
      <c r="E1094" s="13" t="str">
        <f>IFERROR(__xludf.DUMMYFUNCTION("ifna(filter('Yahoo ADP'!$A$2:$A2766,'Yahoo ADP'!$B$2:$B2766=$B1094,$C1094='Yahoo ADP'!$C$2:$C2766,$D1094='Yahoo ADP'!$D$2:$D2766))"),"")</f>
        <v/>
      </c>
      <c r="F1094" s="13" t="str">
        <f>IFERROR(__xludf.DUMMYFUNCTION("ifna(filter('Yahoo ADP'!$E$2:$E2766,'Yahoo ADP'!$B$2:$B2766=$B1094,$C1094='Yahoo ADP'!$C$2:$C2766,$D1094='Yahoo ADP'!$D$2:$D2766))"),"-")</f>
        <v>-</v>
      </c>
      <c r="G1094" s="27">
        <v>1079.0</v>
      </c>
      <c r="H1094" s="8">
        <f t="shared" si="1"/>
        <v>-14</v>
      </c>
    </row>
    <row r="1095">
      <c r="A1095" s="10">
        <v>1094.0</v>
      </c>
      <c r="B1095" s="11" t="s">
        <v>3940</v>
      </c>
      <c r="C1095" s="10" t="s">
        <v>22</v>
      </c>
      <c r="D1095" s="10" t="s">
        <v>67</v>
      </c>
      <c r="E1095" s="13" t="str">
        <f>IFERROR(__xludf.DUMMYFUNCTION("ifna(filter('Yahoo ADP'!$A$2:$A2766,'Yahoo ADP'!$B$2:$B2766=$B1095,$C1095='Yahoo ADP'!$C$2:$C2766,$D1095='Yahoo ADP'!$D$2:$D2766))"),"")</f>
        <v/>
      </c>
      <c r="F1095" s="13" t="str">
        <f>IFERROR(__xludf.DUMMYFUNCTION("ifna(filter('Yahoo ADP'!$E$2:$E2766,'Yahoo ADP'!$B$2:$B2766=$B1095,$C1095='Yahoo ADP'!$C$2:$C2766,$D1095='Yahoo ADP'!$D$2:$D2766))"),"-")</f>
        <v>-</v>
      </c>
      <c r="G1095" s="27">
        <v>1080.0</v>
      </c>
      <c r="H1095" s="8">
        <f t="shared" si="1"/>
        <v>-14</v>
      </c>
    </row>
    <row r="1096">
      <c r="A1096" s="10">
        <v>1095.0</v>
      </c>
      <c r="B1096" s="11" t="s">
        <v>3941</v>
      </c>
      <c r="C1096" s="10" t="s">
        <v>22</v>
      </c>
      <c r="D1096" s="10" t="s">
        <v>27</v>
      </c>
      <c r="E1096" s="13" t="str">
        <f>IFERROR(__xludf.DUMMYFUNCTION("ifna(filter('Yahoo ADP'!$A$2:$A2766,'Yahoo ADP'!$B$2:$B2766=$B1096,$C1096='Yahoo ADP'!$C$2:$C2766,$D1096='Yahoo ADP'!$D$2:$D2766))"),"")</f>
        <v/>
      </c>
      <c r="F1096" s="13" t="str">
        <f>IFERROR(__xludf.DUMMYFUNCTION("ifna(filter('Yahoo ADP'!$E$2:$E2766,'Yahoo ADP'!$B$2:$B2766=$B1096,$C1096='Yahoo ADP'!$C$2:$C2766,$D1096='Yahoo ADP'!$D$2:$D2766))"),"-")</f>
        <v>-</v>
      </c>
      <c r="G1096" s="27">
        <v>1081.0</v>
      </c>
      <c r="H1096" s="8">
        <f t="shared" si="1"/>
        <v>-14</v>
      </c>
    </row>
    <row r="1097">
      <c r="A1097" s="10">
        <v>1096.0</v>
      </c>
      <c r="B1097" s="11" t="s">
        <v>3942</v>
      </c>
      <c r="C1097" s="10" t="s">
        <v>79</v>
      </c>
      <c r="D1097" s="10" t="s">
        <v>18</v>
      </c>
      <c r="E1097" s="13" t="str">
        <f>IFERROR(__xludf.DUMMYFUNCTION("ifna(filter('Yahoo ADP'!$A$2:$A2766,'Yahoo ADP'!$B$2:$B2766=$B1097,$C1097='Yahoo ADP'!$C$2:$C2766,$D1097='Yahoo ADP'!$D$2:$D2766))"),"")</f>
        <v/>
      </c>
      <c r="F1097" s="13" t="str">
        <f>IFERROR(__xludf.DUMMYFUNCTION("ifna(filter('Yahoo ADP'!$E$2:$E2766,'Yahoo ADP'!$B$2:$B2766=$B1097,$C1097='Yahoo ADP'!$C$2:$C2766,$D1097='Yahoo ADP'!$D$2:$D2766))"),"")</f>
        <v/>
      </c>
      <c r="G1097" s="27">
        <v>1082.0</v>
      </c>
      <c r="H1097" s="8">
        <f t="shared" si="1"/>
        <v>-14</v>
      </c>
    </row>
    <row r="1098">
      <c r="A1098" s="10">
        <v>1097.0</v>
      </c>
      <c r="B1098" s="11" t="s">
        <v>3943</v>
      </c>
      <c r="C1098" s="10" t="s">
        <v>22</v>
      </c>
      <c r="D1098" s="10" t="s">
        <v>120</v>
      </c>
      <c r="E1098" s="13" t="str">
        <f>IFERROR(__xludf.DUMMYFUNCTION("ifna(filter('Yahoo ADP'!$A$2:$A2766,'Yahoo ADP'!$B$2:$B2766=$B1098,$C1098='Yahoo ADP'!$C$2:$C2766,$D1098='Yahoo ADP'!$D$2:$D2766))"),"")</f>
        <v/>
      </c>
      <c r="F1098" s="13" t="str">
        <f>IFERROR(__xludf.DUMMYFUNCTION("ifna(filter('Yahoo ADP'!$E$2:$E2766,'Yahoo ADP'!$B$2:$B2766=$B1098,$C1098='Yahoo ADP'!$C$2:$C2766,$D1098='Yahoo ADP'!$D$2:$D2766))"),"-")</f>
        <v>-</v>
      </c>
      <c r="G1098" s="27">
        <v>1083.0</v>
      </c>
      <c r="H1098" s="8">
        <f t="shared" si="1"/>
        <v>-14</v>
      </c>
    </row>
    <row r="1099">
      <c r="A1099" s="10">
        <v>1098.0</v>
      </c>
      <c r="B1099" s="11" t="s">
        <v>3944</v>
      </c>
      <c r="C1099" s="10" t="s">
        <v>22</v>
      </c>
      <c r="D1099" s="10" t="s">
        <v>206</v>
      </c>
      <c r="E1099" s="13" t="str">
        <f>IFERROR(__xludf.DUMMYFUNCTION("ifna(filter('Yahoo ADP'!$A$2:$A2766,'Yahoo ADP'!$B$2:$B2766=$B1099,$C1099='Yahoo ADP'!$C$2:$C2766,$D1099='Yahoo ADP'!$D$2:$D2766))"),"")</f>
        <v/>
      </c>
      <c r="F1099" s="13" t="str">
        <f>IFERROR(__xludf.DUMMYFUNCTION("ifna(filter('Yahoo ADP'!$E$2:$E2766,'Yahoo ADP'!$B$2:$B2766=$B1099,$C1099='Yahoo ADP'!$C$2:$C2766,$D1099='Yahoo ADP'!$D$2:$D2766))"),"-")</f>
        <v>-</v>
      </c>
      <c r="G1099" s="27">
        <v>1084.0</v>
      </c>
      <c r="H1099" s="8">
        <f t="shared" si="1"/>
        <v>-14</v>
      </c>
    </row>
    <row r="1100">
      <c r="A1100" s="10">
        <v>1099.0</v>
      </c>
      <c r="B1100" s="11" t="s">
        <v>3945</v>
      </c>
      <c r="C1100" s="10" t="s">
        <v>22</v>
      </c>
      <c r="D1100" s="10" t="s">
        <v>129</v>
      </c>
      <c r="E1100" s="13" t="str">
        <f>IFERROR(__xludf.DUMMYFUNCTION("ifna(filter('Yahoo ADP'!$A$2:$A2766,'Yahoo ADP'!$B$2:$B2766=$B1100,$C1100='Yahoo ADP'!$C$2:$C2766,$D1100='Yahoo ADP'!$D$2:$D2766))"),"")</f>
        <v/>
      </c>
      <c r="F1100" s="13" t="str">
        <f>IFERROR(__xludf.DUMMYFUNCTION("ifna(filter('Yahoo ADP'!$E$2:$E2766,'Yahoo ADP'!$B$2:$B2766=$B1100,$C1100='Yahoo ADP'!$C$2:$C2766,$D1100='Yahoo ADP'!$D$2:$D2766))"),"-")</f>
        <v>-</v>
      </c>
      <c r="G1100" s="27">
        <v>1085.0</v>
      </c>
      <c r="H1100" s="8">
        <f t="shared" si="1"/>
        <v>-14</v>
      </c>
    </row>
    <row r="1101">
      <c r="A1101" s="10">
        <v>1100.0</v>
      </c>
      <c r="B1101" s="11" t="s">
        <v>3946</v>
      </c>
      <c r="C1101" s="10" t="s">
        <v>22</v>
      </c>
      <c r="D1101" s="10" t="s">
        <v>95</v>
      </c>
      <c r="E1101" s="13" t="str">
        <f>IFERROR(__xludf.DUMMYFUNCTION("ifna(filter('Yahoo ADP'!$A$2:$A2766,'Yahoo ADP'!$B$2:$B2766=$B1101,$C1101='Yahoo ADP'!$C$2:$C2766,$D1101='Yahoo ADP'!$D$2:$D2766))"),"")</f>
        <v/>
      </c>
      <c r="F1101" s="13" t="str">
        <f>IFERROR(__xludf.DUMMYFUNCTION("ifna(filter('Yahoo ADP'!$E$2:$E2766,'Yahoo ADP'!$B$2:$B2766=$B1101,$C1101='Yahoo ADP'!$C$2:$C2766,$D1101='Yahoo ADP'!$D$2:$D2766))"),"-")</f>
        <v>-</v>
      </c>
      <c r="G1101" s="27">
        <v>1086.0</v>
      </c>
      <c r="H1101" s="8">
        <f t="shared" si="1"/>
        <v>-14</v>
      </c>
    </row>
    <row r="1102">
      <c r="A1102" s="10">
        <v>1101.0</v>
      </c>
      <c r="B1102" s="11" t="s">
        <v>3947</v>
      </c>
      <c r="C1102" s="10" t="s">
        <v>22</v>
      </c>
      <c r="D1102" s="10" t="s">
        <v>73</v>
      </c>
      <c r="E1102" s="13" t="str">
        <f>IFERROR(__xludf.DUMMYFUNCTION("ifna(filter('Yahoo ADP'!$A$2:$A2766,'Yahoo ADP'!$B$2:$B2766=$B1102,$C1102='Yahoo ADP'!$C$2:$C2766,$D1102='Yahoo ADP'!$D$2:$D2766))"),"")</f>
        <v/>
      </c>
      <c r="F1102" s="13" t="str">
        <f>IFERROR(__xludf.DUMMYFUNCTION("ifna(filter('Yahoo ADP'!$E$2:$E2766,'Yahoo ADP'!$B$2:$B2766=$B1102,$C1102='Yahoo ADP'!$C$2:$C2766,$D1102='Yahoo ADP'!$D$2:$D2766))"),"-")</f>
        <v>-</v>
      </c>
      <c r="G1102" s="27">
        <v>1087.0</v>
      </c>
      <c r="H1102" s="8">
        <f t="shared" si="1"/>
        <v>-14</v>
      </c>
    </row>
    <row r="1103">
      <c r="A1103" s="10">
        <v>1102.0</v>
      </c>
      <c r="B1103" s="11" t="s">
        <v>3948</v>
      </c>
      <c r="C1103" s="10" t="s">
        <v>22</v>
      </c>
      <c r="D1103" s="10" t="s">
        <v>105</v>
      </c>
      <c r="E1103" s="13" t="str">
        <f>IFERROR(__xludf.DUMMYFUNCTION("ifna(filter('Yahoo ADP'!$A$2:$A2766,'Yahoo ADP'!$B$2:$B2766=$B1103,$C1103='Yahoo ADP'!$C$2:$C2766,$D1103='Yahoo ADP'!$D$2:$D2766))"),"")</f>
        <v/>
      </c>
      <c r="F1103" s="13" t="str">
        <f>IFERROR(__xludf.DUMMYFUNCTION("ifna(filter('Yahoo ADP'!$E$2:$E2766,'Yahoo ADP'!$B$2:$B2766=$B1103,$C1103='Yahoo ADP'!$C$2:$C2766,$D1103='Yahoo ADP'!$D$2:$D2766))"),"-")</f>
        <v>-</v>
      </c>
      <c r="G1103" s="27">
        <v>1088.0</v>
      </c>
      <c r="H1103" s="8">
        <f t="shared" si="1"/>
        <v>-14</v>
      </c>
    </row>
    <row r="1104">
      <c r="A1104" s="10">
        <v>1103.0</v>
      </c>
      <c r="B1104" s="11" t="s">
        <v>3949</v>
      </c>
      <c r="C1104" s="10" t="s">
        <v>22</v>
      </c>
      <c r="D1104" s="10" t="s">
        <v>73</v>
      </c>
      <c r="E1104" s="13" t="str">
        <f>IFERROR(__xludf.DUMMYFUNCTION("ifna(filter('Yahoo ADP'!$A$2:$A2766,'Yahoo ADP'!$B$2:$B2766=$B1104,$C1104='Yahoo ADP'!$C$2:$C2766,$D1104='Yahoo ADP'!$D$2:$D2766))"),"")</f>
        <v/>
      </c>
      <c r="F1104" s="13" t="str">
        <f>IFERROR(__xludf.DUMMYFUNCTION("ifna(filter('Yahoo ADP'!$E$2:$E2766,'Yahoo ADP'!$B$2:$B2766=$B1104,$C1104='Yahoo ADP'!$C$2:$C2766,$D1104='Yahoo ADP'!$D$2:$D2766))"),"-")</f>
        <v>-</v>
      </c>
      <c r="G1104" s="27">
        <v>1089.0</v>
      </c>
      <c r="H1104" s="8">
        <f t="shared" si="1"/>
        <v>-14</v>
      </c>
    </row>
    <row r="1105">
      <c r="A1105" s="10">
        <v>1104.0</v>
      </c>
      <c r="B1105" s="11" t="s">
        <v>3950</v>
      </c>
      <c r="C1105" s="10" t="s">
        <v>22</v>
      </c>
      <c r="D1105" s="10" t="s">
        <v>42</v>
      </c>
      <c r="E1105" s="13" t="str">
        <f>IFERROR(__xludf.DUMMYFUNCTION("ifna(filter('Yahoo ADP'!$A$2:$A2766,'Yahoo ADP'!$B$2:$B2766=$B1105,$C1105='Yahoo ADP'!$C$2:$C2766,$D1105='Yahoo ADP'!$D$2:$D2766))"),"")</f>
        <v/>
      </c>
      <c r="F1105" s="13" t="str">
        <f>IFERROR(__xludf.DUMMYFUNCTION("ifna(filter('Yahoo ADP'!$E$2:$E2766,'Yahoo ADP'!$B$2:$B2766=$B1105,$C1105='Yahoo ADP'!$C$2:$C2766,$D1105='Yahoo ADP'!$D$2:$D2766))"),"-")</f>
        <v>-</v>
      </c>
      <c r="G1105" s="27">
        <v>1090.0</v>
      </c>
      <c r="H1105" s="8">
        <f t="shared" si="1"/>
        <v>-14</v>
      </c>
    </row>
    <row r="1106">
      <c r="A1106" s="10">
        <v>1105.0</v>
      </c>
      <c r="B1106" s="11" t="s">
        <v>3951</v>
      </c>
      <c r="C1106" s="10" t="s">
        <v>22</v>
      </c>
      <c r="D1106" s="10" t="s">
        <v>95</v>
      </c>
      <c r="E1106" s="13" t="str">
        <f>IFERROR(__xludf.DUMMYFUNCTION("ifna(filter('Yahoo ADP'!$A$2:$A2766,'Yahoo ADP'!$B$2:$B2766=$B1106,$C1106='Yahoo ADP'!$C$2:$C2766,$D1106='Yahoo ADP'!$D$2:$D2766))"),"")</f>
        <v/>
      </c>
      <c r="F1106" s="13" t="str">
        <f>IFERROR(__xludf.DUMMYFUNCTION("ifna(filter('Yahoo ADP'!$E$2:$E2766,'Yahoo ADP'!$B$2:$B2766=$B1106,$C1106='Yahoo ADP'!$C$2:$C2766,$D1106='Yahoo ADP'!$D$2:$D2766))"),"-")</f>
        <v>-</v>
      </c>
      <c r="G1106" s="27">
        <v>1091.0</v>
      </c>
      <c r="H1106" s="8">
        <f t="shared" si="1"/>
        <v>-14</v>
      </c>
    </row>
    <row r="1107">
      <c r="A1107" s="10">
        <v>1106.0</v>
      </c>
      <c r="B1107" s="11" t="s">
        <v>3952</v>
      </c>
      <c r="C1107" s="10" t="s">
        <v>22</v>
      </c>
      <c r="D1107" s="10" t="s">
        <v>27</v>
      </c>
      <c r="E1107" s="13" t="str">
        <f>IFERROR(__xludf.DUMMYFUNCTION("ifna(filter('Yahoo ADP'!$A$2:$A2766,'Yahoo ADP'!$B$2:$B2766=$B1107,$C1107='Yahoo ADP'!$C$2:$C2766,$D1107='Yahoo ADP'!$D$2:$D2766))"),"")</f>
        <v/>
      </c>
      <c r="F1107" s="13" t="str">
        <f>IFERROR(__xludf.DUMMYFUNCTION("ifna(filter('Yahoo ADP'!$E$2:$E2766,'Yahoo ADP'!$B$2:$B2766=$B1107,$C1107='Yahoo ADP'!$C$2:$C2766,$D1107='Yahoo ADP'!$D$2:$D2766))"),"-")</f>
        <v>-</v>
      </c>
      <c r="G1107" s="27">
        <v>1092.0</v>
      </c>
      <c r="H1107" s="8">
        <f t="shared" si="1"/>
        <v>-14</v>
      </c>
    </row>
    <row r="1108">
      <c r="A1108" s="10">
        <v>1107.0</v>
      </c>
      <c r="B1108" s="11" t="s">
        <v>3953</v>
      </c>
      <c r="C1108" s="10" t="s">
        <v>79</v>
      </c>
      <c r="D1108" s="10" t="s">
        <v>18</v>
      </c>
      <c r="E1108" s="13" t="str">
        <f>IFERROR(__xludf.DUMMYFUNCTION("ifna(filter('Yahoo ADP'!$A$2:$A2766,'Yahoo ADP'!$B$2:$B2766=$B1108,$C1108='Yahoo ADP'!$C$2:$C2766,$D1108='Yahoo ADP'!$D$2:$D2766))"),"")</f>
        <v/>
      </c>
      <c r="F1108" s="13" t="str">
        <f>IFERROR(__xludf.DUMMYFUNCTION("ifna(filter('Yahoo ADP'!$E$2:$E2766,'Yahoo ADP'!$B$2:$B2766=$B1108,$C1108='Yahoo ADP'!$C$2:$C2766,$D1108='Yahoo ADP'!$D$2:$D2766))"),"-")</f>
        <v>-</v>
      </c>
      <c r="G1108" s="27">
        <v>1093.0</v>
      </c>
      <c r="H1108" s="8">
        <f t="shared" si="1"/>
        <v>-14</v>
      </c>
    </row>
    <row r="1109">
      <c r="A1109" s="10">
        <v>1108.0</v>
      </c>
      <c r="B1109" s="11" t="s">
        <v>3954</v>
      </c>
      <c r="C1109" s="10" t="s">
        <v>22</v>
      </c>
      <c r="D1109" s="10" t="s">
        <v>42</v>
      </c>
      <c r="E1109" s="13" t="str">
        <f>IFERROR(__xludf.DUMMYFUNCTION("ifna(filter('Yahoo ADP'!$A$2:$A2766,'Yahoo ADP'!$B$2:$B2766=$B1109,$C1109='Yahoo ADP'!$C$2:$C2766,$D1109='Yahoo ADP'!$D$2:$D2766))"),"")</f>
        <v/>
      </c>
      <c r="F1109" s="13" t="str">
        <f>IFERROR(__xludf.DUMMYFUNCTION("ifna(filter('Yahoo ADP'!$E$2:$E2766,'Yahoo ADP'!$B$2:$B2766=$B1109,$C1109='Yahoo ADP'!$C$2:$C2766,$D1109='Yahoo ADP'!$D$2:$D2766))"),"-")</f>
        <v>-</v>
      </c>
      <c r="G1109" s="27">
        <v>1094.0</v>
      </c>
      <c r="H1109" s="8">
        <f t="shared" si="1"/>
        <v>-14</v>
      </c>
    </row>
    <row r="1110">
      <c r="A1110" s="10">
        <v>1109.0</v>
      </c>
      <c r="B1110" s="11" t="s">
        <v>3955</v>
      </c>
      <c r="C1110" s="10" t="s">
        <v>22</v>
      </c>
      <c r="D1110" s="10" t="s">
        <v>52</v>
      </c>
      <c r="E1110" s="13" t="str">
        <f>IFERROR(__xludf.DUMMYFUNCTION("ifna(filter('Yahoo ADP'!$A$2:$A2766,'Yahoo ADP'!$B$2:$B2766=$B1110,$C1110='Yahoo ADP'!$C$2:$C2766,$D1110='Yahoo ADP'!$D$2:$D2766))"),"")</f>
        <v/>
      </c>
      <c r="F1110" s="13" t="str">
        <f>IFERROR(__xludf.DUMMYFUNCTION("ifna(filter('Yahoo ADP'!$E$2:$E2766,'Yahoo ADP'!$B$2:$B2766=$B1110,$C1110='Yahoo ADP'!$C$2:$C2766,$D1110='Yahoo ADP'!$D$2:$D2766))"),"-")</f>
        <v>-</v>
      </c>
      <c r="G1110" s="27">
        <v>1095.0</v>
      </c>
      <c r="H1110" s="8">
        <f t="shared" si="1"/>
        <v>-14</v>
      </c>
    </row>
    <row r="1111">
      <c r="A1111" s="10">
        <v>1110.0</v>
      </c>
      <c r="B1111" s="11" t="s">
        <v>3956</v>
      </c>
      <c r="C1111" s="10" t="s">
        <v>22</v>
      </c>
      <c r="D1111" s="10" t="s">
        <v>129</v>
      </c>
      <c r="E1111" s="13" t="str">
        <f>IFERROR(__xludf.DUMMYFUNCTION("ifna(filter('Yahoo ADP'!$A$2:$A2766,'Yahoo ADP'!$B$2:$B2766=$B1111,$C1111='Yahoo ADP'!$C$2:$C2766,$D1111='Yahoo ADP'!$D$2:$D2766))"),"")</f>
        <v/>
      </c>
      <c r="F1111" s="13" t="str">
        <f>IFERROR(__xludf.DUMMYFUNCTION("ifna(filter('Yahoo ADP'!$E$2:$E2766,'Yahoo ADP'!$B$2:$B2766=$B1111,$C1111='Yahoo ADP'!$C$2:$C2766,$D1111='Yahoo ADP'!$D$2:$D2766))"),"-")</f>
        <v>-</v>
      </c>
      <c r="G1111" s="27">
        <v>1096.0</v>
      </c>
      <c r="H1111" s="8">
        <f t="shared" si="1"/>
        <v>-14</v>
      </c>
    </row>
    <row r="1112">
      <c r="A1112" s="10">
        <v>1111.0</v>
      </c>
      <c r="B1112" s="11" t="s">
        <v>3957</v>
      </c>
      <c r="C1112" s="10" t="s">
        <v>22</v>
      </c>
      <c r="D1112" s="10" t="s">
        <v>23</v>
      </c>
      <c r="E1112" s="13" t="str">
        <f>IFERROR(__xludf.DUMMYFUNCTION("ifna(filter('Yahoo ADP'!$A$2:$A2766,'Yahoo ADP'!$B$2:$B2766=$B1112,$C1112='Yahoo ADP'!$C$2:$C2766,$D1112='Yahoo ADP'!$D$2:$D2766))"),"")</f>
        <v/>
      </c>
      <c r="F1112" s="13" t="str">
        <f>IFERROR(__xludf.DUMMYFUNCTION("ifna(filter('Yahoo ADP'!$E$2:$E2766,'Yahoo ADP'!$B$2:$B2766=$B1112,$C1112='Yahoo ADP'!$C$2:$C2766,$D1112='Yahoo ADP'!$D$2:$D2766))"),"-")</f>
        <v>-</v>
      </c>
      <c r="G1112" s="27">
        <v>1097.0</v>
      </c>
      <c r="H1112" s="8">
        <f t="shared" si="1"/>
        <v>-14</v>
      </c>
    </row>
    <row r="1113">
      <c r="A1113" s="10">
        <v>1112.0</v>
      </c>
      <c r="B1113" s="11" t="s">
        <v>3958</v>
      </c>
      <c r="C1113" s="10" t="s">
        <v>79</v>
      </c>
      <c r="D1113" s="10" t="s">
        <v>23</v>
      </c>
      <c r="E1113" s="13" t="str">
        <f>IFERROR(__xludf.DUMMYFUNCTION("ifna(filter('Yahoo ADP'!$A$2:$A2766,'Yahoo ADP'!$B$2:$B2766=$B1113,$C1113='Yahoo ADP'!$C$2:$C2766,$D1113='Yahoo ADP'!$D$2:$D2766))"),"")</f>
        <v/>
      </c>
      <c r="F1113" s="13" t="str">
        <f>IFERROR(__xludf.DUMMYFUNCTION("ifna(filter('Yahoo ADP'!$E$2:$E2766,'Yahoo ADP'!$B$2:$B2766=$B1113,$C1113='Yahoo ADP'!$C$2:$C2766,$D1113='Yahoo ADP'!$D$2:$D2766))"),"-")</f>
        <v>-</v>
      </c>
      <c r="G1113" s="27">
        <v>1098.0</v>
      </c>
      <c r="H1113" s="8">
        <f t="shared" si="1"/>
        <v>-14</v>
      </c>
    </row>
    <row r="1114">
      <c r="A1114" s="10">
        <v>1113.0</v>
      </c>
      <c r="B1114" s="11" t="s">
        <v>3959</v>
      </c>
      <c r="C1114" s="10" t="s">
        <v>22</v>
      </c>
      <c r="D1114" s="10" t="s">
        <v>46</v>
      </c>
      <c r="E1114" s="13" t="str">
        <f>IFERROR(__xludf.DUMMYFUNCTION("ifna(filter('Yahoo ADP'!$A$2:$A2766,'Yahoo ADP'!$B$2:$B2766=$B1114,$C1114='Yahoo ADP'!$C$2:$C2766,$D1114='Yahoo ADP'!$D$2:$D2766))"),"")</f>
        <v/>
      </c>
      <c r="F1114" s="13" t="str">
        <f>IFERROR(__xludf.DUMMYFUNCTION("ifna(filter('Yahoo ADP'!$E$2:$E2766,'Yahoo ADP'!$B$2:$B2766=$B1114,$C1114='Yahoo ADP'!$C$2:$C2766,$D1114='Yahoo ADP'!$D$2:$D2766))"),"-")</f>
        <v>-</v>
      </c>
      <c r="G1114" s="27">
        <v>1099.0</v>
      </c>
      <c r="H1114" s="8">
        <f t="shared" si="1"/>
        <v>-14</v>
      </c>
    </row>
    <row r="1115">
      <c r="A1115" s="10">
        <v>1114.0</v>
      </c>
      <c r="B1115" s="11" t="s">
        <v>3960</v>
      </c>
      <c r="C1115" s="10" t="s">
        <v>79</v>
      </c>
      <c r="D1115" s="10" t="s">
        <v>90</v>
      </c>
      <c r="E1115" s="13" t="str">
        <f>IFERROR(__xludf.DUMMYFUNCTION("ifna(filter('Yahoo ADP'!$A$2:$A2766,'Yahoo ADP'!$B$2:$B2766=$B1115,$C1115='Yahoo ADP'!$C$2:$C2766,$D1115='Yahoo ADP'!$D$2:$D2766))"),"")</f>
        <v/>
      </c>
      <c r="F1115" s="13" t="str">
        <f>IFERROR(__xludf.DUMMYFUNCTION("ifna(filter('Yahoo ADP'!$E$2:$E2766,'Yahoo ADP'!$B$2:$B2766=$B1115,$C1115='Yahoo ADP'!$C$2:$C2766,$D1115='Yahoo ADP'!$D$2:$D2766))"),"-")</f>
        <v>-</v>
      </c>
      <c r="G1115" s="27">
        <v>1100.0</v>
      </c>
      <c r="H1115" s="8">
        <f t="shared" si="1"/>
        <v>-14</v>
      </c>
    </row>
    <row r="1116">
      <c r="A1116" s="10">
        <v>1115.0</v>
      </c>
      <c r="B1116" s="11" t="s">
        <v>3961</v>
      </c>
      <c r="C1116" s="10" t="s">
        <v>79</v>
      </c>
      <c r="D1116" s="10" t="s">
        <v>129</v>
      </c>
      <c r="E1116" s="13" t="str">
        <f>IFERROR(__xludf.DUMMYFUNCTION("ifna(filter('Yahoo ADP'!$A$2:$A2766,'Yahoo ADP'!$B$2:$B2766=$B1116,$C1116='Yahoo ADP'!$C$2:$C2766,$D1116='Yahoo ADP'!$D$2:$D2766))"),"")</f>
        <v/>
      </c>
      <c r="F1116" s="13" t="str">
        <f>IFERROR(__xludf.DUMMYFUNCTION("ifna(filter('Yahoo ADP'!$E$2:$E2766,'Yahoo ADP'!$B$2:$B2766=$B1116,$C1116='Yahoo ADP'!$C$2:$C2766,$D1116='Yahoo ADP'!$D$2:$D2766))"),"-")</f>
        <v>-</v>
      </c>
      <c r="G1116" s="27">
        <v>1101.0</v>
      </c>
      <c r="H1116" s="8">
        <f t="shared" si="1"/>
        <v>-14</v>
      </c>
    </row>
    <row r="1117">
      <c r="A1117" s="10">
        <v>1116.0</v>
      </c>
      <c r="B1117" s="11" t="s">
        <v>3962</v>
      </c>
      <c r="C1117" s="10" t="s">
        <v>22</v>
      </c>
      <c r="D1117" s="10" t="s">
        <v>120</v>
      </c>
      <c r="E1117" s="13" t="str">
        <f>IFERROR(__xludf.DUMMYFUNCTION("ifna(filter('Yahoo ADP'!$A$2:$A2766,'Yahoo ADP'!$B$2:$B2766=$B1117,$C1117='Yahoo ADP'!$C$2:$C2766,$D1117='Yahoo ADP'!$D$2:$D2766))"),"")</f>
        <v/>
      </c>
      <c r="F1117" s="13" t="str">
        <f>IFERROR(__xludf.DUMMYFUNCTION("ifna(filter('Yahoo ADP'!$E$2:$E2766,'Yahoo ADP'!$B$2:$B2766=$B1117,$C1117='Yahoo ADP'!$C$2:$C2766,$D1117='Yahoo ADP'!$D$2:$D2766))"),"-")</f>
        <v>-</v>
      </c>
      <c r="G1117" s="27">
        <v>1102.0</v>
      </c>
      <c r="H1117" s="8">
        <f t="shared" si="1"/>
        <v>-14</v>
      </c>
    </row>
    <row r="1118">
      <c r="A1118" s="10">
        <v>1117.0</v>
      </c>
      <c r="B1118" s="11" t="s">
        <v>3963</v>
      </c>
      <c r="C1118" s="10" t="s">
        <v>22</v>
      </c>
      <c r="D1118" s="10" t="s">
        <v>137</v>
      </c>
      <c r="E1118" s="13" t="str">
        <f>IFERROR(__xludf.DUMMYFUNCTION("ifna(filter('Yahoo ADP'!$A$2:$A2766,'Yahoo ADP'!$B$2:$B2766=$B1118,$C1118='Yahoo ADP'!$C$2:$C2766,$D1118='Yahoo ADP'!$D$2:$D2766))"),"")</f>
        <v/>
      </c>
      <c r="F1118" s="13" t="str">
        <f>IFERROR(__xludf.DUMMYFUNCTION("ifna(filter('Yahoo ADP'!$E$2:$E2766,'Yahoo ADP'!$B$2:$B2766=$B1118,$C1118='Yahoo ADP'!$C$2:$C2766,$D1118='Yahoo ADP'!$D$2:$D2766))"),"-")</f>
        <v>-</v>
      </c>
      <c r="G1118" s="27">
        <v>1103.0</v>
      </c>
      <c r="H1118" s="8">
        <f t="shared" si="1"/>
        <v>-14</v>
      </c>
    </row>
    <row r="1119">
      <c r="A1119" s="10">
        <v>1118.0</v>
      </c>
      <c r="B1119" s="11" t="s">
        <v>3964</v>
      </c>
      <c r="C1119" s="10" t="s">
        <v>22</v>
      </c>
      <c r="D1119" s="10" t="s">
        <v>120</v>
      </c>
      <c r="E1119" s="13" t="str">
        <f>IFERROR(__xludf.DUMMYFUNCTION("ifna(filter('Yahoo ADP'!$A$2:$A2766,'Yahoo ADP'!$B$2:$B2766=$B1119,$C1119='Yahoo ADP'!$C$2:$C2766,$D1119='Yahoo ADP'!$D$2:$D2766))"),"")</f>
        <v/>
      </c>
      <c r="F1119" s="13" t="str">
        <f>IFERROR(__xludf.DUMMYFUNCTION("ifna(filter('Yahoo ADP'!$E$2:$E2766,'Yahoo ADP'!$B$2:$B2766=$B1119,$C1119='Yahoo ADP'!$C$2:$C2766,$D1119='Yahoo ADP'!$D$2:$D2766))"),"-")</f>
        <v>-</v>
      </c>
      <c r="G1119" s="27">
        <v>1104.0</v>
      </c>
      <c r="H1119" s="8">
        <f t="shared" si="1"/>
        <v>-14</v>
      </c>
    </row>
    <row r="1120">
      <c r="A1120" s="10">
        <v>1119.0</v>
      </c>
      <c r="B1120" s="11" t="s">
        <v>3965</v>
      </c>
      <c r="C1120" s="10" t="s">
        <v>79</v>
      </c>
      <c r="D1120" s="10" t="s">
        <v>113</v>
      </c>
      <c r="E1120" s="13" t="str">
        <f>IFERROR(__xludf.DUMMYFUNCTION("ifna(filter('Yahoo ADP'!$A$2:$A2766,'Yahoo ADP'!$B$2:$B2766=$B1120,$C1120='Yahoo ADP'!$C$2:$C2766,$D1120='Yahoo ADP'!$D$2:$D2766))"),"")</f>
        <v/>
      </c>
      <c r="F1120" s="13" t="str">
        <f>IFERROR(__xludf.DUMMYFUNCTION("ifna(filter('Yahoo ADP'!$E$2:$E2766,'Yahoo ADP'!$B$2:$B2766=$B1120,$C1120='Yahoo ADP'!$C$2:$C2766,$D1120='Yahoo ADP'!$D$2:$D2766))"),"-")</f>
        <v>-</v>
      </c>
      <c r="G1120" s="27">
        <v>1105.0</v>
      </c>
      <c r="H1120" s="8">
        <f t="shared" si="1"/>
        <v>-14</v>
      </c>
    </row>
    <row r="1121">
      <c r="A1121" s="10">
        <v>1120.0</v>
      </c>
      <c r="B1121" s="11" t="s">
        <v>3966</v>
      </c>
      <c r="C1121" s="10" t="s">
        <v>22</v>
      </c>
      <c r="D1121" s="10" t="s">
        <v>67</v>
      </c>
      <c r="E1121" s="13" t="str">
        <f>IFERROR(__xludf.DUMMYFUNCTION("ifna(filter('Yahoo ADP'!$A$2:$A2766,'Yahoo ADP'!$B$2:$B2766=$B1121,$C1121='Yahoo ADP'!$C$2:$C2766,$D1121='Yahoo ADP'!$D$2:$D2766))"),"")</f>
        <v/>
      </c>
      <c r="F1121" s="13" t="str">
        <f>IFERROR(__xludf.DUMMYFUNCTION("ifna(filter('Yahoo ADP'!$E$2:$E2766,'Yahoo ADP'!$B$2:$B2766=$B1121,$C1121='Yahoo ADP'!$C$2:$C2766,$D1121='Yahoo ADP'!$D$2:$D2766))"),"-")</f>
        <v>-</v>
      </c>
      <c r="G1121" s="27">
        <v>1106.0</v>
      </c>
      <c r="H1121" s="8">
        <f t="shared" si="1"/>
        <v>-14</v>
      </c>
    </row>
    <row r="1122">
      <c r="A1122" s="10">
        <v>1121.0</v>
      </c>
      <c r="B1122" s="11" t="s">
        <v>3967</v>
      </c>
      <c r="C1122" s="10" t="s">
        <v>79</v>
      </c>
      <c r="D1122" s="10" t="s">
        <v>52</v>
      </c>
      <c r="E1122" s="13" t="str">
        <f>IFERROR(__xludf.DUMMYFUNCTION("ifna(filter('Yahoo ADP'!$A$2:$A2766,'Yahoo ADP'!$B$2:$B2766=$B1122,$C1122='Yahoo ADP'!$C$2:$C2766,$D1122='Yahoo ADP'!$D$2:$D2766))"),"")</f>
        <v/>
      </c>
      <c r="F1122" s="13" t="str">
        <f>IFERROR(__xludf.DUMMYFUNCTION("ifna(filter('Yahoo ADP'!$E$2:$E2766,'Yahoo ADP'!$B$2:$B2766=$B1122,$C1122='Yahoo ADP'!$C$2:$C2766,$D1122='Yahoo ADP'!$D$2:$D2766))"),"-")</f>
        <v>-</v>
      </c>
      <c r="G1122" s="27">
        <v>1107.0</v>
      </c>
      <c r="H1122" s="8">
        <f t="shared" si="1"/>
        <v>-14</v>
      </c>
    </row>
    <row r="1123">
      <c r="A1123" s="10">
        <v>1122.0</v>
      </c>
      <c r="B1123" s="11" t="s">
        <v>3968</v>
      </c>
      <c r="C1123" s="10" t="s">
        <v>22</v>
      </c>
      <c r="D1123" s="10" t="s">
        <v>73</v>
      </c>
      <c r="E1123" s="13" t="str">
        <f>IFERROR(__xludf.DUMMYFUNCTION("ifna(filter('Yahoo ADP'!$A$2:$A2766,'Yahoo ADP'!$B$2:$B2766=$B1123,$C1123='Yahoo ADP'!$C$2:$C2766,$D1123='Yahoo ADP'!$D$2:$D2766))"),"")</f>
        <v/>
      </c>
      <c r="F1123" s="13" t="str">
        <f>IFERROR(__xludf.DUMMYFUNCTION("ifna(filter('Yahoo ADP'!$E$2:$E2766,'Yahoo ADP'!$B$2:$B2766=$B1123,$C1123='Yahoo ADP'!$C$2:$C2766,$D1123='Yahoo ADP'!$D$2:$D2766))"),"-")</f>
        <v>-</v>
      </c>
      <c r="G1123" s="27">
        <v>1108.0</v>
      </c>
      <c r="H1123" s="8">
        <f t="shared" si="1"/>
        <v>-14</v>
      </c>
    </row>
    <row r="1124">
      <c r="A1124" s="10">
        <v>1123.0</v>
      </c>
      <c r="B1124" s="11" t="s">
        <v>3969</v>
      </c>
      <c r="C1124" s="10" t="s">
        <v>22</v>
      </c>
      <c r="D1124" s="10" t="s">
        <v>15</v>
      </c>
      <c r="E1124" s="13" t="str">
        <f>IFERROR(__xludf.DUMMYFUNCTION("ifna(filter('Yahoo ADP'!$A$2:$A2766,'Yahoo ADP'!$B$2:$B2766=$B1124,$C1124='Yahoo ADP'!$C$2:$C2766,$D1124='Yahoo ADP'!$D$2:$D2766))"),"")</f>
        <v/>
      </c>
      <c r="F1124" s="13" t="str">
        <f>IFERROR(__xludf.DUMMYFUNCTION("ifna(filter('Yahoo ADP'!$E$2:$E2766,'Yahoo ADP'!$B$2:$B2766=$B1124,$C1124='Yahoo ADP'!$C$2:$C2766,$D1124='Yahoo ADP'!$D$2:$D2766))"),"-")</f>
        <v>-</v>
      </c>
      <c r="G1124" s="27">
        <v>1109.0</v>
      </c>
      <c r="H1124" s="8">
        <f t="shared" si="1"/>
        <v>-14</v>
      </c>
    </row>
    <row r="1125">
      <c r="A1125" s="10">
        <v>1124.0</v>
      </c>
      <c r="B1125" s="11" t="s">
        <v>3970</v>
      </c>
      <c r="C1125" s="10" t="s">
        <v>22</v>
      </c>
      <c r="D1125" s="10" t="s">
        <v>71</v>
      </c>
      <c r="E1125" s="13" t="str">
        <f>IFERROR(__xludf.DUMMYFUNCTION("ifna(filter('Yahoo ADP'!$A$2:$A2766,'Yahoo ADP'!$B$2:$B2766=$B1125,$C1125='Yahoo ADP'!$C$2:$C2766,$D1125='Yahoo ADP'!$D$2:$D2766))"),"")</f>
        <v/>
      </c>
      <c r="F1125" s="13" t="str">
        <f>IFERROR(__xludf.DUMMYFUNCTION("ifna(filter('Yahoo ADP'!$E$2:$E2766,'Yahoo ADP'!$B$2:$B2766=$B1125,$C1125='Yahoo ADP'!$C$2:$C2766,$D1125='Yahoo ADP'!$D$2:$D2766))"),"-")</f>
        <v>-</v>
      </c>
      <c r="G1125" s="27">
        <v>1110.0</v>
      </c>
      <c r="H1125" s="8">
        <f t="shared" si="1"/>
        <v>-14</v>
      </c>
    </row>
    <row r="1126">
      <c r="A1126" s="10">
        <v>1125.0</v>
      </c>
      <c r="B1126" s="11" t="s">
        <v>3971</v>
      </c>
      <c r="C1126" s="10" t="s">
        <v>22</v>
      </c>
      <c r="D1126" s="10" t="s">
        <v>90</v>
      </c>
      <c r="E1126" s="13" t="str">
        <f>IFERROR(__xludf.DUMMYFUNCTION("ifna(filter('Yahoo ADP'!$A$2:$A2766,'Yahoo ADP'!$B$2:$B2766=$B1126,$C1126='Yahoo ADP'!$C$2:$C2766,$D1126='Yahoo ADP'!$D$2:$D2766))"),"")</f>
        <v/>
      </c>
      <c r="F1126" s="13" t="str">
        <f>IFERROR(__xludf.DUMMYFUNCTION("ifna(filter('Yahoo ADP'!$E$2:$E2766,'Yahoo ADP'!$B$2:$B2766=$B1126,$C1126='Yahoo ADP'!$C$2:$C2766,$D1126='Yahoo ADP'!$D$2:$D2766))"),"-")</f>
        <v>-</v>
      </c>
      <c r="G1126" s="27">
        <v>1111.0</v>
      </c>
      <c r="H1126" s="8">
        <f t="shared" si="1"/>
        <v>-14</v>
      </c>
    </row>
    <row r="1127">
      <c r="A1127" s="10">
        <v>1126.0</v>
      </c>
      <c r="B1127" s="11" t="s">
        <v>3972</v>
      </c>
      <c r="C1127" s="10" t="s">
        <v>22</v>
      </c>
      <c r="D1127" s="10" t="s">
        <v>52</v>
      </c>
      <c r="E1127" s="13" t="str">
        <f>IFERROR(__xludf.DUMMYFUNCTION("ifna(filter('Yahoo ADP'!$A$2:$A2766,'Yahoo ADP'!$B$2:$B2766=$B1127,$C1127='Yahoo ADP'!$C$2:$C2766,$D1127='Yahoo ADP'!$D$2:$D2766))"),"")</f>
        <v/>
      </c>
      <c r="F1127" s="13" t="str">
        <f>IFERROR(__xludf.DUMMYFUNCTION("ifna(filter('Yahoo ADP'!$E$2:$E2766,'Yahoo ADP'!$B$2:$B2766=$B1127,$C1127='Yahoo ADP'!$C$2:$C2766,$D1127='Yahoo ADP'!$D$2:$D2766))"),"-")</f>
        <v>-</v>
      </c>
      <c r="G1127" s="27">
        <v>1112.0</v>
      </c>
      <c r="H1127" s="8">
        <f t="shared" si="1"/>
        <v>-14</v>
      </c>
    </row>
    <row r="1128">
      <c r="A1128" s="10">
        <v>1127.0</v>
      </c>
      <c r="B1128" s="11" t="s">
        <v>3973</v>
      </c>
      <c r="C1128" s="10" t="s">
        <v>79</v>
      </c>
      <c r="D1128" s="10" t="s">
        <v>120</v>
      </c>
      <c r="E1128" s="13" t="str">
        <f>IFERROR(__xludf.DUMMYFUNCTION("ifna(filter('Yahoo ADP'!$A$2:$A2766,'Yahoo ADP'!$B$2:$B2766=$B1128,$C1128='Yahoo ADP'!$C$2:$C2766,$D1128='Yahoo ADP'!$D$2:$D2766))"),"")</f>
        <v/>
      </c>
      <c r="F1128" s="13" t="str">
        <f>IFERROR(__xludf.DUMMYFUNCTION("ifna(filter('Yahoo ADP'!$E$2:$E2766,'Yahoo ADP'!$B$2:$B2766=$B1128,$C1128='Yahoo ADP'!$C$2:$C2766,$D1128='Yahoo ADP'!$D$2:$D2766))"),"-")</f>
        <v>-</v>
      </c>
      <c r="G1128" s="27">
        <v>1113.0</v>
      </c>
      <c r="H1128" s="8">
        <f t="shared" si="1"/>
        <v>-14</v>
      </c>
    </row>
    <row r="1129">
      <c r="A1129" s="10">
        <v>1128.0</v>
      </c>
      <c r="B1129" s="11" t="s">
        <v>3974</v>
      </c>
      <c r="C1129" s="10" t="s">
        <v>22</v>
      </c>
      <c r="D1129" s="10" t="s">
        <v>73</v>
      </c>
      <c r="E1129" s="13" t="str">
        <f>IFERROR(__xludf.DUMMYFUNCTION("ifna(filter('Yahoo ADP'!$A$2:$A2766,'Yahoo ADP'!$B$2:$B2766=$B1129,$C1129='Yahoo ADP'!$C$2:$C2766,$D1129='Yahoo ADP'!$D$2:$D2766))"),"")</f>
        <v/>
      </c>
      <c r="F1129" s="13" t="str">
        <f>IFERROR(__xludf.DUMMYFUNCTION("ifna(filter('Yahoo ADP'!$E$2:$E2766,'Yahoo ADP'!$B$2:$B2766=$B1129,$C1129='Yahoo ADP'!$C$2:$C2766,$D1129='Yahoo ADP'!$D$2:$D2766))"),"-")</f>
        <v>-</v>
      </c>
      <c r="G1129" s="27">
        <v>1114.0</v>
      </c>
      <c r="H1129" s="8">
        <f t="shared" si="1"/>
        <v>-14</v>
      </c>
    </row>
    <row r="1130">
      <c r="A1130" s="10">
        <v>1129.0</v>
      </c>
      <c r="B1130" s="11" t="s">
        <v>3975</v>
      </c>
      <c r="C1130" s="10" t="s">
        <v>22</v>
      </c>
      <c r="D1130" s="10" t="s">
        <v>46</v>
      </c>
      <c r="E1130" s="13" t="str">
        <f>IFERROR(__xludf.DUMMYFUNCTION("ifna(filter('Yahoo ADP'!$A$2:$A2766,'Yahoo ADP'!$B$2:$B2766=$B1130,$C1130='Yahoo ADP'!$C$2:$C2766,$D1130='Yahoo ADP'!$D$2:$D2766))"),"")</f>
        <v/>
      </c>
      <c r="F1130" s="13" t="str">
        <f>IFERROR(__xludf.DUMMYFUNCTION("ifna(filter('Yahoo ADP'!$E$2:$E2766,'Yahoo ADP'!$B$2:$B2766=$B1130,$C1130='Yahoo ADP'!$C$2:$C2766,$D1130='Yahoo ADP'!$D$2:$D2766))"),"-")</f>
        <v>-</v>
      </c>
      <c r="G1130" s="27">
        <v>1115.0</v>
      </c>
      <c r="H1130" s="8">
        <f t="shared" si="1"/>
        <v>-14</v>
      </c>
    </row>
    <row r="1131">
      <c r="A1131" s="10">
        <v>1130.0</v>
      </c>
      <c r="B1131" s="11" t="s">
        <v>3976</v>
      </c>
      <c r="C1131" s="10" t="s">
        <v>22</v>
      </c>
      <c r="D1131" s="10" t="s">
        <v>34</v>
      </c>
      <c r="E1131" s="13" t="str">
        <f>IFERROR(__xludf.DUMMYFUNCTION("ifna(filter('Yahoo ADP'!$A$2:$A2766,'Yahoo ADP'!$B$2:$B2766=$B1131,$C1131='Yahoo ADP'!$C$2:$C2766,$D1131='Yahoo ADP'!$D$2:$D2766))"),"")</f>
        <v/>
      </c>
      <c r="F1131" s="13" t="str">
        <f>IFERROR(__xludf.DUMMYFUNCTION("ifna(filter('Yahoo ADP'!$E$2:$E2766,'Yahoo ADP'!$B$2:$B2766=$B1131,$C1131='Yahoo ADP'!$C$2:$C2766,$D1131='Yahoo ADP'!$D$2:$D2766))"),"-")</f>
        <v>-</v>
      </c>
      <c r="G1131" s="27">
        <v>1116.0</v>
      </c>
      <c r="H1131" s="8">
        <f t="shared" si="1"/>
        <v>-14</v>
      </c>
    </row>
    <row r="1132">
      <c r="A1132" s="10">
        <v>1131.0</v>
      </c>
      <c r="B1132" s="11" t="s">
        <v>3977</v>
      </c>
      <c r="C1132" s="10" t="s">
        <v>22</v>
      </c>
      <c r="D1132" s="10" t="s">
        <v>206</v>
      </c>
      <c r="E1132" s="13" t="str">
        <f>IFERROR(__xludf.DUMMYFUNCTION("ifna(filter('Yahoo ADP'!$A$2:$A2766,'Yahoo ADP'!$B$2:$B2766=$B1132,$C1132='Yahoo ADP'!$C$2:$C2766,$D1132='Yahoo ADP'!$D$2:$D2766))"),"")</f>
        <v/>
      </c>
      <c r="F1132" s="13" t="str">
        <f>IFERROR(__xludf.DUMMYFUNCTION("ifna(filter('Yahoo ADP'!$E$2:$E2766,'Yahoo ADP'!$B$2:$B2766=$B1132,$C1132='Yahoo ADP'!$C$2:$C2766,$D1132='Yahoo ADP'!$D$2:$D2766))"),"-")</f>
        <v>-</v>
      </c>
      <c r="G1132" s="27">
        <v>1117.0</v>
      </c>
      <c r="H1132" s="8">
        <f t="shared" si="1"/>
        <v>-14</v>
      </c>
    </row>
    <row r="1133">
      <c r="A1133" s="10">
        <v>1132.0</v>
      </c>
      <c r="B1133" s="11" t="s">
        <v>3978</v>
      </c>
      <c r="C1133" s="10" t="s">
        <v>22</v>
      </c>
      <c r="D1133" s="10" t="s">
        <v>15</v>
      </c>
      <c r="E1133" s="13" t="str">
        <f>IFERROR(__xludf.DUMMYFUNCTION("ifna(filter('Yahoo ADP'!$A$2:$A2766,'Yahoo ADP'!$B$2:$B2766=$B1133,$C1133='Yahoo ADP'!$C$2:$C2766,$D1133='Yahoo ADP'!$D$2:$D2766))"),"")</f>
        <v/>
      </c>
      <c r="F1133" s="13" t="str">
        <f>IFERROR(__xludf.DUMMYFUNCTION("ifna(filter('Yahoo ADP'!$E$2:$E2766,'Yahoo ADP'!$B$2:$B2766=$B1133,$C1133='Yahoo ADP'!$C$2:$C2766,$D1133='Yahoo ADP'!$D$2:$D2766))"),"-")</f>
        <v>-</v>
      </c>
      <c r="G1133" s="27">
        <v>1118.0</v>
      </c>
      <c r="H1133" s="8">
        <f t="shared" si="1"/>
        <v>-14</v>
      </c>
    </row>
    <row r="1134">
      <c r="A1134" s="10">
        <v>1133.0</v>
      </c>
      <c r="B1134" s="11" t="s">
        <v>3979</v>
      </c>
      <c r="C1134" s="10" t="s">
        <v>79</v>
      </c>
      <c r="D1134" s="10" t="s">
        <v>9</v>
      </c>
      <c r="E1134" s="13" t="str">
        <f>IFERROR(__xludf.DUMMYFUNCTION("ifna(filter('Yahoo ADP'!$A$2:$A2766,'Yahoo ADP'!$B$2:$B2766=$B1134,$C1134='Yahoo ADP'!$C$2:$C2766,$D1134='Yahoo ADP'!$D$2:$D2766))"),"")</f>
        <v/>
      </c>
      <c r="F1134" s="13" t="str">
        <f>IFERROR(__xludf.DUMMYFUNCTION("ifna(filter('Yahoo ADP'!$E$2:$E2766,'Yahoo ADP'!$B$2:$B2766=$B1134,$C1134='Yahoo ADP'!$C$2:$C2766,$D1134='Yahoo ADP'!$D$2:$D2766))"),"-")</f>
        <v>-</v>
      </c>
      <c r="G1134" s="27">
        <v>1119.0</v>
      </c>
      <c r="H1134" s="8">
        <f t="shared" si="1"/>
        <v>-14</v>
      </c>
    </row>
    <row r="1135">
      <c r="A1135" s="10">
        <v>1134.0</v>
      </c>
      <c r="B1135" s="11" t="s">
        <v>3980</v>
      </c>
      <c r="C1135" s="10" t="s">
        <v>79</v>
      </c>
      <c r="D1135" s="10" t="s">
        <v>82</v>
      </c>
      <c r="E1135" s="13" t="str">
        <f>IFERROR(__xludf.DUMMYFUNCTION("ifna(filter('Yahoo ADP'!$A$2:$A2766,'Yahoo ADP'!$B$2:$B2766=$B1135,$C1135='Yahoo ADP'!$C$2:$C2766,$D1135='Yahoo ADP'!$D$2:$D2766))"),"")</f>
        <v/>
      </c>
      <c r="F1135" s="13" t="str">
        <f>IFERROR(__xludf.DUMMYFUNCTION("ifna(filter('Yahoo ADP'!$E$2:$E2766,'Yahoo ADP'!$B$2:$B2766=$B1135,$C1135='Yahoo ADP'!$C$2:$C2766,$D1135='Yahoo ADP'!$D$2:$D2766))"),"-")</f>
        <v>-</v>
      </c>
      <c r="G1135" s="27">
        <v>1120.0</v>
      </c>
      <c r="H1135" s="8">
        <f t="shared" si="1"/>
        <v>-14</v>
      </c>
    </row>
    <row r="1136">
      <c r="A1136" s="10">
        <v>1135.0</v>
      </c>
      <c r="B1136" s="11" t="s">
        <v>3981</v>
      </c>
      <c r="C1136" s="10" t="s">
        <v>79</v>
      </c>
      <c r="D1136" s="10" t="s">
        <v>31</v>
      </c>
      <c r="E1136" s="13" t="str">
        <f>IFERROR(__xludf.DUMMYFUNCTION("ifna(filter('Yahoo ADP'!$A$2:$A2766,'Yahoo ADP'!$B$2:$B2766=$B1136,$C1136='Yahoo ADP'!$C$2:$C2766,$D1136='Yahoo ADP'!$D$2:$D2766))"),"")</f>
        <v/>
      </c>
      <c r="F1136" s="13" t="str">
        <f>IFERROR(__xludf.DUMMYFUNCTION("ifna(filter('Yahoo ADP'!$E$2:$E2766,'Yahoo ADP'!$B$2:$B2766=$B1136,$C1136='Yahoo ADP'!$C$2:$C2766,$D1136='Yahoo ADP'!$D$2:$D2766))"),"-")</f>
        <v>-</v>
      </c>
      <c r="G1136" s="27">
        <v>1121.0</v>
      </c>
      <c r="H1136" s="8">
        <f t="shared" si="1"/>
        <v>-14</v>
      </c>
    </row>
    <row r="1137">
      <c r="A1137" s="10">
        <v>1136.0</v>
      </c>
      <c r="B1137" s="11" t="s">
        <v>3982</v>
      </c>
      <c r="C1137" s="10" t="s">
        <v>22</v>
      </c>
      <c r="D1137" s="10" t="s">
        <v>34</v>
      </c>
      <c r="E1137" s="13" t="str">
        <f>IFERROR(__xludf.DUMMYFUNCTION("ifna(filter('Yahoo ADP'!$A$2:$A2766,'Yahoo ADP'!$B$2:$B2766=$B1137,$C1137='Yahoo ADP'!$C$2:$C2766,$D1137='Yahoo ADP'!$D$2:$D2766))"),"")</f>
        <v/>
      </c>
      <c r="F1137" s="13" t="str">
        <f>IFERROR(__xludf.DUMMYFUNCTION("ifna(filter('Yahoo ADP'!$E$2:$E2766,'Yahoo ADP'!$B$2:$B2766=$B1137,$C1137='Yahoo ADP'!$C$2:$C2766,$D1137='Yahoo ADP'!$D$2:$D2766))"),"-")</f>
        <v>-</v>
      </c>
      <c r="G1137" s="27">
        <v>1122.0</v>
      </c>
      <c r="H1137" s="8">
        <f t="shared" si="1"/>
        <v>-14</v>
      </c>
    </row>
    <row r="1138">
      <c r="A1138" s="10">
        <v>1137.0</v>
      </c>
      <c r="B1138" s="11" t="s">
        <v>3983</v>
      </c>
      <c r="C1138" s="10" t="s">
        <v>22</v>
      </c>
      <c r="D1138" s="10" t="s">
        <v>36</v>
      </c>
      <c r="E1138" s="13" t="str">
        <f>IFERROR(__xludf.DUMMYFUNCTION("ifna(filter('Yahoo ADP'!$A$2:$A2766,'Yahoo ADP'!$B$2:$B2766=$B1138,$C1138='Yahoo ADP'!$C$2:$C2766,$D1138='Yahoo ADP'!$D$2:$D2766))"),"")</f>
        <v/>
      </c>
      <c r="F1138" s="13" t="str">
        <f>IFERROR(__xludf.DUMMYFUNCTION("ifna(filter('Yahoo ADP'!$E$2:$E2766,'Yahoo ADP'!$B$2:$B2766=$B1138,$C1138='Yahoo ADP'!$C$2:$C2766,$D1138='Yahoo ADP'!$D$2:$D2766))"),"-")</f>
        <v>-</v>
      </c>
      <c r="G1138" s="27">
        <v>1123.0</v>
      </c>
      <c r="H1138" s="8">
        <f t="shared" si="1"/>
        <v>-14</v>
      </c>
    </row>
    <row r="1139">
      <c r="A1139" s="10">
        <v>1138.0</v>
      </c>
      <c r="B1139" s="11" t="s">
        <v>3984</v>
      </c>
      <c r="C1139" s="10" t="s">
        <v>79</v>
      </c>
      <c r="D1139" s="10" t="s">
        <v>129</v>
      </c>
      <c r="E1139" s="13" t="str">
        <f>IFERROR(__xludf.DUMMYFUNCTION("ifna(filter('Yahoo ADP'!$A$2:$A2766,'Yahoo ADP'!$B$2:$B2766=$B1139,$C1139='Yahoo ADP'!$C$2:$C2766,$D1139='Yahoo ADP'!$D$2:$D2766))"),"")</f>
        <v/>
      </c>
      <c r="F1139" s="13" t="str">
        <f>IFERROR(__xludf.DUMMYFUNCTION("ifna(filter('Yahoo ADP'!$E$2:$E2766,'Yahoo ADP'!$B$2:$B2766=$B1139,$C1139='Yahoo ADP'!$C$2:$C2766,$D1139='Yahoo ADP'!$D$2:$D2766))"),"-")</f>
        <v>-</v>
      </c>
      <c r="G1139" s="27">
        <v>1124.0</v>
      </c>
      <c r="H1139" s="8">
        <f t="shared" si="1"/>
        <v>-14</v>
      </c>
    </row>
    <row r="1140">
      <c r="A1140" s="10">
        <v>1139.0</v>
      </c>
      <c r="B1140" s="11" t="s">
        <v>3985</v>
      </c>
      <c r="C1140" s="10" t="s">
        <v>22</v>
      </c>
      <c r="D1140" s="10" t="s">
        <v>12</v>
      </c>
      <c r="E1140" s="13" t="str">
        <f>IFERROR(__xludf.DUMMYFUNCTION("ifna(filter('Yahoo ADP'!$A$2:$A2766,'Yahoo ADP'!$B$2:$B2766=$B1140,$C1140='Yahoo ADP'!$C$2:$C2766,$D1140='Yahoo ADP'!$D$2:$D2766))"),"")</f>
        <v/>
      </c>
      <c r="F1140" s="13" t="str">
        <f>IFERROR(__xludf.DUMMYFUNCTION("ifna(filter('Yahoo ADP'!$E$2:$E2766,'Yahoo ADP'!$B$2:$B2766=$B1140,$C1140='Yahoo ADP'!$C$2:$C2766,$D1140='Yahoo ADP'!$D$2:$D2766))"),"-")</f>
        <v>-</v>
      </c>
      <c r="G1140" s="27">
        <v>1125.0</v>
      </c>
      <c r="H1140" s="8">
        <f t="shared" si="1"/>
        <v>-14</v>
      </c>
    </row>
    <row r="1141">
      <c r="A1141" s="10">
        <v>1140.0</v>
      </c>
      <c r="B1141" s="11" t="s">
        <v>3986</v>
      </c>
      <c r="C1141" s="10" t="s">
        <v>22</v>
      </c>
      <c r="D1141" s="10" t="s">
        <v>122</v>
      </c>
      <c r="E1141" s="13" t="str">
        <f>IFERROR(__xludf.DUMMYFUNCTION("ifna(filter('Yahoo ADP'!$A$2:$A2766,'Yahoo ADP'!$B$2:$B2766=$B1141,$C1141='Yahoo ADP'!$C$2:$C2766,$D1141='Yahoo ADP'!$D$2:$D2766))"),"")</f>
        <v/>
      </c>
      <c r="F1141" s="13" t="str">
        <f>IFERROR(__xludf.DUMMYFUNCTION("ifna(filter('Yahoo ADP'!$E$2:$E2766,'Yahoo ADP'!$B$2:$B2766=$B1141,$C1141='Yahoo ADP'!$C$2:$C2766,$D1141='Yahoo ADP'!$D$2:$D2766))"),"-")</f>
        <v>-</v>
      </c>
      <c r="G1141" s="27">
        <v>1126.0</v>
      </c>
      <c r="H1141" s="8">
        <f t="shared" si="1"/>
        <v>-14</v>
      </c>
    </row>
    <row r="1142">
      <c r="A1142" s="10">
        <v>1141.0</v>
      </c>
      <c r="B1142" s="11" t="s">
        <v>3987</v>
      </c>
      <c r="C1142" s="10" t="s">
        <v>79</v>
      </c>
      <c r="D1142" s="10" t="s">
        <v>122</v>
      </c>
      <c r="E1142" s="13" t="str">
        <f>IFERROR(__xludf.DUMMYFUNCTION("ifna(filter('Yahoo ADP'!$A$2:$A2766,'Yahoo ADP'!$B$2:$B2766=$B1142,$C1142='Yahoo ADP'!$C$2:$C2766,$D1142='Yahoo ADP'!$D$2:$D2766))"),"")</f>
        <v/>
      </c>
      <c r="F1142" s="13" t="str">
        <f>IFERROR(__xludf.DUMMYFUNCTION("ifna(filter('Yahoo ADP'!$E$2:$E2766,'Yahoo ADP'!$B$2:$B2766=$B1142,$C1142='Yahoo ADP'!$C$2:$C2766,$D1142='Yahoo ADP'!$D$2:$D2766))"),"-")</f>
        <v>-</v>
      </c>
      <c r="G1142" s="27">
        <v>1127.0</v>
      </c>
      <c r="H1142" s="8">
        <f t="shared" si="1"/>
        <v>-14</v>
      </c>
    </row>
    <row r="1143">
      <c r="A1143" s="10">
        <v>1142.0</v>
      </c>
      <c r="B1143" s="11" t="s">
        <v>3988</v>
      </c>
      <c r="C1143" s="10" t="s">
        <v>22</v>
      </c>
      <c r="D1143" s="10" t="s">
        <v>27</v>
      </c>
      <c r="E1143" s="13" t="str">
        <f>IFERROR(__xludf.DUMMYFUNCTION("ifna(filter('Yahoo ADP'!$A$2:$A2766,'Yahoo ADP'!$B$2:$B2766=$B1143,$C1143='Yahoo ADP'!$C$2:$C2766,$D1143='Yahoo ADP'!$D$2:$D2766))"),"")</f>
        <v/>
      </c>
      <c r="F1143" s="13" t="str">
        <f>IFERROR(__xludf.DUMMYFUNCTION("ifna(filter('Yahoo ADP'!$E$2:$E2766,'Yahoo ADP'!$B$2:$B2766=$B1143,$C1143='Yahoo ADP'!$C$2:$C2766,$D1143='Yahoo ADP'!$D$2:$D2766))"),"-")</f>
        <v>-</v>
      </c>
      <c r="G1143" s="27">
        <v>1128.0</v>
      </c>
      <c r="H1143" s="8">
        <f t="shared" si="1"/>
        <v>-14</v>
      </c>
    </row>
    <row r="1144">
      <c r="A1144" s="10">
        <v>1143.0</v>
      </c>
      <c r="B1144" s="11" t="s">
        <v>3989</v>
      </c>
      <c r="C1144" s="10" t="s">
        <v>22</v>
      </c>
      <c r="D1144" s="10" t="s">
        <v>42</v>
      </c>
      <c r="E1144" s="13" t="str">
        <f>IFERROR(__xludf.DUMMYFUNCTION("ifna(filter('Yahoo ADP'!$A$2:$A2766,'Yahoo ADP'!$B$2:$B2766=$B1144,$C1144='Yahoo ADP'!$C$2:$C2766,$D1144='Yahoo ADP'!$D$2:$D2766))"),"")</f>
        <v/>
      </c>
      <c r="F1144" s="13" t="str">
        <f>IFERROR(__xludf.DUMMYFUNCTION("ifna(filter('Yahoo ADP'!$E$2:$E2766,'Yahoo ADP'!$B$2:$B2766=$B1144,$C1144='Yahoo ADP'!$C$2:$C2766,$D1144='Yahoo ADP'!$D$2:$D2766))"),"-")</f>
        <v>-</v>
      </c>
      <c r="G1144" s="27">
        <v>1129.0</v>
      </c>
      <c r="H1144" s="8">
        <f t="shared" si="1"/>
        <v>-14</v>
      </c>
    </row>
    <row r="1145">
      <c r="A1145" s="10">
        <v>1144.0</v>
      </c>
      <c r="B1145" s="11" t="s">
        <v>3990</v>
      </c>
      <c r="C1145" s="10" t="s">
        <v>79</v>
      </c>
      <c r="D1145" s="10" t="s">
        <v>42</v>
      </c>
      <c r="E1145" s="13" t="str">
        <f>IFERROR(__xludf.DUMMYFUNCTION("ifna(filter('Yahoo ADP'!$A$2:$A2766,'Yahoo ADP'!$B$2:$B2766=$B1145,$C1145='Yahoo ADP'!$C$2:$C2766,$D1145='Yahoo ADP'!$D$2:$D2766))"),"")</f>
        <v/>
      </c>
      <c r="F1145" s="13" t="str">
        <f>IFERROR(__xludf.DUMMYFUNCTION("ifna(filter('Yahoo ADP'!$E$2:$E2766,'Yahoo ADP'!$B$2:$B2766=$B1145,$C1145='Yahoo ADP'!$C$2:$C2766,$D1145='Yahoo ADP'!$D$2:$D2766))"),"-")</f>
        <v>-</v>
      </c>
      <c r="G1145" s="27">
        <v>1130.0</v>
      </c>
      <c r="H1145" s="8">
        <f t="shared" si="1"/>
        <v>-14</v>
      </c>
    </row>
    <row r="1146">
      <c r="A1146" s="10">
        <v>1145.0</v>
      </c>
      <c r="B1146" s="11" t="s">
        <v>3991</v>
      </c>
      <c r="C1146" s="10" t="s">
        <v>22</v>
      </c>
      <c r="D1146" s="10" t="s">
        <v>140</v>
      </c>
      <c r="E1146" s="13" t="str">
        <f>IFERROR(__xludf.DUMMYFUNCTION("ifna(filter('Yahoo ADP'!$A$2:$A2766,'Yahoo ADP'!$B$2:$B2766=$B1146,$C1146='Yahoo ADP'!$C$2:$C2766,$D1146='Yahoo ADP'!$D$2:$D2766))"),"")</f>
        <v/>
      </c>
      <c r="F1146" s="13" t="str">
        <f>IFERROR(__xludf.DUMMYFUNCTION("ifna(filter('Yahoo ADP'!$E$2:$E2766,'Yahoo ADP'!$B$2:$B2766=$B1146,$C1146='Yahoo ADP'!$C$2:$C2766,$D1146='Yahoo ADP'!$D$2:$D2766))"),"-")</f>
        <v>-</v>
      </c>
      <c r="G1146" s="27">
        <v>1131.0</v>
      </c>
      <c r="H1146" s="8">
        <f t="shared" si="1"/>
        <v>-14</v>
      </c>
    </row>
    <row r="1147">
      <c r="A1147" s="10">
        <v>1146.0</v>
      </c>
      <c r="B1147" s="11" t="s">
        <v>3992</v>
      </c>
      <c r="C1147" s="10" t="s">
        <v>22</v>
      </c>
      <c r="D1147" s="10" t="s">
        <v>23</v>
      </c>
      <c r="E1147" s="13" t="str">
        <f>IFERROR(__xludf.DUMMYFUNCTION("ifna(filter('Yahoo ADP'!$A$2:$A2766,'Yahoo ADP'!$B$2:$B2766=$B1147,$C1147='Yahoo ADP'!$C$2:$C2766,$D1147='Yahoo ADP'!$D$2:$D2766))"),"")</f>
        <v/>
      </c>
      <c r="F1147" s="13" t="str">
        <f>IFERROR(__xludf.DUMMYFUNCTION("ifna(filter('Yahoo ADP'!$E$2:$E2766,'Yahoo ADP'!$B$2:$B2766=$B1147,$C1147='Yahoo ADP'!$C$2:$C2766,$D1147='Yahoo ADP'!$D$2:$D2766))"),"-")</f>
        <v>-</v>
      </c>
      <c r="G1147" s="27">
        <v>1132.0</v>
      </c>
      <c r="H1147" s="8">
        <f t="shared" si="1"/>
        <v>-14</v>
      </c>
    </row>
    <row r="1148">
      <c r="A1148" s="10">
        <v>1147.0</v>
      </c>
      <c r="B1148" s="11" t="s">
        <v>3993</v>
      </c>
      <c r="C1148" s="10" t="s">
        <v>79</v>
      </c>
      <c r="D1148" s="10" t="s">
        <v>27</v>
      </c>
      <c r="E1148" s="13" t="str">
        <f>IFERROR(__xludf.DUMMYFUNCTION("ifna(filter('Yahoo ADP'!$A$2:$A2766,'Yahoo ADP'!$B$2:$B2766=$B1148,$C1148='Yahoo ADP'!$C$2:$C2766,$D1148='Yahoo ADP'!$D$2:$D2766))"),"")</f>
        <v/>
      </c>
      <c r="F1148" s="13" t="str">
        <f>IFERROR(__xludf.DUMMYFUNCTION("ifna(filter('Yahoo ADP'!$E$2:$E2766,'Yahoo ADP'!$B$2:$B2766=$B1148,$C1148='Yahoo ADP'!$C$2:$C2766,$D1148='Yahoo ADP'!$D$2:$D2766))"),"-")</f>
        <v>-</v>
      </c>
      <c r="G1148" s="27">
        <v>1133.0</v>
      </c>
      <c r="H1148" s="8">
        <f t="shared" si="1"/>
        <v>-14</v>
      </c>
    </row>
    <row r="1149">
      <c r="A1149" s="10">
        <v>1148.0</v>
      </c>
      <c r="B1149" s="11" t="s">
        <v>3994</v>
      </c>
      <c r="C1149" s="10" t="s">
        <v>22</v>
      </c>
      <c r="D1149" s="10" t="s">
        <v>73</v>
      </c>
      <c r="E1149" s="13" t="str">
        <f>IFERROR(__xludf.DUMMYFUNCTION("ifna(filter('Yahoo ADP'!$A$2:$A2766,'Yahoo ADP'!$B$2:$B2766=$B1149,$C1149='Yahoo ADP'!$C$2:$C2766,$D1149='Yahoo ADP'!$D$2:$D2766))"),"")</f>
        <v/>
      </c>
      <c r="F1149" s="13" t="str">
        <f>IFERROR(__xludf.DUMMYFUNCTION("ifna(filter('Yahoo ADP'!$E$2:$E2766,'Yahoo ADP'!$B$2:$B2766=$B1149,$C1149='Yahoo ADP'!$C$2:$C2766,$D1149='Yahoo ADP'!$D$2:$D2766))"),"-")</f>
        <v>-</v>
      </c>
      <c r="G1149" s="27">
        <v>1134.0</v>
      </c>
      <c r="H1149" s="8">
        <f t="shared" si="1"/>
        <v>-14</v>
      </c>
    </row>
    <row r="1150">
      <c r="A1150" s="10">
        <v>1149.0</v>
      </c>
      <c r="B1150" s="11" t="s">
        <v>3995</v>
      </c>
      <c r="C1150" s="10" t="s">
        <v>22</v>
      </c>
      <c r="D1150" s="10" t="s">
        <v>120</v>
      </c>
      <c r="E1150" s="13" t="str">
        <f>IFERROR(__xludf.DUMMYFUNCTION("ifna(filter('Yahoo ADP'!$A$2:$A2766,'Yahoo ADP'!$B$2:$B2766=$B1150,$C1150='Yahoo ADP'!$C$2:$C2766,$D1150='Yahoo ADP'!$D$2:$D2766))"),"")</f>
        <v/>
      </c>
      <c r="F1150" s="13" t="str">
        <f>IFERROR(__xludf.DUMMYFUNCTION("ifna(filter('Yahoo ADP'!$E$2:$E2766,'Yahoo ADP'!$B$2:$B2766=$B1150,$C1150='Yahoo ADP'!$C$2:$C2766,$D1150='Yahoo ADP'!$D$2:$D2766))"),"-")</f>
        <v>-</v>
      </c>
      <c r="G1150" s="27">
        <v>1135.0</v>
      </c>
      <c r="H1150" s="8">
        <f t="shared" si="1"/>
        <v>-14</v>
      </c>
    </row>
    <row r="1151">
      <c r="A1151" s="10">
        <v>1150.0</v>
      </c>
      <c r="B1151" s="11" t="s">
        <v>3996</v>
      </c>
      <c r="C1151" s="10" t="s">
        <v>79</v>
      </c>
      <c r="D1151" s="10" t="s">
        <v>67</v>
      </c>
      <c r="E1151" s="13" t="str">
        <f>IFERROR(__xludf.DUMMYFUNCTION("ifna(filter('Yahoo ADP'!$A$2:$A2766,'Yahoo ADP'!$B$2:$B2766=$B1151,$C1151='Yahoo ADP'!$C$2:$C2766,$D1151='Yahoo ADP'!$D$2:$D2766))"),"")</f>
        <v/>
      </c>
      <c r="F1151" s="13" t="str">
        <f>IFERROR(__xludf.DUMMYFUNCTION("ifna(filter('Yahoo ADP'!$E$2:$E2766,'Yahoo ADP'!$B$2:$B2766=$B1151,$C1151='Yahoo ADP'!$C$2:$C2766,$D1151='Yahoo ADP'!$D$2:$D2766))"),"-")</f>
        <v>-</v>
      </c>
      <c r="G1151" s="27">
        <v>1136.0</v>
      </c>
      <c r="H1151" s="8">
        <f t="shared" si="1"/>
        <v>-14</v>
      </c>
    </row>
    <row r="1152">
      <c r="A1152" s="10">
        <v>1151.0</v>
      </c>
      <c r="B1152" s="11" t="s">
        <v>3997</v>
      </c>
      <c r="C1152" s="10" t="s">
        <v>22</v>
      </c>
      <c r="D1152" s="10" t="s">
        <v>15</v>
      </c>
      <c r="E1152" s="13" t="str">
        <f>IFERROR(__xludf.DUMMYFUNCTION("ifna(filter('Yahoo ADP'!$A$2:$A2766,'Yahoo ADP'!$B$2:$B2766=$B1152,$C1152='Yahoo ADP'!$C$2:$C2766,$D1152='Yahoo ADP'!$D$2:$D2766))"),"")</f>
        <v/>
      </c>
      <c r="F1152" s="13" t="str">
        <f>IFERROR(__xludf.DUMMYFUNCTION("ifna(filter('Yahoo ADP'!$E$2:$E2766,'Yahoo ADP'!$B$2:$B2766=$B1152,$C1152='Yahoo ADP'!$C$2:$C2766,$D1152='Yahoo ADP'!$D$2:$D2766))"),"-")</f>
        <v>-</v>
      </c>
      <c r="G1152" s="27">
        <v>1137.0</v>
      </c>
      <c r="H1152" s="8">
        <f t="shared" si="1"/>
        <v>-14</v>
      </c>
    </row>
    <row r="1153">
      <c r="A1153" s="10">
        <v>1152.0</v>
      </c>
      <c r="B1153" s="11" t="s">
        <v>3998</v>
      </c>
      <c r="C1153" s="10" t="s">
        <v>22</v>
      </c>
      <c r="D1153" s="10" t="s">
        <v>129</v>
      </c>
      <c r="E1153" s="13" t="str">
        <f>IFERROR(__xludf.DUMMYFUNCTION("ifna(filter('Yahoo ADP'!$A$2:$A2766,'Yahoo ADP'!$B$2:$B2766=$B1153,$C1153='Yahoo ADP'!$C$2:$C2766,$D1153='Yahoo ADP'!$D$2:$D2766))"),"")</f>
        <v/>
      </c>
      <c r="F1153" s="13" t="str">
        <f>IFERROR(__xludf.DUMMYFUNCTION("ifna(filter('Yahoo ADP'!$E$2:$E2766,'Yahoo ADP'!$B$2:$B2766=$B1153,$C1153='Yahoo ADP'!$C$2:$C2766,$D1153='Yahoo ADP'!$D$2:$D2766))"),"-")</f>
        <v>-</v>
      </c>
      <c r="G1153" s="27">
        <v>1138.0</v>
      </c>
      <c r="H1153" s="8">
        <f t="shared" si="1"/>
        <v>-14</v>
      </c>
    </row>
    <row r="1154">
      <c r="A1154" s="10">
        <v>1153.0</v>
      </c>
      <c r="B1154" s="11" t="s">
        <v>3999</v>
      </c>
      <c r="C1154" s="10" t="s">
        <v>79</v>
      </c>
      <c r="D1154" s="10" t="s">
        <v>46</v>
      </c>
      <c r="E1154" s="13" t="str">
        <f>IFERROR(__xludf.DUMMYFUNCTION("ifna(filter('Yahoo ADP'!$A$2:$A2766,'Yahoo ADP'!$B$2:$B2766=$B1154,$C1154='Yahoo ADP'!$C$2:$C2766,$D1154='Yahoo ADP'!$D$2:$D2766))"),"")</f>
        <v/>
      </c>
      <c r="F1154" s="13" t="str">
        <f>IFERROR(__xludf.DUMMYFUNCTION("ifna(filter('Yahoo ADP'!$E$2:$E2766,'Yahoo ADP'!$B$2:$B2766=$B1154,$C1154='Yahoo ADP'!$C$2:$C2766,$D1154='Yahoo ADP'!$D$2:$D2766))"),"-")</f>
        <v>-</v>
      </c>
      <c r="G1154" s="27">
        <v>1139.0</v>
      </c>
      <c r="H1154" s="8">
        <f t="shared" si="1"/>
        <v>-14</v>
      </c>
    </row>
    <row r="1155">
      <c r="A1155" s="10">
        <v>1154.0</v>
      </c>
      <c r="B1155" s="11" t="s">
        <v>4000</v>
      </c>
      <c r="C1155" s="10" t="s">
        <v>22</v>
      </c>
      <c r="D1155" s="10" t="s">
        <v>71</v>
      </c>
      <c r="E1155" s="13" t="str">
        <f>IFERROR(__xludf.DUMMYFUNCTION("ifna(filter('Yahoo ADP'!$A$2:$A2766,'Yahoo ADP'!$B$2:$B2766=$B1155,$C1155='Yahoo ADP'!$C$2:$C2766,$D1155='Yahoo ADP'!$D$2:$D2766))"),"")</f>
        <v/>
      </c>
      <c r="F1155" s="13" t="str">
        <f>IFERROR(__xludf.DUMMYFUNCTION("ifna(filter('Yahoo ADP'!$E$2:$E2766,'Yahoo ADP'!$B$2:$B2766=$B1155,$C1155='Yahoo ADP'!$C$2:$C2766,$D1155='Yahoo ADP'!$D$2:$D2766))"),"-")</f>
        <v>-</v>
      </c>
      <c r="G1155" s="27">
        <v>1140.0</v>
      </c>
      <c r="H1155" s="8">
        <f t="shared" si="1"/>
        <v>-14</v>
      </c>
    </row>
    <row r="1156">
      <c r="A1156" s="10">
        <v>1155.0</v>
      </c>
      <c r="B1156" s="11" t="s">
        <v>4001</v>
      </c>
      <c r="C1156" s="10" t="s">
        <v>22</v>
      </c>
      <c r="D1156" s="10" t="s">
        <v>137</v>
      </c>
      <c r="E1156" s="13" t="str">
        <f>IFERROR(__xludf.DUMMYFUNCTION("ifna(filter('Yahoo ADP'!$A$2:$A2766,'Yahoo ADP'!$B$2:$B2766=$B1156,$C1156='Yahoo ADP'!$C$2:$C2766,$D1156='Yahoo ADP'!$D$2:$D2766))"),"")</f>
        <v/>
      </c>
      <c r="F1156" s="13" t="str">
        <f>IFERROR(__xludf.DUMMYFUNCTION("ifna(filter('Yahoo ADP'!$E$2:$E2766,'Yahoo ADP'!$B$2:$B2766=$B1156,$C1156='Yahoo ADP'!$C$2:$C2766,$D1156='Yahoo ADP'!$D$2:$D2766))"),"-")</f>
        <v>-</v>
      </c>
      <c r="G1156" s="27">
        <v>1141.0</v>
      </c>
      <c r="H1156" s="8">
        <f t="shared" si="1"/>
        <v>-14</v>
      </c>
    </row>
    <row r="1157">
      <c r="A1157" s="10">
        <v>1156.0</v>
      </c>
      <c r="B1157" s="11" t="s">
        <v>4002</v>
      </c>
      <c r="C1157" s="10" t="s">
        <v>79</v>
      </c>
      <c r="D1157" s="10" t="s">
        <v>49</v>
      </c>
      <c r="E1157" s="13" t="str">
        <f>IFERROR(__xludf.DUMMYFUNCTION("ifna(filter('Yahoo ADP'!$A$2:$A2766,'Yahoo ADP'!$B$2:$B2766=$B1157,$C1157='Yahoo ADP'!$C$2:$C2766,$D1157='Yahoo ADP'!$D$2:$D2766))"),"")</f>
        <v/>
      </c>
      <c r="F1157" s="13" t="str">
        <f>IFERROR(__xludf.DUMMYFUNCTION("ifna(filter('Yahoo ADP'!$E$2:$E2766,'Yahoo ADP'!$B$2:$B2766=$B1157,$C1157='Yahoo ADP'!$C$2:$C2766,$D1157='Yahoo ADP'!$D$2:$D2766))"),"-")</f>
        <v>-</v>
      </c>
      <c r="G1157" s="27">
        <v>1142.0</v>
      </c>
      <c r="H1157" s="8">
        <f t="shared" si="1"/>
        <v>-14</v>
      </c>
    </row>
    <row r="1158">
      <c r="A1158" s="10">
        <v>1157.0</v>
      </c>
      <c r="B1158" s="11" t="s">
        <v>4003</v>
      </c>
      <c r="C1158" s="10" t="s">
        <v>22</v>
      </c>
      <c r="D1158" s="10" t="s">
        <v>137</v>
      </c>
      <c r="E1158" s="13" t="str">
        <f>IFERROR(__xludf.DUMMYFUNCTION("ifna(filter('Yahoo ADP'!$A$2:$A2766,'Yahoo ADP'!$B$2:$B2766=$B1158,$C1158='Yahoo ADP'!$C$2:$C2766,$D1158='Yahoo ADP'!$D$2:$D2766))"),"")</f>
        <v/>
      </c>
      <c r="F1158" s="13" t="str">
        <f>IFERROR(__xludf.DUMMYFUNCTION("ifna(filter('Yahoo ADP'!$E$2:$E2766,'Yahoo ADP'!$B$2:$B2766=$B1158,$C1158='Yahoo ADP'!$C$2:$C2766,$D1158='Yahoo ADP'!$D$2:$D2766))"),"-")</f>
        <v>-</v>
      </c>
      <c r="G1158" s="27">
        <v>1143.0</v>
      </c>
      <c r="H1158" s="8">
        <f t="shared" si="1"/>
        <v>-14</v>
      </c>
    </row>
    <row r="1159">
      <c r="A1159" s="10">
        <v>1158.0</v>
      </c>
      <c r="B1159" s="11" t="s">
        <v>4004</v>
      </c>
      <c r="C1159" s="10" t="s">
        <v>79</v>
      </c>
      <c r="D1159" s="10" t="s">
        <v>120</v>
      </c>
      <c r="E1159" s="13" t="str">
        <f>IFERROR(__xludf.DUMMYFUNCTION("ifna(filter('Yahoo ADP'!$A$2:$A2766,'Yahoo ADP'!$B$2:$B2766=$B1159,$C1159='Yahoo ADP'!$C$2:$C2766,$D1159='Yahoo ADP'!$D$2:$D2766))"),"")</f>
        <v/>
      </c>
      <c r="F1159" s="13" t="str">
        <f>IFERROR(__xludf.DUMMYFUNCTION("ifna(filter('Yahoo ADP'!$E$2:$E2766,'Yahoo ADP'!$B$2:$B2766=$B1159,$C1159='Yahoo ADP'!$C$2:$C2766,$D1159='Yahoo ADP'!$D$2:$D2766))"),"-")</f>
        <v>-</v>
      </c>
      <c r="G1159" s="27">
        <v>1144.0</v>
      </c>
      <c r="H1159" s="8">
        <f t="shared" si="1"/>
        <v>-14</v>
      </c>
    </row>
    <row r="1160">
      <c r="A1160" s="10">
        <v>1159.0</v>
      </c>
      <c r="B1160" s="11" t="s">
        <v>4005</v>
      </c>
      <c r="C1160" s="10" t="s">
        <v>79</v>
      </c>
      <c r="D1160" s="10" t="s">
        <v>105</v>
      </c>
      <c r="E1160" s="13" t="str">
        <f>IFERROR(__xludf.DUMMYFUNCTION("ifna(filter('Yahoo ADP'!$A$2:$A2766,'Yahoo ADP'!$B$2:$B2766=$B1160,$C1160='Yahoo ADP'!$C$2:$C2766,$D1160='Yahoo ADP'!$D$2:$D2766))"),"")</f>
        <v/>
      </c>
      <c r="F1160" s="13" t="str">
        <f>IFERROR(__xludf.DUMMYFUNCTION("ifna(filter('Yahoo ADP'!$E$2:$E2766,'Yahoo ADP'!$B$2:$B2766=$B1160,$C1160='Yahoo ADP'!$C$2:$C2766,$D1160='Yahoo ADP'!$D$2:$D2766))"),"-")</f>
        <v>-</v>
      </c>
      <c r="G1160" s="27">
        <v>1145.0</v>
      </c>
      <c r="H1160" s="8">
        <f t="shared" si="1"/>
        <v>-14</v>
      </c>
    </row>
    <row r="1161">
      <c r="A1161" s="10">
        <v>1160.0</v>
      </c>
      <c r="B1161" s="11" t="s">
        <v>4006</v>
      </c>
      <c r="C1161" s="10" t="s">
        <v>79</v>
      </c>
      <c r="D1161" s="10" t="s">
        <v>52</v>
      </c>
      <c r="E1161" s="13" t="str">
        <f>IFERROR(__xludf.DUMMYFUNCTION("ifna(filter('Yahoo ADP'!$A$2:$A2766,'Yahoo ADP'!$B$2:$B2766=$B1161,$C1161='Yahoo ADP'!$C$2:$C2766,$D1161='Yahoo ADP'!$D$2:$D2766))"),"")</f>
        <v/>
      </c>
      <c r="F1161" s="13" t="str">
        <f>IFERROR(__xludf.DUMMYFUNCTION("ifna(filter('Yahoo ADP'!$E$2:$E2766,'Yahoo ADP'!$B$2:$B2766=$B1161,$C1161='Yahoo ADP'!$C$2:$C2766,$D1161='Yahoo ADP'!$D$2:$D2766))"),"-")</f>
        <v>-</v>
      </c>
      <c r="G1161" s="27">
        <v>1146.0</v>
      </c>
      <c r="H1161" s="8">
        <f t="shared" si="1"/>
        <v>-14</v>
      </c>
    </row>
    <row r="1162">
      <c r="A1162" s="10">
        <v>1161.0</v>
      </c>
      <c r="B1162" s="11" t="s">
        <v>4007</v>
      </c>
      <c r="C1162" s="10" t="s">
        <v>22</v>
      </c>
      <c r="D1162" s="10" t="s">
        <v>18</v>
      </c>
      <c r="E1162" s="13" t="str">
        <f>IFERROR(__xludf.DUMMYFUNCTION("ifna(filter('Yahoo ADP'!$A$2:$A2766,'Yahoo ADP'!$B$2:$B2766=$B1162,$C1162='Yahoo ADP'!$C$2:$C2766,$D1162='Yahoo ADP'!$D$2:$D2766))"),"")</f>
        <v/>
      </c>
      <c r="F1162" s="13" t="str">
        <f>IFERROR(__xludf.DUMMYFUNCTION("ifna(filter('Yahoo ADP'!$E$2:$E2766,'Yahoo ADP'!$B$2:$B2766=$B1162,$C1162='Yahoo ADP'!$C$2:$C2766,$D1162='Yahoo ADP'!$D$2:$D2766))"),"-")</f>
        <v>-</v>
      </c>
      <c r="G1162" s="27">
        <v>1147.0</v>
      </c>
      <c r="H1162" s="8">
        <f t="shared" si="1"/>
        <v>-14</v>
      </c>
    </row>
    <row r="1163">
      <c r="A1163" s="10">
        <v>1162.0</v>
      </c>
      <c r="B1163" s="11" t="s">
        <v>4008</v>
      </c>
      <c r="C1163" s="10" t="s">
        <v>79</v>
      </c>
      <c r="D1163" s="10" t="s">
        <v>122</v>
      </c>
      <c r="E1163" s="13" t="str">
        <f>IFERROR(__xludf.DUMMYFUNCTION("ifna(filter('Yahoo ADP'!$A$2:$A2766,'Yahoo ADP'!$B$2:$B2766=$B1163,$C1163='Yahoo ADP'!$C$2:$C2766,$D1163='Yahoo ADP'!$D$2:$D2766))"),"")</f>
        <v/>
      </c>
      <c r="F1163" s="13" t="str">
        <f>IFERROR(__xludf.DUMMYFUNCTION("ifna(filter('Yahoo ADP'!$E$2:$E2766,'Yahoo ADP'!$B$2:$B2766=$B1163,$C1163='Yahoo ADP'!$C$2:$C2766,$D1163='Yahoo ADP'!$D$2:$D2766))"),"-")</f>
        <v>-</v>
      </c>
      <c r="G1163" s="27">
        <v>1148.0</v>
      </c>
      <c r="H1163" s="8">
        <f t="shared" si="1"/>
        <v>-14</v>
      </c>
    </row>
    <row r="1164">
      <c r="A1164" s="10">
        <v>1163.0</v>
      </c>
      <c r="B1164" s="11" t="s">
        <v>4009</v>
      </c>
      <c r="C1164" s="10" t="s">
        <v>79</v>
      </c>
      <c r="D1164" s="10" t="s">
        <v>15</v>
      </c>
      <c r="E1164" s="13" t="str">
        <f>IFERROR(__xludf.DUMMYFUNCTION("ifna(filter('Yahoo ADP'!$A$2:$A2766,'Yahoo ADP'!$B$2:$B2766=$B1164,$C1164='Yahoo ADP'!$C$2:$C2766,$D1164='Yahoo ADP'!$D$2:$D2766))"),"")</f>
        <v/>
      </c>
      <c r="F1164" s="13" t="str">
        <f>IFERROR(__xludf.DUMMYFUNCTION("ifna(filter('Yahoo ADP'!$E$2:$E2766,'Yahoo ADP'!$B$2:$B2766=$B1164,$C1164='Yahoo ADP'!$C$2:$C2766,$D1164='Yahoo ADP'!$D$2:$D2766))"),"-")</f>
        <v>-</v>
      </c>
      <c r="G1164" s="27">
        <v>1149.0</v>
      </c>
      <c r="H1164" s="8">
        <f t="shared" si="1"/>
        <v>-14</v>
      </c>
    </row>
    <row r="1165">
      <c r="A1165" s="10">
        <v>1164.0</v>
      </c>
      <c r="B1165" s="11" t="s">
        <v>4010</v>
      </c>
      <c r="C1165" s="10" t="s">
        <v>79</v>
      </c>
      <c r="D1165" s="10" t="s">
        <v>122</v>
      </c>
      <c r="E1165" s="13" t="str">
        <f>IFERROR(__xludf.DUMMYFUNCTION("ifna(filter('Yahoo ADP'!$A$2:$A2766,'Yahoo ADP'!$B$2:$B2766=$B1165,$C1165='Yahoo ADP'!$C$2:$C2766,$D1165='Yahoo ADP'!$D$2:$D2766))"),"")</f>
        <v/>
      </c>
      <c r="F1165" s="13" t="str">
        <f>IFERROR(__xludf.DUMMYFUNCTION("ifna(filter('Yahoo ADP'!$E$2:$E2766,'Yahoo ADP'!$B$2:$B2766=$B1165,$C1165='Yahoo ADP'!$C$2:$C2766,$D1165='Yahoo ADP'!$D$2:$D2766))"),"-")</f>
        <v>-</v>
      </c>
      <c r="G1165" s="27">
        <v>1150.0</v>
      </c>
      <c r="H1165" s="8">
        <f t="shared" si="1"/>
        <v>-14</v>
      </c>
    </row>
    <row r="1166">
      <c r="A1166" s="10">
        <v>1165.0</v>
      </c>
      <c r="B1166" s="11" t="s">
        <v>4011</v>
      </c>
      <c r="C1166" s="10" t="s">
        <v>22</v>
      </c>
      <c r="D1166" s="10" t="s">
        <v>113</v>
      </c>
      <c r="E1166" s="13" t="str">
        <f>IFERROR(__xludf.DUMMYFUNCTION("ifna(filter('Yahoo ADP'!$A$2:$A2766,'Yahoo ADP'!$B$2:$B2766=$B1166,$C1166='Yahoo ADP'!$C$2:$C2766,$D1166='Yahoo ADP'!$D$2:$D2766))"),"")</f>
        <v/>
      </c>
      <c r="F1166" s="13" t="str">
        <f>IFERROR(__xludf.DUMMYFUNCTION("ifna(filter('Yahoo ADP'!$E$2:$E2766,'Yahoo ADP'!$B$2:$B2766=$B1166,$C1166='Yahoo ADP'!$C$2:$C2766,$D1166='Yahoo ADP'!$D$2:$D2766))"),"-")</f>
        <v>-</v>
      </c>
      <c r="G1166" s="27">
        <v>1151.0</v>
      </c>
      <c r="H1166" s="8">
        <f t="shared" si="1"/>
        <v>-14</v>
      </c>
    </row>
    <row r="1167">
      <c r="A1167" s="10">
        <v>1166.0</v>
      </c>
      <c r="B1167" s="11" t="s">
        <v>4012</v>
      </c>
      <c r="C1167" s="10" t="s">
        <v>22</v>
      </c>
      <c r="D1167" s="10" t="s">
        <v>95</v>
      </c>
      <c r="E1167" s="13" t="str">
        <f>IFERROR(__xludf.DUMMYFUNCTION("ifna(filter('Yahoo ADP'!$A$2:$A2766,'Yahoo ADP'!$B$2:$B2766=$B1167,$C1167='Yahoo ADP'!$C$2:$C2766,$D1167='Yahoo ADP'!$D$2:$D2766))"),"")</f>
        <v/>
      </c>
      <c r="F1167" s="13" t="str">
        <f>IFERROR(__xludf.DUMMYFUNCTION("ifna(filter('Yahoo ADP'!$E$2:$E2766,'Yahoo ADP'!$B$2:$B2766=$B1167,$C1167='Yahoo ADP'!$C$2:$C2766,$D1167='Yahoo ADP'!$D$2:$D2766))"),"-")</f>
        <v>-</v>
      </c>
      <c r="G1167" s="27">
        <v>1152.0</v>
      </c>
      <c r="H1167" s="8">
        <f t="shared" si="1"/>
        <v>-14</v>
      </c>
    </row>
    <row r="1168">
      <c r="A1168" s="10">
        <v>1167.0</v>
      </c>
      <c r="B1168" s="11" t="s">
        <v>4013</v>
      </c>
      <c r="C1168" s="10" t="s">
        <v>22</v>
      </c>
      <c r="D1168" s="10" t="s">
        <v>46</v>
      </c>
      <c r="E1168" s="13" t="str">
        <f>IFERROR(__xludf.DUMMYFUNCTION("ifna(filter('Yahoo ADP'!$A$2:$A2766,'Yahoo ADP'!$B$2:$B2766=$B1168,$C1168='Yahoo ADP'!$C$2:$C2766,$D1168='Yahoo ADP'!$D$2:$D2766))"),"")</f>
        <v/>
      </c>
      <c r="F1168" s="13" t="str">
        <f>IFERROR(__xludf.DUMMYFUNCTION("ifna(filter('Yahoo ADP'!$E$2:$E2766,'Yahoo ADP'!$B$2:$B2766=$B1168,$C1168='Yahoo ADP'!$C$2:$C2766,$D1168='Yahoo ADP'!$D$2:$D2766))"),"-")</f>
        <v>-</v>
      </c>
      <c r="G1168" s="27">
        <v>1153.0</v>
      </c>
      <c r="H1168" s="8">
        <f t="shared" si="1"/>
        <v>-14</v>
      </c>
    </row>
    <row r="1169">
      <c r="A1169" s="10">
        <v>1168.0</v>
      </c>
      <c r="B1169" s="11" t="s">
        <v>4014</v>
      </c>
      <c r="C1169" s="10" t="s">
        <v>79</v>
      </c>
      <c r="D1169" s="10" t="s">
        <v>23</v>
      </c>
      <c r="E1169" s="13" t="str">
        <f>IFERROR(__xludf.DUMMYFUNCTION("ifna(filter('Yahoo ADP'!$A$2:$A2766,'Yahoo ADP'!$B$2:$B2766=$B1169,$C1169='Yahoo ADP'!$C$2:$C2766,$D1169='Yahoo ADP'!$D$2:$D2766))"),"")</f>
        <v/>
      </c>
      <c r="F1169" s="13" t="str">
        <f>IFERROR(__xludf.DUMMYFUNCTION("ifna(filter('Yahoo ADP'!$E$2:$E2766,'Yahoo ADP'!$B$2:$B2766=$B1169,$C1169='Yahoo ADP'!$C$2:$C2766,$D1169='Yahoo ADP'!$D$2:$D2766))"),"-")</f>
        <v>-</v>
      </c>
      <c r="G1169" s="27">
        <v>1154.0</v>
      </c>
      <c r="H1169" s="8">
        <f t="shared" si="1"/>
        <v>-14</v>
      </c>
    </row>
    <row r="1170">
      <c r="A1170" s="10">
        <v>1169.0</v>
      </c>
      <c r="B1170" s="11" t="s">
        <v>4015</v>
      </c>
      <c r="C1170" s="10" t="s">
        <v>22</v>
      </c>
      <c r="D1170" s="10" t="s">
        <v>23</v>
      </c>
      <c r="E1170" s="13" t="str">
        <f>IFERROR(__xludf.DUMMYFUNCTION("ifna(filter('Yahoo ADP'!$A$2:$A2766,'Yahoo ADP'!$B$2:$B2766=$B1170,$C1170='Yahoo ADP'!$C$2:$C2766,$D1170='Yahoo ADP'!$D$2:$D2766))"),"")</f>
        <v/>
      </c>
      <c r="F1170" s="13" t="str">
        <f>IFERROR(__xludf.DUMMYFUNCTION("ifna(filter('Yahoo ADP'!$E$2:$E2766,'Yahoo ADP'!$B$2:$B2766=$B1170,$C1170='Yahoo ADP'!$C$2:$C2766,$D1170='Yahoo ADP'!$D$2:$D2766))"),"-")</f>
        <v>-</v>
      </c>
      <c r="G1170" s="27">
        <v>1155.0</v>
      </c>
      <c r="H1170" s="8">
        <f t="shared" si="1"/>
        <v>-14</v>
      </c>
    </row>
    <row r="1171">
      <c r="A1171" s="10">
        <v>1170.0</v>
      </c>
      <c r="B1171" s="11" t="s">
        <v>4016</v>
      </c>
      <c r="C1171" s="10" t="s">
        <v>79</v>
      </c>
      <c r="D1171" s="10" t="s">
        <v>34</v>
      </c>
      <c r="E1171" s="13" t="str">
        <f>IFERROR(__xludf.DUMMYFUNCTION("ifna(filter('Yahoo ADP'!$A$2:$A2766,'Yahoo ADP'!$B$2:$B2766=$B1171,$C1171='Yahoo ADP'!$C$2:$C2766,$D1171='Yahoo ADP'!$D$2:$D2766))"),"")</f>
        <v/>
      </c>
      <c r="F1171" s="13" t="str">
        <f>IFERROR(__xludf.DUMMYFUNCTION("ifna(filter('Yahoo ADP'!$E$2:$E2766,'Yahoo ADP'!$B$2:$B2766=$B1171,$C1171='Yahoo ADP'!$C$2:$C2766,$D1171='Yahoo ADP'!$D$2:$D2766))"),"-")</f>
        <v>-</v>
      </c>
      <c r="G1171" s="27">
        <v>1156.0</v>
      </c>
      <c r="H1171" s="8">
        <f t="shared" si="1"/>
        <v>-14</v>
      </c>
    </row>
    <row r="1172">
      <c r="A1172" s="10">
        <v>1171.0</v>
      </c>
      <c r="B1172" s="11" t="s">
        <v>4017</v>
      </c>
      <c r="C1172" s="10" t="s">
        <v>22</v>
      </c>
      <c r="D1172" s="10" t="s">
        <v>113</v>
      </c>
      <c r="E1172" s="13" t="str">
        <f>IFERROR(__xludf.DUMMYFUNCTION("ifna(filter('Yahoo ADP'!$A$2:$A2766,'Yahoo ADP'!$B$2:$B2766=$B1172,$C1172='Yahoo ADP'!$C$2:$C2766,$D1172='Yahoo ADP'!$D$2:$D2766))"),"")</f>
        <v/>
      </c>
      <c r="F1172" s="13" t="str">
        <f>IFERROR(__xludf.DUMMYFUNCTION("ifna(filter('Yahoo ADP'!$E$2:$E2766,'Yahoo ADP'!$B$2:$B2766=$B1172,$C1172='Yahoo ADP'!$C$2:$C2766,$D1172='Yahoo ADP'!$D$2:$D2766))"),"-")</f>
        <v>-</v>
      </c>
      <c r="G1172" s="27">
        <v>1157.0</v>
      </c>
      <c r="H1172" s="8">
        <f t="shared" si="1"/>
        <v>-14</v>
      </c>
    </row>
    <row r="1173">
      <c r="A1173" s="10">
        <v>1172.0</v>
      </c>
      <c r="B1173" s="11" t="s">
        <v>4018</v>
      </c>
      <c r="C1173" s="10" t="s">
        <v>79</v>
      </c>
      <c r="D1173" s="10" t="s">
        <v>140</v>
      </c>
      <c r="E1173" s="13" t="str">
        <f>IFERROR(__xludf.DUMMYFUNCTION("ifna(filter('Yahoo ADP'!$A$2:$A2766,'Yahoo ADP'!$B$2:$B2766=$B1173,$C1173='Yahoo ADP'!$C$2:$C2766,$D1173='Yahoo ADP'!$D$2:$D2766))"),"")</f>
        <v/>
      </c>
      <c r="F1173" s="13" t="str">
        <f>IFERROR(__xludf.DUMMYFUNCTION("ifna(filter('Yahoo ADP'!$E$2:$E2766,'Yahoo ADP'!$B$2:$B2766=$B1173,$C1173='Yahoo ADP'!$C$2:$C2766,$D1173='Yahoo ADP'!$D$2:$D2766))"),"-")</f>
        <v>-</v>
      </c>
      <c r="G1173" s="27">
        <v>1158.0</v>
      </c>
      <c r="H1173" s="8">
        <f t="shared" si="1"/>
        <v>-14</v>
      </c>
    </row>
    <row r="1174">
      <c r="A1174" s="10">
        <v>1173.0</v>
      </c>
      <c r="B1174" s="11" t="s">
        <v>4019</v>
      </c>
      <c r="C1174" s="10" t="s">
        <v>22</v>
      </c>
      <c r="D1174" s="10" t="s">
        <v>9</v>
      </c>
      <c r="E1174" s="13" t="str">
        <f>IFERROR(__xludf.DUMMYFUNCTION("ifna(filter('Yahoo ADP'!$A$2:$A2766,'Yahoo ADP'!$B$2:$B2766=$B1174,$C1174='Yahoo ADP'!$C$2:$C2766,$D1174='Yahoo ADP'!$D$2:$D2766))"),"")</f>
        <v/>
      </c>
      <c r="F1174" s="13" t="str">
        <f>IFERROR(__xludf.DUMMYFUNCTION("ifna(filter('Yahoo ADP'!$E$2:$E2766,'Yahoo ADP'!$B$2:$B2766=$B1174,$C1174='Yahoo ADP'!$C$2:$C2766,$D1174='Yahoo ADP'!$D$2:$D2766))"),"-")</f>
        <v>-</v>
      </c>
      <c r="G1174" s="27">
        <v>1159.0</v>
      </c>
      <c r="H1174" s="8">
        <f t="shared" si="1"/>
        <v>-14</v>
      </c>
    </row>
    <row r="1175">
      <c r="A1175" s="10">
        <v>1174.0</v>
      </c>
      <c r="B1175" s="11" t="s">
        <v>4020</v>
      </c>
      <c r="C1175" s="10" t="s">
        <v>22</v>
      </c>
      <c r="D1175" s="10" t="s">
        <v>206</v>
      </c>
      <c r="E1175" s="13" t="str">
        <f>IFERROR(__xludf.DUMMYFUNCTION("ifna(filter('Yahoo ADP'!$A$2:$A2766,'Yahoo ADP'!$B$2:$B2766=$B1175,$C1175='Yahoo ADP'!$C$2:$C2766,$D1175='Yahoo ADP'!$D$2:$D2766))"),"")</f>
        <v/>
      </c>
      <c r="F1175" s="13" t="str">
        <f>IFERROR(__xludf.DUMMYFUNCTION("ifna(filter('Yahoo ADP'!$E$2:$E2766,'Yahoo ADP'!$B$2:$B2766=$B1175,$C1175='Yahoo ADP'!$C$2:$C2766,$D1175='Yahoo ADP'!$D$2:$D2766))"),"-")</f>
        <v>-</v>
      </c>
      <c r="G1175" s="27">
        <v>1160.0</v>
      </c>
      <c r="H1175" s="8">
        <f t="shared" si="1"/>
        <v>-14</v>
      </c>
    </row>
    <row r="1176">
      <c r="A1176" s="10">
        <v>1175.0</v>
      </c>
      <c r="B1176" s="11" t="s">
        <v>4021</v>
      </c>
      <c r="C1176" s="10" t="s">
        <v>79</v>
      </c>
      <c r="D1176" s="10" t="s">
        <v>42</v>
      </c>
      <c r="E1176" s="13" t="str">
        <f>IFERROR(__xludf.DUMMYFUNCTION("ifna(filter('Yahoo ADP'!$A$2:$A2766,'Yahoo ADP'!$B$2:$B2766=$B1176,$C1176='Yahoo ADP'!$C$2:$C2766,$D1176='Yahoo ADP'!$D$2:$D2766))"),"")</f>
        <v/>
      </c>
      <c r="F1176" s="13" t="str">
        <f>IFERROR(__xludf.DUMMYFUNCTION("ifna(filter('Yahoo ADP'!$E$2:$E2766,'Yahoo ADP'!$B$2:$B2766=$B1176,$C1176='Yahoo ADP'!$C$2:$C2766,$D1176='Yahoo ADP'!$D$2:$D2766))"),"-")</f>
        <v>-</v>
      </c>
      <c r="G1176" s="27">
        <v>1161.0</v>
      </c>
      <c r="H1176" s="8">
        <f t="shared" si="1"/>
        <v>-14</v>
      </c>
    </row>
    <row r="1177">
      <c r="A1177" s="10">
        <v>1176.0</v>
      </c>
      <c r="B1177" s="11" t="s">
        <v>4022</v>
      </c>
      <c r="C1177" s="10" t="s">
        <v>22</v>
      </c>
      <c r="D1177" s="10" t="s">
        <v>12</v>
      </c>
      <c r="E1177" s="13" t="str">
        <f>IFERROR(__xludf.DUMMYFUNCTION("ifna(filter('Yahoo ADP'!$A$2:$A2766,'Yahoo ADP'!$B$2:$B2766=$B1177,$C1177='Yahoo ADP'!$C$2:$C2766,$D1177='Yahoo ADP'!$D$2:$D2766))"),"")</f>
        <v/>
      </c>
      <c r="F1177" s="13" t="str">
        <f>IFERROR(__xludf.DUMMYFUNCTION("ifna(filter('Yahoo ADP'!$E$2:$E2766,'Yahoo ADP'!$B$2:$B2766=$B1177,$C1177='Yahoo ADP'!$C$2:$C2766,$D1177='Yahoo ADP'!$D$2:$D2766))"),"-")</f>
        <v>-</v>
      </c>
      <c r="G1177" s="27">
        <v>1162.0</v>
      </c>
      <c r="H1177" s="8">
        <f t="shared" si="1"/>
        <v>-14</v>
      </c>
    </row>
    <row r="1178">
      <c r="A1178" s="10">
        <v>1177.0</v>
      </c>
      <c r="B1178" s="11" t="s">
        <v>4023</v>
      </c>
      <c r="C1178" s="10" t="s">
        <v>220</v>
      </c>
      <c r="D1178" s="10" t="s">
        <v>18</v>
      </c>
      <c r="E1178" s="13" t="str">
        <f>IFERROR(__xludf.DUMMYFUNCTION("ifna(filter('Yahoo ADP'!$A$2:$A2766,'Yahoo ADP'!$B$2:$B2766=$B1178,$C1178='Yahoo ADP'!$C$2:$C2766,$D1178='Yahoo ADP'!$D$2:$D2766))"),"")</f>
        <v/>
      </c>
      <c r="F1178" s="13" t="str">
        <f>IFERROR(__xludf.DUMMYFUNCTION("ifna(filter('Yahoo ADP'!$E$2:$E2766,'Yahoo ADP'!$B$2:$B2766=$B1178,$C1178='Yahoo ADP'!$C$2:$C2766,$D1178='Yahoo ADP'!$D$2:$D2766))"),"-")</f>
        <v>-</v>
      </c>
      <c r="G1178" s="27">
        <v>1163.0</v>
      </c>
      <c r="H1178" s="8">
        <f t="shared" si="1"/>
        <v>-14</v>
      </c>
    </row>
    <row r="1179">
      <c r="A1179" s="10">
        <v>1178.0</v>
      </c>
      <c r="B1179" s="11" t="s">
        <v>4024</v>
      </c>
      <c r="C1179" s="10" t="s">
        <v>79</v>
      </c>
      <c r="D1179" s="10" t="s">
        <v>95</v>
      </c>
      <c r="E1179" s="13" t="str">
        <f>IFERROR(__xludf.DUMMYFUNCTION("ifna(filter('Yahoo ADP'!$A$2:$A2766,'Yahoo ADP'!$B$2:$B2766=$B1179,$C1179='Yahoo ADP'!$C$2:$C2766,$D1179='Yahoo ADP'!$D$2:$D2766))"),"")</f>
        <v/>
      </c>
      <c r="F1179" s="13" t="str">
        <f>IFERROR(__xludf.DUMMYFUNCTION("ifna(filter('Yahoo ADP'!$E$2:$E2766,'Yahoo ADP'!$B$2:$B2766=$B1179,$C1179='Yahoo ADP'!$C$2:$C2766,$D1179='Yahoo ADP'!$D$2:$D2766))"),"-")</f>
        <v>-</v>
      </c>
      <c r="G1179" s="27">
        <v>1164.0</v>
      </c>
      <c r="H1179" s="8">
        <f t="shared" si="1"/>
        <v>-14</v>
      </c>
    </row>
    <row r="1180">
      <c r="A1180" s="10">
        <v>1179.0</v>
      </c>
      <c r="B1180" s="11" t="s">
        <v>4025</v>
      </c>
      <c r="C1180" s="10" t="s">
        <v>22</v>
      </c>
      <c r="D1180" s="10" t="s">
        <v>95</v>
      </c>
      <c r="E1180" s="13" t="str">
        <f>IFERROR(__xludf.DUMMYFUNCTION("ifna(filter('Yahoo ADP'!$A$2:$A2766,'Yahoo ADP'!$B$2:$B2766=$B1180,$C1180='Yahoo ADP'!$C$2:$C2766,$D1180='Yahoo ADP'!$D$2:$D2766))"),"")</f>
        <v/>
      </c>
      <c r="F1180" s="13" t="str">
        <f>IFERROR(__xludf.DUMMYFUNCTION("ifna(filter('Yahoo ADP'!$E$2:$E2766,'Yahoo ADP'!$B$2:$B2766=$B1180,$C1180='Yahoo ADP'!$C$2:$C2766,$D1180='Yahoo ADP'!$D$2:$D2766))"),"-")</f>
        <v>-</v>
      </c>
      <c r="G1180" s="27">
        <v>1165.0</v>
      </c>
      <c r="H1180" s="8">
        <f t="shared" si="1"/>
        <v>-14</v>
      </c>
    </row>
    <row r="1181">
      <c r="A1181" s="10">
        <v>1180.0</v>
      </c>
      <c r="B1181" s="11" t="s">
        <v>4026</v>
      </c>
      <c r="C1181" s="10" t="s">
        <v>220</v>
      </c>
      <c r="D1181" s="10" t="s">
        <v>129</v>
      </c>
      <c r="E1181" s="13" t="str">
        <f>IFERROR(__xludf.DUMMYFUNCTION("ifna(filter('Yahoo ADP'!$A$2:$A2766,'Yahoo ADP'!$B$2:$B2766=$B1181,$C1181='Yahoo ADP'!$C$2:$C2766,$D1181='Yahoo ADP'!$D$2:$D2766))"),"")</f>
        <v/>
      </c>
      <c r="F1181" s="13" t="str">
        <f>IFERROR(__xludf.DUMMYFUNCTION("ifna(filter('Yahoo ADP'!$E$2:$E2766,'Yahoo ADP'!$B$2:$B2766=$B1181,$C1181='Yahoo ADP'!$C$2:$C2766,$D1181='Yahoo ADP'!$D$2:$D2766))"),"-")</f>
        <v>-</v>
      </c>
      <c r="G1181" s="27">
        <v>1166.0</v>
      </c>
      <c r="H1181" s="8">
        <f t="shared" si="1"/>
        <v>-14</v>
      </c>
    </row>
    <row r="1182">
      <c r="A1182" s="10">
        <v>1181.0</v>
      </c>
      <c r="B1182" s="11" t="s">
        <v>4027</v>
      </c>
      <c r="C1182" s="10" t="s">
        <v>79</v>
      </c>
      <c r="D1182" s="10" t="s">
        <v>95</v>
      </c>
      <c r="E1182" s="13" t="str">
        <f>IFERROR(__xludf.DUMMYFUNCTION("ifna(filter('Yahoo ADP'!$A$2:$A2766,'Yahoo ADP'!$B$2:$B2766=$B1182,$C1182='Yahoo ADP'!$C$2:$C2766,$D1182='Yahoo ADP'!$D$2:$D2766))"),"")</f>
        <v/>
      </c>
      <c r="F1182" s="13" t="str">
        <f>IFERROR(__xludf.DUMMYFUNCTION("ifna(filter('Yahoo ADP'!$E$2:$E2766,'Yahoo ADP'!$B$2:$B2766=$B1182,$C1182='Yahoo ADP'!$C$2:$C2766,$D1182='Yahoo ADP'!$D$2:$D2766))"),"-")</f>
        <v>-</v>
      </c>
      <c r="G1182" s="27">
        <v>1167.0</v>
      </c>
      <c r="H1182" s="8">
        <f t="shared" si="1"/>
        <v>-14</v>
      </c>
    </row>
    <row r="1183">
      <c r="A1183" s="10">
        <v>1182.0</v>
      </c>
      <c r="B1183" s="11" t="s">
        <v>4028</v>
      </c>
      <c r="C1183" s="10" t="s">
        <v>79</v>
      </c>
      <c r="D1183" s="10" t="s">
        <v>113</v>
      </c>
      <c r="E1183" s="13" t="str">
        <f>IFERROR(__xludf.DUMMYFUNCTION("ifna(filter('Yahoo ADP'!$A$2:$A2766,'Yahoo ADP'!$B$2:$B2766=$B1183,$C1183='Yahoo ADP'!$C$2:$C2766,$D1183='Yahoo ADP'!$D$2:$D2766))"),"")</f>
        <v/>
      </c>
      <c r="F1183" s="13" t="str">
        <f>IFERROR(__xludf.DUMMYFUNCTION("ifna(filter('Yahoo ADP'!$E$2:$E2766,'Yahoo ADP'!$B$2:$B2766=$B1183,$C1183='Yahoo ADP'!$C$2:$C2766,$D1183='Yahoo ADP'!$D$2:$D2766))"),"-")</f>
        <v>-</v>
      </c>
      <c r="G1183" s="27">
        <v>1168.0</v>
      </c>
      <c r="H1183" s="8">
        <f t="shared" si="1"/>
        <v>-14</v>
      </c>
    </row>
    <row r="1184">
      <c r="A1184" s="10">
        <v>1183.0</v>
      </c>
      <c r="B1184" s="11" t="s">
        <v>4029</v>
      </c>
      <c r="C1184" s="10" t="s">
        <v>22</v>
      </c>
      <c r="D1184" s="10" t="s">
        <v>122</v>
      </c>
      <c r="E1184" s="13" t="str">
        <f>IFERROR(__xludf.DUMMYFUNCTION("ifna(filter('Yahoo ADP'!$A$2:$A2766,'Yahoo ADP'!$B$2:$B2766=$B1184,$C1184='Yahoo ADP'!$C$2:$C2766,$D1184='Yahoo ADP'!$D$2:$D2766))"),"")</f>
        <v/>
      </c>
      <c r="F1184" s="13" t="str">
        <f>IFERROR(__xludf.DUMMYFUNCTION("ifna(filter('Yahoo ADP'!$E$2:$E2766,'Yahoo ADP'!$B$2:$B2766=$B1184,$C1184='Yahoo ADP'!$C$2:$C2766,$D1184='Yahoo ADP'!$D$2:$D2766))"),"-")</f>
        <v>-</v>
      </c>
      <c r="G1184" s="27">
        <v>1169.0</v>
      </c>
      <c r="H1184" s="8">
        <f t="shared" si="1"/>
        <v>-14</v>
      </c>
    </row>
    <row r="1185">
      <c r="A1185" s="10">
        <v>1184.0</v>
      </c>
      <c r="B1185" s="11" t="s">
        <v>4030</v>
      </c>
      <c r="C1185" s="10" t="s">
        <v>79</v>
      </c>
      <c r="D1185" s="10" t="s">
        <v>15</v>
      </c>
      <c r="E1185" s="13" t="str">
        <f>IFERROR(__xludf.DUMMYFUNCTION("ifna(filter('Yahoo ADP'!$A$2:$A2766,'Yahoo ADP'!$B$2:$B2766=$B1185,$C1185='Yahoo ADP'!$C$2:$C2766,$D1185='Yahoo ADP'!$D$2:$D2766))"),"")</f>
        <v/>
      </c>
      <c r="F1185" s="13" t="str">
        <f>IFERROR(__xludf.DUMMYFUNCTION("ifna(filter('Yahoo ADP'!$E$2:$E2766,'Yahoo ADP'!$B$2:$B2766=$B1185,$C1185='Yahoo ADP'!$C$2:$C2766,$D1185='Yahoo ADP'!$D$2:$D2766))"),"-")</f>
        <v>-</v>
      </c>
      <c r="G1185" s="27">
        <v>1170.0</v>
      </c>
      <c r="H1185" s="8">
        <f t="shared" si="1"/>
        <v>-14</v>
      </c>
    </row>
    <row r="1186">
      <c r="A1186" s="10">
        <v>1185.0</v>
      </c>
      <c r="B1186" s="11" t="s">
        <v>4031</v>
      </c>
      <c r="C1186" s="10" t="s">
        <v>79</v>
      </c>
      <c r="D1186" s="10" t="s">
        <v>85</v>
      </c>
      <c r="E1186" s="13" t="str">
        <f>IFERROR(__xludf.DUMMYFUNCTION("ifna(filter('Yahoo ADP'!$A$2:$A2766,'Yahoo ADP'!$B$2:$B2766=$B1186,$C1186='Yahoo ADP'!$C$2:$C2766,$D1186='Yahoo ADP'!$D$2:$D2766))"),"")</f>
        <v/>
      </c>
      <c r="F1186" s="13" t="str">
        <f>IFERROR(__xludf.DUMMYFUNCTION("ifna(filter('Yahoo ADP'!$E$2:$E2766,'Yahoo ADP'!$B$2:$B2766=$B1186,$C1186='Yahoo ADP'!$C$2:$C2766,$D1186='Yahoo ADP'!$D$2:$D2766))"),"-")</f>
        <v>-</v>
      </c>
      <c r="G1186" s="27">
        <v>1171.0</v>
      </c>
      <c r="H1186" s="8">
        <f t="shared" si="1"/>
        <v>-14</v>
      </c>
    </row>
    <row r="1187">
      <c r="A1187" s="10">
        <v>1186.0</v>
      </c>
      <c r="B1187" s="11" t="s">
        <v>4032</v>
      </c>
      <c r="C1187" s="10" t="s">
        <v>22</v>
      </c>
      <c r="D1187" s="10" t="s">
        <v>36</v>
      </c>
      <c r="E1187" s="13" t="str">
        <f>IFERROR(__xludf.DUMMYFUNCTION("ifna(filter('Yahoo ADP'!$A$2:$A2766,'Yahoo ADP'!$B$2:$B2766=$B1187,$C1187='Yahoo ADP'!$C$2:$C2766,$D1187='Yahoo ADP'!$D$2:$D2766))"),"")</f>
        <v/>
      </c>
      <c r="F1187" s="13" t="str">
        <f>IFERROR(__xludf.DUMMYFUNCTION("ifna(filter('Yahoo ADP'!$E$2:$E2766,'Yahoo ADP'!$B$2:$B2766=$B1187,$C1187='Yahoo ADP'!$C$2:$C2766,$D1187='Yahoo ADP'!$D$2:$D2766))"),"-")</f>
        <v>-</v>
      </c>
      <c r="G1187" s="27">
        <v>1172.0</v>
      </c>
      <c r="H1187" s="8">
        <f t="shared" si="1"/>
        <v>-14</v>
      </c>
    </row>
    <row r="1188">
      <c r="A1188" s="10">
        <v>1187.0</v>
      </c>
      <c r="B1188" s="11" t="s">
        <v>4033</v>
      </c>
      <c r="C1188" s="10" t="s">
        <v>22</v>
      </c>
      <c r="D1188" s="10" t="s">
        <v>99</v>
      </c>
      <c r="E1188" s="13" t="str">
        <f>IFERROR(__xludf.DUMMYFUNCTION("ifna(filter('Yahoo ADP'!$A$2:$A2766,'Yahoo ADP'!$B$2:$B2766=$B1188,$C1188='Yahoo ADP'!$C$2:$C2766,$D1188='Yahoo ADP'!$D$2:$D2766))"),"")</f>
        <v/>
      </c>
      <c r="F1188" s="13" t="str">
        <f>IFERROR(__xludf.DUMMYFUNCTION("ifna(filter('Yahoo ADP'!$E$2:$E2766,'Yahoo ADP'!$B$2:$B2766=$B1188,$C1188='Yahoo ADP'!$C$2:$C2766,$D1188='Yahoo ADP'!$D$2:$D2766))"),"-")</f>
        <v>-</v>
      </c>
      <c r="G1188" s="27">
        <v>1173.0</v>
      </c>
      <c r="H1188" s="8">
        <f t="shared" si="1"/>
        <v>-14</v>
      </c>
    </row>
    <row r="1189">
      <c r="A1189" s="10">
        <v>1188.0</v>
      </c>
      <c r="B1189" s="11" t="s">
        <v>4034</v>
      </c>
      <c r="C1189" s="10" t="s">
        <v>79</v>
      </c>
      <c r="D1189" s="10" t="s">
        <v>49</v>
      </c>
      <c r="E1189" s="13" t="str">
        <f>IFERROR(__xludf.DUMMYFUNCTION("ifna(filter('Yahoo ADP'!$A$2:$A2766,'Yahoo ADP'!$B$2:$B2766=$B1189,$C1189='Yahoo ADP'!$C$2:$C2766,$D1189='Yahoo ADP'!$D$2:$D2766))"),"")</f>
        <v/>
      </c>
      <c r="F1189" s="13" t="str">
        <f>IFERROR(__xludf.DUMMYFUNCTION("ifna(filter('Yahoo ADP'!$E$2:$E2766,'Yahoo ADP'!$B$2:$B2766=$B1189,$C1189='Yahoo ADP'!$C$2:$C2766,$D1189='Yahoo ADP'!$D$2:$D2766))"),"-")</f>
        <v>-</v>
      </c>
      <c r="G1189" s="27">
        <v>1174.0</v>
      </c>
      <c r="H1189" s="8">
        <f t="shared" si="1"/>
        <v>-14</v>
      </c>
    </row>
    <row r="1190">
      <c r="A1190" s="10">
        <v>1189.0</v>
      </c>
      <c r="B1190" s="11" t="s">
        <v>4035</v>
      </c>
      <c r="C1190" s="10" t="s">
        <v>22</v>
      </c>
      <c r="D1190" s="10" t="s">
        <v>206</v>
      </c>
      <c r="E1190" s="13" t="str">
        <f>IFERROR(__xludf.DUMMYFUNCTION("ifna(filter('Yahoo ADP'!$A$2:$A2766,'Yahoo ADP'!$B$2:$B2766=$B1190,$C1190='Yahoo ADP'!$C$2:$C2766,$D1190='Yahoo ADP'!$D$2:$D2766))"),"")</f>
        <v/>
      </c>
      <c r="F1190" s="13" t="str">
        <f>IFERROR(__xludf.DUMMYFUNCTION("ifna(filter('Yahoo ADP'!$E$2:$E2766,'Yahoo ADP'!$B$2:$B2766=$B1190,$C1190='Yahoo ADP'!$C$2:$C2766,$D1190='Yahoo ADP'!$D$2:$D2766))"),"-")</f>
        <v>-</v>
      </c>
      <c r="G1190" s="27">
        <v>1175.0</v>
      </c>
      <c r="H1190" s="8">
        <f t="shared" si="1"/>
        <v>-14</v>
      </c>
    </row>
    <row r="1191">
      <c r="A1191" s="10">
        <v>1190.0</v>
      </c>
      <c r="B1191" s="11" t="s">
        <v>4036</v>
      </c>
      <c r="C1191" s="10" t="s">
        <v>79</v>
      </c>
      <c r="D1191" s="10" t="s">
        <v>52</v>
      </c>
      <c r="E1191" s="13" t="str">
        <f>IFERROR(__xludf.DUMMYFUNCTION("ifna(filter('Yahoo ADP'!$A$2:$A2766,'Yahoo ADP'!$B$2:$B2766=$B1191,$C1191='Yahoo ADP'!$C$2:$C2766,$D1191='Yahoo ADP'!$D$2:$D2766))"),"")</f>
        <v/>
      </c>
      <c r="F1191" s="13" t="str">
        <f>IFERROR(__xludf.DUMMYFUNCTION("ifna(filter('Yahoo ADP'!$E$2:$E2766,'Yahoo ADP'!$B$2:$B2766=$B1191,$C1191='Yahoo ADP'!$C$2:$C2766,$D1191='Yahoo ADP'!$D$2:$D2766))"),"-")</f>
        <v>-</v>
      </c>
      <c r="G1191" s="27">
        <v>1176.0</v>
      </c>
      <c r="H1191" s="8">
        <f t="shared" si="1"/>
        <v>-14</v>
      </c>
    </row>
    <row r="1192">
      <c r="A1192" s="10">
        <v>1191.0</v>
      </c>
      <c r="B1192" s="11" t="s">
        <v>4037</v>
      </c>
      <c r="C1192" s="10" t="s">
        <v>79</v>
      </c>
      <c r="D1192" s="10" t="s">
        <v>82</v>
      </c>
      <c r="E1192" s="13" t="str">
        <f>IFERROR(__xludf.DUMMYFUNCTION("ifna(filter('Yahoo ADP'!$A$2:$A2766,'Yahoo ADP'!$B$2:$B2766=$B1192,$C1192='Yahoo ADP'!$C$2:$C2766,$D1192='Yahoo ADP'!$D$2:$D2766))"),"")</f>
        <v/>
      </c>
      <c r="F1192" s="13" t="str">
        <f>IFERROR(__xludf.DUMMYFUNCTION("ifna(filter('Yahoo ADP'!$E$2:$E2766,'Yahoo ADP'!$B$2:$B2766=$B1192,$C1192='Yahoo ADP'!$C$2:$C2766,$D1192='Yahoo ADP'!$D$2:$D2766))"),"-")</f>
        <v>-</v>
      </c>
      <c r="G1192" s="27">
        <v>1177.0</v>
      </c>
      <c r="H1192" s="8">
        <f t="shared" si="1"/>
        <v>-14</v>
      </c>
    </row>
    <row r="1193">
      <c r="A1193" s="10">
        <v>1192.0</v>
      </c>
      <c r="B1193" s="11" t="s">
        <v>4038</v>
      </c>
      <c r="C1193" s="10" t="s">
        <v>22</v>
      </c>
      <c r="D1193" s="10" t="s">
        <v>34</v>
      </c>
      <c r="E1193" s="13" t="str">
        <f>IFERROR(__xludf.DUMMYFUNCTION("ifna(filter('Yahoo ADP'!$A$2:$A2766,'Yahoo ADP'!$B$2:$B2766=$B1193,$C1193='Yahoo ADP'!$C$2:$C2766,$D1193='Yahoo ADP'!$D$2:$D2766))"),"")</f>
        <v/>
      </c>
      <c r="F1193" s="13" t="str">
        <f>IFERROR(__xludf.DUMMYFUNCTION("ifna(filter('Yahoo ADP'!$E$2:$E2766,'Yahoo ADP'!$B$2:$B2766=$B1193,$C1193='Yahoo ADP'!$C$2:$C2766,$D1193='Yahoo ADP'!$D$2:$D2766))"),"-")</f>
        <v>-</v>
      </c>
      <c r="G1193" s="27">
        <v>1178.0</v>
      </c>
      <c r="H1193" s="8">
        <f t="shared" si="1"/>
        <v>-14</v>
      </c>
    </row>
    <row r="1194">
      <c r="A1194" s="10">
        <v>1193.0</v>
      </c>
      <c r="B1194" s="11" t="s">
        <v>4039</v>
      </c>
      <c r="C1194" s="10" t="s">
        <v>22</v>
      </c>
      <c r="D1194" s="10" t="s">
        <v>82</v>
      </c>
      <c r="E1194" s="13" t="str">
        <f>IFERROR(__xludf.DUMMYFUNCTION("ifna(filter('Yahoo ADP'!$A$2:$A2766,'Yahoo ADP'!$B$2:$B2766=$B1194,$C1194='Yahoo ADP'!$C$2:$C2766,$D1194='Yahoo ADP'!$D$2:$D2766))"),"")</f>
        <v/>
      </c>
      <c r="F1194" s="13" t="str">
        <f>IFERROR(__xludf.DUMMYFUNCTION("ifna(filter('Yahoo ADP'!$E$2:$E2766,'Yahoo ADP'!$B$2:$B2766=$B1194,$C1194='Yahoo ADP'!$C$2:$C2766,$D1194='Yahoo ADP'!$D$2:$D2766))"),"-")</f>
        <v>-</v>
      </c>
      <c r="G1194" s="27">
        <v>1179.0</v>
      </c>
      <c r="H1194" s="8">
        <f t="shared" si="1"/>
        <v>-14</v>
      </c>
    </row>
    <row r="1195">
      <c r="A1195" s="10">
        <v>1194.0</v>
      </c>
      <c r="B1195" s="11" t="s">
        <v>4040</v>
      </c>
      <c r="C1195" s="10" t="s">
        <v>22</v>
      </c>
      <c r="D1195" s="10" t="s">
        <v>52</v>
      </c>
      <c r="E1195" s="13" t="str">
        <f>IFERROR(__xludf.DUMMYFUNCTION("ifna(filter('Yahoo ADP'!$A$2:$A2766,'Yahoo ADP'!$B$2:$B2766=$B1195,$C1195='Yahoo ADP'!$C$2:$C2766,$D1195='Yahoo ADP'!$D$2:$D2766))"),"")</f>
        <v/>
      </c>
      <c r="F1195" s="13" t="str">
        <f>IFERROR(__xludf.DUMMYFUNCTION("ifna(filter('Yahoo ADP'!$E$2:$E2766,'Yahoo ADP'!$B$2:$B2766=$B1195,$C1195='Yahoo ADP'!$C$2:$C2766,$D1195='Yahoo ADP'!$D$2:$D2766))"),"-")</f>
        <v>-</v>
      </c>
      <c r="G1195" s="27">
        <v>1180.0</v>
      </c>
      <c r="H1195" s="8">
        <f t="shared" si="1"/>
        <v>-14</v>
      </c>
    </row>
    <row r="1196">
      <c r="A1196" s="10">
        <v>1195.0</v>
      </c>
      <c r="B1196" s="11" t="s">
        <v>4041</v>
      </c>
      <c r="C1196" s="10" t="s">
        <v>79</v>
      </c>
      <c r="D1196" s="10" t="s">
        <v>27</v>
      </c>
      <c r="E1196" s="13" t="str">
        <f>IFERROR(__xludf.DUMMYFUNCTION("ifna(filter('Yahoo ADP'!$A$2:$A2766,'Yahoo ADP'!$B$2:$B2766=$B1196,$C1196='Yahoo ADP'!$C$2:$C2766,$D1196='Yahoo ADP'!$D$2:$D2766))"),"")</f>
        <v/>
      </c>
      <c r="F1196" s="13" t="str">
        <f>IFERROR(__xludf.DUMMYFUNCTION("ifna(filter('Yahoo ADP'!$E$2:$E2766,'Yahoo ADP'!$B$2:$B2766=$B1196,$C1196='Yahoo ADP'!$C$2:$C2766,$D1196='Yahoo ADP'!$D$2:$D2766))"),"-")</f>
        <v>-</v>
      </c>
      <c r="G1196" s="27">
        <v>1181.0</v>
      </c>
      <c r="H1196" s="8">
        <f t="shared" si="1"/>
        <v>-14</v>
      </c>
    </row>
    <row r="1197">
      <c r="A1197" s="10">
        <v>1196.0</v>
      </c>
      <c r="B1197" s="11" t="s">
        <v>4042</v>
      </c>
      <c r="C1197" s="10" t="s">
        <v>22</v>
      </c>
      <c r="D1197" s="10" t="s">
        <v>206</v>
      </c>
      <c r="E1197" s="13" t="str">
        <f>IFERROR(__xludf.DUMMYFUNCTION("ifna(filter('Yahoo ADP'!$A$2:$A2766,'Yahoo ADP'!$B$2:$B2766=$B1197,$C1197='Yahoo ADP'!$C$2:$C2766,$D1197='Yahoo ADP'!$D$2:$D2766))"),"")</f>
        <v/>
      </c>
      <c r="F1197" s="13" t="str">
        <f>IFERROR(__xludf.DUMMYFUNCTION("ifna(filter('Yahoo ADP'!$E$2:$E2766,'Yahoo ADP'!$B$2:$B2766=$B1197,$C1197='Yahoo ADP'!$C$2:$C2766,$D1197='Yahoo ADP'!$D$2:$D2766))"),"-")</f>
        <v>-</v>
      </c>
      <c r="G1197" s="27">
        <v>1182.0</v>
      </c>
      <c r="H1197" s="8">
        <f t="shared" si="1"/>
        <v>-14</v>
      </c>
    </row>
    <row r="1198">
      <c r="A1198" s="10">
        <v>1197.0</v>
      </c>
      <c r="B1198" s="11" t="s">
        <v>4043</v>
      </c>
      <c r="C1198" s="10" t="s">
        <v>22</v>
      </c>
      <c r="D1198" s="10" t="s">
        <v>140</v>
      </c>
      <c r="E1198" s="13" t="str">
        <f>IFERROR(__xludf.DUMMYFUNCTION("ifna(filter('Yahoo ADP'!$A$2:$A2766,'Yahoo ADP'!$B$2:$B2766=$B1198,$C1198='Yahoo ADP'!$C$2:$C2766,$D1198='Yahoo ADP'!$D$2:$D2766))"),"")</f>
        <v/>
      </c>
      <c r="F1198" s="13" t="str">
        <f>IFERROR(__xludf.DUMMYFUNCTION("ifna(filter('Yahoo ADP'!$E$2:$E2766,'Yahoo ADP'!$B$2:$B2766=$B1198,$C1198='Yahoo ADP'!$C$2:$C2766,$D1198='Yahoo ADP'!$D$2:$D2766))"),"-")</f>
        <v>-</v>
      </c>
      <c r="G1198" s="27">
        <v>1183.0</v>
      </c>
      <c r="H1198" s="8">
        <f t="shared" si="1"/>
        <v>-14</v>
      </c>
    </row>
    <row r="1199">
      <c r="A1199" s="10">
        <v>1198.0</v>
      </c>
      <c r="B1199" s="11" t="s">
        <v>4044</v>
      </c>
      <c r="C1199" s="10" t="s">
        <v>79</v>
      </c>
      <c r="D1199" s="10" t="s">
        <v>46</v>
      </c>
      <c r="E1199" s="13" t="str">
        <f>IFERROR(__xludf.DUMMYFUNCTION("ifna(filter('Yahoo ADP'!$A$2:$A2766,'Yahoo ADP'!$B$2:$B2766=$B1199,$C1199='Yahoo ADP'!$C$2:$C2766,$D1199='Yahoo ADP'!$D$2:$D2766))"),"")</f>
        <v/>
      </c>
      <c r="F1199" s="13" t="str">
        <f>IFERROR(__xludf.DUMMYFUNCTION("ifna(filter('Yahoo ADP'!$E$2:$E2766,'Yahoo ADP'!$B$2:$B2766=$B1199,$C1199='Yahoo ADP'!$C$2:$C2766,$D1199='Yahoo ADP'!$D$2:$D2766))"),"-")</f>
        <v>-</v>
      </c>
      <c r="G1199" s="27">
        <v>1184.0</v>
      </c>
      <c r="H1199" s="8">
        <f t="shared" si="1"/>
        <v>-14</v>
      </c>
    </row>
    <row r="1200">
      <c r="A1200" s="10">
        <v>1199.0</v>
      </c>
      <c r="B1200" s="11" t="s">
        <v>4045</v>
      </c>
      <c r="C1200" s="10" t="s">
        <v>79</v>
      </c>
      <c r="D1200" s="10" t="s">
        <v>95</v>
      </c>
      <c r="E1200" s="13" t="str">
        <f>IFERROR(__xludf.DUMMYFUNCTION("ifna(filter('Yahoo ADP'!$A$2:$A2766,'Yahoo ADP'!$B$2:$B2766=$B1200,$C1200='Yahoo ADP'!$C$2:$C2766,$D1200='Yahoo ADP'!$D$2:$D2766))"),"")</f>
        <v/>
      </c>
      <c r="F1200" s="13" t="str">
        <f>IFERROR(__xludf.DUMMYFUNCTION("ifna(filter('Yahoo ADP'!$E$2:$E2766,'Yahoo ADP'!$B$2:$B2766=$B1200,$C1200='Yahoo ADP'!$C$2:$C2766,$D1200='Yahoo ADP'!$D$2:$D2766))"),"-")</f>
        <v>-</v>
      </c>
      <c r="G1200" s="27">
        <v>1185.0</v>
      </c>
      <c r="H1200" s="8">
        <f t="shared" si="1"/>
        <v>-14</v>
      </c>
    </row>
    <row r="1201">
      <c r="A1201" s="10">
        <v>1200.0</v>
      </c>
      <c r="B1201" s="11" t="s">
        <v>4046</v>
      </c>
      <c r="C1201" s="10" t="s">
        <v>22</v>
      </c>
      <c r="D1201" s="10" t="s">
        <v>140</v>
      </c>
      <c r="E1201" s="13" t="str">
        <f>IFERROR(__xludf.DUMMYFUNCTION("ifna(filter('Yahoo ADP'!$A$2:$A2766,'Yahoo ADP'!$B$2:$B2766=$B1201,$C1201='Yahoo ADP'!$C$2:$C2766,$D1201='Yahoo ADP'!$D$2:$D2766))"),"")</f>
        <v/>
      </c>
      <c r="F1201" s="13" t="str">
        <f>IFERROR(__xludf.DUMMYFUNCTION("ifna(filter('Yahoo ADP'!$E$2:$E2766,'Yahoo ADP'!$B$2:$B2766=$B1201,$C1201='Yahoo ADP'!$C$2:$C2766,$D1201='Yahoo ADP'!$D$2:$D2766))"),"-")</f>
        <v>-</v>
      </c>
      <c r="G1201" s="27">
        <v>1186.0</v>
      </c>
      <c r="H1201" s="8">
        <f t="shared" si="1"/>
        <v>-14</v>
      </c>
    </row>
    <row r="1202">
      <c r="A1202" s="10">
        <v>1201.0</v>
      </c>
      <c r="B1202" s="11" t="s">
        <v>4047</v>
      </c>
      <c r="C1202" s="10" t="s">
        <v>79</v>
      </c>
      <c r="D1202" s="10" t="s">
        <v>120</v>
      </c>
      <c r="E1202" s="13" t="str">
        <f>IFERROR(__xludf.DUMMYFUNCTION("ifna(filter('Yahoo ADP'!$A$2:$A2766,'Yahoo ADP'!$B$2:$B2766=$B1202,$C1202='Yahoo ADP'!$C$2:$C2766,$D1202='Yahoo ADP'!$D$2:$D2766))"),"")</f>
        <v/>
      </c>
      <c r="F1202" s="13" t="str">
        <f>IFERROR(__xludf.DUMMYFUNCTION("ifna(filter('Yahoo ADP'!$E$2:$E2766,'Yahoo ADP'!$B$2:$B2766=$B1202,$C1202='Yahoo ADP'!$C$2:$C2766,$D1202='Yahoo ADP'!$D$2:$D2766))"),"-")</f>
        <v>-</v>
      </c>
      <c r="G1202" s="27">
        <v>1187.0</v>
      </c>
      <c r="H1202" s="8">
        <f t="shared" si="1"/>
        <v>-14</v>
      </c>
    </row>
    <row r="1203">
      <c r="A1203" s="10">
        <v>1202.0</v>
      </c>
      <c r="B1203" s="11" t="s">
        <v>4048</v>
      </c>
      <c r="C1203" s="10" t="s">
        <v>22</v>
      </c>
      <c r="D1203" s="10" t="s">
        <v>206</v>
      </c>
      <c r="E1203" s="13" t="str">
        <f>IFERROR(__xludf.DUMMYFUNCTION("ifna(filter('Yahoo ADP'!$A$2:$A2766,'Yahoo ADP'!$B$2:$B2766=$B1203,$C1203='Yahoo ADP'!$C$2:$C2766,$D1203='Yahoo ADP'!$D$2:$D2766))"),"")</f>
        <v/>
      </c>
      <c r="F1203" s="13" t="str">
        <f>IFERROR(__xludf.DUMMYFUNCTION("ifna(filter('Yahoo ADP'!$E$2:$E2766,'Yahoo ADP'!$B$2:$B2766=$B1203,$C1203='Yahoo ADP'!$C$2:$C2766,$D1203='Yahoo ADP'!$D$2:$D2766))"),"-")</f>
        <v>-</v>
      </c>
      <c r="G1203" s="27">
        <v>1188.0</v>
      </c>
      <c r="H1203" s="8">
        <f t="shared" si="1"/>
        <v>-14</v>
      </c>
    </row>
    <row r="1204">
      <c r="A1204" s="10">
        <v>1203.0</v>
      </c>
      <c r="B1204" s="11" t="s">
        <v>4049</v>
      </c>
      <c r="C1204" s="10" t="s">
        <v>22</v>
      </c>
      <c r="D1204" s="10" t="s">
        <v>34</v>
      </c>
      <c r="E1204" s="13" t="str">
        <f>IFERROR(__xludf.DUMMYFUNCTION("ifna(filter('Yahoo ADP'!$A$2:$A2766,'Yahoo ADP'!$B$2:$B2766=$B1204,$C1204='Yahoo ADP'!$C$2:$C2766,$D1204='Yahoo ADP'!$D$2:$D2766))"),"")</f>
        <v/>
      </c>
      <c r="F1204" s="13" t="str">
        <f>IFERROR(__xludf.DUMMYFUNCTION("ifna(filter('Yahoo ADP'!$E$2:$E2766,'Yahoo ADP'!$B$2:$B2766=$B1204,$C1204='Yahoo ADP'!$C$2:$C2766,$D1204='Yahoo ADP'!$D$2:$D2766))"),"-")</f>
        <v>-</v>
      </c>
      <c r="G1204" s="27">
        <v>1189.0</v>
      </c>
      <c r="H1204" s="8">
        <f t="shared" si="1"/>
        <v>-14</v>
      </c>
    </row>
    <row r="1205">
      <c r="A1205" s="10">
        <v>1204.0</v>
      </c>
      <c r="B1205" s="11" t="s">
        <v>4050</v>
      </c>
      <c r="C1205" s="10" t="s">
        <v>22</v>
      </c>
      <c r="D1205" s="10" t="s">
        <v>12</v>
      </c>
      <c r="E1205" s="13" t="str">
        <f>IFERROR(__xludf.DUMMYFUNCTION("ifna(filter('Yahoo ADP'!$A$2:$A2766,'Yahoo ADP'!$B$2:$B2766=$B1205,$C1205='Yahoo ADP'!$C$2:$C2766,$D1205='Yahoo ADP'!$D$2:$D2766))"),"")</f>
        <v/>
      </c>
      <c r="F1205" s="13" t="str">
        <f>IFERROR(__xludf.DUMMYFUNCTION("ifna(filter('Yahoo ADP'!$E$2:$E2766,'Yahoo ADP'!$B$2:$B2766=$B1205,$C1205='Yahoo ADP'!$C$2:$C2766,$D1205='Yahoo ADP'!$D$2:$D2766))"),"-")</f>
        <v>-</v>
      </c>
      <c r="G1205" s="27">
        <v>1190.0</v>
      </c>
      <c r="H1205" s="8">
        <f t="shared" si="1"/>
        <v>-14</v>
      </c>
    </row>
    <row r="1206">
      <c r="A1206" s="10">
        <v>1205.0</v>
      </c>
      <c r="B1206" s="11" t="s">
        <v>4051</v>
      </c>
      <c r="C1206" s="10" t="s">
        <v>79</v>
      </c>
      <c r="D1206" s="10" t="s">
        <v>9</v>
      </c>
      <c r="E1206" s="13" t="str">
        <f>IFERROR(__xludf.DUMMYFUNCTION("ifna(filter('Yahoo ADP'!$A$2:$A2766,'Yahoo ADP'!$B$2:$B2766=$B1206,$C1206='Yahoo ADP'!$C$2:$C2766,$D1206='Yahoo ADP'!$D$2:$D2766))"),"")</f>
        <v/>
      </c>
      <c r="F1206" s="13" t="str">
        <f>IFERROR(__xludf.DUMMYFUNCTION("ifna(filter('Yahoo ADP'!$E$2:$E2766,'Yahoo ADP'!$B$2:$B2766=$B1206,$C1206='Yahoo ADP'!$C$2:$C2766,$D1206='Yahoo ADP'!$D$2:$D2766))"),"-")</f>
        <v>-</v>
      </c>
      <c r="G1206" s="27">
        <v>1191.0</v>
      </c>
      <c r="H1206" s="8">
        <f t="shared" si="1"/>
        <v>-14</v>
      </c>
    </row>
    <row r="1207">
      <c r="A1207" s="10">
        <v>1206.0</v>
      </c>
      <c r="B1207" s="11" t="s">
        <v>4052</v>
      </c>
      <c r="C1207" s="10" t="s">
        <v>79</v>
      </c>
      <c r="D1207" s="10" t="s">
        <v>27</v>
      </c>
      <c r="E1207" s="13" t="str">
        <f>IFERROR(__xludf.DUMMYFUNCTION("ifna(filter('Yahoo ADP'!$A$2:$A2766,'Yahoo ADP'!$B$2:$B2766=$B1207,$C1207='Yahoo ADP'!$C$2:$C2766,$D1207='Yahoo ADP'!$D$2:$D2766))"),"")</f>
        <v/>
      </c>
      <c r="F1207" s="13" t="str">
        <f>IFERROR(__xludf.DUMMYFUNCTION("ifna(filter('Yahoo ADP'!$E$2:$E2766,'Yahoo ADP'!$B$2:$B2766=$B1207,$C1207='Yahoo ADP'!$C$2:$C2766,$D1207='Yahoo ADP'!$D$2:$D2766))"),"-")</f>
        <v>-</v>
      </c>
      <c r="G1207" s="27">
        <v>1192.0</v>
      </c>
      <c r="H1207" s="8">
        <f t="shared" si="1"/>
        <v>-14</v>
      </c>
    </row>
    <row r="1208">
      <c r="A1208" s="10">
        <v>1207.0</v>
      </c>
      <c r="B1208" s="11" t="s">
        <v>4053</v>
      </c>
      <c r="C1208" s="10" t="s">
        <v>79</v>
      </c>
      <c r="D1208" s="10" t="s">
        <v>85</v>
      </c>
      <c r="E1208" s="13" t="str">
        <f>IFERROR(__xludf.DUMMYFUNCTION("ifna(filter('Yahoo ADP'!$A$2:$A2766,'Yahoo ADP'!$B$2:$B2766=$B1208,$C1208='Yahoo ADP'!$C$2:$C2766,$D1208='Yahoo ADP'!$D$2:$D2766))"),"")</f>
        <v/>
      </c>
      <c r="F1208" s="13" t="str">
        <f>IFERROR(__xludf.DUMMYFUNCTION("ifna(filter('Yahoo ADP'!$E$2:$E2766,'Yahoo ADP'!$B$2:$B2766=$B1208,$C1208='Yahoo ADP'!$C$2:$C2766,$D1208='Yahoo ADP'!$D$2:$D2766))"),"-")</f>
        <v>-</v>
      </c>
      <c r="G1208" s="27">
        <v>1193.0</v>
      </c>
      <c r="H1208" s="8">
        <f t="shared" si="1"/>
        <v>-14</v>
      </c>
    </row>
    <row r="1209">
      <c r="A1209" s="10">
        <v>1208.0</v>
      </c>
      <c r="B1209" s="11" t="s">
        <v>4054</v>
      </c>
      <c r="C1209" s="10" t="s">
        <v>22</v>
      </c>
      <c r="D1209" s="10" t="s">
        <v>12</v>
      </c>
      <c r="E1209" s="13" t="str">
        <f>IFERROR(__xludf.DUMMYFUNCTION("ifna(filter('Yahoo ADP'!$A$2:$A2766,'Yahoo ADP'!$B$2:$B2766=$B1209,$C1209='Yahoo ADP'!$C$2:$C2766,$D1209='Yahoo ADP'!$D$2:$D2766))"),"")</f>
        <v/>
      </c>
      <c r="F1209" s="13" t="str">
        <f>IFERROR(__xludf.DUMMYFUNCTION("ifna(filter('Yahoo ADP'!$E$2:$E2766,'Yahoo ADP'!$B$2:$B2766=$B1209,$C1209='Yahoo ADP'!$C$2:$C2766,$D1209='Yahoo ADP'!$D$2:$D2766))"),"-")</f>
        <v>-</v>
      </c>
      <c r="G1209" s="27">
        <v>1194.0</v>
      </c>
      <c r="H1209" s="8">
        <f t="shared" si="1"/>
        <v>-14</v>
      </c>
    </row>
    <row r="1210">
      <c r="A1210" s="10">
        <v>1209.0</v>
      </c>
      <c r="B1210" s="11" t="s">
        <v>4055</v>
      </c>
      <c r="C1210" s="10" t="s">
        <v>79</v>
      </c>
      <c r="D1210" s="10" t="s">
        <v>82</v>
      </c>
      <c r="E1210" s="13" t="str">
        <f>IFERROR(__xludf.DUMMYFUNCTION("ifna(filter('Yahoo ADP'!$A$2:$A2766,'Yahoo ADP'!$B$2:$B2766=$B1210,$C1210='Yahoo ADP'!$C$2:$C2766,$D1210='Yahoo ADP'!$D$2:$D2766))"),"")</f>
        <v/>
      </c>
      <c r="F1210" s="13" t="str">
        <f>IFERROR(__xludf.DUMMYFUNCTION("ifna(filter('Yahoo ADP'!$E$2:$E2766,'Yahoo ADP'!$B$2:$B2766=$B1210,$C1210='Yahoo ADP'!$C$2:$C2766,$D1210='Yahoo ADP'!$D$2:$D2766))"),"-")</f>
        <v>-</v>
      </c>
      <c r="G1210" s="27">
        <v>1195.0</v>
      </c>
      <c r="H1210" s="8">
        <f t="shared" si="1"/>
        <v>-14</v>
      </c>
    </row>
    <row r="1211">
      <c r="A1211" s="10">
        <v>1210.0</v>
      </c>
      <c r="B1211" s="11" t="s">
        <v>4056</v>
      </c>
      <c r="C1211" s="10" t="s">
        <v>22</v>
      </c>
      <c r="D1211" s="10" t="s">
        <v>18</v>
      </c>
      <c r="E1211" s="13" t="str">
        <f>IFERROR(__xludf.DUMMYFUNCTION("ifna(filter('Yahoo ADP'!$A$2:$A2766,'Yahoo ADP'!$B$2:$B2766=$B1211,$C1211='Yahoo ADP'!$C$2:$C2766,$D1211='Yahoo ADP'!$D$2:$D2766))"),"")</f>
        <v/>
      </c>
      <c r="F1211" s="13" t="str">
        <f>IFERROR(__xludf.DUMMYFUNCTION("ifna(filter('Yahoo ADP'!$E$2:$E2766,'Yahoo ADP'!$B$2:$B2766=$B1211,$C1211='Yahoo ADP'!$C$2:$C2766,$D1211='Yahoo ADP'!$D$2:$D2766))"),"-")</f>
        <v>-</v>
      </c>
      <c r="G1211" s="27">
        <v>1196.0</v>
      </c>
      <c r="H1211" s="8">
        <f t="shared" si="1"/>
        <v>-14</v>
      </c>
    </row>
    <row r="1212">
      <c r="A1212" s="10">
        <v>1211.0</v>
      </c>
      <c r="B1212" s="11" t="s">
        <v>4057</v>
      </c>
      <c r="C1212" s="10" t="s">
        <v>22</v>
      </c>
      <c r="D1212" s="10" t="s">
        <v>34</v>
      </c>
      <c r="E1212" s="13" t="str">
        <f>IFERROR(__xludf.DUMMYFUNCTION("ifna(filter('Yahoo ADP'!$A$2:$A2766,'Yahoo ADP'!$B$2:$B2766=$B1212,$C1212='Yahoo ADP'!$C$2:$C2766,$D1212='Yahoo ADP'!$D$2:$D2766))"),"")</f>
        <v/>
      </c>
      <c r="F1212" s="13" t="str">
        <f>IFERROR(__xludf.DUMMYFUNCTION("ifna(filter('Yahoo ADP'!$E$2:$E2766,'Yahoo ADP'!$B$2:$B2766=$B1212,$C1212='Yahoo ADP'!$C$2:$C2766,$D1212='Yahoo ADP'!$D$2:$D2766))"),"-")</f>
        <v>-</v>
      </c>
      <c r="G1212" s="27">
        <v>1197.0</v>
      </c>
      <c r="H1212" s="8">
        <f t="shared" si="1"/>
        <v>-14</v>
      </c>
    </row>
    <row r="1213">
      <c r="A1213" s="10">
        <v>1212.0</v>
      </c>
      <c r="B1213" s="11" t="s">
        <v>4058</v>
      </c>
      <c r="C1213" s="10" t="s">
        <v>79</v>
      </c>
      <c r="D1213" s="10" t="s">
        <v>42</v>
      </c>
      <c r="E1213" s="13" t="str">
        <f>IFERROR(__xludf.DUMMYFUNCTION("ifna(filter('Yahoo ADP'!$A$2:$A2766,'Yahoo ADP'!$B$2:$B2766=$B1213,$C1213='Yahoo ADP'!$C$2:$C2766,$D1213='Yahoo ADP'!$D$2:$D2766))"),"")</f>
        <v/>
      </c>
      <c r="F1213" s="13" t="str">
        <f>IFERROR(__xludf.DUMMYFUNCTION("ifna(filter('Yahoo ADP'!$E$2:$E2766,'Yahoo ADP'!$B$2:$B2766=$B1213,$C1213='Yahoo ADP'!$C$2:$C2766,$D1213='Yahoo ADP'!$D$2:$D2766))"),"-")</f>
        <v>-</v>
      </c>
      <c r="G1213" s="27">
        <v>1198.0</v>
      </c>
      <c r="H1213" s="8">
        <f t="shared" si="1"/>
        <v>-14</v>
      </c>
    </row>
    <row r="1214">
      <c r="A1214" s="10">
        <v>1213.0</v>
      </c>
      <c r="B1214" s="11" t="s">
        <v>4059</v>
      </c>
      <c r="C1214" s="10" t="s">
        <v>22</v>
      </c>
      <c r="D1214" s="10" t="s">
        <v>25</v>
      </c>
      <c r="E1214" s="13" t="str">
        <f>IFERROR(__xludf.DUMMYFUNCTION("ifna(filter('Yahoo ADP'!$A$2:$A2766,'Yahoo ADP'!$B$2:$B2766=$B1214,$C1214='Yahoo ADP'!$C$2:$C2766,$D1214='Yahoo ADP'!$D$2:$D2766))"),"")</f>
        <v/>
      </c>
      <c r="F1214" s="13" t="str">
        <f>IFERROR(__xludf.DUMMYFUNCTION("ifna(filter('Yahoo ADP'!$E$2:$E2766,'Yahoo ADP'!$B$2:$B2766=$B1214,$C1214='Yahoo ADP'!$C$2:$C2766,$D1214='Yahoo ADP'!$D$2:$D2766))"),"-")</f>
        <v>-</v>
      </c>
      <c r="G1214" s="27">
        <v>1199.0</v>
      </c>
      <c r="H1214" s="8">
        <f t="shared" si="1"/>
        <v>-14</v>
      </c>
    </row>
    <row r="1215">
      <c r="A1215" s="10">
        <v>1214.0</v>
      </c>
      <c r="B1215" s="11" t="s">
        <v>4060</v>
      </c>
      <c r="C1215" s="10" t="s">
        <v>22</v>
      </c>
      <c r="D1215" s="10" t="s">
        <v>95</v>
      </c>
      <c r="E1215" s="13" t="str">
        <f>IFERROR(__xludf.DUMMYFUNCTION("ifna(filter('Yahoo ADP'!$A$2:$A2766,'Yahoo ADP'!$B$2:$B2766=$B1215,$C1215='Yahoo ADP'!$C$2:$C2766,$D1215='Yahoo ADP'!$D$2:$D2766))"),"")</f>
        <v/>
      </c>
      <c r="F1215" s="13" t="str">
        <f>IFERROR(__xludf.DUMMYFUNCTION("ifna(filter('Yahoo ADP'!$E$2:$E2766,'Yahoo ADP'!$B$2:$B2766=$B1215,$C1215='Yahoo ADP'!$C$2:$C2766,$D1215='Yahoo ADP'!$D$2:$D2766))"),"-")</f>
        <v>-</v>
      </c>
      <c r="G1215" s="27">
        <v>1200.0</v>
      </c>
      <c r="H1215" s="8">
        <f t="shared" si="1"/>
        <v>-14</v>
      </c>
    </row>
    <row r="1216">
      <c r="A1216" s="10">
        <v>1215.0</v>
      </c>
      <c r="B1216" s="11" t="s">
        <v>4061</v>
      </c>
      <c r="C1216" s="10" t="s">
        <v>22</v>
      </c>
      <c r="D1216" s="10" t="s">
        <v>105</v>
      </c>
      <c r="E1216" s="13" t="str">
        <f>IFERROR(__xludf.DUMMYFUNCTION("ifna(filter('Yahoo ADP'!$A$2:$A2766,'Yahoo ADP'!$B$2:$B2766=$B1216,$C1216='Yahoo ADP'!$C$2:$C2766,$D1216='Yahoo ADP'!$D$2:$D2766))"),"")</f>
        <v/>
      </c>
      <c r="F1216" s="13" t="str">
        <f>IFERROR(__xludf.DUMMYFUNCTION("ifna(filter('Yahoo ADP'!$E$2:$E2766,'Yahoo ADP'!$B$2:$B2766=$B1216,$C1216='Yahoo ADP'!$C$2:$C2766,$D1216='Yahoo ADP'!$D$2:$D2766))"),"-")</f>
        <v>-</v>
      </c>
      <c r="G1216" s="27">
        <v>1201.0</v>
      </c>
      <c r="H1216" s="8">
        <f t="shared" si="1"/>
        <v>-14</v>
      </c>
    </row>
    <row r="1217">
      <c r="A1217" s="10">
        <v>1216.0</v>
      </c>
      <c r="B1217" s="11" t="s">
        <v>4062</v>
      </c>
      <c r="C1217" s="10" t="s">
        <v>79</v>
      </c>
      <c r="D1217" s="10" t="s">
        <v>120</v>
      </c>
      <c r="E1217" s="13" t="str">
        <f>IFERROR(__xludf.DUMMYFUNCTION("ifna(filter('Yahoo ADP'!$A$2:$A2766,'Yahoo ADP'!$B$2:$B2766=$B1217,$C1217='Yahoo ADP'!$C$2:$C2766,$D1217='Yahoo ADP'!$D$2:$D2766))"),"")</f>
        <v/>
      </c>
      <c r="F1217" s="13" t="str">
        <f>IFERROR(__xludf.DUMMYFUNCTION("ifna(filter('Yahoo ADP'!$E$2:$E2766,'Yahoo ADP'!$B$2:$B2766=$B1217,$C1217='Yahoo ADP'!$C$2:$C2766,$D1217='Yahoo ADP'!$D$2:$D2766))"),"-")</f>
        <v>-</v>
      </c>
      <c r="G1217" s="27">
        <v>1202.0</v>
      </c>
      <c r="H1217" s="8">
        <f t="shared" si="1"/>
        <v>-14</v>
      </c>
    </row>
    <row r="1218">
      <c r="A1218" s="10">
        <v>1217.0</v>
      </c>
      <c r="B1218" s="11" t="s">
        <v>4063</v>
      </c>
      <c r="C1218" s="10" t="s">
        <v>79</v>
      </c>
      <c r="D1218" s="10" t="s">
        <v>31</v>
      </c>
      <c r="E1218" s="13" t="str">
        <f>IFERROR(__xludf.DUMMYFUNCTION("ifna(filter('Yahoo ADP'!$A$2:$A2766,'Yahoo ADP'!$B$2:$B2766=$B1218,$C1218='Yahoo ADP'!$C$2:$C2766,$D1218='Yahoo ADP'!$D$2:$D2766))"),"")</f>
        <v/>
      </c>
      <c r="F1218" s="13" t="str">
        <f>IFERROR(__xludf.DUMMYFUNCTION("ifna(filter('Yahoo ADP'!$E$2:$E2766,'Yahoo ADP'!$B$2:$B2766=$B1218,$C1218='Yahoo ADP'!$C$2:$C2766,$D1218='Yahoo ADP'!$D$2:$D2766))"),"-")</f>
        <v>-</v>
      </c>
      <c r="G1218" s="27">
        <v>1203.0</v>
      </c>
      <c r="H1218" s="8">
        <f t="shared" si="1"/>
        <v>-14</v>
      </c>
    </row>
    <row r="1219">
      <c r="A1219" s="10">
        <v>1218.0</v>
      </c>
      <c r="B1219" s="11" t="s">
        <v>4064</v>
      </c>
      <c r="C1219" s="10" t="s">
        <v>79</v>
      </c>
      <c r="D1219" s="10" t="s">
        <v>31</v>
      </c>
      <c r="E1219" s="13" t="str">
        <f>IFERROR(__xludf.DUMMYFUNCTION("ifna(filter('Yahoo ADP'!$A$2:$A2766,'Yahoo ADP'!$B$2:$B2766=$B1219,$C1219='Yahoo ADP'!$C$2:$C2766,$D1219='Yahoo ADP'!$D$2:$D2766))"),"")</f>
        <v/>
      </c>
      <c r="F1219" s="13" t="str">
        <f>IFERROR(__xludf.DUMMYFUNCTION("ifna(filter('Yahoo ADP'!$E$2:$E2766,'Yahoo ADP'!$B$2:$B2766=$B1219,$C1219='Yahoo ADP'!$C$2:$C2766,$D1219='Yahoo ADP'!$D$2:$D2766))"),"-")</f>
        <v>-</v>
      </c>
      <c r="G1219" s="27">
        <v>1204.0</v>
      </c>
      <c r="H1219" s="8">
        <f t="shared" si="1"/>
        <v>-14</v>
      </c>
    </row>
    <row r="1220">
      <c r="A1220" s="10">
        <v>1219.0</v>
      </c>
      <c r="B1220" s="11" t="s">
        <v>4065</v>
      </c>
      <c r="C1220" s="10" t="s">
        <v>79</v>
      </c>
      <c r="D1220" s="10" t="s">
        <v>34</v>
      </c>
      <c r="E1220" s="13" t="str">
        <f>IFERROR(__xludf.DUMMYFUNCTION("ifna(filter('Yahoo ADP'!$A$2:$A2766,'Yahoo ADP'!$B$2:$B2766=$B1220,$C1220='Yahoo ADP'!$C$2:$C2766,$D1220='Yahoo ADP'!$D$2:$D2766))"),"")</f>
        <v/>
      </c>
      <c r="F1220" s="13" t="str">
        <f>IFERROR(__xludf.DUMMYFUNCTION("ifna(filter('Yahoo ADP'!$E$2:$E2766,'Yahoo ADP'!$B$2:$B2766=$B1220,$C1220='Yahoo ADP'!$C$2:$C2766,$D1220='Yahoo ADP'!$D$2:$D2766))"),"-")</f>
        <v>-</v>
      </c>
      <c r="G1220" s="27">
        <v>1205.0</v>
      </c>
      <c r="H1220" s="8">
        <f t="shared" si="1"/>
        <v>-14</v>
      </c>
    </row>
    <row r="1221">
      <c r="A1221" s="10">
        <v>1220.0</v>
      </c>
      <c r="B1221" s="11" t="s">
        <v>4066</v>
      </c>
      <c r="C1221" s="10" t="s">
        <v>79</v>
      </c>
      <c r="D1221" s="10" t="s">
        <v>36</v>
      </c>
      <c r="E1221" s="13" t="str">
        <f>IFERROR(__xludf.DUMMYFUNCTION("ifna(filter('Yahoo ADP'!$A$2:$A2766,'Yahoo ADP'!$B$2:$B2766=$B1221,$C1221='Yahoo ADP'!$C$2:$C2766,$D1221='Yahoo ADP'!$D$2:$D2766))"),"")</f>
        <v/>
      </c>
      <c r="F1221" s="13" t="str">
        <f>IFERROR(__xludf.DUMMYFUNCTION("ifna(filter('Yahoo ADP'!$E$2:$E2766,'Yahoo ADP'!$B$2:$B2766=$B1221,$C1221='Yahoo ADP'!$C$2:$C2766,$D1221='Yahoo ADP'!$D$2:$D2766))"),"-")</f>
        <v>-</v>
      </c>
      <c r="G1221" s="27">
        <v>1206.0</v>
      </c>
      <c r="H1221" s="8">
        <f t="shared" si="1"/>
        <v>-14</v>
      </c>
    </row>
    <row r="1222">
      <c r="A1222" s="10">
        <v>1221.0</v>
      </c>
      <c r="B1222" s="11" t="s">
        <v>4067</v>
      </c>
      <c r="C1222" s="10" t="s">
        <v>79</v>
      </c>
      <c r="D1222" s="10" t="s">
        <v>73</v>
      </c>
      <c r="E1222" s="13" t="str">
        <f>IFERROR(__xludf.DUMMYFUNCTION("ifna(filter('Yahoo ADP'!$A$2:$A2766,'Yahoo ADP'!$B$2:$B2766=$B1222,$C1222='Yahoo ADP'!$C$2:$C2766,$D1222='Yahoo ADP'!$D$2:$D2766))"),"")</f>
        <v/>
      </c>
      <c r="F1222" s="13" t="str">
        <f>IFERROR(__xludf.DUMMYFUNCTION("ifna(filter('Yahoo ADP'!$E$2:$E2766,'Yahoo ADP'!$B$2:$B2766=$B1222,$C1222='Yahoo ADP'!$C$2:$C2766,$D1222='Yahoo ADP'!$D$2:$D2766))"),"-")</f>
        <v>-</v>
      </c>
      <c r="G1222" s="27">
        <v>1207.0</v>
      </c>
      <c r="H1222" s="8">
        <f t="shared" si="1"/>
        <v>-14</v>
      </c>
    </row>
    <row r="1223">
      <c r="A1223" s="10">
        <v>1222.0</v>
      </c>
      <c r="B1223" s="11" t="s">
        <v>4068</v>
      </c>
      <c r="C1223" s="10" t="s">
        <v>22</v>
      </c>
      <c r="D1223" s="10" t="s">
        <v>90</v>
      </c>
      <c r="E1223" s="13" t="str">
        <f>IFERROR(__xludf.DUMMYFUNCTION("ifna(filter('Yahoo ADP'!$A$2:$A2766,'Yahoo ADP'!$B$2:$B2766=$B1223,$C1223='Yahoo ADP'!$C$2:$C2766,$D1223='Yahoo ADP'!$D$2:$D2766))"),"")</f>
        <v/>
      </c>
      <c r="F1223" s="13" t="str">
        <f>IFERROR(__xludf.DUMMYFUNCTION("ifna(filter('Yahoo ADP'!$E$2:$E2766,'Yahoo ADP'!$B$2:$B2766=$B1223,$C1223='Yahoo ADP'!$C$2:$C2766,$D1223='Yahoo ADP'!$D$2:$D2766))"),"-")</f>
        <v>-</v>
      </c>
      <c r="G1223" s="27">
        <v>1208.0</v>
      </c>
      <c r="H1223" s="8">
        <f t="shared" si="1"/>
        <v>-14</v>
      </c>
    </row>
    <row r="1224">
      <c r="A1224" s="10">
        <v>1223.0</v>
      </c>
      <c r="B1224" s="11" t="s">
        <v>4069</v>
      </c>
      <c r="C1224" s="10" t="s">
        <v>48</v>
      </c>
      <c r="D1224" s="10" t="s">
        <v>120</v>
      </c>
      <c r="E1224" s="13" t="str">
        <f>IFERROR(__xludf.DUMMYFUNCTION("ifna(filter('Yahoo ADP'!$A$2:$A2766,'Yahoo ADP'!$B$2:$B2766=$B1224,$C1224='Yahoo ADP'!$C$2:$C2766,$D1224='Yahoo ADP'!$D$2:$D2766))"),"")</f>
        <v/>
      </c>
      <c r="F1224" s="13" t="str">
        <f>IFERROR(__xludf.DUMMYFUNCTION("ifna(filter('Yahoo ADP'!$E$2:$E2766,'Yahoo ADP'!$B$2:$B2766=$B1224,$C1224='Yahoo ADP'!$C$2:$C2766,$D1224='Yahoo ADP'!$D$2:$D2766))"),"-")</f>
        <v>-</v>
      </c>
      <c r="G1224" s="27">
        <v>1209.0</v>
      </c>
      <c r="H1224" s="8">
        <f t="shared" si="1"/>
        <v>-14</v>
      </c>
    </row>
    <row r="1225">
      <c r="A1225" s="10">
        <v>1224.0</v>
      </c>
      <c r="B1225" s="11" t="s">
        <v>4070</v>
      </c>
      <c r="C1225" s="10" t="s">
        <v>79</v>
      </c>
      <c r="D1225" s="10" t="s">
        <v>23</v>
      </c>
      <c r="E1225" s="13" t="str">
        <f>IFERROR(__xludf.DUMMYFUNCTION("ifna(filter('Yahoo ADP'!$A$2:$A2766,'Yahoo ADP'!$B$2:$B2766=$B1225,$C1225='Yahoo ADP'!$C$2:$C2766,$D1225='Yahoo ADP'!$D$2:$D2766))"),"")</f>
        <v/>
      </c>
      <c r="F1225" s="13" t="str">
        <f>IFERROR(__xludf.DUMMYFUNCTION("ifna(filter('Yahoo ADP'!$E$2:$E2766,'Yahoo ADP'!$B$2:$B2766=$B1225,$C1225='Yahoo ADP'!$C$2:$C2766,$D1225='Yahoo ADP'!$D$2:$D2766))"),"-")</f>
        <v>-</v>
      </c>
      <c r="G1225" s="27">
        <v>1210.0</v>
      </c>
      <c r="H1225" s="8">
        <f t="shared" si="1"/>
        <v>-14</v>
      </c>
    </row>
    <row r="1226">
      <c r="A1226" s="10">
        <v>1225.0</v>
      </c>
      <c r="B1226" s="11" t="s">
        <v>4071</v>
      </c>
      <c r="C1226" s="10" t="s">
        <v>79</v>
      </c>
      <c r="D1226" s="10" t="s">
        <v>42</v>
      </c>
      <c r="E1226" s="13" t="str">
        <f>IFERROR(__xludf.DUMMYFUNCTION("ifna(filter('Yahoo ADP'!$A$2:$A2766,'Yahoo ADP'!$B$2:$B2766=$B1226,$C1226='Yahoo ADP'!$C$2:$C2766,$D1226='Yahoo ADP'!$D$2:$D2766))"),"")</f>
        <v/>
      </c>
      <c r="F1226" s="13" t="str">
        <f>IFERROR(__xludf.DUMMYFUNCTION("ifna(filter('Yahoo ADP'!$E$2:$E2766,'Yahoo ADP'!$B$2:$B2766=$B1226,$C1226='Yahoo ADP'!$C$2:$C2766,$D1226='Yahoo ADP'!$D$2:$D2766))"),"-")</f>
        <v>-</v>
      </c>
      <c r="G1226" s="27">
        <v>1211.0</v>
      </c>
      <c r="H1226" s="8">
        <f t="shared" si="1"/>
        <v>-14</v>
      </c>
    </row>
    <row r="1227">
      <c r="A1227" s="10">
        <v>1226.0</v>
      </c>
      <c r="B1227" s="11" t="s">
        <v>4072</v>
      </c>
      <c r="C1227" s="10" t="s">
        <v>79</v>
      </c>
      <c r="D1227" s="10" t="s">
        <v>206</v>
      </c>
      <c r="E1227" s="13" t="str">
        <f>IFERROR(__xludf.DUMMYFUNCTION("ifna(filter('Yahoo ADP'!$A$2:$A2766,'Yahoo ADP'!$B$2:$B2766=$B1227,$C1227='Yahoo ADP'!$C$2:$C2766,$D1227='Yahoo ADP'!$D$2:$D2766))"),"")</f>
        <v/>
      </c>
      <c r="F1227" s="13" t="str">
        <f>IFERROR(__xludf.DUMMYFUNCTION("ifna(filter('Yahoo ADP'!$E$2:$E2766,'Yahoo ADP'!$B$2:$B2766=$B1227,$C1227='Yahoo ADP'!$C$2:$C2766,$D1227='Yahoo ADP'!$D$2:$D2766))"),"-")</f>
        <v>-</v>
      </c>
      <c r="G1227" s="27">
        <v>1212.0</v>
      </c>
      <c r="H1227" s="8">
        <f t="shared" si="1"/>
        <v>-14</v>
      </c>
    </row>
    <row r="1228">
      <c r="A1228" s="10">
        <v>1227.0</v>
      </c>
      <c r="B1228" s="11" t="s">
        <v>4073</v>
      </c>
      <c r="C1228" s="10" t="s">
        <v>79</v>
      </c>
      <c r="D1228" s="10" t="s">
        <v>49</v>
      </c>
      <c r="E1228" s="13" t="str">
        <f>IFERROR(__xludf.DUMMYFUNCTION("ifna(filter('Yahoo ADP'!$A$2:$A2766,'Yahoo ADP'!$B$2:$B2766=$B1228,$C1228='Yahoo ADP'!$C$2:$C2766,$D1228='Yahoo ADP'!$D$2:$D2766))"),"")</f>
        <v/>
      </c>
      <c r="F1228" s="13" t="str">
        <f>IFERROR(__xludf.DUMMYFUNCTION("ifna(filter('Yahoo ADP'!$E$2:$E2766,'Yahoo ADP'!$B$2:$B2766=$B1228,$C1228='Yahoo ADP'!$C$2:$C2766,$D1228='Yahoo ADP'!$D$2:$D2766))"),"-")</f>
        <v>-</v>
      </c>
      <c r="G1228" s="27">
        <v>1213.0</v>
      </c>
      <c r="H1228" s="8">
        <f t="shared" si="1"/>
        <v>-14</v>
      </c>
    </row>
    <row r="1229">
      <c r="A1229" s="10">
        <v>1228.0</v>
      </c>
      <c r="B1229" s="11" t="s">
        <v>4074</v>
      </c>
      <c r="C1229" s="10" t="s">
        <v>79</v>
      </c>
      <c r="D1229" s="10" t="s">
        <v>27</v>
      </c>
      <c r="E1229" s="13" t="str">
        <f>IFERROR(__xludf.DUMMYFUNCTION("ifna(filter('Yahoo ADP'!$A$2:$A2766,'Yahoo ADP'!$B$2:$B2766=$B1229,$C1229='Yahoo ADP'!$C$2:$C2766,$D1229='Yahoo ADP'!$D$2:$D2766))"),"")</f>
        <v/>
      </c>
      <c r="F1229" s="13" t="str">
        <f>IFERROR(__xludf.DUMMYFUNCTION("ifna(filter('Yahoo ADP'!$E$2:$E2766,'Yahoo ADP'!$B$2:$B2766=$B1229,$C1229='Yahoo ADP'!$C$2:$C2766,$D1229='Yahoo ADP'!$D$2:$D2766))"),"-")</f>
        <v>-</v>
      </c>
      <c r="G1229" s="27">
        <v>1214.0</v>
      </c>
      <c r="H1229" s="8">
        <f t="shared" si="1"/>
        <v>-14</v>
      </c>
    </row>
    <row r="1230">
      <c r="A1230" s="10">
        <v>1229.0</v>
      </c>
      <c r="B1230" s="11" t="s">
        <v>4075</v>
      </c>
      <c r="C1230" s="10" t="s">
        <v>79</v>
      </c>
      <c r="D1230" s="10" t="s">
        <v>67</v>
      </c>
      <c r="E1230" s="13" t="str">
        <f>IFERROR(__xludf.DUMMYFUNCTION("ifna(filter('Yahoo ADP'!$A$2:$A2766,'Yahoo ADP'!$B$2:$B2766=$B1230,$C1230='Yahoo ADP'!$C$2:$C2766,$D1230='Yahoo ADP'!$D$2:$D2766))"),"")</f>
        <v/>
      </c>
      <c r="F1230" s="13" t="str">
        <f>IFERROR(__xludf.DUMMYFUNCTION("ifna(filter('Yahoo ADP'!$E$2:$E2766,'Yahoo ADP'!$B$2:$B2766=$B1230,$C1230='Yahoo ADP'!$C$2:$C2766,$D1230='Yahoo ADP'!$D$2:$D2766))"),"-")</f>
        <v>-</v>
      </c>
      <c r="G1230" s="27">
        <v>1215.0</v>
      </c>
      <c r="H1230" s="8">
        <f t="shared" si="1"/>
        <v>-14</v>
      </c>
    </row>
    <row r="1231">
      <c r="A1231" s="10">
        <v>1230.0</v>
      </c>
      <c r="B1231" s="11" t="s">
        <v>4076</v>
      </c>
      <c r="C1231" s="10" t="s">
        <v>79</v>
      </c>
      <c r="D1231" s="10" t="s">
        <v>25</v>
      </c>
      <c r="E1231" s="13" t="str">
        <f>IFERROR(__xludf.DUMMYFUNCTION("ifna(filter('Yahoo ADP'!$A$2:$A2766,'Yahoo ADP'!$B$2:$B2766=$B1231,$C1231='Yahoo ADP'!$C$2:$C2766,$D1231='Yahoo ADP'!$D$2:$D2766))"),"")</f>
        <v/>
      </c>
      <c r="F1231" s="13" t="str">
        <f>IFERROR(__xludf.DUMMYFUNCTION("ifna(filter('Yahoo ADP'!$E$2:$E2766,'Yahoo ADP'!$B$2:$B2766=$B1231,$C1231='Yahoo ADP'!$C$2:$C2766,$D1231='Yahoo ADP'!$D$2:$D2766))"),"-")</f>
        <v>-</v>
      </c>
      <c r="G1231" s="27">
        <v>1216.0</v>
      </c>
      <c r="H1231" s="8">
        <f t="shared" si="1"/>
        <v>-14</v>
      </c>
    </row>
    <row r="1232">
      <c r="A1232" s="10">
        <v>1231.0</v>
      </c>
      <c r="B1232" s="11" t="s">
        <v>4077</v>
      </c>
      <c r="C1232" s="10" t="s">
        <v>79</v>
      </c>
      <c r="D1232" s="10" t="s">
        <v>90</v>
      </c>
      <c r="E1232" s="13" t="str">
        <f>IFERROR(__xludf.DUMMYFUNCTION("ifna(filter('Yahoo ADP'!$A$2:$A2766,'Yahoo ADP'!$B$2:$B2766=$B1232,$C1232='Yahoo ADP'!$C$2:$C2766,$D1232='Yahoo ADP'!$D$2:$D2766))"),"")</f>
        <v/>
      </c>
      <c r="F1232" s="13" t="str">
        <f>IFERROR(__xludf.DUMMYFUNCTION("ifna(filter('Yahoo ADP'!$E$2:$E2766,'Yahoo ADP'!$B$2:$B2766=$B1232,$C1232='Yahoo ADP'!$C$2:$C2766,$D1232='Yahoo ADP'!$D$2:$D2766))"),"-")</f>
        <v>-</v>
      </c>
      <c r="G1232" s="27">
        <v>1217.0</v>
      </c>
      <c r="H1232" s="8">
        <f t="shared" si="1"/>
        <v>-14</v>
      </c>
    </row>
    <row r="1233">
      <c r="A1233" s="10">
        <v>1232.0</v>
      </c>
      <c r="B1233" s="11" t="s">
        <v>4078</v>
      </c>
      <c r="C1233" s="10" t="s">
        <v>79</v>
      </c>
      <c r="D1233" s="10" t="s">
        <v>137</v>
      </c>
      <c r="E1233" s="13" t="str">
        <f>IFERROR(__xludf.DUMMYFUNCTION("ifna(filter('Yahoo ADP'!$A$2:$A2766,'Yahoo ADP'!$B$2:$B2766=$B1233,$C1233='Yahoo ADP'!$C$2:$C2766,$D1233='Yahoo ADP'!$D$2:$D2766))"),"")</f>
        <v/>
      </c>
      <c r="F1233" s="13" t="str">
        <f>IFERROR(__xludf.DUMMYFUNCTION("ifna(filter('Yahoo ADP'!$E$2:$E2766,'Yahoo ADP'!$B$2:$B2766=$B1233,$C1233='Yahoo ADP'!$C$2:$C2766,$D1233='Yahoo ADP'!$D$2:$D2766))"),"-")</f>
        <v>-</v>
      </c>
      <c r="G1233" s="27">
        <v>1218.0</v>
      </c>
      <c r="H1233" s="8">
        <f t="shared" si="1"/>
        <v>-14</v>
      </c>
    </row>
    <row r="1234">
      <c r="A1234" s="10">
        <v>1233.0</v>
      </c>
      <c r="B1234" s="11" t="s">
        <v>4079</v>
      </c>
      <c r="C1234" s="10" t="s">
        <v>79</v>
      </c>
      <c r="D1234" s="10" t="s">
        <v>27</v>
      </c>
      <c r="E1234" s="13" t="str">
        <f>IFERROR(__xludf.DUMMYFUNCTION("ifna(filter('Yahoo ADP'!$A$2:$A2766,'Yahoo ADP'!$B$2:$B2766=$B1234,$C1234='Yahoo ADP'!$C$2:$C2766,$D1234='Yahoo ADP'!$D$2:$D2766))"),"")</f>
        <v/>
      </c>
      <c r="F1234" s="13" t="str">
        <f>IFERROR(__xludf.DUMMYFUNCTION("ifna(filter('Yahoo ADP'!$E$2:$E2766,'Yahoo ADP'!$B$2:$B2766=$B1234,$C1234='Yahoo ADP'!$C$2:$C2766,$D1234='Yahoo ADP'!$D$2:$D2766))"),"-")</f>
        <v>-</v>
      </c>
      <c r="G1234" s="27">
        <v>1219.0</v>
      </c>
      <c r="H1234" s="8">
        <f t="shared" si="1"/>
        <v>-14</v>
      </c>
    </row>
    <row r="1235">
      <c r="A1235" s="10">
        <v>1234.0</v>
      </c>
      <c r="B1235" s="11" t="s">
        <v>4080</v>
      </c>
      <c r="C1235" s="10" t="s">
        <v>79</v>
      </c>
      <c r="D1235" s="10" t="s">
        <v>73</v>
      </c>
      <c r="E1235" s="13" t="str">
        <f>IFERROR(__xludf.DUMMYFUNCTION("ifna(filter('Yahoo ADP'!$A$2:$A2766,'Yahoo ADP'!$B$2:$B2766=$B1235,$C1235='Yahoo ADP'!$C$2:$C2766,$D1235='Yahoo ADP'!$D$2:$D2766))"),"")</f>
        <v/>
      </c>
      <c r="F1235" s="13" t="str">
        <f>IFERROR(__xludf.DUMMYFUNCTION("ifna(filter('Yahoo ADP'!$E$2:$E2766,'Yahoo ADP'!$B$2:$B2766=$B1235,$C1235='Yahoo ADP'!$C$2:$C2766,$D1235='Yahoo ADP'!$D$2:$D2766))"),"-")</f>
        <v>-</v>
      </c>
      <c r="G1235" s="27">
        <v>1220.0</v>
      </c>
      <c r="H1235" s="8">
        <f t="shared" si="1"/>
        <v>-14</v>
      </c>
    </row>
    <row r="1236">
      <c r="A1236" s="10">
        <v>1235.0</v>
      </c>
      <c r="B1236" s="11" t="s">
        <v>4081</v>
      </c>
      <c r="C1236" s="10" t="s">
        <v>22</v>
      </c>
      <c r="D1236" s="10" t="s">
        <v>52</v>
      </c>
      <c r="E1236" s="13" t="str">
        <f>IFERROR(__xludf.DUMMYFUNCTION("ifna(filter('Yahoo ADP'!$A$2:$A2766,'Yahoo ADP'!$B$2:$B2766=$B1236,$C1236='Yahoo ADP'!$C$2:$C2766,$D1236='Yahoo ADP'!$D$2:$D2766))"),"")</f>
        <v/>
      </c>
      <c r="F1236" s="13" t="str">
        <f>IFERROR(__xludf.DUMMYFUNCTION("ifna(filter('Yahoo ADP'!$E$2:$E2766,'Yahoo ADP'!$B$2:$B2766=$B1236,$C1236='Yahoo ADP'!$C$2:$C2766,$D1236='Yahoo ADP'!$D$2:$D2766))"),"-")</f>
        <v>-</v>
      </c>
      <c r="G1236" s="27">
        <v>1221.0</v>
      </c>
      <c r="H1236" s="8">
        <f t="shared" si="1"/>
        <v>-14</v>
      </c>
    </row>
    <row r="1237">
      <c r="A1237" s="10">
        <v>1236.0</v>
      </c>
      <c r="B1237" s="11" t="s">
        <v>4082</v>
      </c>
      <c r="C1237" s="10" t="s">
        <v>79</v>
      </c>
      <c r="D1237" s="10" t="s">
        <v>95</v>
      </c>
      <c r="E1237" s="13" t="str">
        <f>IFERROR(__xludf.DUMMYFUNCTION("ifna(filter('Yahoo ADP'!$A$2:$A2766,'Yahoo ADP'!$B$2:$B2766=$B1237,$C1237='Yahoo ADP'!$C$2:$C2766,$D1237='Yahoo ADP'!$D$2:$D2766))"),"")</f>
        <v/>
      </c>
      <c r="F1237" s="13" t="str">
        <f>IFERROR(__xludf.DUMMYFUNCTION("ifna(filter('Yahoo ADP'!$E$2:$E2766,'Yahoo ADP'!$B$2:$B2766=$B1237,$C1237='Yahoo ADP'!$C$2:$C2766,$D1237='Yahoo ADP'!$D$2:$D2766))"),"-")</f>
        <v>-</v>
      </c>
      <c r="G1237" s="27">
        <v>1222.0</v>
      </c>
      <c r="H1237" s="8">
        <f t="shared" si="1"/>
        <v>-14</v>
      </c>
    </row>
    <row r="1238">
      <c r="A1238" s="10">
        <v>1237.0</v>
      </c>
      <c r="B1238" s="11" t="s">
        <v>4083</v>
      </c>
      <c r="C1238" s="10" t="s">
        <v>79</v>
      </c>
      <c r="D1238" s="10" t="s">
        <v>12</v>
      </c>
      <c r="E1238" s="13" t="str">
        <f>IFERROR(__xludf.DUMMYFUNCTION("ifna(filter('Yahoo ADP'!$A$2:$A2766,'Yahoo ADP'!$B$2:$B2766=$B1238,$C1238='Yahoo ADP'!$C$2:$C2766,$D1238='Yahoo ADP'!$D$2:$D2766))"),"")</f>
        <v/>
      </c>
      <c r="F1238" s="13" t="str">
        <f>IFERROR(__xludf.DUMMYFUNCTION("ifna(filter('Yahoo ADP'!$E$2:$E2766,'Yahoo ADP'!$B$2:$B2766=$B1238,$C1238='Yahoo ADP'!$C$2:$C2766,$D1238='Yahoo ADP'!$D$2:$D2766))"),"-")</f>
        <v>-</v>
      </c>
      <c r="G1238" s="27">
        <v>1223.0</v>
      </c>
      <c r="H1238" s="8">
        <f t="shared" si="1"/>
        <v>-14</v>
      </c>
    </row>
    <row r="1239">
      <c r="A1239" s="10">
        <v>1238.0</v>
      </c>
      <c r="B1239" s="11" t="s">
        <v>4084</v>
      </c>
      <c r="C1239" s="10" t="s">
        <v>79</v>
      </c>
      <c r="D1239" s="10" t="s">
        <v>105</v>
      </c>
      <c r="E1239" s="13" t="str">
        <f>IFERROR(__xludf.DUMMYFUNCTION("ifna(filter('Yahoo ADP'!$A$2:$A2766,'Yahoo ADP'!$B$2:$B2766=$B1239,$C1239='Yahoo ADP'!$C$2:$C2766,$D1239='Yahoo ADP'!$D$2:$D2766))"),"")</f>
        <v/>
      </c>
      <c r="F1239" s="13" t="str">
        <f>IFERROR(__xludf.DUMMYFUNCTION("ifna(filter('Yahoo ADP'!$E$2:$E2766,'Yahoo ADP'!$B$2:$B2766=$B1239,$C1239='Yahoo ADP'!$C$2:$C2766,$D1239='Yahoo ADP'!$D$2:$D2766))"),"-")</f>
        <v>-</v>
      </c>
      <c r="G1239" s="27">
        <v>1224.0</v>
      </c>
      <c r="H1239" s="8">
        <f t="shared" si="1"/>
        <v>-14</v>
      </c>
    </row>
    <row r="1240">
      <c r="A1240" s="10">
        <v>1239.0</v>
      </c>
      <c r="B1240" s="11" t="s">
        <v>4085</v>
      </c>
      <c r="C1240" s="10" t="s">
        <v>79</v>
      </c>
      <c r="D1240" s="10" t="s">
        <v>99</v>
      </c>
      <c r="E1240" s="13" t="str">
        <f>IFERROR(__xludf.DUMMYFUNCTION("ifna(filter('Yahoo ADP'!$A$2:$A2766,'Yahoo ADP'!$B$2:$B2766=$B1240,$C1240='Yahoo ADP'!$C$2:$C2766,$D1240='Yahoo ADP'!$D$2:$D2766))"),"")</f>
        <v/>
      </c>
      <c r="F1240" s="13" t="str">
        <f>IFERROR(__xludf.DUMMYFUNCTION("ifna(filter('Yahoo ADP'!$E$2:$E2766,'Yahoo ADP'!$B$2:$B2766=$B1240,$C1240='Yahoo ADP'!$C$2:$C2766,$D1240='Yahoo ADP'!$D$2:$D2766))"),"-")</f>
        <v>-</v>
      </c>
      <c r="G1240" s="27">
        <v>1225.0</v>
      </c>
      <c r="H1240" s="8">
        <f t="shared" si="1"/>
        <v>-14</v>
      </c>
    </row>
    <row r="1241">
      <c r="A1241" s="10">
        <v>1240.0</v>
      </c>
      <c r="B1241" s="11" t="s">
        <v>4086</v>
      </c>
      <c r="C1241" s="10" t="s">
        <v>79</v>
      </c>
      <c r="D1241" s="10" t="s">
        <v>31</v>
      </c>
      <c r="E1241" s="13" t="str">
        <f>IFERROR(__xludf.DUMMYFUNCTION("ifna(filter('Yahoo ADP'!$A$2:$A2766,'Yahoo ADP'!$B$2:$B2766=$B1241,$C1241='Yahoo ADP'!$C$2:$C2766,$D1241='Yahoo ADP'!$D$2:$D2766))"),"")</f>
        <v/>
      </c>
      <c r="F1241" s="13" t="str">
        <f>IFERROR(__xludf.DUMMYFUNCTION("ifna(filter('Yahoo ADP'!$E$2:$E2766,'Yahoo ADP'!$B$2:$B2766=$B1241,$C1241='Yahoo ADP'!$C$2:$C2766,$D1241='Yahoo ADP'!$D$2:$D2766))"),"-")</f>
        <v>-</v>
      </c>
      <c r="G1241" s="27">
        <v>1226.0</v>
      </c>
      <c r="H1241" s="8">
        <f t="shared" si="1"/>
        <v>-14</v>
      </c>
    </row>
    <row r="1242">
      <c r="A1242" s="10">
        <v>1241.0</v>
      </c>
      <c r="B1242" s="11" t="s">
        <v>4087</v>
      </c>
      <c r="C1242" s="10" t="s">
        <v>55</v>
      </c>
      <c r="D1242" s="10" t="s">
        <v>49</v>
      </c>
      <c r="E1242" s="13" t="str">
        <f>IFERROR(__xludf.DUMMYFUNCTION("ifna(filter('Yahoo ADP'!$A$2:$A2766,'Yahoo ADP'!$B$2:$B2766=$B1242,$C1242='Yahoo ADP'!$C$2:$C2766,$D1242='Yahoo ADP'!$D$2:$D2766))"),"")</f>
        <v/>
      </c>
      <c r="F1242" s="13" t="str">
        <f>IFERROR(__xludf.DUMMYFUNCTION("ifna(filter('Yahoo ADP'!$E$2:$E2766,'Yahoo ADP'!$B$2:$B2766=$B1242,$C1242='Yahoo ADP'!$C$2:$C2766,$D1242='Yahoo ADP'!$D$2:$D2766))"),"-")</f>
        <v>-</v>
      </c>
      <c r="G1242" s="27">
        <v>1227.0</v>
      </c>
      <c r="H1242" s="8">
        <f t="shared" si="1"/>
        <v>-14</v>
      </c>
    </row>
    <row r="1243">
      <c r="A1243" s="10">
        <v>1242.0</v>
      </c>
      <c r="B1243" s="11" t="s">
        <v>4088</v>
      </c>
      <c r="C1243" s="10" t="s">
        <v>79</v>
      </c>
      <c r="D1243" s="10" t="s">
        <v>73</v>
      </c>
      <c r="E1243" s="13" t="str">
        <f>IFERROR(__xludf.DUMMYFUNCTION("ifna(filter('Yahoo ADP'!$A$2:$A2766,'Yahoo ADP'!$B$2:$B2766=$B1243,$C1243='Yahoo ADP'!$C$2:$C2766,$D1243='Yahoo ADP'!$D$2:$D2766))"),"")</f>
        <v/>
      </c>
      <c r="F1243" s="13" t="str">
        <f>IFERROR(__xludf.DUMMYFUNCTION("ifna(filter('Yahoo ADP'!$E$2:$E2766,'Yahoo ADP'!$B$2:$B2766=$B1243,$C1243='Yahoo ADP'!$C$2:$C2766,$D1243='Yahoo ADP'!$D$2:$D2766))"),"-")</f>
        <v>-</v>
      </c>
      <c r="G1243" s="27">
        <v>1228.0</v>
      </c>
      <c r="H1243" s="8">
        <f t="shared" si="1"/>
        <v>-14</v>
      </c>
    </row>
    <row r="1244">
      <c r="A1244" s="10">
        <v>1243.0</v>
      </c>
      <c r="B1244" s="11" t="s">
        <v>4089</v>
      </c>
      <c r="C1244" s="10" t="s">
        <v>79</v>
      </c>
      <c r="D1244" s="10" t="s">
        <v>42</v>
      </c>
      <c r="E1244" s="13" t="str">
        <f>IFERROR(__xludf.DUMMYFUNCTION("ifna(filter('Yahoo ADP'!$A$2:$A2766,'Yahoo ADP'!$B$2:$B2766=$B1244,$C1244='Yahoo ADP'!$C$2:$C2766,$D1244='Yahoo ADP'!$D$2:$D2766))"),"")</f>
        <v/>
      </c>
      <c r="F1244" s="13" t="str">
        <f>IFERROR(__xludf.DUMMYFUNCTION("ifna(filter('Yahoo ADP'!$E$2:$E2766,'Yahoo ADP'!$B$2:$B2766=$B1244,$C1244='Yahoo ADP'!$C$2:$C2766,$D1244='Yahoo ADP'!$D$2:$D2766))"),"-")</f>
        <v>-</v>
      </c>
      <c r="G1244" s="27">
        <v>1229.0</v>
      </c>
      <c r="H1244" s="8">
        <f t="shared" si="1"/>
        <v>-14</v>
      </c>
    </row>
    <row r="1245">
      <c r="A1245" s="10">
        <v>1244.0</v>
      </c>
      <c r="B1245" s="11" t="s">
        <v>4090</v>
      </c>
      <c r="C1245" s="10" t="s">
        <v>22</v>
      </c>
      <c r="D1245" s="10" t="s">
        <v>67</v>
      </c>
      <c r="E1245" s="13" t="str">
        <f>IFERROR(__xludf.DUMMYFUNCTION("ifna(filter('Yahoo ADP'!$A$2:$A2766,'Yahoo ADP'!$B$2:$B2766=$B1245,$C1245='Yahoo ADP'!$C$2:$C2766,$D1245='Yahoo ADP'!$D$2:$D2766))"),"")</f>
        <v/>
      </c>
      <c r="F1245" s="13" t="str">
        <f>IFERROR(__xludf.DUMMYFUNCTION("ifna(filter('Yahoo ADP'!$E$2:$E2766,'Yahoo ADP'!$B$2:$B2766=$B1245,$C1245='Yahoo ADP'!$C$2:$C2766,$D1245='Yahoo ADP'!$D$2:$D2766))"),"-")</f>
        <v>-</v>
      </c>
      <c r="G1245" s="27">
        <v>1230.0</v>
      </c>
      <c r="H1245" s="8">
        <f t="shared" si="1"/>
        <v>-14</v>
      </c>
    </row>
    <row r="1246">
      <c r="A1246" s="10">
        <v>1245.0</v>
      </c>
      <c r="B1246" s="11" t="s">
        <v>4091</v>
      </c>
      <c r="C1246" s="10" t="s">
        <v>20</v>
      </c>
      <c r="D1246" s="10" t="s">
        <v>129</v>
      </c>
      <c r="E1246" s="13" t="str">
        <f>IFERROR(__xludf.DUMMYFUNCTION("ifna(filter('Yahoo ADP'!$A$2:$A2766,'Yahoo ADP'!$B$2:$B2766=$B1246,$C1246='Yahoo ADP'!$C$2:$C2766,$D1246='Yahoo ADP'!$D$2:$D2766))"),"")</f>
        <v/>
      </c>
      <c r="F1246" s="13" t="str">
        <f>IFERROR(__xludf.DUMMYFUNCTION("ifna(filter('Yahoo ADP'!$E$2:$E2766,'Yahoo ADP'!$B$2:$B2766=$B1246,$C1246='Yahoo ADP'!$C$2:$C2766,$D1246='Yahoo ADP'!$D$2:$D2766))"),"-")</f>
        <v>-</v>
      </c>
      <c r="G1246" s="27">
        <v>1231.0</v>
      </c>
      <c r="H1246" s="8">
        <f t="shared" si="1"/>
        <v>-14</v>
      </c>
    </row>
    <row r="1247">
      <c r="A1247" s="10">
        <v>1246.0</v>
      </c>
      <c r="B1247" s="11" t="s">
        <v>4092</v>
      </c>
      <c r="C1247" s="10" t="s">
        <v>22</v>
      </c>
      <c r="D1247" s="10" t="s">
        <v>71</v>
      </c>
      <c r="E1247" s="13" t="str">
        <f>IFERROR(__xludf.DUMMYFUNCTION("ifna(filter('Yahoo ADP'!$A$2:$A2766,'Yahoo ADP'!$B$2:$B2766=$B1247,$C1247='Yahoo ADP'!$C$2:$C2766,$D1247='Yahoo ADP'!$D$2:$D2766))"),"")</f>
        <v/>
      </c>
      <c r="F1247" s="13" t="str">
        <f>IFERROR(__xludf.DUMMYFUNCTION("ifna(filter('Yahoo ADP'!$E$2:$E2766,'Yahoo ADP'!$B$2:$B2766=$B1247,$C1247='Yahoo ADP'!$C$2:$C2766,$D1247='Yahoo ADP'!$D$2:$D2766))"),"-")</f>
        <v>-</v>
      </c>
      <c r="G1247" s="27">
        <v>1232.0</v>
      </c>
      <c r="H1247" s="8">
        <f t="shared" si="1"/>
        <v>-14</v>
      </c>
    </row>
    <row r="1248">
      <c r="A1248" s="10">
        <v>1247.0</v>
      </c>
      <c r="B1248" s="11" t="s">
        <v>4093</v>
      </c>
      <c r="C1248" s="10" t="s">
        <v>79</v>
      </c>
      <c r="D1248" s="10" t="s">
        <v>206</v>
      </c>
      <c r="E1248" s="13" t="str">
        <f>IFERROR(__xludf.DUMMYFUNCTION("ifna(filter('Yahoo ADP'!$A$2:$A2766,'Yahoo ADP'!$B$2:$B2766=$B1248,$C1248='Yahoo ADP'!$C$2:$C2766,$D1248='Yahoo ADP'!$D$2:$D2766))"),"")</f>
        <v/>
      </c>
      <c r="F1248" s="13" t="str">
        <f>IFERROR(__xludf.DUMMYFUNCTION("ifna(filter('Yahoo ADP'!$E$2:$E2766,'Yahoo ADP'!$B$2:$B2766=$B1248,$C1248='Yahoo ADP'!$C$2:$C2766,$D1248='Yahoo ADP'!$D$2:$D2766))"),"-")</f>
        <v>-</v>
      </c>
      <c r="G1248" s="27">
        <v>1233.0</v>
      </c>
      <c r="H1248" s="8">
        <f t="shared" si="1"/>
        <v>-14</v>
      </c>
    </row>
    <row r="1249">
      <c r="A1249" s="10">
        <v>1248.0</v>
      </c>
      <c r="B1249" s="11" t="s">
        <v>4094</v>
      </c>
      <c r="C1249" s="10" t="s">
        <v>79</v>
      </c>
      <c r="D1249" s="10" t="s">
        <v>49</v>
      </c>
      <c r="E1249" s="13" t="str">
        <f>IFERROR(__xludf.DUMMYFUNCTION("ifna(filter('Yahoo ADP'!$A$2:$A2766,'Yahoo ADP'!$B$2:$B2766=$B1249,$C1249='Yahoo ADP'!$C$2:$C2766,$D1249='Yahoo ADP'!$D$2:$D2766))"),"")</f>
        <v/>
      </c>
      <c r="F1249" s="13" t="str">
        <f>IFERROR(__xludf.DUMMYFUNCTION("ifna(filter('Yahoo ADP'!$E$2:$E2766,'Yahoo ADP'!$B$2:$B2766=$B1249,$C1249='Yahoo ADP'!$C$2:$C2766,$D1249='Yahoo ADP'!$D$2:$D2766))"),"-")</f>
        <v>-</v>
      </c>
      <c r="G1249" s="27">
        <v>1234.0</v>
      </c>
      <c r="H1249" s="8">
        <f t="shared" si="1"/>
        <v>-14</v>
      </c>
    </row>
    <row r="1250">
      <c r="A1250" s="10">
        <v>1249.0</v>
      </c>
      <c r="B1250" s="11" t="s">
        <v>4095</v>
      </c>
      <c r="C1250" s="10" t="s">
        <v>22</v>
      </c>
      <c r="D1250" s="10" t="s">
        <v>18</v>
      </c>
      <c r="E1250" s="13" t="str">
        <f>IFERROR(__xludf.DUMMYFUNCTION("ifna(filter('Yahoo ADP'!$A$2:$A2766,'Yahoo ADP'!$B$2:$B2766=$B1250,$C1250='Yahoo ADP'!$C$2:$C2766,$D1250='Yahoo ADP'!$D$2:$D2766))"),"")</f>
        <v/>
      </c>
      <c r="F1250" s="13" t="str">
        <f>IFERROR(__xludf.DUMMYFUNCTION("ifna(filter('Yahoo ADP'!$E$2:$E2766,'Yahoo ADP'!$B$2:$B2766=$B1250,$C1250='Yahoo ADP'!$C$2:$C2766,$D1250='Yahoo ADP'!$D$2:$D2766))"),"-")</f>
        <v>-</v>
      </c>
      <c r="G1250" s="27">
        <v>1235.0</v>
      </c>
      <c r="H1250" s="8">
        <f t="shared" si="1"/>
        <v>-14</v>
      </c>
    </row>
    <row r="1251">
      <c r="A1251" s="10">
        <v>1250.0</v>
      </c>
      <c r="B1251" s="11" t="s">
        <v>4096</v>
      </c>
      <c r="C1251" s="10" t="s">
        <v>22</v>
      </c>
      <c r="D1251" s="10" t="s">
        <v>85</v>
      </c>
      <c r="E1251" s="13" t="str">
        <f>IFERROR(__xludf.DUMMYFUNCTION("ifna(filter('Yahoo ADP'!$A$2:$A2766,'Yahoo ADP'!$B$2:$B2766=$B1251,$C1251='Yahoo ADP'!$C$2:$C2766,$D1251='Yahoo ADP'!$D$2:$D2766))"),"")</f>
        <v/>
      </c>
      <c r="F1251" s="13" t="str">
        <f>IFERROR(__xludf.DUMMYFUNCTION("ifna(filter('Yahoo ADP'!$E$2:$E2766,'Yahoo ADP'!$B$2:$B2766=$B1251,$C1251='Yahoo ADP'!$C$2:$C2766,$D1251='Yahoo ADP'!$D$2:$D2766))"),"-")</f>
        <v>-</v>
      </c>
      <c r="G1251" s="27">
        <v>1236.0</v>
      </c>
      <c r="H1251" s="8">
        <f t="shared" si="1"/>
        <v>-14</v>
      </c>
    </row>
    <row r="1252">
      <c r="A1252" s="10">
        <v>1251.0</v>
      </c>
      <c r="B1252" s="11" t="s">
        <v>4097</v>
      </c>
      <c r="C1252" s="10" t="s">
        <v>22</v>
      </c>
      <c r="D1252" s="10" t="s">
        <v>90</v>
      </c>
      <c r="E1252" s="13" t="str">
        <f>IFERROR(__xludf.DUMMYFUNCTION("ifna(filter('Yahoo ADP'!$A$2:$A2766,'Yahoo ADP'!$B$2:$B2766=$B1252,$C1252='Yahoo ADP'!$C$2:$C2766,$D1252='Yahoo ADP'!$D$2:$D2766))"),"")</f>
        <v/>
      </c>
      <c r="F1252" s="13" t="str">
        <f>IFERROR(__xludf.DUMMYFUNCTION("ifna(filter('Yahoo ADP'!$E$2:$E2766,'Yahoo ADP'!$B$2:$B2766=$B1252,$C1252='Yahoo ADP'!$C$2:$C2766,$D1252='Yahoo ADP'!$D$2:$D2766))"),"-")</f>
        <v>-</v>
      </c>
      <c r="G1252" s="27">
        <v>1237.0</v>
      </c>
      <c r="H1252" s="8">
        <f t="shared" si="1"/>
        <v>-14</v>
      </c>
    </row>
    <row r="1253">
      <c r="A1253" s="10">
        <v>1252.0</v>
      </c>
      <c r="B1253" s="11" t="s">
        <v>4098</v>
      </c>
      <c r="C1253" s="10" t="s">
        <v>79</v>
      </c>
      <c r="D1253" s="10" t="s">
        <v>85</v>
      </c>
      <c r="E1253" s="13" t="str">
        <f>IFERROR(__xludf.DUMMYFUNCTION("ifna(filter('Yahoo ADP'!$A$2:$A2766,'Yahoo ADP'!$B$2:$B2766=$B1253,$C1253='Yahoo ADP'!$C$2:$C2766,$D1253='Yahoo ADP'!$D$2:$D2766))"),"")</f>
        <v/>
      </c>
      <c r="F1253" s="13" t="str">
        <f>IFERROR(__xludf.DUMMYFUNCTION("ifna(filter('Yahoo ADP'!$E$2:$E2766,'Yahoo ADP'!$B$2:$B2766=$B1253,$C1253='Yahoo ADP'!$C$2:$C2766,$D1253='Yahoo ADP'!$D$2:$D2766))"),"-")</f>
        <v>-</v>
      </c>
      <c r="G1253" s="27">
        <v>1238.0</v>
      </c>
      <c r="H1253" s="8">
        <f t="shared" si="1"/>
        <v>-14</v>
      </c>
    </row>
    <row r="1254">
      <c r="A1254" s="10">
        <v>1253.0</v>
      </c>
      <c r="B1254" s="11" t="s">
        <v>4099</v>
      </c>
      <c r="C1254" s="10" t="s">
        <v>79</v>
      </c>
      <c r="D1254" s="10" t="s">
        <v>67</v>
      </c>
      <c r="E1254" s="13" t="str">
        <f>IFERROR(__xludf.DUMMYFUNCTION("ifna(filter('Yahoo ADP'!$A$2:$A2766,'Yahoo ADP'!$B$2:$B2766=$B1254,$C1254='Yahoo ADP'!$C$2:$C2766,$D1254='Yahoo ADP'!$D$2:$D2766))"),"")</f>
        <v/>
      </c>
      <c r="F1254" s="13" t="str">
        <f>IFERROR(__xludf.DUMMYFUNCTION("ifna(filter('Yahoo ADP'!$E$2:$E2766,'Yahoo ADP'!$B$2:$B2766=$B1254,$C1254='Yahoo ADP'!$C$2:$C2766,$D1254='Yahoo ADP'!$D$2:$D2766))"),"-")</f>
        <v>-</v>
      </c>
      <c r="G1254" s="27">
        <v>1239.0</v>
      </c>
      <c r="H1254" s="8">
        <f t="shared" si="1"/>
        <v>-14</v>
      </c>
    </row>
    <row r="1255">
      <c r="A1255" s="10">
        <v>1254.0</v>
      </c>
      <c r="B1255" s="11" t="s">
        <v>4100</v>
      </c>
      <c r="C1255" s="10" t="s">
        <v>220</v>
      </c>
      <c r="D1255" s="10" t="s">
        <v>71</v>
      </c>
      <c r="E1255" s="13" t="str">
        <f>IFERROR(__xludf.DUMMYFUNCTION("ifna(filter('Yahoo ADP'!$A$2:$A2766,'Yahoo ADP'!$B$2:$B2766=$B1255,$C1255='Yahoo ADP'!$C$2:$C2766,$D1255='Yahoo ADP'!$D$2:$D2766))"),"")</f>
        <v/>
      </c>
      <c r="F1255" s="13" t="str">
        <f>IFERROR(__xludf.DUMMYFUNCTION("ifna(filter('Yahoo ADP'!$E$2:$E2766,'Yahoo ADP'!$B$2:$B2766=$B1255,$C1255='Yahoo ADP'!$C$2:$C2766,$D1255='Yahoo ADP'!$D$2:$D2766))"),"-")</f>
        <v>-</v>
      </c>
      <c r="G1255" s="27">
        <v>1240.0</v>
      </c>
      <c r="H1255" s="8">
        <f t="shared" si="1"/>
        <v>-14</v>
      </c>
    </row>
    <row r="1256">
      <c r="A1256" s="10">
        <v>1255.0</v>
      </c>
      <c r="B1256" s="11" t="s">
        <v>4101</v>
      </c>
      <c r="C1256" s="10" t="s">
        <v>79</v>
      </c>
      <c r="D1256" s="10" t="s">
        <v>120</v>
      </c>
      <c r="E1256" s="13" t="str">
        <f>IFERROR(__xludf.DUMMYFUNCTION("ifna(filter('Yahoo ADP'!$A$2:$A2766,'Yahoo ADP'!$B$2:$B2766=$B1256,$C1256='Yahoo ADP'!$C$2:$C2766,$D1256='Yahoo ADP'!$D$2:$D2766))"),"")</f>
        <v/>
      </c>
      <c r="F1256" s="13" t="str">
        <f>IFERROR(__xludf.DUMMYFUNCTION("ifna(filter('Yahoo ADP'!$E$2:$E2766,'Yahoo ADP'!$B$2:$B2766=$B1256,$C1256='Yahoo ADP'!$C$2:$C2766,$D1256='Yahoo ADP'!$D$2:$D2766))"),"-")</f>
        <v>-</v>
      </c>
      <c r="G1256" s="27">
        <v>1241.0</v>
      </c>
      <c r="H1256" s="8">
        <f t="shared" si="1"/>
        <v>-14</v>
      </c>
    </row>
    <row r="1257">
      <c r="A1257" s="10">
        <v>1256.0</v>
      </c>
      <c r="B1257" s="11" t="s">
        <v>4102</v>
      </c>
      <c r="C1257" s="10" t="s">
        <v>79</v>
      </c>
      <c r="D1257" s="10" t="s">
        <v>36</v>
      </c>
      <c r="E1257" s="13" t="str">
        <f>IFERROR(__xludf.DUMMYFUNCTION("ifna(filter('Yahoo ADP'!$A$2:$A2766,'Yahoo ADP'!$B$2:$B2766=$B1257,$C1257='Yahoo ADP'!$C$2:$C2766,$D1257='Yahoo ADP'!$D$2:$D2766))"),"")</f>
        <v/>
      </c>
      <c r="F1257" s="13" t="str">
        <f>IFERROR(__xludf.DUMMYFUNCTION("ifna(filter('Yahoo ADP'!$E$2:$E2766,'Yahoo ADP'!$B$2:$B2766=$B1257,$C1257='Yahoo ADP'!$C$2:$C2766,$D1257='Yahoo ADP'!$D$2:$D2766))"),"-")</f>
        <v>-</v>
      </c>
      <c r="G1257" s="27">
        <v>1242.0</v>
      </c>
      <c r="H1257" s="8">
        <f t="shared" si="1"/>
        <v>-14</v>
      </c>
    </row>
    <row r="1258">
      <c r="A1258" s="10">
        <v>1257.0</v>
      </c>
      <c r="B1258" s="11" t="s">
        <v>4103</v>
      </c>
      <c r="C1258" s="10" t="s">
        <v>22</v>
      </c>
      <c r="D1258" s="10" t="s">
        <v>206</v>
      </c>
      <c r="E1258" s="13" t="str">
        <f>IFERROR(__xludf.DUMMYFUNCTION("ifna(filter('Yahoo ADP'!$A$2:$A2766,'Yahoo ADP'!$B$2:$B2766=$B1258,$C1258='Yahoo ADP'!$C$2:$C2766,$D1258='Yahoo ADP'!$D$2:$D2766))"),"")</f>
        <v/>
      </c>
      <c r="F1258" s="13" t="str">
        <f>IFERROR(__xludf.DUMMYFUNCTION("ifna(filter('Yahoo ADP'!$E$2:$E2766,'Yahoo ADP'!$B$2:$B2766=$B1258,$C1258='Yahoo ADP'!$C$2:$C2766,$D1258='Yahoo ADP'!$D$2:$D2766))"),"-")</f>
        <v>-</v>
      </c>
      <c r="G1258" s="27">
        <v>1243.0</v>
      </c>
      <c r="H1258" s="8">
        <f t="shared" si="1"/>
        <v>-14</v>
      </c>
    </row>
    <row r="1259">
      <c r="A1259" s="10">
        <v>1258.0</v>
      </c>
      <c r="B1259" s="11" t="s">
        <v>4104</v>
      </c>
      <c r="C1259" s="10" t="s">
        <v>79</v>
      </c>
      <c r="D1259" s="10" t="s">
        <v>129</v>
      </c>
      <c r="E1259" s="13" t="str">
        <f>IFERROR(__xludf.DUMMYFUNCTION("ifna(filter('Yahoo ADP'!$A$2:$A2766,'Yahoo ADP'!$B$2:$B2766=$B1259,$C1259='Yahoo ADP'!$C$2:$C2766,$D1259='Yahoo ADP'!$D$2:$D2766))"),"")</f>
        <v/>
      </c>
      <c r="F1259" s="13" t="str">
        <f>IFERROR(__xludf.DUMMYFUNCTION("ifna(filter('Yahoo ADP'!$E$2:$E2766,'Yahoo ADP'!$B$2:$B2766=$B1259,$C1259='Yahoo ADP'!$C$2:$C2766,$D1259='Yahoo ADP'!$D$2:$D2766))"),"-")</f>
        <v>-</v>
      </c>
      <c r="G1259" s="27">
        <v>1244.0</v>
      </c>
      <c r="H1259" s="8">
        <f t="shared" si="1"/>
        <v>-14</v>
      </c>
    </row>
    <row r="1260">
      <c r="A1260" s="10">
        <v>1259.0</v>
      </c>
      <c r="B1260" s="11" t="s">
        <v>4105</v>
      </c>
      <c r="C1260" s="10" t="s">
        <v>79</v>
      </c>
      <c r="D1260" s="10" t="s">
        <v>85</v>
      </c>
      <c r="E1260" s="13" t="str">
        <f>IFERROR(__xludf.DUMMYFUNCTION("ifna(filter('Yahoo ADP'!$A$2:$A2766,'Yahoo ADP'!$B$2:$B2766=$B1260,$C1260='Yahoo ADP'!$C$2:$C2766,$D1260='Yahoo ADP'!$D$2:$D2766))"),"")</f>
        <v/>
      </c>
      <c r="F1260" s="13" t="str">
        <f>IFERROR(__xludf.DUMMYFUNCTION("ifna(filter('Yahoo ADP'!$E$2:$E2766,'Yahoo ADP'!$B$2:$B2766=$B1260,$C1260='Yahoo ADP'!$C$2:$C2766,$D1260='Yahoo ADP'!$D$2:$D2766))"),"-")</f>
        <v>-</v>
      </c>
      <c r="G1260" s="27">
        <v>1245.0</v>
      </c>
      <c r="H1260" s="8">
        <f t="shared" si="1"/>
        <v>-14</v>
      </c>
    </row>
    <row r="1261">
      <c r="A1261" s="10">
        <v>1260.0</v>
      </c>
      <c r="B1261" s="11" t="s">
        <v>4106</v>
      </c>
      <c r="C1261" s="10" t="s">
        <v>218</v>
      </c>
      <c r="D1261" s="10" t="s">
        <v>27</v>
      </c>
      <c r="E1261" s="13" t="str">
        <f>IFERROR(__xludf.DUMMYFUNCTION("ifna(filter('Yahoo ADP'!$A$2:$A2766,'Yahoo ADP'!$B$2:$B2766=$B1261,$C1261='Yahoo ADP'!$C$2:$C2766,$D1261='Yahoo ADP'!$D$2:$D2766))"),"")</f>
        <v/>
      </c>
      <c r="F1261" s="13" t="str">
        <f>IFERROR(__xludf.DUMMYFUNCTION("ifna(filter('Yahoo ADP'!$E$2:$E2766,'Yahoo ADP'!$B$2:$B2766=$B1261,$C1261='Yahoo ADP'!$C$2:$C2766,$D1261='Yahoo ADP'!$D$2:$D2766))"),"-")</f>
        <v>-</v>
      </c>
      <c r="G1261" s="27">
        <v>1246.0</v>
      </c>
      <c r="H1261" s="8">
        <f t="shared" si="1"/>
        <v>-14</v>
      </c>
    </row>
    <row r="1262">
      <c r="A1262" s="10">
        <v>1261.0</v>
      </c>
      <c r="B1262" s="11" t="s">
        <v>4107</v>
      </c>
      <c r="C1262" s="10" t="s">
        <v>22</v>
      </c>
      <c r="D1262" s="10" t="s">
        <v>49</v>
      </c>
      <c r="E1262" s="13" t="str">
        <f>IFERROR(__xludf.DUMMYFUNCTION("ifna(filter('Yahoo ADP'!$A$2:$A2766,'Yahoo ADP'!$B$2:$B2766=$B1262,$C1262='Yahoo ADP'!$C$2:$C2766,$D1262='Yahoo ADP'!$D$2:$D2766))"),"")</f>
        <v/>
      </c>
      <c r="F1262" s="13" t="str">
        <f>IFERROR(__xludf.DUMMYFUNCTION("ifna(filter('Yahoo ADP'!$E$2:$E2766,'Yahoo ADP'!$B$2:$B2766=$B1262,$C1262='Yahoo ADP'!$C$2:$C2766,$D1262='Yahoo ADP'!$D$2:$D2766))"),"-")</f>
        <v>-</v>
      </c>
      <c r="G1262" s="27">
        <v>1247.0</v>
      </c>
      <c r="H1262" s="8">
        <f t="shared" si="1"/>
        <v>-14</v>
      </c>
    </row>
    <row r="1263">
      <c r="A1263" s="10">
        <v>1262.0</v>
      </c>
      <c r="B1263" s="11" t="s">
        <v>4108</v>
      </c>
      <c r="C1263" s="10" t="s">
        <v>79</v>
      </c>
      <c r="D1263" s="10" t="s">
        <v>18</v>
      </c>
      <c r="E1263" s="13" t="str">
        <f>IFERROR(__xludf.DUMMYFUNCTION("ifna(filter('Yahoo ADP'!$A$2:$A2766,'Yahoo ADP'!$B$2:$B2766=$B1263,$C1263='Yahoo ADP'!$C$2:$C2766,$D1263='Yahoo ADP'!$D$2:$D2766))"),"")</f>
        <v/>
      </c>
      <c r="F1263" s="13" t="str">
        <f>IFERROR(__xludf.DUMMYFUNCTION("ifna(filter('Yahoo ADP'!$E$2:$E2766,'Yahoo ADP'!$B$2:$B2766=$B1263,$C1263='Yahoo ADP'!$C$2:$C2766,$D1263='Yahoo ADP'!$D$2:$D2766))"),"-")</f>
        <v>-</v>
      </c>
      <c r="G1263" s="27">
        <v>1248.0</v>
      </c>
      <c r="H1263" s="8">
        <f t="shared" si="1"/>
        <v>-14</v>
      </c>
    </row>
    <row r="1264">
      <c r="A1264" s="10">
        <v>1263.0</v>
      </c>
      <c r="B1264" s="11" t="s">
        <v>4109</v>
      </c>
      <c r="C1264" s="10" t="s">
        <v>79</v>
      </c>
      <c r="D1264" s="10" t="s">
        <v>31</v>
      </c>
      <c r="E1264" s="13" t="str">
        <f>IFERROR(__xludf.DUMMYFUNCTION("ifna(filter('Yahoo ADP'!$A$2:$A2766,'Yahoo ADP'!$B$2:$B2766=$B1264,$C1264='Yahoo ADP'!$C$2:$C2766,$D1264='Yahoo ADP'!$D$2:$D2766))"),"")</f>
        <v/>
      </c>
      <c r="F1264" s="13" t="str">
        <f>IFERROR(__xludf.DUMMYFUNCTION("ifna(filter('Yahoo ADP'!$E$2:$E2766,'Yahoo ADP'!$B$2:$B2766=$B1264,$C1264='Yahoo ADP'!$C$2:$C2766,$D1264='Yahoo ADP'!$D$2:$D2766))"),"-")</f>
        <v>-</v>
      </c>
      <c r="G1264" s="27">
        <v>1249.0</v>
      </c>
      <c r="H1264" s="8">
        <f t="shared" si="1"/>
        <v>-14</v>
      </c>
    </row>
    <row r="1265">
      <c r="A1265" s="10">
        <v>1264.0</v>
      </c>
      <c r="B1265" s="11" t="s">
        <v>4110</v>
      </c>
      <c r="C1265" s="10" t="s">
        <v>79</v>
      </c>
      <c r="D1265" s="10" t="s">
        <v>140</v>
      </c>
      <c r="E1265" s="13" t="str">
        <f>IFERROR(__xludf.DUMMYFUNCTION("ifna(filter('Yahoo ADP'!$A$2:$A2766,'Yahoo ADP'!$B$2:$B2766=$B1265,$C1265='Yahoo ADP'!$C$2:$C2766,$D1265='Yahoo ADP'!$D$2:$D2766))"),"")</f>
        <v/>
      </c>
      <c r="F1265" s="13" t="str">
        <f>IFERROR(__xludf.DUMMYFUNCTION("ifna(filter('Yahoo ADP'!$E$2:$E2766,'Yahoo ADP'!$B$2:$B2766=$B1265,$C1265='Yahoo ADP'!$C$2:$C2766,$D1265='Yahoo ADP'!$D$2:$D2766))"),"-")</f>
        <v>-</v>
      </c>
      <c r="G1265" s="27">
        <v>1250.0</v>
      </c>
      <c r="H1265" s="8">
        <f t="shared" si="1"/>
        <v>-14</v>
      </c>
    </row>
    <row r="1266">
      <c r="A1266" s="10">
        <v>1265.0</v>
      </c>
      <c r="B1266" s="11" t="s">
        <v>4111</v>
      </c>
      <c r="C1266" s="10" t="s">
        <v>79</v>
      </c>
      <c r="D1266" s="10" t="s">
        <v>85</v>
      </c>
      <c r="E1266" s="13" t="str">
        <f>IFERROR(__xludf.DUMMYFUNCTION("ifna(filter('Yahoo ADP'!$A$2:$A2766,'Yahoo ADP'!$B$2:$B2766=$B1266,$C1266='Yahoo ADP'!$C$2:$C2766,$D1266='Yahoo ADP'!$D$2:$D2766))"),"")</f>
        <v/>
      </c>
      <c r="F1266" s="13" t="str">
        <f>IFERROR(__xludf.DUMMYFUNCTION("ifna(filter('Yahoo ADP'!$E$2:$E2766,'Yahoo ADP'!$B$2:$B2766=$B1266,$C1266='Yahoo ADP'!$C$2:$C2766,$D1266='Yahoo ADP'!$D$2:$D2766))"),"-")</f>
        <v>-</v>
      </c>
      <c r="G1266" s="27">
        <v>1251.0</v>
      </c>
      <c r="H1266" s="8">
        <f t="shared" si="1"/>
        <v>-14</v>
      </c>
    </row>
    <row r="1267">
      <c r="A1267" s="10">
        <v>1266.0</v>
      </c>
      <c r="B1267" s="11" t="s">
        <v>4112</v>
      </c>
      <c r="C1267" s="10" t="s">
        <v>79</v>
      </c>
      <c r="D1267" s="10" t="s">
        <v>49</v>
      </c>
      <c r="E1267" s="13" t="str">
        <f>IFERROR(__xludf.DUMMYFUNCTION("ifna(filter('Yahoo ADP'!$A$2:$A2766,'Yahoo ADP'!$B$2:$B2766=$B1267,$C1267='Yahoo ADP'!$C$2:$C2766,$D1267='Yahoo ADP'!$D$2:$D2766))"),"")</f>
        <v/>
      </c>
      <c r="F1267" s="13" t="str">
        <f>IFERROR(__xludf.DUMMYFUNCTION("ifna(filter('Yahoo ADP'!$E$2:$E2766,'Yahoo ADP'!$B$2:$B2766=$B1267,$C1267='Yahoo ADP'!$C$2:$C2766,$D1267='Yahoo ADP'!$D$2:$D2766))"),"-")</f>
        <v>-</v>
      </c>
      <c r="G1267" s="27">
        <v>1252.0</v>
      </c>
      <c r="H1267" s="8">
        <f t="shared" si="1"/>
        <v>-14</v>
      </c>
    </row>
    <row r="1268">
      <c r="A1268" s="10">
        <v>1267.0</v>
      </c>
      <c r="B1268" s="11" t="s">
        <v>4113</v>
      </c>
      <c r="C1268" s="10" t="s">
        <v>79</v>
      </c>
      <c r="D1268" s="10" t="s">
        <v>42</v>
      </c>
      <c r="E1268" s="13" t="str">
        <f>IFERROR(__xludf.DUMMYFUNCTION("ifna(filter('Yahoo ADP'!$A$2:$A2766,'Yahoo ADP'!$B$2:$B2766=$B1268,$C1268='Yahoo ADP'!$C$2:$C2766,$D1268='Yahoo ADP'!$D$2:$D2766))"),"")</f>
        <v/>
      </c>
      <c r="F1268" s="13" t="str">
        <f>IFERROR(__xludf.DUMMYFUNCTION("ifna(filter('Yahoo ADP'!$E$2:$E2766,'Yahoo ADP'!$B$2:$B2766=$B1268,$C1268='Yahoo ADP'!$C$2:$C2766,$D1268='Yahoo ADP'!$D$2:$D2766))"),"-")</f>
        <v>-</v>
      </c>
      <c r="G1268" s="27">
        <v>1253.0</v>
      </c>
      <c r="H1268" s="8">
        <f t="shared" si="1"/>
        <v>-14</v>
      </c>
    </row>
    <row r="1269">
      <c r="A1269" s="10">
        <v>1268.0</v>
      </c>
      <c r="B1269" s="11" t="s">
        <v>4114</v>
      </c>
      <c r="C1269" s="10" t="s">
        <v>79</v>
      </c>
      <c r="D1269" s="10" t="s">
        <v>129</v>
      </c>
      <c r="E1269" s="13" t="str">
        <f>IFERROR(__xludf.DUMMYFUNCTION("ifna(filter('Yahoo ADP'!$A$2:$A2766,'Yahoo ADP'!$B$2:$B2766=$B1269,$C1269='Yahoo ADP'!$C$2:$C2766,$D1269='Yahoo ADP'!$D$2:$D2766))"),"")</f>
        <v/>
      </c>
      <c r="F1269" s="13" t="str">
        <f>IFERROR(__xludf.DUMMYFUNCTION("ifna(filter('Yahoo ADP'!$E$2:$E2766,'Yahoo ADP'!$B$2:$B2766=$B1269,$C1269='Yahoo ADP'!$C$2:$C2766,$D1269='Yahoo ADP'!$D$2:$D2766))"),"-")</f>
        <v>-</v>
      </c>
      <c r="G1269" s="27">
        <v>1254.0</v>
      </c>
      <c r="H1269" s="8">
        <f t="shared" si="1"/>
        <v>-14</v>
      </c>
    </row>
    <row r="1270">
      <c r="A1270" s="10">
        <v>1269.0</v>
      </c>
      <c r="B1270" s="11" t="s">
        <v>4115</v>
      </c>
      <c r="C1270" s="10" t="s">
        <v>79</v>
      </c>
      <c r="D1270" s="10" t="s">
        <v>85</v>
      </c>
      <c r="E1270" s="13" t="str">
        <f>IFERROR(__xludf.DUMMYFUNCTION("ifna(filter('Yahoo ADP'!$A$2:$A2766,'Yahoo ADP'!$B$2:$B2766=$B1270,$C1270='Yahoo ADP'!$C$2:$C2766,$D1270='Yahoo ADP'!$D$2:$D2766))"),"")</f>
        <v/>
      </c>
      <c r="F1270" s="13" t="str">
        <f>IFERROR(__xludf.DUMMYFUNCTION("ifna(filter('Yahoo ADP'!$E$2:$E2766,'Yahoo ADP'!$B$2:$B2766=$B1270,$C1270='Yahoo ADP'!$C$2:$C2766,$D1270='Yahoo ADP'!$D$2:$D2766))"),"-")</f>
        <v>-</v>
      </c>
      <c r="G1270" s="27">
        <v>1255.0</v>
      </c>
      <c r="H1270" s="8">
        <f t="shared" si="1"/>
        <v>-14</v>
      </c>
    </row>
    <row r="1271">
      <c r="A1271" s="10">
        <v>1270.0</v>
      </c>
      <c r="B1271" s="11" t="s">
        <v>4116</v>
      </c>
      <c r="C1271" s="10" t="s">
        <v>79</v>
      </c>
      <c r="D1271" s="10" t="s">
        <v>15</v>
      </c>
      <c r="E1271" s="13" t="str">
        <f>IFERROR(__xludf.DUMMYFUNCTION("ifna(filter('Yahoo ADP'!$A$2:$A2766,'Yahoo ADP'!$B$2:$B2766=$B1271,$C1271='Yahoo ADP'!$C$2:$C2766,$D1271='Yahoo ADP'!$D$2:$D2766))"),"")</f>
        <v/>
      </c>
      <c r="F1271" s="13" t="str">
        <f>IFERROR(__xludf.DUMMYFUNCTION("ifna(filter('Yahoo ADP'!$E$2:$E2766,'Yahoo ADP'!$B$2:$B2766=$B1271,$C1271='Yahoo ADP'!$C$2:$C2766,$D1271='Yahoo ADP'!$D$2:$D2766))"),"-")</f>
        <v>-</v>
      </c>
      <c r="G1271" s="27">
        <v>1256.0</v>
      </c>
      <c r="H1271" s="8">
        <f t="shared" si="1"/>
        <v>-14</v>
      </c>
    </row>
    <row r="1272">
      <c r="A1272" s="10">
        <v>1271.0</v>
      </c>
      <c r="B1272" s="11" t="s">
        <v>4117</v>
      </c>
      <c r="C1272" s="10" t="s">
        <v>79</v>
      </c>
      <c r="D1272" s="10" t="s">
        <v>34</v>
      </c>
      <c r="E1272" s="13" t="str">
        <f>IFERROR(__xludf.DUMMYFUNCTION("ifna(filter('Yahoo ADP'!$A$2:$A2766,'Yahoo ADP'!$B$2:$B2766=$B1272,$C1272='Yahoo ADP'!$C$2:$C2766,$D1272='Yahoo ADP'!$D$2:$D2766))"),"")</f>
        <v/>
      </c>
      <c r="F1272" s="13" t="str">
        <f>IFERROR(__xludf.DUMMYFUNCTION("ifna(filter('Yahoo ADP'!$E$2:$E2766,'Yahoo ADP'!$B$2:$B2766=$B1272,$C1272='Yahoo ADP'!$C$2:$C2766,$D1272='Yahoo ADP'!$D$2:$D2766))"),"-")</f>
        <v>-</v>
      </c>
      <c r="G1272" s="27">
        <v>1257.0</v>
      </c>
      <c r="H1272" s="8">
        <f t="shared" si="1"/>
        <v>-14</v>
      </c>
    </row>
    <row r="1273">
      <c r="A1273" s="10">
        <v>1272.0</v>
      </c>
      <c r="B1273" s="11" t="s">
        <v>4118</v>
      </c>
      <c r="C1273" s="10" t="s">
        <v>79</v>
      </c>
      <c r="D1273" s="10" t="s">
        <v>90</v>
      </c>
      <c r="E1273" s="13" t="str">
        <f>IFERROR(__xludf.DUMMYFUNCTION("ifna(filter('Yahoo ADP'!$A$2:$A2766,'Yahoo ADP'!$B$2:$B2766=$B1273,$C1273='Yahoo ADP'!$C$2:$C2766,$D1273='Yahoo ADP'!$D$2:$D2766))"),"")</f>
        <v/>
      </c>
      <c r="F1273" s="13" t="str">
        <f>IFERROR(__xludf.DUMMYFUNCTION("ifna(filter('Yahoo ADP'!$E$2:$E2766,'Yahoo ADP'!$B$2:$B2766=$B1273,$C1273='Yahoo ADP'!$C$2:$C2766,$D1273='Yahoo ADP'!$D$2:$D2766))"),"-")</f>
        <v>-</v>
      </c>
      <c r="G1273" s="27">
        <v>1258.0</v>
      </c>
      <c r="H1273" s="8">
        <f t="shared" si="1"/>
        <v>-14</v>
      </c>
    </row>
    <row r="1274">
      <c r="A1274" s="10">
        <v>1273.0</v>
      </c>
      <c r="B1274" s="11" t="s">
        <v>4119</v>
      </c>
      <c r="C1274" s="10" t="s">
        <v>22</v>
      </c>
      <c r="D1274" s="10" t="s">
        <v>9</v>
      </c>
      <c r="E1274" s="13" t="str">
        <f>IFERROR(__xludf.DUMMYFUNCTION("ifna(filter('Yahoo ADP'!$A$2:$A2766,'Yahoo ADP'!$B$2:$B2766=$B1274,$C1274='Yahoo ADP'!$C$2:$C2766,$D1274='Yahoo ADP'!$D$2:$D2766))"),"")</f>
        <v/>
      </c>
      <c r="F1274" s="13" t="str">
        <f>IFERROR(__xludf.DUMMYFUNCTION("ifna(filter('Yahoo ADP'!$E$2:$E2766,'Yahoo ADP'!$B$2:$B2766=$B1274,$C1274='Yahoo ADP'!$C$2:$C2766,$D1274='Yahoo ADP'!$D$2:$D2766))"),"-")</f>
        <v>-</v>
      </c>
      <c r="G1274" s="27">
        <v>1259.0</v>
      </c>
      <c r="H1274" s="8">
        <f t="shared" si="1"/>
        <v>-14</v>
      </c>
    </row>
    <row r="1275">
      <c r="A1275" s="10">
        <v>1274.0</v>
      </c>
      <c r="B1275" s="11" t="s">
        <v>4120</v>
      </c>
      <c r="C1275" s="10" t="s">
        <v>22</v>
      </c>
      <c r="D1275" s="10" t="s">
        <v>137</v>
      </c>
      <c r="E1275" s="13" t="str">
        <f>IFERROR(__xludf.DUMMYFUNCTION("ifna(filter('Yahoo ADP'!$A$2:$A2766,'Yahoo ADP'!$B$2:$B2766=$B1275,$C1275='Yahoo ADP'!$C$2:$C2766,$D1275='Yahoo ADP'!$D$2:$D2766))"),"")</f>
        <v/>
      </c>
      <c r="F1275" s="13" t="str">
        <f>IFERROR(__xludf.DUMMYFUNCTION("ifna(filter('Yahoo ADP'!$E$2:$E2766,'Yahoo ADP'!$B$2:$B2766=$B1275,$C1275='Yahoo ADP'!$C$2:$C2766,$D1275='Yahoo ADP'!$D$2:$D2766))"),"-")</f>
        <v>-</v>
      </c>
      <c r="G1275" s="27">
        <v>1260.0</v>
      </c>
      <c r="H1275" s="8">
        <f t="shared" si="1"/>
        <v>-14</v>
      </c>
    </row>
    <row r="1276">
      <c r="A1276" s="10">
        <v>1275.0</v>
      </c>
      <c r="B1276" s="11" t="s">
        <v>4121</v>
      </c>
      <c r="C1276" s="10" t="s">
        <v>79</v>
      </c>
      <c r="D1276" s="10" t="s">
        <v>46</v>
      </c>
      <c r="E1276" s="13" t="str">
        <f>IFERROR(__xludf.DUMMYFUNCTION("ifna(filter('Yahoo ADP'!$A$2:$A2766,'Yahoo ADP'!$B$2:$B2766=$B1276,$C1276='Yahoo ADP'!$C$2:$C2766,$D1276='Yahoo ADP'!$D$2:$D2766))"),"")</f>
        <v/>
      </c>
      <c r="F1276" s="13" t="str">
        <f>IFERROR(__xludf.DUMMYFUNCTION("ifna(filter('Yahoo ADP'!$E$2:$E2766,'Yahoo ADP'!$B$2:$B2766=$B1276,$C1276='Yahoo ADP'!$C$2:$C2766,$D1276='Yahoo ADP'!$D$2:$D2766))"),"-")</f>
        <v>-</v>
      </c>
      <c r="G1276" s="27">
        <v>1261.0</v>
      </c>
      <c r="H1276" s="8">
        <f t="shared" si="1"/>
        <v>-14</v>
      </c>
    </row>
    <row r="1277">
      <c r="A1277" s="10">
        <v>1276.0</v>
      </c>
      <c r="B1277" s="11" t="s">
        <v>4122</v>
      </c>
      <c r="C1277" s="10" t="s">
        <v>79</v>
      </c>
      <c r="D1277" s="10" t="s">
        <v>140</v>
      </c>
      <c r="E1277" s="13" t="str">
        <f>IFERROR(__xludf.DUMMYFUNCTION("ifna(filter('Yahoo ADP'!$A$2:$A2766,'Yahoo ADP'!$B$2:$B2766=$B1277,$C1277='Yahoo ADP'!$C$2:$C2766,$D1277='Yahoo ADP'!$D$2:$D2766))"),"")</f>
        <v/>
      </c>
      <c r="F1277" s="13" t="str">
        <f>IFERROR(__xludf.DUMMYFUNCTION("ifna(filter('Yahoo ADP'!$E$2:$E2766,'Yahoo ADP'!$B$2:$B2766=$B1277,$C1277='Yahoo ADP'!$C$2:$C2766,$D1277='Yahoo ADP'!$D$2:$D2766))"),"-")</f>
        <v>-</v>
      </c>
      <c r="G1277" s="27">
        <v>1262.0</v>
      </c>
      <c r="H1277" s="8">
        <f t="shared" si="1"/>
        <v>-14</v>
      </c>
    </row>
    <row r="1278">
      <c r="A1278" s="10">
        <v>1277.0</v>
      </c>
      <c r="B1278" s="11" t="s">
        <v>4123</v>
      </c>
      <c r="C1278" s="10" t="s">
        <v>79</v>
      </c>
      <c r="D1278" s="10" t="s">
        <v>120</v>
      </c>
      <c r="E1278" s="13" t="str">
        <f>IFERROR(__xludf.DUMMYFUNCTION("ifna(filter('Yahoo ADP'!$A$2:$A2766,'Yahoo ADP'!$B$2:$B2766=$B1278,$C1278='Yahoo ADP'!$C$2:$C2766,$D1278='Yahoo ADP'!$D$2:$D2766))"),"")</f>
        <v/>
      </c>
      <c r="F1278" s="13" t="str">
        <f>IFERROR(__xludf.DUMMYFUNCTION("ifna(filter('Yahoo ADP'!$E$2:$E2766,'Yahoo ADP'!$B$2:$B2766=$B1278,$C1278='Yahoo ADP'!$C$2:$C2766,$D1278='Yahoo ADP'!$D$2:$D2766))"),"-")</f>
        <v>-</v>
      </c>
      <c r="G1278" s="27">
        <v>1263.0</v>
      </c>
      <c r="H1278" s="8">
        <f t="shared" si="1"/>
        <v>-14</v>
      </c>
    </row>
    <row r="1279">
      <c r="A1279" s="10">
        <v>1278.0</v>
      </c>
      <c r="B1279" s="11" t="s">
        <v>4124</v>
      </c>
      <c r="C1279" s="10" t="s">
        <v>79</v>
      </c>
      <c r="D1279" s="10" t="s">
        <v>42</v>
      </c>
      <c r="E1279" s="13" t="str">
        <f>IFERROR(__xludf.DUMMYFUNCTION("ifna(filter('Yahoo ADP'!$A$2:$A2766,'Yahoo ADP'!$B$2:$B2766=$B1279,$C1279='Yahoo ADP'!$C$2:$C2766,$D1279='Yahoo ADP'!$D$2:$D2766))"),"")</f>
        <v/>
      </c>
      <c r="F1279" s="13" t="str">
        <f>IFERROR(__xludf.DUMMYFUNCTION("ifna(filter('Yahoo ADP'!$E$2:$E2766,'Yahoo ADP'!$B$2:$B2766=$B1279,$C1279='Yahoo ADP'!$C$2:$C2766,$D1279='Yahoo ADP'!$D$2:$D2766))"),"-")</f>
        <v>-</v>
      </c>
      <c r="G1279" s="27">
        <v>1264.0</v>
      </c>
      <c r="H1279" s="8">
        <f t="shared" si="1"/>
        <v>-14</v>
      </c>
    </row>
    <row r="1280">
      <c r="A1280" s="10">
        <v>1279.0</v>
      </c>
      <c r="B1280" s="11" t="s">
        <v>4125</v>
      </c>
      <c r="C1280" s="10" t="s">
        <v>79</v>
      </c>
      <c r="D1280" s="10" t="s">
        <v>71</v>
      </c>
      <c r="E1280" s="13" t="str">
        <f>IFERROR(__xludf.DUMMYFUNCTION("ifna(filter('Yahoo ADP'!$A$2:$A2766,'Yahoo ADP'!$B$2:$B2766=$B1280,$C1280='Yahoo ADP'!$C$2:$C2766,$D1280='Yahoo ADP'!$D$2:$D2766))"),"")</f>
        <v/>
      </c>
      <c r="F1280" s="13" t="str">
        <f>IFERROR(__xludf.DUMMYFUNCTION("ifna(filter('Yahoo ADP'!$E$2:$E2766,'Yahoo ADP'!$B$2:$B2766=$B1280,$C1280='Yahoo ADP'!$C$2:$C2766,$D1280='Yahoo ADP'!$D$2:$D2766))"),"-")</f>
        <v>-</v>
      </c>
      <c r="G1280" s="27">
        <v>1265.0</v>
      </c>
      <c r="H1280" s="8">
        <f t="shared" si="1"/>
        <v>-14</v>
      </c>
    </row>
    <row r="1281">
      <c r="A1281" s="10">
        <v>1280.0</v>
      </c>
      <c r="B1281" s="11" t="s">
        <v>4126</v>
      </c>
      <c r="C1281" s="10" t="s">
        <v>79</v>
      </c>
      <c r="D1281" s="10" t="s">
        <v>18</v>
      </c>
      <c r="E1281" s="13" t="str">
        <f>IFERROR(__xludf.DUMMYFUNCTION("ifna(filter('Yahoo ADP'!$A$2:$A2766,'Yahoo ADP'!$B$2:$B2766=$B1281,$C1281='Yahoo ADP'!$C$2:$C2766,$D1281='Yahoo ADP'!$D$2:$D2766))"),"")</f>
        <v/>
      </c>
      <c r="F1281" s="13" t="str">
        <f>IFERROR(__xludf.DUMMYFUNCTION("ifna(filter('Yahoo ADP'!$E$2:$E2766,'Yahoo ADP'!$B$2:$B2766=$B1281,$C1281='Yahoo ADP'!$C$2:$C2766,$D1281='Yahoo ADP'!$D$2:$D2766))"),"-")</f>
        <v>-</v>
      </c>
      <c r="G1281" s="27">
        <v>1266.0</v>
      </c>
      <c r="H1281" s="8">
        <f t="shared" si="1"/>
        <v>-14</v>
      </c>
    </row>
    <row r="1282">
      <c r="A1282" s="10">
        <v>1281.0</v>
      </c>
      <c r="B1282" s="11" t="s">
        <v>4127</v>
      </c>
      <c r="C1282" s="10" t="s">
        <v>585</v>
      </c>
      <c r="D1282" s="10" t="s">
        <v>15</v>
      </c>
      <c r="E1282" s="13" t="str">
        <f>IFERROR(__xludf.DUMMYFUNCTION("ifna(filter('Yahoo ADP'!$A$2:$A2766,'Yahoo ADP'!$B$2:$B2766=$B1282,$C1282='Yahoo ADP'!$C$2:$C2766,$D1282='Yahoo ADP'!$D$2:$D2766))"),"")</f>
        <v/>
      </c>
      <c r="F1282" s="13" t="str">
        <f>IFERROR(__xludf.DUMMYFUNCTION("ifna(filter('Yahoo ADP'!$E$2:$E2766,'Yahoo ADP'!$B$2:$B2766=$B1282,$C1282='Yahoo ADP'!$C$2:$C2766,$D1282='Yahoo ADP'!$D$2:$D2766))"),"-")</f>
        <v>-</v>
      </c>
      <c r="G1282" s="27">
        <v>1267.0</v>
      </c>
      <c r="H1282" s="8">
        <f t="shared" si="1"/>
        <v>-14</v>
      </c>
    </row>
    <row r="1283">
      <c r="A1283" s="10">
        <v>1282.0</v>
      </c>
      <c r="B1283" s="11" t="s">
        <v>4128</v>
      </c>
      <c r="C1283" s="10" t="s">
        <v>79</v>
      </c>
      <c r="D1283" s="10" t="s">
        <v>105</v>
      </c>
      <c r="E1283" s="13" t="str">
        <f>IFERROR(__xludf.DUMMYFUNCTION("ifna(filter('Yahoo ADP'!$A$2:$A2766,'Yahoo ADP'!$B$2:$B2766=$B1283,$C1283='Yahoo ADP'!$C$2:$C2766,$D1283='Yahoo ADP'!$D$2:$D2766))"),"")</f>
        <v/>
      </c>
      <c r="F1283" s="13" t="str">
        <f>IFERROR(__xludf.DUMMYFUNCTION("ifna(filter('Yahoo ADP'!$E$2:$E2766,'Yahoo ADP'!$B$2:$B2766=$B1283,$C1283='Yahoo ADP'!$C$2:$C2766,$D1283='Yahoo ADP'!$D$2:$D2766))"),"-")</f>
        <v>-</v>
      </c>
      <c r="G1283" s="27">
        <v>1268.0</v>
      </c>
      <c r="H1283" s="8">
        <f t="shared" si="1"/>
        <v>-14</v>
      </c>
    </row>
    <row r="1284">
      <c r="A1284" s="10">
        <v>1283.0</v>
      </c>
      <c r="B1284" s="11" t="s">
        <v>4129</v>
      </c>
      <c r="C1284" s="10" t="s">
        <v>22</v>
      </c>
      <c r="D1284" s="10" t="s">
        <v>49</v>
      </c>
      <c r="E1284" s="13">
        <f>IFERROR(__xludf.DUMMYFUNCTION("ifna(filter('Yahoo ADP'!$A$2:$A2766,'Yahoo ADP'!$B$2:$B2766=$B1284,$C1284='Yahoo ADP'!$C$2:$C2766,$D1284='Yahoo ADP'!$D$2:$D2766))"),252.8)</f>
        <v>252.8</v>
      </c>
      <c r="F1284" s="13">
        <f>IFERROR(__xludf.DUMMYFUNCTION("ifna(filter('Yahoo ADP'!$E$2:$E2766,'Yahoo ADP'!$B$2:$B2766=$B1284,$C1284='Yahoo ADP'!$C$2:$C2766,$D1284='Yahoo ADP'!$D$2:$D2766))"),1.0)</f>
        <v>1</v>
      </c>
      <c r="G1284" s="27">
        <v>1269.0</v>
      </c>
      <c r="H1284" s="8">
        <f t="shared" si="1"/>
        <v>-14</v>
      </c>
    </row>
    <row r="1285">
      <c r="A1285" s="10">
        <v>1284.0</v>
      </c>
      <c r="B1285" s="11" t="s">
        <v>4130</v>
      </c>
      <c r="C1285" s="10" t="s">
        <v>79</v>
      </c>
      <c r="D1285" s="10" t="s">
        <v>49</v>
      </c>
      <c r="E1285" s="13" t="str">
        <f>IFERROR(__xludf.DUMMYFUNCTION("ifna(filter('Yahoo ADP'!$A$2:$A2766,'Yahoo ADP'!$B$2:$B2766=$B1285,$C1285='Yahoo ADP'!$C$2:$C2766,$D1285='Yahoo ADP'!$D$2:$D2766))"),"")</f>
        <v/>
      </c>
      <c r="F1285" s="13" t="str">
        <f>IFERROR(__xludf.DUMMYFUNCTION("ifna(filter('Yahoo ADP'!$E$2:$E2766,'Yahoo ADP'!$B$2:$B2766=$B1285,$C1285='Yahoo ADP'!$C$2:$C2766,$D1285='Yahoo ADP'!$D$2:$D2766))"),"-")</f>
        <v>-</v>
      </c>
      <c r="G1285" s="27">
        <v>1270.0</v>
      </c>
      <c r="H1285" s="8">
        <f t="shared" si="1"/>
        <v>-14</v>
      </c>
    </row>
    <row r="1286">
      <c r="A1286" s="10">
        <v>1285.0</v>
      </c>
      <c r="B1286" s="11" t="s">
        <v>4131</v>
      </c>
      <c r="C1286" s="10" t="s">
        <v>220</v>
      </c>
      <c r="D1286" s="10" t="s">
        <v>129</v>
      </c>
      <c r="E1286" s="13" t="str">
        <f>IFERROR(__xludf.DUMMYFUNCTION("ifna(filter('Yahoo ADP'!$A$2:$A2766,'Yahoo ADP'!$B$2:$B2766=$B1286,$C1286='Yahoo ADP'!$C$2:$C2766,$D1286='Yahoo ADP'!$D$2:$D2766))"),"")</f>
        <v/>
      </c>
      <c r="F1286" s="13" t="str">
        <f>IFERROR(__xludf.DUMMYFUNCTION("ifna(filter('Yahoo ADP'!$E$2:$E2766,'Yahoo ADP'!$B$2:$B2766=$B1286,$C1286='Yahoo ADP'!$C$2:$C2766,$D1286='Yahoo ADP'!$D$2:$D2766))"),"-")</f>
        <v>-</v>
      </c>
      <c r="G1286" s="27">
        <v>1271.0</v>
      </c>
      <c r="H1286" s="8">
        <f t="shared" si="1"/>
        <v>-14</v>
      </c>
    </row>
    <row r="1287">
      <c r="A1287" s="10">
        <v>1286.0</v>
      </c>
      <c r="B1287" s="11" t="s">
        <v>4132</v>
      </c>
      <c r="C1287" s="10" t="s">
        <v>79</v>
      </c>
      <c r="D1287" s="10" t="s">
        <v>18</v>
      </c>
      <c r="E1287" s="13" t="str">
        <f>IFERROR(__xludf.DUMMYFUNCTION("ifna(filter('Yahoo ADP'!$A$2:$A2766,'Yahoo ADP'!$B$2:$B2766=$B1287,$C1287='Yahoo ADP'!$C$2:$C2766,$D1287='Yahoo ADP'!$D$2:$D2766))"),"")</f>
        <v/>
      </c>
      <c r="F1287" s="13" t="str">
        <f>IFERROR(__xludf.DUMMYFUNCTION("ifna(filter('Yahoo ADP'!$E$2:$E2766,'Yahoo ADP'!$B$2:$B2766=$B1287,$C1287='Yahoo ADP'!$C$2:$C2766,$D1287='Yahoo ADP'!$D$2:$D2766))"),"-")</f>
        <v>-</v>
      </c>
      <c r="G1287" s="27">
        <v>1272.0</v>
      </c>
      <c r="H1287" s="8">
        <f t="shared" si="1"/>
        <v>-14</v>
      </c>
    </row>
    <row r="1288">
      <c r="A1288" s="10">
        <v>1287.0</v>
      </c>
      <c r="B1288" s="11" t="s">
        <v>4133</v>
      </c>
      <c r="C1288" s="10" t="s">
        <v>79</v>
      </c>
      <c r="D1288" s="10" t="s">
        <v>140</v>
      </c>
      <c r="E1288" s="13" t="str">
        <f>IFERROR(__xludf.DUMMYFUNCTION("ifna(filter('Yahoo ADP'!$A$2:$A2766,'Yahoo ADP'!$B$2:$B2766=$B1288,$C1288='Yahoo ADP'!$C$2:$C2766,$D1288='Yahoo ADP'!$D$2:$D2766))"),"")</f>
        <v/>
      </c>
      <c r="F1288" s="13" t="str">
        <f>IFERROR(__xludf.DUMMYFUNCTION("ifna(filter('Yahoo ADP'!$E$2:$E2766,'Yahoo ADP'!$B$2:$B2766=$B1288,$C1288='Yahoo ADP'!$C$2:$C2766,$D1288='Yahoo ADP'!$D$2:$D2766))"),"-")</f>
        <v>-</v>
      </c>
      <c r="G1288" s="27">
        <v>1273.0</v>
      </c>
      <c r="H1288" s="8">
        <f t="shared" si="1"/>
        <v>-14</v>
      </c>
    </row>
    <row r="1289">
      <c r="A1289" s="10">
        <v>1288.0</v>
      </c>
      <c r="B1289" s="11" t="s">
        <v>4134</v>
      </c>
      <c r="C1289" s="10" t="s">
        <v>79</v>
      </c>
      <c r="D1289" s="10" t="s">
        <v>82</v>
      </c>
      <c r="E1289" s="13" t="str">
        <f>IFERROR(__xludf.DUMMYFUNCTION("ifna(filter('Yahoo ADP'!$A$2:$A2766,'Yahoo ADP'!$B$2:$B2766=$B1289,$C1289='Yahoo ADP'!$C$2:$C2766,$D1289='Yahoo ADP'!$D$2:$D2766))"),"")</f>
        <v/>
      </c>
      <c r="F1289" s="13" t="str">
        <f>IFERROR(__xludf.DUMMYFUNCTION("ifna(filter('Yahoo ADP'!$E$2:$E2766,'Yahoo ADP'!$B$2:$B2766=$B1289,$C1289='Yahoo ADP'!$C$2:$C2766,$D1289='Yahoo ADP'!$D$2:$D2766))"),"-")</f>
        <v>-</v>
      </c>
      <c r="G1289" s="27">
        <v>1274.0</v>
      </c>
      <c r="H1289" s="8">
        <f t="shared" si="1"/>
        <v>-14</v>
      </c>
    </row>
    <row r="1290">
      <c r="A1290" s="10">
        <v>1289.0</v>
      </c>
      <c r="B1290" s="11" t="s">
        <v>4135</v>
      </c>
      <c r="C1290" s="10" t="s">
        <v>79</v>
      </c>
      <c r="D1290" s="10" t="s">
        <v>31</v>
      </c>
      <c r="E1290" s="13" t="str">
        <f>IFERROR(__xludf.DUMMYFUNCTION("ifna(filter('Yahoo ADP'!$A$2:$A2766,'Yahoo ADP'!$B$2:$B2766=$B1290,$C1290='Yahoo ADP'!$C$2:$C2766,$D1290='Yahoo ADP'!$D$2:$D2766))"),"")</f>
        <v/>
      </c>
      <c r="F1290" s="13" t="str">
        <f>IFERROR(__xludf.DUMMYFUNCTION("ifna(filter('Yahoo ADP'!$E$2:$E2766,'Yahoo ADP'!$B$2:$B2766=$B1290,$C1290='Yahoo ADP'!$C$2:$C2766,$D1290='Yahoo ADP'!$D$2:$D2766))"),"-")</f>
        <v>-</v>
      </c>
      <c r="G1290" s="27">
        <v>1275.0</v>
      </c>
      <c r="H1290" s="8">
        <f t="shared" si="1"/>
        <v>-14</v>
      </c>
    </row>
    <row r="1291">
      <c r="A1291" s="10">
        <v>1290.0</v>
      </c>
      <c r="B1291" s="11" t="s">
        <v>4136</v>
      </c>
      <c r="C1291" s="10" t="s">
        <v>79</v>
      </c>
      <c r="D1291" s="10" t="s">
        <v>90</v>
      </c>
      <c r="E1291" s="13" t="str">
        <f>IFERROR(__xludf.DUMMYFUNCTION("ifna(filter('Yahoo ADP'!$A$2:$A2766,'Yahoo ADP'!$B$2:$B2766=$B1291,$C1291='Yahoo ADP'!$C$2:$C2766,$D1291='Yahoo ADP'!$D$2:$D2766))"),"")</f>
        <v/>
      </c>
      <c r="F1291" s="13" t="str">
        <f>IFERROR(__xludf.DUMMYFUNCTION("ifna(filter('Yahoo ADP'!$E$2:$E2766,'Yahoo ADP'!$B$2:$B2766=$B1291,$C1291='Yahoo ADP'!$C$2:$C2766,$D1291='Yahoo ADP'!$D$2:$D2766))"),"-")</f>
        <v>-</v>
      </c>
      <c r="G1291" s="27">
        <v>1276.0</v>
      </c>
      <c r="H1291" s="8">
        <f t="shared" si="1"/>
        <v>-14</v>
      </c>
    </row>
    <row r="1292">
      <c r="A1292" s="10">
        <v>1291.0</v>
      </c>
      <c r="B1292" s="11" t="s">
        <v>4137</v>
      </c>
      <c r="C1292" s="10" t="s">
        <v>79</v>
      </c>
      <c r="D1292" s="10" t="s">
        <v>85</v>
      </c>
      <c r="E1292" s="13" t="str">
        <f>IFERROR(__xludf.DUMMYFUNCTION("ifna(filter('Yahoo ADP'!$A$2:$A2766,'Yahoo ADP'!$B$2:$B2766=$B1292,$C1292='Yahoo ADP'!$C$2:$C2766,$D1292='Yahoo ADP'!$D$2:$D2766))"),"")</f>
        <v/>
      </c>
      <c r="F1292" s="13" t="str">
        <f>IFERROR(__xludf.DUMMYFUNCTION("ifna(filter('Yahoo ADP'!$E$2:$E2766,'Yahoo ADP'!$B$2:$B2766=$B1292,$C1292='Yahoo ADP'!$C$2:$C2766,$D1292='Yahoo ADP'!$D$2:$D2766))"),"-")</f>
        <v>-</v>
      </c>
      <c r="G1292" s="27">
        <v>1277.0</v>
      </c>
      <c r="H1292" s="8">
        <f t="shared" si="1"/>
        <v>-14</v>
      </c>
    </row>
    <row r="1293">
      <c r="A1293" s="10">
        <v>1292.0</v>
      </c>
      <c r="B1293" s="11" t="s">
        <v>4138</v>
      </c>
      <c r="C1293" s="10" t="s">
        <v>79</v>
      </c>
      <c r="D1293" s="10" t="s">
        <v>67</v>
      </c>
      <c r="E1293" s="13" t="str">
        <f>IFERROR(__xludf.DUMMYFUNCTION("ifna(filter('Yahoo ADP'!$A$2:$A2766,'Yahoo ADP'!$B$2:$B2766=$B1293,$C1293='Yahoo ADP'!$C$2:$C2766,$D1293='Yahoo ADP'!$D$2:$D2766))"),"")</f>
        <v/>
      </c>
      <c r="F1293" s="13" t="str">
        <f>IFERROR(__xludf.DUMMYFUNCTION("ifna(filter('Yahoo ADP'!$E$2:$E2766,'Yahoo ADP'!$B$2:$B2766=$B1293,$C1293='Yahoo ADP'!$C$2:$C2766,$D1293='Yahoo ADP'!$D$2:$D2766))"),"-")</f>
        <v>-</v>
      </c>
      <c r="G1293" s="27">
        <v>1278.0</v>
      </c>
      <c r="H1293" s="8">
        <f t="shared" si="1"/>
        <v>-14</v>
      </c>
    </row>
    <row r="1294">
      <c r="A1294" s="10">
        <v>1293.0</v>
      </c>
      <c r="B1294" s="11" t="s">
        <v>4139</v>
      </c>
      <c r="C1294" s="10" t="s">
        <v>79</v>
      </c>
      <c r="D1294" s="10" t="s">
        <v>99</v>
      </c>
      <c r="E1294" s="13" t="str">
        <f>IFERROR(__xludf.DUMMYFUNCTION("ifna(filter('Yahoo ADP'!$A$2:$A2766,'Yahoo ADP'!$B$2:$B2766=$B1294,$C1294='Yahoo ADP'!$C$2:$C2766,$D1294='Yahoo ADP'!$D$2:$D2766))"),"")</f>
        <v/>
      </c>
      <c r="F1294" s="13" t="str">
        <f>IFERROR(__xludf.DUMMYFUNCTION("ifna(filter('Yahoo ADP'!$E$2:$E2766,'Yahoo ADP'!$B$2:$B2766=$B1294,$C1294='Yahoo ADP'!$C$2:$C2766,$D1294='Yahoo ADP'!$D$2:$D2766))"),"-")</f>
        <v>-</v>
      </c>
      <c r="G1294" s="27">
        <v>1279.0</v>
      </c>
      <c r="H1294" s="8">
        <f t="shared" si="1"/>
        <v>-14</v>
      </c>
    </row>
    <row r="1295">
      <c r="A1295" s="10">
        <v>1294.0</v>
      </c>
      <c r="B1295" s="11" t="s">
        <v>4140</v>
      </c>
      <c r="C1295" s="10" t="s">
        <v>79</v>
      </c>
      <c r="D1295" s="10" t="s">
        <v>122</v>
      </c>
      <c r="E1295" s="13" t="str">
        <f>IFERROR(__xludf.DUMMYFUNCTION("ifna(filter('Yahoo ADP'!$A$2:$A2766,'Yahoo ADP'!$B$2:$B2766=$B1295,$C1295='Yahoo ADP'!$C$2:$C2766,$D1295='Yahoo ADP'!$D$2:$D2766))"),"")</f>
        <v/>
      </c>
      <c r="F1295" s="13" t="str">
        <f>IFERROR(__xludf.DUMMYFUNCTION("ifna(filter('Yahoo ADP'!$E$2:$E2766,'Yahoo ADP'!$B$2:$B2766=$B1295,$C1295='Yahoo ADP'!$C$2:$C2766,$D1295='Yahoo ADP'!$D$2:$D2766))"),"-")</f>
        <v>-</v>
      </c>
      <c r="G1295" s="27">
        <v>1280.0</v>
      </c>
      <c r="H1295" s="8">
        <f t="shared" si="1"/>
        <v>-14</v>
      </c>
    </row>
    <row r="1296">
      <c r="A1296" s="10">
        <v>1295.0</v>
      </c>
      <c r="B1296" s="11" t="s">
        <v>4141</v>
      </c>
      <c r="C1296" s="10" t="s">
        <v>79</v>
      </c>
      <c r="D1296" s="10" t="s">
        <v>9</v>
      </c>
      <c r="E1296" s="13" t="str">
        <f>IFERROR(__xludf.DUMMYFUNCTION("ifna(filter('Yahoo ADP'!$A$2:$A2766,'Yahoo ADP'!$B$2:$B2766=$B1296,$C1296='Yahoo ADP'!$C$2:$C2766,$D1296='Yahoo ADP'!$D$2:$D2766))"),"")</f>
        <v/>
      </c>
      <c r="F1296" s="13" t="str">
        <f>IFERROR(__xludf.DUMMYFUNCTION("ifna(filter('Yahoo ADP'!$E$2:$E2766,'Yahoo ADP'!$B$2:$B2766=$B1296,$C1296='Yahoo ADP'!$C$2:$C2766,$D1296='Yahoo ADP'!$D$2:$D2766))"),"-")</f>
        <v>-</v>
      </c>
      <c r="G1296" s="27">
        <v>1281.0</v>
      </c>
      <c r="H1296" s="8">
        <f t="shared" si="1"/>
        <v>-14</v>
      </c>
    </row>
    <row r="1297">
      <c r="A1297" s="10">
        <v>1296.0</v>
      </c>
      <c r="B1297" s="11" t="s">
        <v>4142</v>
      </c>
      <c r="C1297" s="10" t="s">
        <v>79</v>
      </c>
      <c r="D1297" s="10" t="s">
        <v>206</v>
      </c>
      <c r="E1297" s="13" t="str">
        <f>IFERROR(__xludf.DUMMYFUNCTION("ifna(filter('Yahoo ADP'!$A$2:$A2766,'Yahoo ADP'!$B$2:$B2766=$B1297,$C1297='Yahoo ADP'!$C$2:$C2766,$D1297='Yahoo ADP'!$D$2:$D2766))"),"")</f>
        <v/>
      </c>
      <c r="F1297" s="13" t="str">
        <f>IFERROR(__xludf.DUMMYFUNCTION("ifna(filter('Yahoo ADP'!$E$2:$E2766,'Yahoo ADP'!$B$2:$B2766=$B1297,$C1297='Yahoo ADP'!$C$2:$C2766,$D1297='Yahoo ADP'!$D$2:$D2766))"),"-")</f>
        <v>-</v>
      </c>
      <c r="G1297" s="27">
        <v>1282.0</v>
      </c>
      <c r="H1297" s="8">
        <f t="shared" si="1"/>
        <v>-14</v>
      </c>
    </row>
    <row r="1298">
      <c r="A1298" s="10">
        <v>1297.0</v>
      </c>
      <c r="B1298" s="11" t="s">
        <v>4143</v>
      </c>
      <c r="C1298" s="10" t="s">
        <v>79</v>
      </c>
      <c r="D1298" s="10" t="s">
        <v>206</v>
      </c>
      <c r="E1298" s="13" t="str">
        <f>IFERROR(__xludf.DUMMYFUNCTION("ifna(filter('Yahoo ADP'!$A$2:$A2766,'Yahoo ADP'!$B$2:$B2766=$B1298,$C1298='Yahoo ADP'!$C$2:$C2766,$D1298='Yahoo ADP'!$D$2:$D2766))"),"")</f>
        <v/>
      </c>
      <c r="F1298" s="13" t="str">
        <f>IFERROR(__xludf.DUMMYFUNCTION("ifna(filter('Yahoo ADP'!$E$2:$E2766,'Yahoo ADP'!$B$2:$B2766=$B1298,$C1298='Yahoo ADP'!$C$2:$C2766,$D1298='Yahoo ADP'!$D$2:$D2766))"),"-")</f>
        <v>-</v>
      </c>
      <c r="G1298" s="27">
        <v>1283.0</v>
      </c>
      <c r="H1298" s="8">
        <f t="shared" si="1"/>
        <v>-14</v>
      </c>
    </row>
    <row r="1299">
      <c r="A1299" s="10">
        <v>1298.0</v>
      </c>
      <c r="B1299" s="11" t="s">
        <v>4144</v>
      </c>
      <c r="C1299" s="10" t="s">
        <v>79</v>
      </c>
      <c r="D1299" s="10" t="s">
        <v>95</v>
      </c>
      <c r="E1299" s="13">
        <f>IFERROR(__xludf.DUMMYFUNCTION("ifna(filter('Yahoo ADP'!$A$2:$A2766,'Yahoo ADP'!$B$2:$B2766=$B1299,$C1299='Yahoo ADP'!$C$2:$C2766,$D1299='Yahoo ADP'!$D$2:$D2766))"),250.8)</f>
        <v>250.8</v>
      </c>
      <c r="F1299" s="13">
        <f>IFERROR(__xludf.DUMMYFUNCTION("ifna(filter('Yahoo ADP'!$E$2:$E2766,'Yahoo ADP'!$B$2:$B2766=$B1299,$C1299='Yahoo ADP'!$C$2:$C2766,$D1299='Yahoo ADP'!$D$2:$D2766))"),1.4)</f>
        <v>1.4</v>
      </c>
      <c r="G1299" s="27">
        <v>1284.0</v>
      </c>
      <c r="H1299" s="8">
        <f t="shared" si="1"/>
        <v>-14</v>
      </c>
    </row>
    <row r="1300">
      <c r="A1300" s="10">
        <v>1299.0</v>
      </c>
      <c r="B1300" s="11" t="s">
        <v>4145</v>
      </c>
      <c r="C1300" s="10" t="s">
        <v>79</v>
      </c>
      <c r="D1300" s="10" t="s">
        <v>82</v>
      </c>
      <c r="E1300" s="13" t="str">
        <f>IFERROR(__xludf.DUMMYFUNCTION("ifna(filter('Yahoo ADP'!$A$2:$A2766,'Yahoo ADP'!$B$2:$B2766=$B1300,$C1300='Yahoo ADP'!$C$2:$C2766,$D1300='Yahoo ADP'!$D$2:$D2766))"),"")</f>
        <v/>
      </c>
      <c r="F1300" s="13" t="str">
        <f>IFERROR(__xludf.DUMMYFUNCTION("ifna(filter('Yahoo ADP'!$E$2:$E2766,'Yahoo ADP'!$B$2:$B2766=$B1300,$C1300='Yahoo ADP'!$C$2:$C2766,$D1300='Yahoo ADP'!$D$2:$D2766))"),"")</f>
        <v/>
      </c>
      <c r="G1300" s="27">
        <v>1285.0</v>
      </c>
      <c r="H1300" s="8">
        <f t="shared" si="1"/>
        <v>-14</v>
      </c>
    </row>
    <row r="1301">
      <c r="A1301" s="10">
        <v>1300.0</v>
      </c>
      <c r="B1301" s="11" t="s">
        <v>4146</v>
      </c>
      <c r="C1301" s="10" t="s">
        <v>79</v>
      </c>
      <c r="D1301" s="10" t="s">
        <v>71</v>
      </c>
      <c r="E1301" s="13" t="str">
        <f>IFERROR(__xludf.DUMMYFUNCTION("ifna(filter('Yahoo ADP'!$A$2:$A2766,'Yahoo ADP'!$B$2:$B2766=$B1301,$C1301='Yahoo ADP'!$C$2:$C2766,$D1301='Yahoo ADP'!$D$2:$D2766))"),"")</f>
        <v/>
      </c>
      <c r="F1301" s="13" t="str">
        <f>IFERROR(__xludf.DUMMYFUNCTION("ifna(filter('Yahoo ADP'!$E$2:$E2766,'Yahoo ADP'!$B$2:$B2766=$B1301,$C1301='Yahoo ADP'!$C$2:$C2766,$D1301='Yahoo ADP'!$D$2:$D2766))"),"-")</f>
        <v>-</v>
      </c>
      <c r="G1301" s="27">
        <v>1286.0</v>
      </c>
      <c r="H1301" s="8">
        <f t="shared" si="1"/>
        <v>-14</v>
      </c>
    </row>
    <row r="1302">
      <c r="A1302" s="10">
        <v>1301.0</v>
      </c>
      <c r="B1302" s="11" t="s">
        <v>4147</v>
      </c>
      <c r="C1302" s="10" t="s">
        <v>79</v>
      </c>
      <c r="D1302" s="10" t="s">
        <v>122</v>
      </c>
      <c r="E1302" s="13" t="str">
        <f>IFERROR(__xludf.DUMMYFUNCTION("ifna(filter('Yahoo ADP'!$A$2:$A2766,'Yahoo ADP'!$B$2:$B2766=$B1302,$C1302='Yahoo ADP'!$C$2:$C2766,$D1302='Yahoo ADP'!$D$2:$D2766))"),"")</f>
        <v/>
      </c>
      <c r="F1302" s="13" t="str">
        <f>IFERROR(__xludf.DUMMYFUNCTION("ifna(filter('Yahoo ADP'!$E$2:$E2766,'Yahoo ADP'!$B$2:$B2766=$B1302,$C1302='Yahoo ADP'!$C$2:$C2766,$D1302='Yahoo ADP'!$D$2:$D2766))"),"-")</f>
        <v>-</v>
      </c>
      <c r="G1302" s="27">
        <v>1287.0</v>
      </c>
      <c r="H1302" s="8">
        <f t="shared" si="1"/>
        <v>-14</v>
      </c>
    </row>
    <row r="1303">
      <c r="A1303" s="10">
        <v>1302.0</v>
      </c>
      <c r="B1303" s="11" t="s">
        <v>4148</v>
      </c>
      <c r="C1303" s="10" t="s">
        <v>79</v>
      </c>
      <c r="D1303" s="10" t="s">
        <v>31</v>
      </c>
      <c r="E1303" s="13" t="str">
        <f>IFERROR(__xludf.DUMMYFUNCTION("ifna(filter('Yahoo ADP'!$A$2:$A2766,'Yahoo ADP'!$B$2:$B2766=$B1303,$C1303='Yahoo ADP'!$C$2:$C2766,$D1303='Yahoo ADP'!$D$2:$D2766))"),"")</f>
        <v/>
      </c>
      <c r="F1303" s="13" t="str">
        <f>IFERROR(__xludf.DUMMYFUNCTION("ifna(filter('Yahoo ADP'!$E$2:$E2766,'Yahoo ADP'!$B$2:$B2766=$B1303,$C1303='Yahoo ADP'!$C$2:$C2766,$D1303='Yahoo ADP'!$D$2:$D2766))"),"-")</f>
        <v>-</v>
      </c>
      <c r="G1303" s="27">
        <v>1288.0</v>
      </c>
      <c r="H1303" s="8">
        <f t="shared" si="1"/>
        <v>-14</v>
      </c>
    </row>
    <row r="1304">
      <c r="A1304" s="10">
        <v>1303.0</v>
      </c>
      <c r="B1304" s="11" t="s">
        <v>4149</v>
      </c>
      <c r="C1304" s="10" t="s">
        <v>79</v>
      </c>
      <c r="D1304" s="10" t="s">
        <v>67</v>
      </c>
      <c r="E1304" s="13" t="str">
        <f>IFERROR(__xludf.DUMMYFUNCTION("ifna(filter('Yahoo ADP'!$A$2:$A2766,'Yahoo ADP'!$B$2:$B2766=$B1304,$C1304='Yahoo ADP'!$C$2:$C2766,$D1304='Yahoo ADP'!$D$2:$D2766))"),"")</f>
        <v/>
      </c>
      <c r="F1304" s="13" t="str">
        <f>IFERROR(__xludf.DUMMYFUNCTION("ifna(filter('Yahoo ADP'!$E$2:$E2766,'Yahoo ADP'!$B$2:$B2766=$B1304,$C1304='Yahoo ADP'!$C$2:$C2766,$D1304='Yahoo ADP'!$D$2:$D2766))"),"-")</f>
        <v>-</v>
      </c>
      <c r="G1304" s="27">
        <v>1289.0</v>
      </c>
      <c r="H1304" s="8">
        <f t="shared" si="1"/>
        <v>-14</v>
      </c>
    </row>
    <row r="1305">
      <c r="A1305" s="10">
        <v>1304.0</v>
      </c>
      <c r="B1305" s="11" t="s">
        <v>4150</v>
      </c>
      <c r="C1305" s="10" t="s">
        <v>79</v>
      </c>
      <c r="D1305" s="10" t="s">
        <v>67</v>
      </c>
      <c r="E1305" s="13" t="str">
        <f>IFERROR(__xludf.DUMMYFUNCTION("ifna(filter('Yahoo ADP'!$A$2:$A2766,'Yahoo ADP'!$B$2:$B2766=$B1305,$C1305='Yahoo ADP'!$C$2:$C2766,$D1305='Yahoo ADP'!$D$2:$D2766))"),"")</f>
        <v/>
      </c>
      <c r="F1305" s="13" t="str">
        <f>IFERROR(__xludf.DUMMYFUNCTION("ifna(filter('Yahoo ADP'!$E$2:$E2766,'Yahoo ADP'!$B$2:$B2766=$B1305,$C1305='Yahoo ADP'!$C$2:$C2766,$D1305='Yahoo ADP'!$D$2:$D2766))"),"-")</f>
        <v>-</v>
      </c>
      <c r="G1305" s="27">
        <v>1290.0</v>
      </c>
      <c r="H1305" s="8">
        <f t="shared" si="1"/>
        <v>-14</v>
      </c>
    </row>
    <row r="1306">
      <c r="A1306" s="10">
        <v>1305.0</v>
      </c>
      <c r="B1306" s="11" t="s">
        <v>4151</v>
      </c>
      <c r="C1306" s="10" t="s">
        <v>79</v>
      </c>
      <c r="D1306" s="10" t="s">
        <v>122</v>
      </c>
      <c r="E1306" s="13" t="str">
        <f>IFERROR(__xludf.DUMMYFUNCTION("ifna(filter('Yahoo ADP'!$A$2:$A2766,'Yahoo ADP'!$B$2:$B2766=$B1306,$C1306='Yahoo ADP'!$C$2:$C2766,$D1306='Yahoo ADP'!$D$2:$D2766))"),"")</f>
        <v/>
      </c>
      <c r="F1306" s="13" t="str">
        <f>IFERROR(__xludf.DUMMYFUNCTION("ifna(filter('Yahoo ADP'!$E$2:$E2766,'Yahoo ADP'!$B$2:$B2766=$B1306,$C1306='Yahoo ADP'!$C$2:$C2766,$D1306='Yahoo ADP'!$D$2:$D2766))"),"-")</f>
        <v>-</v>
      </c>
      <c r="G1306" s="27">
        <v>1291.0</v>
      </c>
      <c r="H1306" s="8">
        <f t="shared" si="1"/>
        <v>-14</v>
      </c>
    </row>
    <row r="1307">
      <c r="A1307" s="10">
        <v>1306.0</v>
      </c>
      <c r="B1307" s="11" t="s">
        <v>4152</v>
      </c>
      <c r="C1307" s="10" t="s">
        <v>220</v>
      </c>
      <c r="D1307" s="10" t="s">
        <v>82</v>
      </c>
      <c r="E1307" s="13" t="str">
        <f>IFERROR(__xludf.DUMMYFUNCTION("ifna(filter('Yahoo ADP'!$A$2:$A2766,'Yahoo ADP'!$B$2:$B2766=$B1307,$C1307='Yahoo ADP'!$C$2:$C2766,$D1307='Yahoo ADP'!$D$2:$D2766))"),"")</f>
        <v/>
      </c>
      <c r="F1307" s="13" t="str">
        <f>IFERROR(__xludf.DUMMYFUNCTION("ifna(filter('Yahoo ADP'!$E$2:$E2766,'Yahoo ADP'!$B$2:$B2766=$B1307,$C1307='Yahoo ADP'!$C$2:$C2766,$D1307='Yahoo ADP'!$D$2:$D2766))"),"-")</f>
        <v>-</v>
      </c>
      <c r="G1307" s="27">
        <v>1292.0</v>
      </c>
      <c r="H1307" s="8">
        <f t="shared" si="1"/>
        <v>-14</v>
      </c>
    </row>
    <row r="1308">
      <c r="A1308" s="10">
        <v>1307.0</v>
      </c>
      <c r="B1308" s="11" t="s">
        <v>4153</v>
      </c>
      <c r="C1308" s="10" t="s">
        <v>79</v>
      </c>
      <c r="D1308" s="10" t="s">
        <v>46</v>
      </c>
      <c r="E1308" s="13" t="str">
        <f>IFERROR(__xludf.DUMMYFUNCTION("ifna(filter('Yahoo ADP'!$A$2:$A2766,'Yahoo ADP'!$B$2:$B2766=$B1308,$C1308='Yahoo ADP'!$C$2:$C2766,$D1308='Yahoo ADP'!$D$2:$D2766))"),"")</f>
        <v/>
      </c>
      <c r="F1308" s="13" t="str">
        <f>IFERROR(__xludf.DUMMYFUNCTION("ifna(filter('Yahoo ADP'!$E$2:$E2766,'Yahoo ADP'!$B$2:$B2766=$B1308,$C1308='Yahoo ADP'!$C$2:$C2766,$D1308='Yahoo ADP'!$D$2:$D2766))"),"-")</f>
        <v>-</v>
      </c>
      <c r="G1308" s="27">
        <v>1293.0</v>
      </c>
      <c r="H1308" s="8">
        <f t="shared" si="1"/>
        <v>-14</v>
      </c>
    </row>
    <row r="1309">
      <c r="A1309" s="10">
        <v>1308.0</v>
      </c>
      <c r="B1309" s="11" t="s">
        <v>4154</v>
      </c>
      <c r="C1309" s="10" t="s">
        <v>79</v>
      </c>
      <c r="D1309" s="10" t="s">
        <v>52</v>
      </c>
      <c r="E1309" s="13" t="str">
        <f>IFERROR(__xludf.DUMMYFUNCTION("ifna(filter('Yahoo ADP'!$A$2:$A2766,'Yahoo ADP'!$B$2:$B2766=$B1309,$C1309='Yahoo ADP'!$C$2:$C2766,$D1309='Yahoo ADP'!$D$2:$D2766))"),"")</f>
        <v/>
      </c>
      <c r="F1309" s="13" t="str">
        <f>IFERROR(__xludf.DUMMYFUNCTION("ifna(filter('Yahoo ADP'!$E$2:$E2766,'Yahoo ADP'!$B$2:$B2766=$B1309,$C1309='Yahoo ADP'!$C$2:$C2766,$D1309='Yahoo ADP'!$D$2:$D2766))"),"-")</f>
        <v>-</v>
      </c>
      <c r="G1309" s="27">
        <v>1294.0</v>
      </c>
      <c r="H1309" s="8">
        <f t="shared" si="1"/>
        <v>-14</v>
      </c>
    </row>
    <row r="1310">
      <c r="A1310" s="10">
        <v>1309.0</v>
      </c>
      <c r="B1310" s="11" t="s">
        <v>4155</v>
      </c>
      <c r="C1310" s="10" t="s">
        <v>79</v>
      </c>
      <c r="D1310" s="10" t="s">
        <v>25</v>
      </c>
      <c r="E1310" s="13" t="str">
        <f>IFERROR(__xludf.DUMMYFUNCTION("ifna(filter('Yahoo ADP'!$A$2:$A2766,'Yahoo ADP'!$B$2:$B2766=$B1310,$C1310='Yahoo ADP'!$C$2:$C2766,$D1310='Yahoo ADP'!$D$2:$D2766))"),"")</f>
        <v/>
      </c>
      <c r="F1310" s="13" t="str">
        <f>IFERROR(__xludf.DUMMYFUNCTION("ifna(filter('Yahoo ADP'!$E$2:$E2766,'Yahoo ADP'!$B$2:$B2766=$B1310,$C1310='Yahoo ADP'!$C$2:$C2766,$D1310='Yahoo ADP'!$D$2:$D2766))"),"-")</f>
        <v>-</v>
      </c>
      <c r="G1310" s="27">
        <v>1295.0</v>
      </c>
      <c r="H1310" s="8">
        <f t="shared" si="1"/>
        <v>-14</v>
      </c>
    </row>
    <row r="1311">
      <c r="A1311" s="10">
        <v>1310.0</v>
      </c>
      <c r="B1311" s="11" t="s">
        <v>4156</v>
      </c>
      <c r="C1311" s="10" t="s">
        <v>22</v>
      </c>
      <c r="D1311" s="10" t="s">
        <v>42</v>
      </c>
      <c r="E1311" s="13" t="str">
        <f>IFERROR(__xludf.DUMMYFUNCTION("ifna(filter('Yahoo ADP'!$A$2:$A2766,'Yahoo ADP'!$B$2:$B2766=$B1311,$C1311='Yahoo ADP'!$C$2:$C2766,$D1311='Yahoo ADP'!$D$2:$D2766))"),"")</f>
        <v/>
      </c>
      <c r="F1311" s="13" t="str">
        <f>IFERROR(__xludf.DUMMYFUNCTION("ifna(filter('Yahoo ADP'!$E$2:$E2766,'Yahoo ADP'!$B$2:$B2766=$B1311,$C1311='Yahoo ADP'!$C$2:$C2766,$D1311='Yahoo ADP'!$D$2:$D2766))"),"-")</f>
        <v>-</v>
      </c>
      <c r="G1311" s="27">
        <v>1296.0</v>
      </c>
      <c r="H1311" s="8">
        <f t="shared" si="1"/>
        <v>-14</v>
      </c>
    </row>
    <row r="1312">
      <c r="A1312" s="10">
        <v>1311.0</v>
      </c>
      <c r="B1312" s="11" t="s">
        <v>4157</v>
      </c>
      <c r="C1312" s="10" t="s">
        <v>22</v>
      </c>
      <c r="D1312" s="10" t="s">
        <v>36</v>
      </c>
      <c r="E1312" s="13" t="str">
        <f>IFERROR(__xludf.DUMMYFUNCTION("ifna(filter('Yahoo ADP'!$A$2:$A2766,'Yahoo ADP'!$B$2:$B2766=$B1312,$C1312='Yahoo ADP'!$C$2:$C2766,$D1312='Yahoo ADP'!$D$2:$D2766))"),"")</f>
        <v/>
      </c>
      <c r="F1312" s="13" t="str">
        <f>IFERROR(__xludf.DUMMYFUNCTION("ifna(filter('Yahoo ADP'!$E$2:$E2766,'Yahoo ADP'!$B$2:$B2766=$B1312,$C1312='Yahoo ADP'!$C$2:$C2766,$D1312='Yahoo ADP'!$D$2:$D2766))"),"-")</f>
        <v>-</v>
      </c>
      <c r="G1312" s="27">
        <v>1297.0</v>
      </c>
      <c r="H1312" s="8">
        <f t="shared" si="1"/>
        <v>-14</v>
      </c>
    </row>
    <row r="1313">
      <c r="A1313" s="10">
        <v>1312.0</v>
      </c>
      <c r="B1313" s="11" t="s">
        <v>4158</v>
      </c>
      <c r="C1313" s="10" t="s">
        <v>79</v>
      </c>
      <c r="D1313" s="10" t="s">
        <v>36</v>
      </c>
      <c r="E1313" s="13" t="str">
        <f>IFERROR(__xludf.DUMMYFUNCTION("ifna(filter('Yahoo ADP'!$A$2:$A2766,'Yahoo ADP'!$B$2:$B2766=$B1313,$C1313='Yahoo ADP'!$C$2:$C2766,$D1313='Yahoo ADP'!$D$2:$D2766))"),"")</f>
        <v/>
      </c>
      <c r="F1313" s="13" t="str">
        <f>IFERROR(__xludf.DUMMYFUNCTION("ifna(filter('Yahoo ADP'!$E$2:$E2766,'Yahoo ADP'!$B$2:$B2766=$B1313,$C1313='Yahoo ADP'!$C$2:$C2766,$D1313='Yahoo ADP'!$D$2:$D2766))"),"-")</f>
        <v>-</v>
      </c>
      <c r="G1313" s="27">
        <v>1298.0</v>
      </c>
      <c r="H1313" s="8">
        <f t="shared" si="1"/>
        <v>-14</v>
      </c>
    </row>
    <row r="1314">
      <c r="A1314" s="10">
        <v>1313.0</v>
      </c>
      <c r="B1314" s="11" t="s">
        <v>4159</v>
      </c>
      <c r="C1314" s="10" t="s">
        <v>79</v>
      </c>
      <c r="D1314" s="10" t="s">
        <v>129</v>
      </c>
      <c r="E1314" s="13" t="str">
        <f>IFERROR(__xludf.DUMMYFUNCTION("ifna(filter('Yahoo ADP'!$A$2:$A2766,'Yahoo ADP'!$B$2:$B2766=$B1314,$C1314='Yahoo ADP'!$C$2:$C2766,$D1314='Yahoo ADP'!$D$2:$D2766))"),"")</f>
        <v/>
      </c>
      <c r="F1314" s="13" t="str">
        <f>IFERROR(__xludf.DUMMYFUNCTION("ifna(filter('Yahoo ADP'!$E$2:$E2766,'Yahoo ADP'!$B$2:$B2766=$B1314,$C1314='Yahoo ADP'!$C$2:$C2766,$D1314='Yahoo ADP'!$D$2:$D2766))"),"-")</f>
        <v>-</v>
      </c>
      <c r="G1314" s="27">
        <v>1299.0</v>
      </c>
      <c r="H1314" s="8">
        <f t="shared" si="1"/>
        <v>-14</v>
      </c>
    </row>
    <row r="1315">
      <c r="A1315" s="10">
        <v>1314.0</v>
      </c>
      <c r="B1315" s="11" t="s">
        <v>4160</v>
      </c>
      <c r="C1315" s="10" t="s">
        <v>22</v>
      </c>
      <c r="D1315" s="10" t="s">
        <v>34</v>
      </c>
      <c r="E1315" s="13" t="str">
        <f>IFERROR(__xludf.DUMMYFUNCTION("ifna(filter('Yahoo ADP'!$A$2:$A2766,'Yahoo ADP'!$B$2:$B2766=$B1315,$C1315='Yahoo ADP'!$C$2:$C2766,$D1315='Yahoo ADP'!$D$2:$D2766))"),"")</f>
        <v/>
      </c>
      <c r="F1315" s="13" t="str">
        <f>IFERROR(__xludf.DUMMYFUNCTION("ifna(filter('Yahoo ADP'!$E$2:$E2766,'Yahoo ADP'!$B$2:$B2766=$B1315,$C1315='Yahoo ADP'!$C$2:$C2766,$D1315='Yahoo ADP'!$D$2:$D2766))"),"-")</f>
        <v>-</v>
      </c>
      <c r="G1315" s="27">
        <v>1300.0</v>
      </c>
      <c r="H1315" s="8">
        <f t="shared" si="1"/>
        <v>-14</v>
      </c>
    </row>
    <row r="1316">
      <c r="A1316" s="10">
        <v>1315.0</v>
      </c>
      <c r="B1316" s="11" t="s">
        <v>4161</v>
      </c>
      <c r="C1316" s="10" t="s">
        <v>22</v>
      </c>
      <c r="D1316" s="10" t="s">
        <v>23</v>
      </c>
      <c r="E1316" s="13" t="str">
        <f>IFERROR(__xludf.DUMMYFUNCTION("ifna(filter('Yahoo ADP'!$A$2:$A2766,'Yahoo ADP'!$B$2:$B2766=$B1316,$C1316='Yahoo ADP'!$C$2:$C2766,$D1316='Yahoo ADP'!$D$2:$D2766))"),"")</f>
        <v/>
      </c>
      <c r="F1316" s="13" t="str">
        <f>IFERROR(__xludf.DUMMYFUNCTION("ifna(filter('Yahoo ADP'!$E$2:$E2766,'Yahoo ADP'!$B$2:$B2766=$B1316,$C1316='Yahoo ADP'!$C$2:$C2766,$D1316='Yahoo ADP'!$D$2:$D2766))"),"-")</f>
        <v>-</v>
      </c>
      <c r="G1316" s="27">
        <v>1301.0</v>
      </c>
      <c r="H1316" s="8">
        <f t="shared" si="1"/>
        <v>-14</v>
      </c>
    </row>
    <row r="1317">
      <c r="A1317" s="10">
        <v>1316.0</v>
      </c>
      <c r="B1317" s="11" t="s">
        <v>4162</v>
      </c>
      <c r="C1317" s="10" t="s">
        <v>79</v>
      </c>
      <c r="D1317" s="10" t="s">
        <v>34</v>
      </c>
      <c r="E1317" s="13" t="str">
        <f>IFERROR(__xludf.DUMMYFUNCTION("ifna(filter('Yahoo ADP'!$A$2:$A2766,'Yahoo ADP'!$B$2:$B2766=$B1317,$C1317='Yahoo ADP'!$C$2:$C2766,$D1317='Yahoo ADP'!$D$2:$D2766))"),"")</f>
        <v/>
      </c>
      <c r="F1317" s="13" t="str">
        <f>IFERROR(__xludf.DUMMYFUNCTION("ifna(filter('Yahoo ADP'!$E$2:$E2766,'Yahoo ADP'!$B$2:$B2766=$B1317,$C1317='Yahoo ADP'!$C$2:$C2766,$D1317='Yahoo ADP'!$D$2:$D2766))"),"-")</f>
        <v>-</v>
      </c>
      <c r="G1317" s="27">
        <v>1302.0</v>
      </c>
      <c r="H1317" s="8">
        <f t="shared" si="1"/>
        <v>-14</v>
      </c>
    </row>
    <row r="1318">
      <c r="A1318" s="10">
        <v>1317.0</v>
      </c>
      <c r="B1318" s="11" t="s">
        <v>4163</v>
      </c>
      <c r="C1318" s="10" t="s">
        <v>79</v>
      </c>
      <c r="D1318" s="10" t="s">
        <v>95</v>
      </c>
      <c r="E1318" s="13" t="str">
        <f>IFERROR(__xludf.DUMMYFUNCTION("ifna(filter('Yahoo ADP'!$A$2:$A2766,'Yahoo ADP'!$B$2:$B2766=$B1318,$C1318='Yahoo ADP'!$C$2:$C2766,$D1318='Yahoo ADP'!$D$2:$D2766))"),"")</f>
        <v/>
      </c>
      <c r="F1318" s="13" t="str">
        <f>IFERROR(__xludf.DUMMYFUNCTION("ifna(filter('Yahoo ADP'!$E$2:$E2766,'Yahoo ADP'!$B$2:$B2766=$B1318,$C1318='Yahoo ADP'!$C$2:$C2766,$D1318='Yahoo ADP'!$D$2:$D2766))"),"-")</f>
        <v>-</v>
      </c>
      <c r="G1318" s="27">
        <v>1303.0</v>
      </c>
      <c r="H1318" s="8">
        <f t="shared" si="1"/>
        <v>-14</v>
      </c>
    </row>
    <row r="1319">
      <c r="A1319" s="10">
        <v>1318.0</v>
      </c>
      <c r="B1319" s="11" t="s">
        <v>4164</v>
      </c>
      <c r="C1319" s="10" t="s">
        <v>79</v>
      </c>
      <c r="D1319" s="10" t="s">
        <v>206</v>
      </c>
      <c r="E1319" s="13" t="str">
        <f>IFERROR(__xludf.DUMMYFUNCTION("ifna(filter('Yahoo ADP'!$A$2:$A2766,'Yahoo ADP'!$B$2:$B2766=$B1319,$C1319='Yahoo ADP'!$C$2:$C2766,$D1319='Yahoo ADP'!$D$2:$D2766))"),"")</f>
        <v/>
      </c>
      <c r="F1319" s="13" t="str">
        <f>IFERROR(__xludf.DUMMYFUNCTION("ifna(filter('Yahoo ADP'!$E$2:$E2766,'Yahoo ADP'!$B$2:$B2766=$B1319,$C1319='Yahoo ADP'!$C$2:$C2766,$D1319='Yahoo ADP'!$D$2:$D2766))"),"-")</f>
        <v>-</v>
      </c>
      <c r="G1319" s="27">
        <v>1304.0</v>
      </c>
      <c r="H1319" s="8">
        <f t="shared" si="1"/>
        <v>-14</v>
      </c>
    </row>
    <row r="1320">
      <c r="A1320" s="10">
        <v>1319.0</v>
      </c>
      <c r="B1320" s="11" t="s">
        <v>4165</v>
      </c>
      <c r="C1320" s="10" t="s">
        <v>79</v>
      </c>
      <c r="D1320" s="10" t="s">
        <v>73</v>
      </c>
      <c r="E1320" s="13" t="str">
        <f>IFERROR(__xludf.DUMMYFUNCTION("ifna(filter('Yahoo ADP'!$A$2:$A2766,'Yahoo ADP'!$B$2:$B2766=$B1320,$C1320='Yahoo ADP'!$C$2:$C2766,$D1320='Yahoo ADP'!$D$2:$D2766))"),"")</f>
        <v/>
      </c>
      <c r="F1320" s="13" t="str">
        <f>IFERROR(__xludf.DUMMYFUNCTION("ifna(filter('Yahoo ADP'!$E$2:$E2766,'Yahoo ADP'!$B$2:$B2766=$B1320,$C1320='Yahoo ADP'!$C$2:$C2766,$D1320='Yahoo ADP'!$D$2:$D2766))"),"-")</f>
        <v>-</v>
      </c>
      <c r="G1320" s="27">
        <v>1305.0</v>
      </c>
      <c r="H1320" s="8">
        <f t="shared" si="1"/>
        <v>-14</v>
      </c>
    </row>
    <row r="1321">
      <c r="A1321" s="10">
        <v>1320.0</v>
      </c>
      <c r="B1321" s="11" t="s">
        <v>4166</v>
      </c>
      <c r="C1321" s="10" t="s">
        <v>22</v>
      </c>
      <c r="D1321" s="10" t="s">
        <v>82</v>
      </c>
      <c r="E1321" s="13" t="str">
        <f>IFERROR(__xludf.DUMMYFUNCTION("ifna(filter('Yahoo ADP'!$A$2:$A2766,'Yahoo ADP'!$B$2:$B2766=$B1321,$C1321='Yahoo ADP'!$C$2:$C2766,$D1321='Yahoo ADP'!$D$2:$D2766))"),"")</f>
        <v/>
      </c>
      <c r="F1321" s="13" t="str">
        <f>IFERROR(__xludf.DUMMYFUNCTION("ifna(filter('Yahoo ADP'!$E$2:$E2766,'Yahoo ADP'!$B$2:$B2766=$B1321,$C1321='Yahoo ADP'!$C$2:$C2766,$D1321='Yahoo ADP'!$D$2:$D2766))"),"-")</f>
        <v>-</v>
      </c>
      <c r="G1321" s="27">
        <v>1306.0</v>
      </c>
      <c r="H1321" s="8">
        <f t="shared" si="1"/>
        <v>-14</v>
      </c>
    </row>
    <row r="1322">
      <c r="A1322" s="10">
        <v>1321.0</v>
      </c>
      <c r="B1322" s="11" t="s">
        <v>4167</v>
      </c>
      <c r="C1322" s="10" t="s">
        <v>79</v>
      </c>
      <c r="D1322" s="10" t="s">
        <v>34</v>
      </c>
      <c r="E1322" s="13" t="str">
        <f>IFERROR(__xludf.DUMMYFUNCTION("ifna(filter('Yahoo ADP'!$A$2:$A2766,'Yahoo ADP'!$B$2:$B2766=$B1322,$C1322='Yahoo ADP'!$C$2:$C2766,$D1322='Yahoo ADP'!$D$2:$D2766))"),"")</f>
        <v/>
      </c>
      <c r="F1322" s="13" t="str">
        <f>IFERROR(__xludf.DUMMYFUNCTION("ifna(filter('Yahoo ADP'!$E$2:$E2766,'Yahoo ADP'!$B$2:$B2766=$B1322,$C1322='Yahoo ADP'!$C$2:$C2766,$D1322='Yahoo ADP'!$D$2:$D2766))"),"-")</f>
        <v>-</v>
      </c>
      <c r="G1322" s="27">
        <v>1307.0</v>
      </c>
      <c r="H1322" s="8">
        <f t="shared" si="1"/>
        <v>-14</v>
      </c>
    </row>
    <row r="1323">
      <c r="A1323" s="10">
        <v>1322.0</v>
      </c>
      <c r="B1323" s="11" t="s">
        <v>4168</v>
      </c>
      <c r="C1323" s="10" t="s">
        <v>79</v>
      </c>
      <c r="D1323" s="10" t="s">
        <v>52</v>
      </c>
      <c r="E1323" s="13" t="str">
        <f>IFERROR(__xludf.DUMMYFUNCTION("ifna(filter('Yahoo ADP'!$A$2:$A2766,'Yahoo ADP'!$B$2:$B2766=$B1323,$C1323='Yahoo ADP'!$C$2:$C2766,$D1323='Yahoo ADP'!$D$2:$D2766))"),"")</f>
        <v/>
      </c>
      <c r="F1323" s="13" t="str">
        <f>IFERROR(__xludf.DUMMYFUNCTION("ifna(filter('Yahoo ADP'!$E$2:$E2766,'Yahoo ADP'!$B$2:$B2766=$B1323,$C1323='Yahoo ADP'!$C$2:$C2766,$D1323='Yahoo ADP'!$D$2:$D2766))"),"-")</f>
        <v>-</v>
      </c>
      <c r="G1323" s="27">
        <v>1308.0</v>
      </c>
      <c r="H1323" s="8">
        <f t="shared" si="1"/>
        <v>-14</v>
      </c>
    </row>
    <row r="1324">
      <c r="A1324" s="10">
        <v>1323.0</v>
      </c>
      <c r="B1324" s="11" t="s">
        <v>4169</v>
      </c>
      <c r="C1324" s="10" t="s">
        <v>79</v>
      </c>
      <c r="D1324" s="10" t="s">
        <v>9</v>
      </c>
      <c r="E1324" s="13" t="str">
        <f>IFERROR(__xludf.DUMMYFUNCTION("ifna(filter('Yahoo ADP'!$A$2:$A2766,'Yahoo ADP'!$B$2:$B2766=$B1324,$C1324='Yahoo ADP'!$C$2:$C2766,$D1324='Yahoo ADP'!$D$2:$D2766))"),"")</f>
        <v/>
      </c>
      <c r="F1324" s="13" t="str">
        <f>IFERROR(__xludf.DUMMYFUNCTION("ifna(filter('Yahoo ADP'!$E$2:$E2766,'Yahoo ADP'!$B$2:$B2766=$B1324,$C1324='Yahoo ADP'!$C$2:$C2766,$D1324='Yahoo ADP'!$D$2:$D2766))"),"-")</f>
        <v>-</v>
      </c>
      <c r="G1324" s="27">
        <v>1309.0</v>
      </c>
      <c r="H1324" s="8">
        <f t="shared" si="1"/>
        <v>-14</v>
      </c>
    </row>
    <row r="1325">
      <c r="A1325" s="10">
        <v>1324.0</v>
      </c>
      <c r="B1325" s="11" t="s">
        <v>4170</v>
      </c>
      <c r="C1325" s="10" t="s">
        <v>79</v>
      </c>
      <c r="D1325" s="10" t="s">
        <v>113</v>
      </c>
      <c r="E1325" s="13" t="str">
        <f>IFERROR(__xludf.DUMMYFUNCTION("ifna(filter('Yahoo ADP'!$A$2:$A2766,'Yahoo ADP'!$B$2:$B2766=$B1325,$C1325='Yahoo ADP'!$C$2:$C2766,$D1325='Yahoo ADP'!$D$2:$D2766))"),"")</f>
        <v/>
      </c>
      <c r="F1325" s="13" t="str">
        <f>IFERROR(__xludf.DUMMYFUNCTION("ifna(filter('Yahoo ADP'!$E$2:$E2766,'Yahoo ADP'!$B$2:$B2766=$B1325,$C1325='Yahoo ADP'!$C$2:$C2766,$D1325='Yahoo ADP'!$D$2:$D2766))"),"-")</f>
        <v>-</v>
      </c>
      <c r="G1325" s="27">
        <v>1310.0</v>
      </c>
      <c r="H1325" s="8">
        <f t="shared" si="1"/>
        <v>-14</v>
      </c>
    </row>
    <row r="1326">
      <c r="A1326" s="10">
        <v>1325.0</v>
      </c>
      <c r="B1326" s="11" t="s">
        <v>4171</v>
      </c>
      <c r="C1326" s="10" t="s">
        <v>79</v>
      </c>
      <c r="D1326" s="10" t="s">
        <v>122</v>
      </c>
      <c r="E1326" s="13" t="str">
        <f>IFERROR(__xludf.DUMMYFUNCTION("ifna(filter('Yahoo ADP'!$A$2:$A2766,'Yahoo ADP'!$B$2:$B2766=$B1326,$C1326='Yahoo ADP'!$C$2:$C2766,$D1326='Yahoo ADP'!$D$2:$D2766))"),"")</f>
        <v/>
      </c>
      <c r="F1326" s="13" t="str">
        <f>IFERROR(__xludf.DUMMYFUNCTION("ifna(filter('Yahoo ADP'!$E$2:$E2766,'Yahoo ADP'!$B$2:$B2766=$B1326,$C1326='Yahoo ADP'!$C$2:$C2766,$D1326='Yahoo ADP'!$D$2:$D2766))"),"-")</f>
        <v>-</v>
      </c>
      <c r="G1326" s="27">
        <v>1312.0</v>
      </c>
      <c r="H1326" s="8">
        <f t="shared" si="1"/>
        <v>-13</v>
      </c>
    </row>
    <row r="1327">
      <c r="A1327" s="10">
        <v>1326.0</v>
      </c>
      <c r="B1327" s="11" t="s">
        <v>4172</v>
      </c>
      <c r="C1327" s="10" t="s">
        <v>79</v>
      </c>
      <c r="D1327" s="10" t="s">
        <v>49</v>
      </c>
      <c r="E1327" s="13" t="str">
        <f>IFERROR(__xludf.DUMMYFUNCTION("ifna(filter('Yahoo ADP'!$A$2:$A2766,'Yahoo ADP'!$B$2:$B2766=$B1327,$C1327='Yahoo ADP'!$C$2:$C2766,$D1327='Yahoo ADP'!$D$2:$D2766))"),"")</f>
        <v/>
      </c>
      <c r="F1327" s="13" t="str">
        <f>IFERROR(__xludf.DUMMYFUNCTION("ifna(filter('Yahoo ADP'!$E$2:$E2766,'Yahoo ADP'!$B$2:$B2766=$B1327,$C1327='Yahoo ADP'!$C$2:$C2766,$D1327='Yahoo ADP'!$D$2:$D2766))"),"-")</f>
        <v>-</v>
      </c>
      <c r="G1327" s="27">
        <v>1313.0</v>
      </c>
      <c r="H1327" s="8">
        <f t="shared" si="1"/>
        <v>-13</v>
      </c>
    </row>
    <row r="1328">
      <c r="A1328" s="10">
        <v>1327.0</v>
      </c>
      <c r="B1328" s="11" t="s">
        <v>4173</v>
      </c>
      <c r="C1328" s="10" t="s">
        <v>79</v>
      </c>
      <c r="D1328" s="10" t="s">
        <v>137</v>
      </c>
      <c r="E1328" s="13" t="str">
        <f>IFERROR(__xludf.DUMMYFUNCTION("ifna(filter('Yahoo ADP'!$A$2:$A2766,'Yahoo ADP'!$B$2:$B2766=$B1328,$C1328='Yahoo ADP'!$C$2:$C2766,$D1328='Yahoo ADP'!$D$2:$D2766))"),"")</f>
        <v/>
      </c>
      <c r="F1328" s="13" t="str">
        <f>IFERROR(__xludf.DUMMYFUNCTION("ifna(filter('Yahoo ADP'!$E$2:$E2766,'Yahoo ADP'!$B$2:$B2766=$B1328,$C1328='Yahoo ADP'!$C$2:$C2766,$D1328='Yahoo ADP'!$D$2:$D2766))"),"-")</f>
        <v>-</v>
      </c>
      <c r="G1328" s="27">
        <v>1314.0</v>
      </c>
      <c r="H1328" s="8">
        <f t="shared" si="1"/>
        <v>-13</v>
      </c>
    </row>
    <row r="1329">
      <c r="A1329" s="10">
        <v>1328.0</v>
      </c>
      <c r="B1329" s="11" t="s">
        <v>4174</v>
      </c>
      <c r="C1329" s="10" t="s">
        <v>220</v>
      </c>
      <c r="D1329" s="10" t="s">
        <v>23</v>
      </c>
      <c r="E1329" s="13" t="str">
        <f>IFERROR(__xludf.DUMMYFUNCTION("ifna(filter('Yahoo ADP'!$A$2:$A2766,'Yahoo ADP'!$B$2:$B2766=$B1329,$C1329='Yahoo ADP'!$C$2:$C2766,$D1329='Yahoo ADP'!$D$2:$D2766))"),"")</f>
        <v/>
      </c>
      <c r="F1329" s="13" t="str">
        <f>IFERROR(__xludf.DUMMYFUNCTION("ifna(filter('Yahoo ADP'!$E$2:$E2766,'Yahoo ADP'!$B$2:$B2766=$B1329,$C1329='Yahoo ADP'!$C$2:$C2766,$D1329='Yahoo ADP'!$D$2:$D2766))"),"-")</f>
        <v>-</v>
      </c>
      <c r="G1329" s="27">
        <v>1315.0</v>
      </c>
      <c r="H1329" s="8">
        <f t="shared" si="1"/>
        <v>-13</v>
      </c>
    </row>
    <row r="1330">
      <c r="A1330" s="10">
        <v>1329.0</v>
      </c>
      <c r="B1330" s="11" t="s">
        <v>4175</v>
      </c>
      <c r="C1330" s="10" t="s">
        <v>79</v>
      </c>
      <c r="D1330" s="10" t="s">
        <v>105</v>
      </c>
      <c r="E1330" s="13" t="str">
        <f>IFERROR(__xludf.DUMMYFUNCTION("ifna(filter('Yahoo ADP'!$A$2:$A2766,'Yahoo ADP'!$B$2:$B2766=$B1330,$C1330='Yahoo ADP'!$C$2:$C2766,$D1330='Yahoo ADP'!$D$2:$D2766))"),"")</f>
        <v/>
      </c>
      <c r="F1330" s="13" t="str">
        <f>IFERROR(__xludf.DUMMYFUNCTION("ifna(filter('Yahoo ADP'!$E$2:$E2766,'Yahoo ADP'!$B$2:$B2766=$B1330,$C1330='Yahoo ADP'!$C$2:$C2766,$D1330='Yahoo ADP'!$D$2:$D2766))"),"-")</f>
        <v>-</v>
      </c>
      <c r="G1330" s="27">
        <v>1316.0</v>
      </c>
      <c r="H1330" s="8">
        <f t="shared" si="1"/>
        <v>-13</v>
      </c>
    </row>
    <row r="1331">
      <c r="A1331" s="10">
        <v>1330.0</v>
      </c>
      <c r="B1331" s="11" t="s">
        <v>4176</v>
      </c>
      <c r="C1331" s="10" t="s">
        <v>79</v>
      </c>
      <c r="D1331" s="10" t="s">
        <v>23</v>
      </c>
      <c r="E1331" s="13" t="str">
        <f>IFERROR(__xludf.DUMMYFUNCTION("ifna(filter('Yahoo ADP'!$A$2:$A2766,'Yahoo ADP'!$B$2:$B2766=$B1331,$C1331='Yahoo ADP'!$C$2:$C2766,$D1331='Yahoo ADP'!$D$2:$D2766))"),"")</f>
        <v/>
      </c>
      <c r="F1331" s="13" t="str">
        <f>IFERROR(__xludf.DUMMYFUNCTION("ifna(filter('Yahoo ADP'!$E$2:$E2766,'Yahoo ADP'!$B$2:$B2766=$B1331,$C1331='Yahoo ADP'!$C$2:$C2766,$D1331='Yahoo ADP'!$D$2:$D2766))"),"-")</f>
        <v>-</v>
      </c>
      <c r="G1331" s="27">
        <v>1317.0</v>
      </c>
      <c r="H1331" s="8">
        <f t="shared" si="1"/>
        <v>-13</v>
      </c>
    </row>
    <row r="1332">
      <c r="A1332" s="10">
        <v>1331.0</v>
      </c>
      <c r="B1332" s="11" t="s">
        <v>4177</v>
      </c>
      <c r="C1332" s="10" t="s">
        <v>79</v>
      </c>
      <c r="D1332" s="10" t="s">
        <v>23</v>
      </c>
      <c r="E1332" s="13" t="str">
        <f>IFERROR(__xludf.DUMMYFUNCTION("ifna(filter('Yahoo ADP'!$A$2:$A2766,'Yahoo ADP'!$B$2:$B2766=$B1332,$C1332='Yahoo ADP'!$C$2:$C2766,$D1332='Yahoo ADP'!$D$2:$D2766))"),"")</f>
        <v/>
      </c>
      <c r="F1332" s="13" t="str">
        <f>IFERROR(__xludf.DUMMYFUNCTION("ifna(filter('Yahoo ADP'!$E$2:$E2766,'Yahoo ADP'!$B$2:$B2766=$B1332,$C1332='Yahoo ADP'!$C$2:$C2766,$D1332='Yahoo ADP'!$D$2:$D2766))"),"-")</f>
        <v>-</v>
      </c>
      <c r="G1332" s="27">
        <v>1318.0</v>
      </c>
      <c r="H1332" s="8">
        <f t="shared" si="1"/>
        <v>-13</v>
      </c>
    </row>
    <row r="1333">
      <c r="A1333" s="10">
        <v>1332.0</v>
      </c>
      <c r="B1333" s="11" t="s">
        <v>4178</v>
      </c>
      <c r="C1333" s="10" t="s">
        <v>79</v>
      </c>
      <c r="D1333" s="10" t="s">
        <v>49</v>
      </c>
      <c r="E1333" s="13" t="str">
        <f>IFERROR(__xludf.DUMMYFUNCTION("ifna(filter('Yahoo ADP'!$A$2:$A2766,'Yahoo ADP'!$B$2:$B2766=$B1333,$C1333='Yahoo ADP'!$C$2:$C2766,$D1333='Yahoo ADP'!$D$2:$D2766))"),"")</f>
        <v/>
      </c>
      <c r="F1333" s="13" t="str">
        <f>IFERROR(__xludf.DUMMYFUNCTION("ifna(filter('Yahoo ADP'!$E$2:$E2766,'Yahoo ADP'!$B$2:$B2766=$B1333,$C1333='Yahoo ADP'!$C$2:$C2766,$D1333='Yahoo ADP'!$D$2:$D2766))"),"-")</f>
        <v>-</v>
      </c>
      <c r="G1333" s="27">
        <v>1319.0</v>
      </c>
      <c r="H1333" s="8">
        <f t="shared" si="1"/>
        <v>-13</v>
      </c>
    </row>
    <row r="1334">
      <c r="A1334" s="10">
        <v>1333.0</v>
      </c>
      <c r="B1334" s="11" t="s">
        <v>4179</v>
      </c>
      <c r="C1334" s="10" t="s">
        <v>79</v>
      </c>
      <c r="D1334" s="10" t="s">
        <v>34</v>
      </c>
      <c r="E1334" s="13" t="str">
        <f>IFERROR(__xludf.DUMMYFUNCTION("ifna(filter('Yahoo ADP'!$A$2:$A2766,'Yahoo ADP'!$B$2:$B2766=$B1334,$C1334='Yahoo ADP'!$C$2:$C2766,$D1334='Yahoo ADP'!$D$2:$D2766))"),"")</f>
        <v/>
      </c>
      <c r="F1334" s="13" t="str">
        <f>IFERROR(__xludf.DUMMYFUNCTION("ifna(filter('Yahoo ADP'!$E$2:$E2766,'Yahoo ADP'!$B$2:$B2766=$B1334,$C1334='Yahoo ADP'!$C$2:$C2766,$D1334='Yahoo ADP'!$D$2:$D2766))"),"-")</f>
        <v>-</v>
      </c>
      <c r="G1334" s="27">
        <v>1320.0</v>
      </c>
      <c r="H1334" s="8">
        <f t="shared" si="1"/>
        <v>-13</v>
      </c>
    </row>
    <row r="1335">
      <c r="A1335" s="10">
        <v>1334.0</v>
      </c>
      <c r="B1335" s="11" t="s">
        <v>4180</v>
      </c>
      <c r="C1335" s="10" t="s">
        <v>79</v>
      </c>
      <c r="D1335" s="10" t="s">
        <v>23</v>
      </c>
      <c r="E1335" s="13" t="str">
        <f>IFERROR(__xludf.DUMMYFUNCTION("ifna(filter('Yahoo ADP'!$A$2:$A2766,'Yahoo ADP'!$B$2:$B2766=$B1335,$C1335='Yahoo ADP'!$C$2:$C2766,$D1335='Yahoo ADP'!$D$2:$D2766))"),"")</f>
        <v/>
      </c>
      <c r="F1335" s="13" t="str">
        <f>IFERROR(__xludf.DUMMYFUNCTION("ifna(filter('Yahoo ADP'!$E$2:$E2766,'Yahoo ADP'!$B$2:$B2766=$B1335,$C1335='Yahoo ADP'!$C$2:$C2766,$D1335='Yahoo ADP'!$D$2:$D2766))"),"-")</f>
        <v>-</v>
      </c>
      <c r="G1335" s="27">
        <v>1321.0</v>
      </c>
      <c r="H1335" s="8">
        <f t="shared" si="1"/>
        <v>-13</v>
      </c>
    </row>
    <row r="1336">
      <c r="A1336" s="10">
        <v>1335.0</v>
      </c>
      <c r="B1336" s="11" t="s">
        <v>4181</v>
      </c>
      <c r="C1336" s="10" t="s">
        <v>79</v>
      </c>
      <c r="D1336" s="10" t="s">
        <v>113</v>
      </c>
      <c r="E1336" s="13" t="str">
        <f>IFERROR(__xludf.DUMMYFUNCTION("ifna(filter('Yahoo ADP'!$A$2:$A2766,'Yahoo ADP'!$B$2:$B2766=$B1336,$C1336='Yahoo ADP'!$C$2:$C2766,$D1336='Yahoo ADP'!$D$2:$D2766))"),"")</f>
        <v/>
      </c>
      <c r="F1336" s="13" t="str">
        <f>IFERROR(__xludf.DUMMYFUNCTION("ifna(filter('Yahoo ADP'!$E$2:$E2766,'Yahoo ADP'!$B$2:$B2766=$B1336,$C1336='Yahoo ADP'!$C$2:$C2766,$D1336='Yahoo ADP'!$D$2:$D2766))"),"-")</f>
        <v>-</v>
      </c>
      <c r="G1336" s="27">
        <v>1322.0</v>
      </c>
      <c r="H1336" s="8">
        <f t="shared" si="1"/>
        <v>-13</v>
      </c>
    </row>
    <row r="1337">
      <c r="A1337" s="10">
        <v>1336.0</v>
      </c>
      <c r="B1337" s="11" t="s">
        <v>4182</v>
      </c>
      <c r="C1337" s="10" t="s">
        <v>79</v>
      </c>
      <c r="D1337" s="10" t="s">
        <v>23</v>
      </c>
      <c r="E1337" s="13" t="str">
        <f>IFERROR(__xludf.DUMMYFUNCTION("ifna(filter('Yahoo ADP'!$A$2:$A2766,'Yahoo ADP'!$B$2:$B2766=$B1337,$C1337='Yahoo ADP'!$C$2:$C2766,$D1337='Yahoo ADP'!$D$2:$D2766))"),"")</f>
        <v/>
      </c>
      <c r="F1337" s="13" t="str">
        <f>IFERROR(__xludf.DUMMYFUNCTION("ifna(filter('Yahoo ADP'!$E$2:$E2766,'Yahoo ADP'!$B$2:$B2766=$B1337,$C1337='Yahoo ADP'!$C$2:$C2766,$D1337='Yahoo ADP'!$D$2:$D2766))"),"-")</f>
        <v>-</v>
      </c>
      <c r="G1337" s="27">
        <v>1323.0</v>
      </c>
      <c r="H1337" s="8">
        <f t="shared" si="1"/>
        <v>-13</v>
      </c>
    </row>
    <row r="1338">
      <c r="A1338" s="10">
        <v>1337.0</v>
      </c>
      <c r="B1338" s="11" t="s">
        <v>4183</v>
      </c>
      <c r="C1338" s="10" t="s">
        <v>585</v>
      </c>
      <c r="D1338" s="10" t="s">
        <v>137</v>
      </c>
      <c r="E1338" s="13" t="str">
        <f>IFERROR(__xludf.DUMMYFUNCTION("ifna(filter('Yahoo ADP'!$A$2:$A2766,'Yahoo ADP'!$B$2:$B2766=$B1338,$C1338='Yahoo ADP'!$C$2:$C2766,$D1338='Yahoo ADP'!$D$2:$D2766))"),"")</f>
        <v/>
      </c>
      <c r="F1338" s="13" t="str">
        <f>IFERROR(__xludf.DUMMYFUNCTION("ifna(filter('Yahoo ADP'!$E$2:$E2766,'Yahoo ADP'!$B$2:$B2766=$B1338,$C1338='Yahoo ADP'!$C$2:$C2766,$D1338='Yahoo ADP'!$D$2:$D2766))"),"-")</f>
        <v>-</v>
      </c>
      <c r="G1338" s="27">
        <v>1324.0</v>
      </c>
      <c r="H1338" s="8">
        <f t="shared" si="1"/>
        <v>-13</v>
      </c>
    </row>
    <row r="1339">
      <c r="A1339" s="10">
        <v>1338.0</v>
      </c>
      <c r="B1339" s="11" t="s">
        <v>4184</v>
      </c>
      <c r="C1339" s="10" t="s">
        <v>79</v>
      </c>
      <c r="D1339" s="10" t="s">
        <v>129</v>
      </c>
      <c r="E1339" s="13" t="str">
        <f>IFERROR(__xludf.DUMMYFUNCTION("ifna(filter('Yahoo ADP'!$A$2:$A2766,'Yahoo ADP'!$B$2:$B2766=$B1339,$C1339='Yahoo ADP'!$C$2:$C2766,$D1339='Yahoo ADP'!$D$2:$D2766))"),"")</f>
        <v/>
      </c>
      <c r="F1339" s="13" t="str">
        <f>IFERROR(__xludf.DUMMYFUNCTION("ifna(filter('Yahoo ADP'!$E$2:$E2766,'Yahoo ADP'!$B$2:$B2766=$B1339,$C1339='Yahoo ADP'!$C$2:$C2766,$D1339='Yahoo ADP'!$D$2:$D2766))"),"-")</f>
        <v>-</v>
      </c>
      <c r="G1339" s="27">
        <v>1325.0</v>
      </c>
      <c r="H1339" s="8">
        <f t="shared" si="1"/>
        <v>-13</v>
      </c>
    </row>
    <row r="1340">
      <c r="A1340" s="10">
        <v>1339.0</v>
      </c>
      <c r="B1340" s="11" t="s">
        <v>4185</v>
      </c>
      <c r="C1340" s="10" t="s">
        <v>22</v>
      </c>
      <c r="D1340" s="10" t="s">
        <v>25</v>
      </c>
      <c r="E1340" s="13" t="str">
        <f>IFERROR(__xludf.DUMMYFUNCTION("ifna(filter('Yahoo ADP'!$A$2:$A2766,'Yahoo ADP'!$B$2:$B2766=$B1340,$C1340='Yahoo ADP'!$C$2:$C2766,$D1340='Yahoo ADP'!$D$2:$D2766))"),"")</f>
        <v/>
      </c>
      <c r="F1340" s="13" t="str">
        <f>IFERROR(__xludf.DUMMYFUNCTION("ifna(filter('Yahoo ADP'!$E$2:$E2766,'Yahoo ADP'!$B$2:$B2766=$B1340,$C1340='Yahoo ADP'!$C$2:$C2766,$D1340='Yahoo ADP'!$D$2:$D2766))"),"-")</f>
        <v>-</v>
      </c>
      <c r="G1340" s="27">
        <v>1326.0</v>
      </c>
      <c r="H1340" s="8">
        <f t="shared" si="1"/>
        <v>-13</v>
      </c>
    </row>
    <row r="1341">
      <c r="A1341" s="10">
        <v>1340.0</v>
      </c>
      <c r="B1341" s="11" t="s">
        <v>4186</v>
      </c>
      <c r="C1341" s="10" t="s">
        <v>79</v>
      </c>
      <c r="D1341" s="10" t="s">
        <v>122</v>
      </c>
      <c r="E1341" s="13" t="str">
        <f>IFERROR(__xludf.DUMMYFUNCTION("ifna(filter('Yahoo ADP'!$A$2:$A2766,'Yahoo ADP'!$B$2:$B2766=$B1341,$C1341='Yahoo ADP'!$C$2:$C2766,$D1341='Yahoo ADP'!$D$2:$D2766))"),"")</f>
        <v/>
      </c>
      <c r="F1341" s="13" t="str">
        <f>IFERROR(__xludf.DUMMYFUNCTION("ifna(filter('Yahoo ADP'!$E$2:$E2766,'Yahoo ADP'!$B$2:$B2766=$B1341,$C1341='Yahoo ADP'!$C$2:$C2766,$D1341='Yahoo ADP'!$D$2:$D2766))"),"-")</f>
        <v>-</v>
      </c>
      <c r="G1341" s="27">
        <v>1327.0</v>
      </c>
      <c r="H1341" s="8">
        <f t="shared" si="1"/>
        <v>-13</v>
      </c>
    </row>
    <row r="1342">
      <c r="A1342" s="10">
        <v>1341.0</v>
      </c>
      <c r="B1342" s="11" t="s">
        <v>4187</v>
      </c>
      <c r="C1342" s="10" t="s">
        <v>79</v>
      </c>
      <c r="D1342" s="10" t="s">
        <v>25</v>
      </c>
      <c r="E1342" s="13" t="str">
        <f>IFERROR(__xludf.DUMMYFUNCTION("ifna(filter('Yahoo ADP'!$A$2:$A2766,'Yahoo ADP'!$B$2:$B2766=$B1342,$C1342='Yahoo ADP'!$C$2:$C2766,$D1342='Yahoo ADP'!$D$2:$D2766))"),"")</f>
        <v/>
      </c>
      <c r="F1342" s="13" t="str">
        <f>IFERROR(__xludf.DUMMYFUNCTION("ifna(filter('Yahoo ADP'!$E$2:$E2766,'Yahoo ADP'!$B$2:$B2766=$B1342,$C1342='Yahoo ADP'!$C$2:$C2766,$D1342='Yahoo ADP'!$D$2:$D2766))"),"-")</f>
        <v>-</v>
      </c>
      <c r="G1342" s="27">
        <v>1328.0</v>
      </c>
      <c r="H1342" s="8">
        <f t="shared" si="1"/>
        <v>-13</v>
      </c>
    </row>
    <row r="1343">
      <c r="A1343" s="10">
        <v>1342.0</v>
      </c>
      <c r="B1343" s="11" t="s">
        <v>4188</v>
      </c>
      <c r="C1343" s="10" t="s">
        <v>79</v>
      </c>
      <c r="D1343" s="10" t="s">
        <v>18</v>
      </c>
      <c r="E1343" s="13" t="str">
        <f>IFERROR(__xludf.DUMMYFUNCTION("ifna(filter('Yahoo ADP'!$A$2:$A2766,'Yahoo ADP'!$B$2:$B2766=$B1343,$C1343='Yahoo ADP'!$C$2:$C2766,$D1343='Yahoo ADP'!$D$2:$D2766))"),"")</f>
        <v/>
      </c>
      <c r="F1343" s="13" t="str">
        <f>IFERROR(__xludf.DUMMYFUNCTION("ifna(filter('Yahoo ADP'!$E$2:$E2766,'Yahoo ADP'!$B$2:$B2766=$B1343,$C1343='Yahoo ADP'!$C$2:$C2766,$D1343='Yahoo ADP'!$D$2:$D2766))"),"-")</f>
        <v>-</v>
      </c>
      <c r="G1343" s="27">
        <v>1329.0</v>
      </c>
      <c r="H1343" s="8">
        <f t="shared" si="1"/>
        <v>-13</v>
      </c>
    </row>
    <row r="1344">
      <c r="A1344" s="10">
        <v>1343.0</v>
      </c>
      <c r="B1344" s="11" t="s">
        <v>4189</v>
      </c>
      <c r="C1344" s="10" t="s">
        <v>79</v>
      </c>
      <c r="D1344" s="10" t="s">
        <v>34</v>
      </c>
      <c r="E1344" s="13" t="str">
        <f>IFERROR(__xludf.DUMMYFUNCTION("ifna(filter('Yahoo ADP'!$A$2:$A2766,'Yahoo ADP'!$B$2:$B2766=$B1344,$C1344='Yahoo ADP'!$C$2:$C2766,$D1344='Yahoo ADP'!$D$2:$D2766))"),"")</f>
        <v/>
      </c>
      <c r="F1344" s="13" t="str">
        <f>IFERROR(__xludf.DUMMYFUNCTION("ifna(filter('Yahoo ADP'!$E$2:$E2766,'Yahoo ADP'!$B$2:$B2766=$B1344,$C1344='Yahoo ADP'!$C$2:$C2766,$D1344='Yahoo ADP'!$D$2:$D2766))"),"-")</f>
        <v>-</v>
      </c>
      <c r="G1344" s="27">
        <v>1330.0</v>
      </c>
      <c r="H1344" s="8">
        <f t="shared" si="1"/>
        <v>-13</v>
      </c>
    </row>
    <row r="1345">
      <c r="A1345" s="10">
        <v>1344.0</v>
      </c>
      <c r="B1345" s="11" t="s">
        <v>4190</v>
      </c>
      <c r="C1345" s="10" t="s">
        <v>22</v>
      </c>
      <c r="D1345" s="10" t="s">
        <v>27</v>
      </c>
      <c r="E1345" s="13" t="str">
        <f>IFERROR(__xludf.DUMMYFUNCTION("ifna(filter('Yahoo ADP'!$A$2:$A2766,'Yahoo ADP'!$B$2:$B2766=$B1345,$C1345='Yahoo ADP'!$C$2:$C2766,$D1345='Yahoo ADP'!$D$2:$D2766))"),"")</f>
        <v/>
      </c>
      <c r="F1345" s="13" t="str">
        <f>IFERROR(__xludf.DUMMYFUNCTION("ifna(filter('Yahoo ADP'!$E$2:$E2766,'Yahoo ADP'!$B$2:$B2766=$B1345,$C1345='Yahoo ADP'!$C$2:$C2766,$D1345='Yahoo ADP'!$D$2:$D2766))"),"-")</f>
        <v>-</v>
      </c>
      <c r="G1345" s="27">
        <v>1331.0</v>
      </c>
      <c r="H1345" s="8">
        <f t="shared" si="1"/>
        <v>-13</v>
      </c>
    </row>
    <row r="1346">
      <c r="A1346" s="10">
        <v>1345.0</v>
      </c>
      <c r="B1346" s="11" t="s">
        <v>4191</v>
      </c>
      <c r="C1346" s="10" t="s">
        <v>79</v>
      </c>
      <c r="D1346" s="10" t="s">
        <v>90</v>
      </c>
      <c r="E1346" s="13" t="str">
        <f>IFERROR(__xludf.DUMMYFUNCTION("ifna(filter('Yahoo ADP'!$A$2:$A2766,'Yahoo ADP'!$B$2:$B2766=$B1346,$C1346='Yahoo ADP'!$C$2:$C2766,$D1346='Yahoo ADP'!$D$2:$D2766))"),"")</f>
        <v/>
      </c>
      <c r="F1346" s="13" t="str">
        <f>IFERROR(__xludf.DUMMYFUNCTION("ifna(filter('Yahoo ADP'!$E$2:$E2766,'Yahoo ADP'!$B$2:$B2766=$B1346,$C1346='Yahoo ADP'!$C$2:$C2766,$D1346='Yahoo ADP'!$D$2:$D2766))"),"-")</f>
        <v>-</v>
      </c>
      <c r="G1346" s="27">
        <v>1332.0</v>
      </c>
      <c r="H1346" s="8">
        <f t="shared" si="1"/>
        <v>-13</v>
      </c>
    </row>
    <row r="1347">
      <c r="A1347" s="10">
        <v>1346.0</v>
      </c>
      <c r="B1347" s="11" t="s">
        <v>4192</v>
      </c>
      <c r="C1347" s="10" t="s">
        <v>79</v>
      </c>
      <c r="D1347" s="10" t="s">
        <v>9</v>
      </c>
      <c r="E1347" s="13" t="str">
        <f>IFERROR(__xludf.DUMMYFUNCTION("ifna(filter('Yahoo ADP'!$A$2:$A2766,'Yahoo ADP'!$B$2:$B2766=$B1347,$C1347='Yahoo ADP'!$C$2:$C2766,$D1347='Yahoo ADP'!$D$2:$D2766))"),"")</f>
        <v/>
      </c>
      <c r="F1347" s="13" t="str">
        <f>IFERROR(__xludf.DUMMYFUNCTION("ifna(filter('Yahoo ADP'!$E$2:$E2766,'Yahoo ADP'!$B$2:$B2766=$B1347,$C1347='Yahoo ADP'!$C$2:$C2766,$D1347='Yahoo ADP'!$D$2:$D2766))"),"-")</f>
        <v>-</v>
      </c>
      <c r="G1347" s="27">
        <v>1334.0</v>
      </c>
      <c r="H1347" s="8">
        <f t="shared" si="1"/>
        <v>-12</v>
      </c>
    </row>
    <row r="1348">
      <c r="A1348" s="10">
        <v>1347.0</v>
      </c>
      <c r="B1348" s="11" t="s">
        <v>4193</v>
      </c>
      <c r="C1348" s="10" t="s">
        <v>79</v>
      </c>
      <c r="D1348" s="10" t="s">
        <v>15</v>
      </c>
      <c r="E1348" s="13" t="str">
        <f>IFERROR(__xludf.DUMMYFUNCTION("ifna(filter('Yahoo ADP'!$A$2:$A2766,'Yahoo ADP'!$B$2:$B2766=$B1348,$C1348='Yahoo ADP'!$C$2:$C2766,$D1348='Yahoo ADP'!$D$2:$D2766))"),"")</f>
        <v/>
      </c>
      <c r="F1348" s="13" t="str">
        <f>IFERROR(__xludf.DUMMYFUNCTION("ifna(filter('Yahoo ADP'!$E$2:$E2766,'Yahoo ADP'!$B$2:$B2766=$B1348,$C1348='Yahoo ADP'!$C$2:$C2766,$D1348='Yahoo ADP'!$D$2:$D2766))"),"-")</f>
        <v>-</v>
      </c>
      <c r="G1348" s="27">
        <v>1335.0</v>
      </c>
      <c r="H1348" s="8">
        <f t="shared" si="1"/>
        <v>-12</v>
      </c>
    </row>
    <row r="1349">
      <c r="A1349" s="10">
        <v>1348.0</v>
      </c>
      <c r="B1349" s="11" t="s">
        <v>4194</v>
      </c>
      <c r="C1349" s="10" t="s">
        <v>79</v>
      </c>
      <c r="D1349" s="10" t="s">
        <v>49</v>
      </c>
      <c r="E1349" s="13" t="str">
        <f>IFERROR(__xludf.DUMMYFUNCTION("ifna(filter('Yahoo ADP'!$A$2:$A2766,'Yahoo ADP'!$B$2:$B2766=$B1349,$C1349='Yahoo ADP'!$C$2:$C2766,$D1349='Yahoo ADP'!$D$2:$D2766))"),"")</f>
        <v/>
      </c>
      <c r="F1349" s="13" t="str">
        <f>IFERROR(__xludf.DUMMYFUNCTION("ifna(filter('Yahoo ADP'!$E$2:$E2766,'Yahoo ADP'!$B$2:$B2766=$B1349,$C1349='Yahoo ADP'!$C$2:$C2766,$D1349='Yahoo ADP'!$D$2:$D2766))"),"-")</f>
        <v>-</v>
      </c>
      <c r="G1349" s="27">
        <v>1336.0</v>
      </c>
      <c r="H1349" s="8">
        <f t="shared" si="1"/>
        <v>-12</v>
      </c>
    </row>
    <row r="1350">
      <c r="A1350" s="10">
        <v>1349.0</v>
      </c>
      <c r="B1350" s="11" t="s">
        <v>4195</v>
      </c>
      <c r="C1350" s="10" t="s">
        <v>79</v>
      </c>
      <c r="D1350" s="10" t="s">
        <v>25</v>
      </c>
      <c r="E1350" s="13" t="str">
        <f>IFERROR(__xludf.DUMMYFUNCTION("ifna(filter('Yahoo ADP'!$A$2:$A2766,'Yahoo ADP'!$B$2:$B2766=$B1350,$C1350='Yahoo ADP'!$C$2:$C2766,$D1350='Yahoo ADP'!$D$2:$D2766))"),"")</f>
        <v/>
      </c>
      <c r="F1350" s="13" t="str">
        <f>IFERROR(__xludf.DUMMYFUNCTION("ifna(filter('Yahoo ADP'!$E$2:$E2766,'Yahoo ADP'!$B$2:$B2766=$B1350,$C1350='Yahoo ADP'!$C$2:$C2766,$D1350='Yahoo ADP'!$D$2:$D2766))"),"-")</f>
        <v>-</v>
      </c>
      <c r="G1350" s="27">
        <v>1337.0</v>
      </c>
      <c r="H1350" s="8">
        <f t="shared" si="1"/>
        <v>-12</v>
      </c>
    </row>
    <row r="1351">
      <c r="A1351" s="10">
        <v>1350.0</v>
      </c>
      <c r="B1351" s="11" t="s">
        <v>4196</v>
      </c>
      <c r="C1351" s="10" t="s">
        <v>220</v>
      </c>
      <c r="D1351" s="10" t="s">
        <v>90</v>
      </c>
      <c r="E1351" s="13" t="str">
        <f>IFERROR(__xludf.DUMMYFUNCTION("ifna(filter('Yahoo ADP'!$A$2:$A2766,'Yahoo ADP'!$B$2:$B2766=$B1351,$C1351='Yahoo ADP'!$C$2:$C2766,$D1351='Yahoo ADP'!$D$2:$D2766))"),"")</f>
        <v/>
      </c>
      <c r="F1351" s="13" t="str">
        <f>IFERROR(__xludf.DUMMYFUNCTION("ifna(filter('Yahoo ADP'!$E$2:$E2766,'Yahoo ADP'!$B$2:$B2766=$B1351,$C1351='Yahoo ADP'!$C$2:$C2766,$D1351='Yahoo ADP'!$D$2:$D2766))"),"-")</f>
        <v>-</v>
      </c>
      <c r="G1351" s="27">
        <v>1338.0</v>
      </c>
      <c r="H1351" s="8">
        <f t="shared" si="1"/>
        <v>-12</v>
      </c>
    </row>
    <row r="1352">
      <c r="A1352" s="10">
        <v>1351.0</v>
      </c>
      <c r="B1352" s="11" t="s">
        <v>4197</v>
      </c>
      <c r="C1352" s="10" t="s">
        <v>22</v>
      </c>
      <c r="D1352" s="10" t="s">
        <v>31</v>
      </c>
      <c r="E1352" s="13" t="str">
        <f>IFERROR(__xludf.DUMMYFUNCTION("ifna(filter('Yahoo ADP'!$A$2:$A2766,'Yahoo ADP'!$B$2:$B2766=$B1352,$C1352='Yahoo ADP'!$C$2:$C2766,$D1352='Yahoo ADP'!$D$2:$D2766))"),"")</f>
        <v/>
      </c>
      <c r="F1352" s="13" t="str">
        <f>IFERROR(__xludf.DUMMYFUNCTION("ifna(filter('Yahoo ADP'!$E$2:$E2766,'Yahoo ADP'!$B$2:$B2766=$B1352,$C1352='Yahoo ADP'!$C$2:$C2766,$D1352='Yahoo ADP'!$D$2:$D2766))"),"-")</f>
        <v>-</v>
      </c>
      <c r="G1352" s="27">
        <v>1339.0</v>
      </c>
      <c r="H1352" s="8">
        <f t="shared" si="1"/>
        <v>-12</v>
      </c>
    </row>
    <row r="1353">
      <c r="A1353" s="10">
        <v>1352.0</v>
      </c>
      <c r="B1353" s="11" t="s">
        <v>4198</v>
      </c>
      <c r="C1353" s="10" t="s">
        <v>79</v>
      </c>
      <c r="D1353" s="10" t="s">
        <v>15</v>
      </c>
      <c r="E1353" s="13" t="str">
        <f>IFERROR(__xludf.DUMMYFUNCTION("ifna(filter('Yahoo ADP'!$A$2:$A2766,'Yahoo ADP'!$B$2:$B2766=$B1353,$C1353='Yahoo ADP'!$C$2:$C2766,$D1353='Yahoo ADP'!$D$2:$D2766))"),"")</f>
        <v/>
      </c>
      <c r="F1353" s="13" t="str">
        <f>IFERROR(__xludf.DUMMYFUNCTION("ifna(filter('Yahoo ADP'!$E$2:$E2766,'Yahoo ADP'!$B$2:$B2766=$B1353,$C1353='Yahoo ADP'!$C$2:$C2766,$D1353='Yahoo ADP'!$D$2:$D2766))"),"-")</f>
        <v>-</v>
      </c>
      <c r="G1353" s="27">
        <v>1340.0</v>
      </c>
      <c r="H1353" s="8">
        <f t="shared" si="1"/>
        <v>-12</v>
      </c>
    </row>
    <row r="1354">
      <c r="A1354" s="10">
        <v>1353.0</v>
      </c>
      <c r="B1354" s="11" t="s">
        <v>4199</v>
      </c>
      <c r="C1354" s="10" t="s">
        <v>79</v>
      </c>
      <c r="D1354" s="10" t="s">
        <v>42</v>
      </c>
      <c r="E1354" s="13" t="str">
        <f>IFERROR(__xludf.DUMMYFUNCTION("ifna(filter('Yahoo ADP'!$A$2:$A2766,'Yahoo ADP'!$B$2:$B2766=$B1354,$C1354='Yahoo ADP'!$C$2:$C2766,$D1354='Yahoo ADP'!$D$2:$D2766))"),"")</f>
        <v/>
      </c>
      <c r="F1354" s="13" t="str">
        <f>IFERROR(__xludf.DUMMYFUNCTION("ifna(filter('Yahoo ADP'!$E$2:$E2766,'Yahoo ADP'!$B$2:$B2766=$B1354,$C1354='Yahoo ADP'!$C$2:$C2766,$D1354='Yahoo ADP'!$D$2:$D2766))"),"-")</f>
        <v>-</v>
      </c>
      <c r="G1354" s="27">
        <v>1341.0</v>
      </c>
      <c r="H1354" s="8">
        <f t="shared" si="1"/>
        <v>-12</v>
      </c>
    </row>
    <row r="1355">
      <c r="A1355" s="10">
        <v>1354.0</v>
      </c>
      <c r="B1355" s="11" t="s">
        <v>4200</v>
      </c>
      <c r="C1355" s="10" t="s">
        <v>79</v>
      </c>
      <c r="D1355" s="10" t="s">
        <v>82</v>
      </c>
      <c r="E1355" s="13" t="str">
        <f>IFERROR(__xludf.DUMMYFUNCTION("ifna(filter('Yahoo ADP'!$A$2:$A2766,'Yahoo ADP'!$B$2:$B2766=$B1355,$C1355='Yahoo ADP'!$C$2:$C2766,$D1355='Yahoo ADP'!$D$2:$D2766))"),"")</f>
        <v/>
      </c>
      <c r="F1355" s="13" t="str">
        <f>IFERROR(__xludf.DUMMYFUNCTION("ifna(filter('Yahoo ADP'!$E$2:$E2766,'Yahoo ADP'!$B$2:$B2766=$B1355,$C1355='Yahoo ADP'!$C$2:$C2766,$D1355='Yahoo ADP'!$D$2:$D2766))"),"-")</f>
        <v>-</v>
      </c>
      <c r="G1355" s="27">
        <v>1342.0</v>
      </c>
      <c r="H1355" s="8">
        <f t="shared" si="1"/>
        <v>-12</v>
      </c>
    </row>
    <row r="1356">
      <c r="A1356" s="10">
        <v>1355.0</v>
      </c>
      <c r="B1356" s="11" t="s">
        <v>4201</v>
      </c>
      <c r="C1356" s="10" t="s">
        <v>79</v>
      </c>
      <c r="D1356" s="10" t="s">
        <v>25</v>
      </c>
      <c r="E1356" s="13" t="str">
        <f>IFERROR(__xludf.DUMMYFUNCTION("ifna(filter('Yahoo ADP'!$A$2:$A2766,'Yahoo ADP'!$B$2:$B2766=$B1356,$C1356='Yahoo ADP'!$C$2:$C2766,$D1356='Yahoo ADP'!$D$2:$D2766))"),"")</f>
        <v/>
      </c>
      <c r="F1356" s="13" t="str">
        <f>IFERROR(__xludf.DUMMYFUNCTION("ifna(filter('Yahoo ADP'!$E$2:$E2766,'Yahoo ADP'!$B$2:$B2766=$B1356,$C1356='Yahoo ADP'!$C$2:$C2766,$D1356='Yahoo ADP'!$D$2:$D2766))"),"-")</f>
        <v>-</v>
      </c>
      <c r="G1356" s="27">
        <v>1343.0</v>
      </c>
      <c r="H1356" s="8">
        <f t="shared" si="1"/>
        <v>-12</v>
      </c>
    </row>
    <row r="1357">
      <c r="A1357" s="10">
        <v>1356.0</v>
      </c>
      <c r="B1357" s="11" t="s">
        <v>4202</v>
      </c>
      <c r="C1357" s="10" t="s">
        <v>79</v>
      </c>
      <c r="D1357" s="10" t="s">
        <v>49</v>
      </c>
      <c r="E1357" s="13" t="str">
        <f>IFERROR(__xludf.DUMMYFUNCTION("ifna(filter('Yahoo ADP'!$A$2:$A2766,'Yahoo ADP'!$B$2:$B2766=$B1357,$C1357='Yahoo ADP'!$C$2:$C2766,$D1357='Yahoo ADP'!$D$2:$D2766))"),"")</f>
        <v/>
      </c>
      <c r="F1357" s="13" t="str">
        <f>IFERROR(__xludf.DUMMYFUNCTION("ifna(filter('Yahoo ADP'!$E$2:$E2766,'Yahoo ADP'!$B$2:$B2766=$B1357,$C1357='Yahoo ADP'!$C$2:$C2766,$D1357='Yahoo ADP'!$D$2:$D2766))"),"-")</f>
        <v>-</v>
      </c>
      <c r="G1357" s="27">
        <v>1344.0</v>
      </c>
      <c r="H1357" s="8">
        <f t="shared" si="1"/>
        <v>-12</v>
      </c>
    </row>
    <row r="1358">
      <c r="A1358" s="10">
        <v>1357.0</v>
      </c>
      <c r="B1358" s="11" t="s">
        <v>4203</v>
      </c>
      <c r="C1358" s="10" t="s">
        <v>79</v>
      </c>
      <c r="D1358" s="10" t="s">
        <v>36</v>
      </c>
      <c r="E1358" s="13" t="str">
        <f>IFERROR(__xludf.DUMMYFUNCTION("ifna(filter('Yahoo ADP'!$A$2:$A2766,'Yahoo ADP'!$B$2:$B2766=$B1358,$C1358='Yahoo ADP'!$C$2:$C2766,$D1358='Yahoo ADP'!$D$2:$D2766))"),"")</f>
        <v/>
      </c>
      <c r="F1358" s="13" t="str">
        <f>IFERROR(__xludf.DUMMYFUNCTION("ifna(filter('Yahoo ADP'!$E$2:$E2766,'Yahoo ADP'!$B$2:$B2766=$B1358,$C1358='Yahoo ADP'!$C$2:$C2766,$D1358='Yahoo ADP'!$D$2:$D2766))"),"-")</f>
        <v>-</v>
      </c>
      <c r="G1358" s="27">
        <v>1345.0</v>
      </c>
      <c r="H1358" s="8">
        <f t="shared" si="1"/>
        <v>-12</v>
      </c>
    </row>
    <row r="1359">
      <c r="A1359" s="10">
        <v>1358.0</v>
      </c>
      <c r="B1359" s="11" t="s">
        <v>4204</v>
      </c>
      <c r="C1359" s="10" t="s">
        <v>22</v>
      </c>
      <c r="D1359" s="10" t="s">
        <v>42</v>
      </c>
      <c r="E1359" s="13" t="str">
        <f>IFERROR(__xludf.DUMMYFUNCTION("ifna(filter('Yahoo ADP'!$A$2:$A2766,'Yahoo ADP'!$B$2:$B2766=$B1359,$C1359='Yahoo ADP'!$C$2:$C2766,$D1359='Yahoo ADP'!$D$2:$D2766))"),"")</f>
        <v/>
      </c>
      <c r="F1359" s="13" t="str">
        <f>IFERROR(__xludf.DUMMYFUNCTION("ifna(filter('Yahoo ADP'!$E$2:$E2766,'Yahoo ADP'!$B$2:$B2766=$B1359,$C1359='Yahoo ADP'!$C$2:$C2766,$D1359='Yahoo ADP'!$D$2:$D2766))"),"-")</f>
        <v>-</v>
      </c>
      <c r="G1359" s="27">
        <v>1346.0</v>
      </c>
      <c r="H1359" s="8">
        <f t="shared" si="1"/>
        <v>-12</v>
      </c>
    </row>
    <row r="1360">
      <c r="A1360" s="10">
        <v>1359.0</v>
      </c>
      <c r="B1360" s="11" t="s">
        <v>4205</v>
      </c>
      <c r="C1360" s="10" t="s">
        <v>79</v>
      </c>
      <c r="D1360" s="10" t="s">
        <v>34</v>
      </c>
      <c r="E1360" s="13" t="str">
        <f>IFERROR(__xludf.DUMMYFUNCTION("ifna(filter('Yahoo ADP'!$A$2:$A2766,'Yahoo ADP'!$B$2:$B2766=$B1360,$C1360='Yahoo ADP'!$C$2:$C2766,$D1360='Yahoo ADP'!$D$2:$D2766))"),"")</f>
        <v/>
      </c>
      <c r="F1360" s="13" t="str">
        <f>IFERROR(__xludf.DUMMYFUNCTION("ifna(filter('Yahoo ADP'!$E$2:$E2766,'Yahoo ADP'!$B$2:$B2766=$B1360,$C1360='Yahoo ADP'!$C$2:$C2766,$D1360='Yahoo ADP'!$D$2:$D2766))"),"-")</f>
        <v>-</v>
      </c>
      <c r="G1360" s="27">
        <v>1347.0</v>
      </c>
      <c r="H1360" s="8">
        <f t="shared" si="1"/>
        <v>-12</v>
      </c>
    </row>
    <row r="1361">
      <c r="A1361" s="10">
        <v>1360.0</v>
      </c>
      <c r="B1361" s="11" t="s">
        <v>4206</v>
      </c>
      <c r="C1361" s="10" t="s">
        <v>22</v>
      </c>
      <c r="D1361" s="10" t="s">
        <v>71</v>
      </c>
      <c r="E1361" s="13" t="str">
        <f>IFERROR(__xludf.DUMMYFUNCTION("ifna(filter('Yahoo ADP'!$A$2:$A2766,'Yahoo ADP'!$B$2:$B2766=$B1361,$C1361='Yahoo ADP'!$C$2:$C2766,$D1361='Yahoo ADP'!$D$2:$D2766))"),"")</f>
        <v/>
      </c>
      <c r="F1361" s="13" t="str">
        <f>IFERROR(__xludf.DUMMYFUNCTION("ifna(filter('Yahoo ADP'!$E$2:$E2766,'Yahoo ADP'!$B$2:$B2766=$B1361,$C1361='Yahoo ADP'!$C$2:$C2766,$D1361='Yahoo ADP'!$D$2:$D2766))"),"-")</f>
        <v>-</v>
      </c>
      <c r="G1361" s="27">
        <v>1348.0</v>
      </c>
      <c r="H1361" s="8">
        <f t="shared" si="1"/>
        <v>-12</v>
      </c>
    </row>
    <row r="1362">
      <c r="A1362" s="10">
        <v>1361.0</v>
      </c>
      <c r="B1362" s="11" t="s">
        <v>4207</v>
      </c>
      <c r="C1362" s="10" t="s">
        <v>22</v>
      </c>
      <c r="D1362" s="10" t="s">
        <v>129</v>
      </c>
      <c r="E1362" s="13" t="str">
        <f>IFERROR(__xludf.DUMMYFUNCTION("ifna(filter('Yahoo ADP'!$A$2:$A2766,'Yahoo ADP'!$B$2:$B2766=$B1362,$C1362='Yahoo ADP'!$C$2:$C2766,$D1362='Yahoo ADP'!$D$2:$D2766))"),"")</f>
        <v/>
      </c>
      <c r="F1362" s="13" t="str">
        <f>IFERROR(__xludf.DUMMYFUNCTION("ifna(filter('Yahoo ADP'!$E$2:$E2766,'Yahoo ADP'!$B$2:$B2766=$B1362,$C1362='Yahoo ADP'!$C$2:$C2766,$D1362='Yahoo ADP'!$D$2:$D2766))"),"-")</f>
        <v>-</v>
      </c>
      <c r="G1362" s="27">
        <v>1349.0</v>
      </c>
      <c r="H1362" s="8">
        <f t="shared" si="1"/>
        <v>-12</v>
      </c>
    </row>
    <row r="1363">
      <c r="A1363" s="10">
        <v>1362.0</v>
      </c>
      <c r="B1363" s="11" t="s">
        <v>4208</v>
      </c>
      <c r="C1363" s="10" t="s">
        <v>79</v>
      </c>
      <c r="D1363" s="10" t="s">
        <v>25</v>
      </c>
      <c r="E1363" s="13" t="str">
        <f>IFERROR(__xludf.DUMMYFUNCTION("ifna(filter('Yahoo ADP'!$A$2:$A2766,'Yahoo ADP'!$B$2:$B2766=$B1363,$C1363='Yahoo ADP'!$C$2:$C2766,$D1363='Yahoo ADP'!$D$2:$D2766))"),"")</f>
        <v/>
      </c>
      <c r="F1363" s="13" t="str">
        <f>IFERROR(__xludf.DUMMYFUNCTION("ifna(filter('Yahoo ADP'!$E$2:$E2766,'Yahoo ADP'!$B$2:$B2766=$B1363,$C1363='Yahoo ADP'!$C$2:$C2766,$D1363='Yahoo ADP'!$D$2:$D2766))"),"-")</f>
        <v>-</v>
      </c>
      <c r="G1363" s="27">
        <v>1350.0</v>
      </c>
      <c r="H1363" s="8">
        <f t="shared" si="1"/>
        <v>-12</v>
      </c>
    </row>
    <row r="1364">
      <c r="A1364" s="10">
        <v>1363.0</v>
      </c>
      <c r="B1364" s="11" t="s">
        <v>4209</v>
      </c>
      <c r="C1364" s="10" t="s">
        <v>79</v>
      </c>
      <c r="D1364" s="10" t="s">
        <v>25</v>
      </c>
      <c r="E1364" s="13" t="str">
        <f>IFERROR(__xludf.DUMMYFUNCTION("ifna(filter('Yahoo ADP'!$A$2:$A2766,'Yahoo ADP'!$B$2:$B2766=$B1364,$C1364='Yahoo ADP'!$C$2:$C2766,$D1364='Yahoo ADP'!$D$2:$D2766))"),"")</f>
        <v/>
      </c>
      <c r="F1364" s="13" t="str">
        <f>IFERROR(__xludf.DUMMYFUNCTION("ifna(filter('Yahoo ADP'!$E$2:$E2766,'Yahoo ADP'!$B$2:$B2766=$B1364,$C1364='Yahoo ADP'!$C$2:$C2766,$D1364='Yahoo ADP'!$D$2:$D2766))"),"-")</f>
        <v>-</v>
      </c>
      <c r="G1364" s="27">
        <v>1351.0</v>
      </c>
      <c r="H1364" s="8">
        <f t="shared" si="1"/>
        <v>-12</v>
      </c>
    </row>
    <row r="1365">
      <c r="A1365" s="10">
        <v>1364.0</v>
      </c>
      <c r="B1365" s="11" t="s">
        <v>4210</v>
      </c>
      <c r="C1365" s="10" t="s">
        <v>79</v>
      </c>
      <c r="D1365" s="10" t="s">
        <v>90</v>
      </c>
      <c r="E1365" s="13" t="str">
        <f>IFERROR(__xludf.DUMMYFUNCTION("ifna(filter('Yahoo ADP'!$A$2:$A2766,'Yahoo ADP'!$B$2:$B2766=$B1365,$C1365='Yahoo ADP'!$C$2:$C2766,$D1365='Yahoo ADP'!$D$2:$D2766))"),"")</f>
        <v/>
      </c>
      <c r="F1365" s="13" t="str">
        <f>IFERROR(__xludf.DUMMYFUNCTION("ifna(filter('Yahoo ADP'!$E$2:$E2766,'Yahoo ADP'!$B$2:$B2766=$B1365,$C1365='Yahoo ADP'!$C$2:$C2766,$D1365='Yahoo ADP'!$D$2:$D2766))"),"-")</f>
        <v>-</v>
      </c>
      <c r="G1365" s="27">
        <v>1352.0</v>
      </c>
      <c r="H1365" s="8">
        <f t="shared" si="1"/>
        <v>-12</v>
      </c>
    </row>
    <row r="1366">
      <c r="A1366" s="10">
        <v>1365.0</v>
      </c>
      <c r="B1366" s="11" t="s">
        <v>4211</v>
      </c>
      <c r="C1366" s="10" t="s">
        <v>22</v>
      </c>
      <c r="D1366" s="10" t="s">
        <v>9</v>
      </c>
      <c r="E1366" s="13" t="str">
        <f>IFERROR(__xludf.DUMMYFUNCTION("ifna(filter('Yahoo ADP'!$A$2:$A2766,'Yahoo ADP'!$B$2:$B2766=$B1366,$C1366='Yahoo ADP'!$C$2:$C2766,$D1366='Yahoo ADP'!$D$2:$D2766))"),"")</f>
        <v/>
      </c>
      <c r="F1366" s="13" t="str">
        <f>IFERROR(__xludf.DUMMYFUNCTION("ifna(filter('Yahoo ADP'!$E$2:$E2766,'Yahoo ADP'!$B$2:$B2766=$B1366,$C1366='Yahoo ADP'!$C$2:$C2766,$D1366='Yahoo ADP'!$D$2:$D2766))"),"-")</f>
        <v>-</v>
      </c>
      <c r="G1366" s="27">
        <v>1353.0</v>
      </c>
      <c r="H1366" s="8">
        <f t="shared" si="1"/>
        <v>-12</v>
      </c>
    </row>
    <row r="1367">
      <c r="A1367" s="10">
        <v>1366.0</v>
      </c>
      <c r="B1367" s="11" t="s">
        <v>4212</v>
      </c>
      <c r="C1367" s="10" t="s">
        <v>79</v>
      </c>
      <c r="D1367" s="10" t="s">
        <v>34</v>
      </c>
      <c r="E1367" s="13" t="str">
        <f>IFERROR(__xludf.DUMMYFUNCTION("ifna(filter('Yahoo ADP'!$A$2:$A2766,'Yahoo ADP'!$B$2:$B2766=$B1367,$C1367='Yahoo ADP'!$C$2:$C2766,$D1367='Yahoo ADP'!$D$2:$D2766))"),"")</f>
        <v/>
      </c>
      <c r="F1367" s="13" t="str">
        <f>IFERROR(__xludf.DUMMYFUNCTION("ifna(filter('Yahoo ADP'!$E$2:$E2766,'Yahoo ADP'!$B$2:$B2766=$B1367,$C1367='Yahoo ADP'!$C$2:$C2766,$D1367='Yahoo ADP'!$D$2:$D2766))"),"-")</f>
        <v>-</v>
      </c>
      <c r="G1367" s="27">
        <v>1354.0</v>
      </c>
      <c r="H1367" s="8">
        <f t="shared" si="1"/>
        <v>-12</v>
      </c>
    </row>
    <row r="1368">
      <c r="A1368" s="10">
        <v>1367.0</v>
      </c>
      <c r="B1368" s="11" t="s">
        <v>4213</v>
      </c>
      <c r="C1368" s="10" t="s">
        <v>79</v>
      </c>
      <c r="D1368" s="10" t="s">
        <v>137</v>
      </c>
      <c r="E1368" s="13" t="str">
        <f>IFERROR(__xludf.DUMMYFUNCTION("ifna(filter('Yahoo ADP'!$A$2:$A2766,'Yahoo ADP'!$B$2:$B2766=$B1368,$C1368='Yahoo ADP'!$C$2:$C2766,$D1368='Yahoo ADP'!$D$2:$D2766))"),"")</f>
        <v/>
      </c>
      <c r="F1368" s="13" t="str">
        <f>IFERROR(__xludf.DUMMYFUNCTION("ifna(filter('Yahoo ADP'!$E$2:$E2766,'Yahoo ADP'!$B$2:$B2766=$B1368,$C1368='Yahoo ADP'!$C$2:$C2766,$D1368='Yahoo ADP'!$D$2:$D2766))"),"-")</f>
        <v>-</v>
      </c>
      <c r="G1368" s="27">
        <v>1355.0</v>
      </c>
      <c r="H1368" s="8">
        <f t="shared" si="1"/>
        <v>-12</v>
      </c>
    </row>
    <row r="1369">
      <c r="A1369" s="10">
        <v>1368.0</v>
      </c>
      <c r="B1369" s="11" t="s">
        <v>4214</v>
      </c>
      <c r="C1369" s="10" t="s">
        <v>79</v>
      </c>
      <c r="D1369" s="10" t="s">
        <v>99</v>
      </c>
      <c r="E1369" s="13" t="str">
        <f>IFERROR(__xludf.DUMMYFUNCTION("ifna(filter('Yahoo ADP'!$A$2:$A2766,'Yahoo ADP'!$B$2:$B2766=$B1369,$C1369='Yahoo ADP'!$C$2:$C2766,$D1369='Yahoo ADP'!$D$2:$D2766))"),"")</f>
        <v/>
      </c>
      <c r="F1369" s="13" t="str">
        <f>IFERROR(__xludf.DUMMYFUNCTION("ifna(filter('Yahoo ADP'!$E$2:$E2766,'Yahoo ADP'!$B$2:$B2766=$B1369,$C1369='Yahoo ADP'!$C$2:$C2766,$D1369='Yahoo ADP'!$D$2:$D2766))"),"-")</f>
        <v>-</v>
      </c>
      <c r="G1369" s="27">
        <v>1356.0</v>
      </c>
      <c r="H1369" s="8">
        <f t="shared" si="1"/>
        <v>-12</v>
      </c>
    </row>
    <row r="1370">
      <c r="A1370" s="10">
        <v>1369.0</v>
      </c>
      <c r="B1370" s="11" t="s">
        <v>4215</v>
      </c>
      <c r="C1370" s="10" t="s">
        <v>79</v>
      </c>
      <c r="D1370" s="10" t="s">
        <v>71</v>
      </c>
      <c r="E1370" s="13" t="str">
        <f>IFERROR(__xludf.DUMMYFUNCTION("ifna(filter('Yahoo ADP'!$A$2:$A2766,'Yahoo ADP'!$B$2:$B2766=$B1370,$C1370='Yahoo ADP'!$C$2:$C2766,$D1370='Yahoo ADP'!$D$2:$D2766))"),"")</f>
        <v/>
      </c>
      <c r="F1370" s="13" t="str">
        <f>IFERROR(__xludf.DUMMYFUNCTION("ifna(filter('Yahoo ADP'!$E$2:$E2766,'Yahoo ADP'!$B$2:$B2766=$B1370,$C1370='Yahoo ADP'!$C$2:$C2766,$D1370='Yahoo ADP'!$D$2:$D2766))"),"-")</f>
        <v>-</v>
      </c>
      <c r="G1370" s="27">
        <v>1357.0</v>
      </c>
      <c r="H1370" s="8">
        <f t="shared" si="1"/>
        <v>-12</v>
      </c>
    </row>
    <row r="1371">
      <c r="A1371" s="10">
        <v>1370.0</v>
      </c>
      <c r="B1371" s="11" t="s">
        <v>4216</v>
      </c>
      <c r="C1371" s="10" t="s">
        <v>79</v>
      </c>
      <c r="D1371" s="10" t="s">
        <v>113</v>
      </c>
      <c r="E1371" s="13" t="str">
        <f>IFERROR(__xludf.DUMMYFUNCTION("ifna(filter('Yahoo ADP'!$A$2:$A2766,'Yahoo ADP'!$B$2:$B2766=$B1371,$C1371='Yahoo ADP'!$C$2:$C2766,$D1371='Yahoo ADP'!$D$2:$D2766))"),"")</f>
        <v/>
      </c>
      <c r="F1371" s="13" t="str">
        <f>IFERROR(__xludf.DUMMYFUNCTION("ifna(filter('Yahoo ADP'!$E$2:$E2766,'Yahoo ADP'!$B$2:$B2766=$B1371,$C1371='Yahoo ADP'!$C$2:$C2766,$D1371='Yahoo ADP'!$D$2:$D2766))"),"-")</f>
        <v>-</v>
      </c>
      <c r="G1371" s="27">
        <v>1358.0</v>
      </c>
      <c r="H1371" s="8">
        <f t="shared" si="1"/>
        <v>-12</v>
      </c>
    </row>
    <row r="1372">
      <c r="A1372" s="10">
        <v>1371.0</v>
      </c>
      <c r="B1372" s="11" t="s">
        <v>4217</v>
      </c>
      <c r="C1372" s="10" t="s">
        <v>79</v>
      </c>
      <c r="D1372" s="10" t="s">
        <v>31</v>
      </c>
      <c r="E1372" s="13" t="str">
        <f>IFERROR(__xludf.DUMMYFUNCTION("ifna(filter('Yahoo ADP'!$A$2:$A2766,'Yahoo ADP'!$B$2:$B2766=$B1372,$C1372='Yahoo ADP'!$C$2:$C2766,$D1372='Yahoo ADP'!$D$2:$D2766))"),"")</f>
        <v/>
      </c>
      <c r="F1372" s="13" t="str">
        <f>IFERROR(__xludf.DUMMYFUNCTION("ifna(filter('Yahoo ADP'!$E$2:$E2766,'Yahoo ADP'!$B$2:$B2766=$B1372,$C1372='Yahoo ADP'!$C$2:$C2766,$D1372='Yahoo ADP'!$D$2:$D2766))"),"-")</f>
        <v>-</v>
      </c>
      <c r="G1372" s="27">
        <v>1359.0</v>
      </c>
      <c r="H1372" s="8">
        <f t="shared" si="1"/>
        <v>-12</v>
      </c>
    </row>
    <row r="1373">
      <c r="A1373" s="10">
        <v>1372.0</v>
      </c>
      <c r="B1373" s="11" t="s">
        <v>4218</v>
      </c>
      <c r="C1373" s="10" t="s">
        <v>79</v>
      </c>
      <c r="D1373" s="10" t="s">
        <v>12</v>
      </c>
      <c r="E1373" s="13" t="str">
        <f>IFERROR(__xludf.DUMMYFUNCTION("ifna(filter('Yahoo ADP'!$A$2:$A2766,'Yahoo ADP'!$B$2:$B2766=$B1373,$C1373='Yahoo ADP'!$C$2:$C2766,$D1373='Yahoo ADP'!$D$2:$D2766))"),"")</f>
        <v/>
      </c>
      <c r="F1373" s="13" t="str">
        <f>IFERROR(__xludf.DUMMYFUNCTION("ifna(filter('Yahoo ADP'!$E$2:$E2766,'Yahoo ADP'!$B$2:$B2766=$B1373,$C1373='Yahoo ADP'!$C$2:$C2766,$D1373='Yahoo ADP'!$D$2:$D2766))"),"-")</f>
        <v>-</v>
      </c>
      <c r="G1373" s="27">
        <v>1360.0</v>
      </c>
      <c r="H1373" s="8">
        <f t="shared" si="1"/>
        <v>-12</v>
      </c>
    </row>
    <row r="1374">
      <c r="A1374" s="10">
        <v>1373.0</v>
      </c>
      <c r="B1374" s="11" t="s">
        <v>4219</v>
      </c>
      <c r="C1374" s="10" t="s">
        <v>79</v>
      </c>
      <c r="D1374" s="10" t="s">
        <v>95</v>
      </c>
      <c r="E1374" s="13" t="str">
        <f>IFERROR(__xludf.DUMMYFUNCTION("ifna(filter('Yahoo ADP'!$A$2:$A2766,'Yahoo ADP'!$B$2:$B2766=$B1374,$C1374='Yahoo ADP'!$C$2:$C2766,$D1374='Yahoo ADP'!$D$2:$D2766))"),"")</f>
        <v/>
      </c>
      <c r="F1374" s="13" t="str">
        <f>IFERROR(__xludf.DUMMYFUNCTION("ifna(filter('Yahoo ADP'!$E$2:$E2766,'Yahoo ADP'!$B$2:$B2766=$B1374,$C1374='Yahoo ADP'!$C$2:$C2766,$D1374='Yahoo ADP'!$D$2:$D2766))"),"-")</f>
        <v>-</v>
      </c>
      <c r="G1374" s="27">
        <v>1361.0</v>
      </c>
      <c r="H1374" s="8">
        <f t="shared" si="1"/>
        <v>-12</v>
      </c>
    </row>
    <row r="1375">
      <c r="A1375" s="10">
        <v>1374.0</v>
      </c>
      <c r="B1375" s="11" t="s">
        <v>4220</v>
      </c>
      <c r="C1375" s="10" t="s">
        <v>79</v>
      </c>
      <c r="D1375" s="10" t="s">
        <v>46</v>
      </c>
      <c r="E1375" s="13" t="str">
        <f>IFERROR(__xludf.DUMMYFUNCTION("ifna(filter('Yahoo ADP'!$A$2:$A2766,'Yahoo ADP'!$B$2:$B2766=$B1375,$C1375='Yahoo ADP'!$C$2:$C2766,$D1375='Yahoo ADP'!$D$2:$D2766))"),"")</f>
        <v/>
      </c>
      <c r="F1375" s="13" t="str">
        <f>IFERROR(__xludf.DUMMYFUNCTION("ifna(filter('Yahoo ADP'!$E$2:$E2766,'Yahoo ADP'!$B$2:$B2766=$B1375,$C1375='Yahoo ADP'!$C$2:$C2766,$D1375='Yahoo ADP'!$D$2:$D2766))"),"-")</f>
        <v>-</v>
      </c>
      <c r="G1375" s="27">
        <v>1362.0</v>
      </c>
      <c r="H1375" s="8">
        <f t="shared" si="1"/>
        <v>-12</v>
      </c>
    </row>
    <row r="1376">
      <c r="A1376" s="10">
        <v>1375.0</v>
      </c>
      <c r="B1376" s="11" t="s">
        <v>4221</v>
      </c>
      <c r="C1376" s="10" t="s">
        <v>585</v>
      </c>
      <c r="D1376" s="10" t="s">
        <v>120</v>
      </c>
      <c r="E1376" s="13" t="str">
        <f>IFERROR(__xludf.DUMMYFUNCTION("ifna(filter('Yahoo ADP'!$A$2:$A2766,'Yahoo ADP'!$B$2:$B2766=$B1376,$C1376='Yahoo ADP'!$C$2:$C2766,$D1376='Yahoo ADP'!$D$2:$D2766))"),"")</f>
        <v/>
      </c>
      <c r="F1376" s="13" t="str">
        <f>IFERROR(__xludf.DUMMYFUNCTION("ifna(filter('Yahoo ADP'!$E$2:$E2766,'Yahoo ADP'!$B$2:$B2766=$B1376,$C1376='Yahoo ADP'!$C$2:$C2766,$D1376='Yahoo ADP'!$D$2:$D2766))"),"-")</f>
        <v>-</v>
      </c>
      <c r="G1376" s="27">
        <v>1363.0</v>
      </c>
      <c r="H1376" s="8">
        <f t="shared" si="1"/>
        <v>-12</v>
      </c>
    </row>
    <row r="1377">
      <c r="A1377" s="10">
        <v>1376.0</v>
      </c>
      <c r="B1377" s="11" t="s">
        <v>4222</v>
      </c>
      <c r="C1377" s="10" t="s">
        <v>79</v>
      </c>
      <c r="D1377" s="10" t="s">
        <v>206</v>
      </c>
      <c r="E1377" s="13" t="str">
        <f>IFERROR(__xludf.DUMMYFUNCTION("ifna(filter('Yahoo ADP'!$A$2:$A2766,'Yahoo ADP'!$B$2:$B2766=$B1377,$C1377='Yahoo ADP'!$C$2:$C2766,$D1377='Yahoo ADP'!$D$2:$D2766))"),"")</f>
        <v/>
      </c>
      <c r="F1377" s="13" t="str">
        <f>IFERROR(__xludf.DUMMYFUNCTION("ifna(filter('Yahoo ADP'!$E$2:$E2766,'Yahoo ADP'!$B$2:$B2766=$B1377,$C1377='Yahoo ADP'!$C$2:$C2766,$D1377='Yahoo ADP'!$D$2:$D2766))"),"-")</f>
        <v>-</v>
      </c>
      <c r="G1377" s="27">
        <v>1364.0</v>
      </c>
      <c r="H1377" s="8">
        <f t="shared" si="1"/>
        <v>-12</v>
      </c>
    </row>
    <row r="1378">
      <c r="A1378" s="10">
        <v>1377.0</v>
      </c>
      <c r="B1378" s="11" t="s">
        <v>4223</v>
      </c>
      <c r="C1378" s="10" t="s">
        <v>79</v>
      </c>
      <c r="D1378" s="10" t="s">
        <v>82</v>
      </c>
      <c r="E1378" s="13" t="str">
        <f>IFERROR(__xludf.DUMMYFUNCTION("ifna(filter('Yahoo ADP'!$A$2:$A2766,'Yahoo ADP'!$B$2:$B2766=$B1378,$C1378='Yahoo ADP'!$C$2:$C2766,$D1378='Yahoo ADP'!$D$2:$D2766))"),"")</f>
        <v/>
      </c>
      <c r="F1378" s="13" t="str">
        <f>IFERROR(__xludf.DUMMYFUNCTION("ifna(filter('Yahoo ADP'!$E$2:$E2766,'Yahoo ADP'!$B$2:$B2766=$B1378,$C1378='Yahoo ADP'!$C$2:$C2766,$D1378='Yahoo ADP'!$D$2:$D2766))"),"-")</f>
        <v>-</v>
      </c>
      <c r="G1378" s="27">
        <v>1365.0</v>
      </c>
      <c r="H1378" s="8">
        <f t="shared" si="1"/>
        <v>-12</v>
      </c>
    </row>
    <row r="1379">
      <c r="A1379" s="10">
        <v>1378.0</v>
      </c>
      <c r="B1379" s="11" t="s">
        <v>4224</v>
      </c>
      <c r="C1379" s="10" t="s">
        <v>79</v>
      </c>
      <c r="D1379" s="10" t="s">
        <v>73</v>
      </c>
      <c r="E1379" s="13" t="str">
        <f>IFERROR(__xludf.DUMMYFUNCTION("ifna(filter('Yahoo ADP'!$A$2:$A2766,'Yahoo ADP'!$B$2:$B2766=$B1379,$C1379='Yahoo ADP'!$C$2:$C2766,$D1379='Yahoo ADP'!$D$2:$D2766))"),"")</f>
        <v/>
      </c>
      <c r="F1379" s="13" t="str">
        <f>IFERROR(__xludf.DUMMYFUNCTION("ifna(filter('Yahoo ADP'!$E$2:$E2766,'Yahoo ADP'!$B$2:$B2766=$B1379,$C1379='Yahoo ADP'!$C$2:$C2766,$D1379='Yahoo ADP'!$D$2:$D2766))"),"-")</f>
        <v>-</v>
      </c>
      <c r="G1379" s="27">
        <v>1366.0</v>
      </c>
      <c r="H1379" s="8">
        <f t="shared" si="1"/>
        <v>-12</v>
      </c>
    </row>
    <row r="1380">
      <c r="A1380" s="10">
        <v>1379.0</v>
      </c>
      <c r="B1380" s="11" t="s">
        <v>4225</v>
      </c>
      <c r="C1380" s="10" t="s">
        <v>22</v>
      </c>
      <c r="D1380" s="10" t="s">
        <v>206</v>
      </c>
      <c r="E1380" s="13" t="str">
        <f>IFERROR(__xludf.DUMMYFUNCTION("ifna(filter('Yahoo ADP'!$A$2:$A2766,'Yahoo ADP'!$B$2:$B2766=$B1380,$C1380='Yahoo ADP'!$C$2:$C2766,$D1380='Yahoo ADP'!$D$2:$D2766))"),"")</f>
        <v/>
      </c>
      <c r="F1380" s="13" t="str">
        <f>IFERROR(__xludf.DUMMYFUNCTION("ifna(filter('Yahoo ADP'!$E$2:$E2766,'Yahoo ADP'!$B$2:$B2766=$B1380,$C1380='Yahoo ADP'!$C$2:$C2766,$D1380='Yahoo ADP'!$D$2:$D2766))"),"-")</f>
        <v>-</v>
      </c>
      <c r="G1380" s="27">
        <v>1367.0</v>
      </c>
      <c r="H1380" s="8">
        <f t="shared" si="1"/>
        <v>-12</v>
      </c>
    </row>
    <row r="1381">
      <c r="A1381" s="10">
        <v>1380.0</v>
      </c>
      <c r="B1381" s="11" t="s">
        <v>4226</v>
      </c>
      <c r="C1381" s="10" t="s">
        <v>79</v>
      </c>
      <c r="D1381" s="10" t="s">
        <v>25</v>
      </c>
      <c r="E1381" s="13" t="str">
        <f>IFERROR(__xludf.DUMMYFUNCTION("ifna(filter('Yahoo ADP'!$A$2:$A2766,'Yahoo ADP'!$B$2:$B2766=$B1381,$C1381='Yahoo ADP'!$C$2:$C2766,$D1381='Yahoo ADP'!$D$2:$D2766))"),"")</f>
        <v/>
      </c>
      <c r="F1381" s="13" t="str">
        <f>IFERROR(__xludf.DUMMYFUNCTION("ifna(filter('Yahoo ADP'!$E$2:$E2766,'Yahoo ADP'!$B$2:$B2766=$B1381,$C1381='Yahoo ADP'!$C$2:$C2766,$D1381='Yahoo ADP'!$D$2:$D2766))"),"-")</f>
        <v>-</v>
      </c>
      <c r="G1381" s="27">
        <v>1368.0</v>
      </c>
      <c r="H1381" s="8">
        <f t="shared" si="1"/>
        <v>-12</v>
      </c>
    </row>
    <row r="1382">
      <c r="A1382" s="10">
        <v>1381.0</v>
      </c>
      <c r="B1382" s="11" t="s">
        <v>4227</v>
      </c>
      <c r="C1382" s="10" t="s">
        <v>419</v>
      </c>
      <c r="D1382" s="10" t="s">
        <v>49</v>
      </c>
      <c r="E1382" s="13" t="str">
        <f>IFERROR(__xludf.DUMMYFUNCTION("ifna(filter('Yahoo ADP'!$A$2:$A2766,'Yahoo ADP'!$B$2:$B2766=$B1382,$C1382='Yahoo ADP'!$C$2:$C2766,$D1382='Yahoo ADP'!$D$2:$D2766))"),"")</f>
        <v/>
      </c>
      <c r="F1382" s="13" t="str">
        <f>IFERROR(__xludf.DUMMYFUNCTION("ifna(filter('Yahoo ADP'!$E$2:$E2766,'Yahoo ADP'!$B$2:$B2766=$B1382,$C1382='Yahoo ADP'!$C$2:$C2766,$D1382='Yahoo ADP'!$D$2:$D2766))"),"-")</f>
        <v>-</v>
      </c>
      <c r="G1382" s="27">
        <v>1369.0</v>
      </c>
      <c r="H1382" s="8">
        <f t="shared" si="1"/>
        <v>-12</v>
      </c>
    </row>
    <row r="1383">
      <c r="A1383" s="10">
        <v>1382.0</v>
      </c>
      <c r="B1383" s="11" t="s">
        <v>4228</v>
      </c>
      <c r="C1383" s="10" t="s">
        <v>55</v>
      </c>
      <c r="D1383" s="10" t="s">
        <v>34</v>
      </c>
      <c r="E1383" s="13" t="str">
        <f>IFERROR(__xludf.DUMMYFUNCTION("ifna(filter('Yahoo ADP'!$A$2:$A2766,'Yahoo ADP'!$B$2:$B2766=$B1383,$C1383='Yahoo ADP'!$C$2:$C2766,$D1383='Yahoo ADP'!$D$2:$D2766))"),"")</f>
        <v/>
      </c>
      <c r="F1383" s="13" t="str">
        <f>IFERROR(__xludf.DUMMYFUNCTION("ifna(filter('Yahoo ADP'!$E$2:$E2766,'Yahoo ADP'!$B$2:$B2766=$B1383,$C1383='Yahoo ADP'!$C$2:$C2766,$D1383='Yahoo ADP'!$D$2:$D2766))"),"-")</f>
        <v>-</v>
      </c>
      <c r="G1383" s="27">
        <v>1370.0</v>
      </c>
      <c r="H1383" s="8">
        <f t="shared" si="1"/>
        <v>-12</v>
      </c>
    </row>
    <row r="1384">
      <c r="A1384" s="10">
        <v>1383.0</v>
      </c>
      <c r="B1384" s="11" t="s">
        <v>4229</v>
      </c>
      <c r="C1384" s="10" t="s">
        <v>220</v>
      </c>
      <c r="D1384" s="10" t="s">
        <v>122</v>
      </c>
      <c r="E1384" s="13" t="str">
        <f>IFERROR(__xludf.DUMMYFUNCTION("ifna(filter('Yahoo ADP'!$A$2:$A2766,'Yahoo ADP'!$B$2:$B2766=$B1384,$C1384='Yahoo ADP'!$C$2:$C2766,$D1384='Yahoo ADP'!$D$2:$D2766))"),"")</f>
        <v/>
      </c>
      <c r="F1384" s="13" t="str">
        <f>IFERROR(__xludf.DUMMYFUNCTION("ifna(filter('Yahoo ADP'!$E$2:$E2766,'Yahoo ADP'!$B$2:$B2766=$B1384,$C1384='Yahoo ADP'!$C$2:$C2766,$D1384='Yahoo ADP'!$D$2:$D2766))"),"-")</f>
        <v>-</v>
      </c>
      <c r="G1384" s="27">
        <v>1371.0</v>
      </c>
      <c r="H1384" s="8">
        <f t="shared" si="1"/>
        <v>-12</v>
      </c>
    </row>
    <row r="1385">
      <c r="A1385" s="10">
        <v>1384.0</v>
      </c>
      <c r="B1385" s="11" t="s">
        <v>4230</v>
      </c>
      <c r="C1385" s="10" t="s">
        <v>79</v>
      </c>
      <c r="D1385" s="10" t="s">
        <v>120</v>
      </c>
      <c r="E1385" s="13" t="str">
        <f>IFERROR(__xludf.DUMMYFUNCTION("ifna(filter('Yahoo ADP'!$A$2:$A2766,'Yahoo ADP'!$B$2:$B2766=$B1385,$C1385='Yahoo ADP'!$C$2:$C2766,$D1385='Yahoo ADP'!$D$2:$D2766))"),"")</f>
        <v/>
      </c>
      <c r="F1385" s="13" t="str">
        <f>IFERROR(__xludf.DUMMYFUNCTION("ifna(filter('Yahoo ADP'!$E$2:$E2766,'Yahoo ADP'!$B$2:$B2766=$B1385,$C1385='Yahoo ADP'!$C$2:$C2766,$D1385='Yahoo ADP'!$D$2:$D2766))"),"-")</f>
        <v>-</v>
      </c>
      <c r="G1385" s="27">
        <v>1372.0</v>
      </c>
      <c r="H1385" s="8">
        <f t="shared" si="1"/>
        <v>-12</v>
      </c>
    </row>
    <row r="1386">
      <c r="A1386" s="10">
        <v>1385.0</v>
      </c>
      <c r="B1386" s="11" t="s">
        <v>4231</v>
      </c>
      <c r="C1386" s="10" t="s">
        <v>79</v>
      </c>
      <c r="D1386" s="10" t="s">
        <v>82</v>
      </c>
      <c r="E1386" s="13" t="str">
        <f>IFERROR(__xludf.DUMMYFUNCTION("ifna(filter('Yahoo ADP'!$A$2:$A2766,'Yahoo ADP'!$B$2:$B2766=$B1386,$C1386='Yahoo ADP'!$C$2:$C2766,$D1386='Yahoo ADP'!$D$2:$D2766))"),"")</f>
        <v/>
      </c>
      <c r="F1386" s="13" t="str">
        <f>IFERROR(__xludf.DUMMYFUNCTION("ifna(filter('Yahoo ADP'!$E$2:$E2766,'Yahoo ADP'!$B$2:$B2766=$B1386,$C1386='Yahoo ADP'!$C$2:$C2766,$D1386='Yahoo ADP'!$D$2:$D2766))"),"-")</f>
        <v>-</v>
      </c>
      <c r="G1386" s="27">
        <v>1373.0</v>
      </c>
      <c r="H1386" s="8">
        <f t="shared" si="1"/>
        <v>-12</v>
      </c>
    </row>
    <row r="1387">
      <c r="A1387" s="10">
        <v>1386.0</v>
      </c>
      <c r="B1387" s="11" t="s">
        <v>4232</v>
      </c>
      <c r="C1387" s="10" t="s">
        <v>79</v>
      </c>
      <c r="D1387" s="10" t="s">
        <v>105</v>
      </c>
      <c r="E1387" s="13">
        <f>IFERROR(__xludf.DUMMYFUNCTION("ifna(filter('Yahoo ADP'!$A$2:$A2766,'Yahoo ADP'!$B$2:$B2766=$B1387,$C1387='Yahoo ADP'!$C$2:$C2766,$D1387='Yahoo ADP'!$D$2:$D2766))"),234.2)</f>
        <v>234.2</v>
      </c>
      <c r="F1387" s="13">
        <f>IFERROR(__xludf.DUMMYFUNCTION("ifna(filter('Yahoo ADP'!$E$2:$E2766,'Yahoo ADP'!$B$2:$B2766=$B1387,$C1387='Yahoo ADP'!$C$2:$C2766,$D1387='Yahoo ADP'!$D$2:$D2766))"),1.3)</f>
        <v>1.3</v>
      </c>
      <c r="G1387" s="27">
        <v>1374.0</v>
      </c>
      <c r="H1387" s="8">
        <f t="shared" si="1"/>
        <v>-12</v>
      </c>
    </row>
    <row r="1388">
      <c r="A1388" s="10">
        <v>1387.0</v>
      </c>
      <c r="B1388" s="11" t="s">
        <v>4233</v>
      </c>
      <c r="C1388" s="10" t="s">
        <v>22</v>
      </c>
      <c r="D1388" s="10" t="s">
        <v>18</v>
      </c>
      <c r="E1388" s="13" t="str">
        <f>IFERROR(__xludf.DUMMYFUNCTION("ifna(filter('Yahoo ADP'!$A$2:$A2766,'Yahoo ADP'!$B$2:$B2766=$B1388,$C1388='Yahoo ADP'!$C$2:$C2766,$D1388='Yahoo ADP'!$D$2:$D2766))"),"")</f>
        <v/>
      </c>
      <c r="F1388" s="13" t="str">
        <f>IFERROR(__xludf.DUMMYFUNCTION("ifna(filter('Yahoo ADP'!$E$2:$E2766,'Yahoo ADP'!$B$2:$B2766=$B1388,$C1388='Yahoo ADP'!$C$2:$C2766,$D1388='Yahoo ADP'!$D$2:$D2766))"),"-")</f>
        <v>-</v>
      </c>
      <c r="G1388" s="27">
        <v>1375.0</v>
      </c>
      <c r="H1388" s="8">
        <f t="shared" si="1"/>
        <v>-12</v>
      </c>
    </row>
    <row r="1389">
      <c r="A1389" s="10">
        <v>1388.0</v>
      </c>
      <c r="B1389" s="11" t="s">
        <v>4234</v>
      </c>
      <c r="C1389" s="10" t="s">
        <v>79</v>
      </c>
      <c r="D1389" s="10" t="s">
        <v>99</v>
      </c>
      <c r="E1389" s="13" t="str">
        <f>IFERROR(__xludf.DUMMYFUNCTION("ifna(filter('Yahoo ADP'!$A$2:$A2766,'Yahoo ADP'!$B$2:$B2766=$B1389,$C1389='Yahoo ADP'!$C$2:$C2766,$D1389='Yahoo ADP'!$D$2:$D2766))"),"")</f>
        <v/>
      </c>
      <c r="F1389" s="13" t="str">
        <f>IFERROR(__xludf.DUMMYFUNCTION("ifna(filter('Yahoo ADP'!$E$2:$E2766,'Yahoo ADP'!$B$2:$B2766=$B1389,$C1389='Yahoo ADP'!$C$2:$C2766,$D1389='Yahoo ADP'!$D$2:$D2766))"),"-")</f>
        <v>-</v>
      </c>
      <c r="G1389" s="27">
        <v>1376.0</v>
      </c>
      <c r="H1389" s="8">
        <f t="shared" si="1"/>
        <v>-12</v>
      </c>
    </row>
    <row r="1390">
      <c r="A1390" s="10">
        <v>1389.0</v>
      </c>
      <c r="B1390" s="11" t="s">
        <v>4235</v>
      </c>
      <c r="C1390" s="10" t="s">
        <v>79</v>
      </c>
      <c r="D1390" s="10" t="s">
        <v>42</v>
      </c>
      <c r="E1390" s="13" t="str">
        <f>IFERROR(__xludf.DUMMYFUNCTION("ifna(filter('Yahoo ADP'!$A$2:$A2766,'Yahoo ADP'!$B$2:$B2766=$B1390,$C1390='Yahoo ADP'!$C$2:$C2766,$D1390='Yahoo ADP'!$D$2:$D2766))"),"")</f>
        <v/>
      </c>
      <c r="F1390" s="13" t="str">
        <f>IFERROR(__xludf.DUMMYFUNCTION("ifna(filter('Yahoo ADP'!$E$2:$E2766,'Yahoo ADP'!$B$2:$B2766=$B1390,$C1390='Yahoo ADP'!$C$2:$C2766,$D1390='Yahoo ADP'!$D$2:$D2766))"),"-")</f>
        <v>-</v>
      </c>
      <c r="G1390" s="27">
        <v>1377.0</v>
      </c>
      <c r="H1390" s="8">
        <f t="shared" si="1"/>
        <v>-12</v>
      </c>
    </row>
    <row r="1391">
      <c r="A1391" s="10">
        <v>1390.0</v>
      </c>
      <c r="B1391" s="11" t="s">
        <v>4236</v>
      </c>
      <c r="C1391" s="10" t="s">
        <v>79</v>
      </c>
      <c r="D1391" s="10" t="s">
        <v>140</v>
      </c>
      <c r="E1391" s="13" t="str">
        <f>IFERROR(__xludf.DUMMYFUNCTION("ifna(filter('Yahoo ADP'!$A$2:$A2766,'Yahoo ADP'!$B$2:$B2766=$B1391,$C1391='Yahoo ADP'!$C$2:$C2766,$D1391='Yahoo ADP'!$D$2:$D2766))"),"")</f>
        <v/>
      </c>
      <c r="F1391" s="13" t="str">
        <f>IFERROR(__xludf.DUMMYFUNCTION("ifna(filter('Yahoo ADP'!$E$2:$E2766,'Yahoo ADP'!$B$2:$B2766=$B1391,$C1391='Yahoo ADP'!$C$2:$C2766,$D1391='Yahoo ADP'!$D$2:$D2766))"),"-")</f>
        <v>-</v>
      </c>
      <c r="G1391" s="27">
        <v>1378.0</v>
      </c>
      <c r="H1391" s="8">
        <f t="shared" si="1"/>
        <v>-12</v>
      </c>
    </row>
    <row r="1392">
      <c r="A1392" s="10">
        <v>1391.0</v>
      </c>
      <c r="B1392" s="11" t="s">
        <v>4237</v>
      </c>
      <c r="C1392" s="10" t="s">
        <v>79</v>
      </c>
      <c r="D1392" s="10" t="s">
        <v>99</v>
      </c>
      <c r="E1392" s="13" t="str">
        <f>IFERROR(__xludf.DUMMYFUNCTION("ifna(filter('Yahoo ADP'!$A$2:$A2766,'Yahoo ADP'!$B$2:$B2766=$B1392,$C1392='Yahoo ADP'!$C$2:$C2766,$D1392='Yahoo ADP'!$D$2:$D2766))"),"")</f>
        <v/>
      </c>
      <c r="F1392" s="13" t="str">
        <f>IFERROR(__xludf.DUMMYFUNCTION("ifna(filter('Yahoo ADP'!$E$2:$E2766,'Yahoo ADP'!$B$2:$B2766=$B1392,$C1392='Yahoo ADP'!$C$2:$C2766,$D1392='Yahoo ADP'!$D$2:$D2766))"),"-")</f>
        <v>-</v>
      </c>
      <c r="G1392" s="27">
        <v>1379.0</v>
      </c>
      <c r="H1392" s="8">
        <f t="shared" si="1"/>
        <v>-12</v>
      </c>
    </row>
    <row r="1393">
      <c r="A1393" s="10">
        <v>1392.0</v>
      </c>
      <c r="B1393" s="11" t="s">
        <v>4238</v>
      </c>
      <c r="C1393" s="10" t="s">
        <v>20</v>
      </c>
      <c r="D1393" s="10" t="s">
        <v>9</v>
      </c>
      <c r="E1393" s="13" t="str">
        <f>IFERROR(__xludf.DUMMYFUNCTION("ifna(filter('Yahoo ADP'!$A$2:$A2766,'Yahoo ADP'!$B$2:$B2766=$B1393,$C1393='Yahoo ADP'!$C$2:$C2766,$D1393='Yahoo ADP'!$D$2:$D2766))"),"")</f>
        <v/>
      </c>
      <c r="F1393" s="13" t="str">
        <f>IFERROR(__xludf.DUMMYFUNCTION("ifna(filter('Yahoo ADP'!$E$2:$E2766,'Yahoo ADP'!$B$2:$B2766=$B1393,$C1393='Yahoo ADP'!$C$2:$C2766,$D1393='Yahoo ADP'!$D$2:$D2766))"),"-")</f>
        <v>-</v>
      </c>
      <c r="G1393" s="27">
        <v>1380.0</v>
      </c>
      <c r="H1393" s="8">
        <f t="shared" si="1"/>
        <v>-12</v>
      </c>
    </row>
    <row r="1394">
      <c r="A1394" s="10">
        <v>1393.0</v>
      </c>
      <c r="B1394" s="11" t="s">
        <v>4239</v>
      </c>
      <c r="C1394" s="10" t="s">
        <v>79</v>
      </c>
      <c r="D1394" s="10" t="s">
        <v>105</v>
      </c>
      <c r="E1394" s="13" t="str">
        <f>IFERROR(__xludf.DUMMYFUNCTION("ifna(filter('Yahoo ADP'!$A$2:$A2766,'Yahoo ADP'!$B$2:$B2766=$B1394,$C1394='Yahoo ADP'!$C$2:$C2766,$D1394='Yahoo ADP'!$D$2:$D2766))"),"")</f>
        <v/>
      </c>
      <c r="F1394" s="13" t="str">
        <f>IFERROR(__xludf.DUMMYFUNCTION("ifna(filter('Yahoo ADP'!$E$2:$E2766,'Yahoo ADP'!$B$2:$B2766=$B1394,$C1394='Yahoo ADP'!$C$2:$C2766,$D1394='Yahoo ADP'!$D$2:$D2766))"),"-")</f>
        <v>-</v>
      </c>
      <c r="G1394" s="27">
        <v>1381.0</v>
      </c>
      <c r="H1394" s="8">
        <f t="shared" si="1"/>
        <v>-12</v>
      </c>
    </row>
    <row r="1395">
      <c r="A1395" s="10">
        <v>1394.0</v>
      </c>
      <c r="B1395" s="11" t="s">
        <v>4240</v>
      </c>
      <c r="C1395" s="10" t="s">
        <v>22</v>
      </c>
      <c r="D1395" s="10" t="s">
        <v>12</v>
      </c>
      <c r="E1395" s="13" t="str">
        <f>IFERROR(__xludf.DUMMYFUNCTION("ifna(filter('Yahoo ADP'!$A$2:$A2766,'Yahoo ADP'!$B$2:$B2766=$B1395,$C1395='Yahoo ADP'!$C$2:$C2766,$D1395='Yahoo ADP'!$D$2:$D2766))"),"")</f>
        <v/>
      </c>
      <c r="F1395" s="13" t="str">
        <f>IFERROR(__xludf.DUMMYFUNCTION("ifna(filter('Yahoo ADP'!$E$2:$E2766,'Yahoo ADP'!$B$2:$B2766=$B1395,$C1395='Yahoo ADP'!$C$2:$C2766,$D1395='Yahoo ADP'!$D$2:$D2766))"),"-")</f>
        <v>-</v>
      </c>
      <c r="G1395" s="27">
        <v>1382.0</v>
      </c>
      <c r="H1395" s="8">
        <f t="shared" si="1"/>
        <v>-12</v>
      </c>
    </row>
    <row r="1396">
      <c r="A1396" s="10">
        <v>1395.0</v>
      </c>
      <c r="B1396" s="11" t="s">
        <v>4241</v>
      </c>
      <c r="C1396" s="10" t="s">
        <v>79</v>
      </c>
      <c r="D1396" s="10" t="s">
        <v>85</v>
      </c>
      <c r="E1396" s="13" t="str">
        <f>IFERROR(__xludf.DUMMYFUNCTION("ifna(filter('Yahoo ADP'!$A$2:$A2766,'Yahoo ADP'!$B$2:$B2766=$B1396,$C1396='Yahoo ADP'!$C$2:$C2766,$D1396='Yahoo ADP'!$D$2:$D2766))"),"")</f>
        <v/>
      </c>
      <c r="F1396" s="13" t="str">
        <f>IFERROR(__xludf.DUMMYFUNCTION("ifna(filter('Yahoo ADP'!$E$2:$E2766,'Yahoo ADP'!$B$2:$B2766=$B1396,$C1396='Yahoo ADP'!$C$2:$C2766,$D1396='Yahoo ADP'!$D$2:$D2766))"),"-")</f>
        <v>-</v>
      </c>
      <c r="G1396" s="27">
        <v>1383.0</v>
      </c>
      <c r="H1396" s="8">
        <f t="shared" si="1"/>
        <v>-12</v>
      </c>
    </row>
    <row r="1397">
      <c r="A1397" s="10">
        <v>1396.0</v>
      </c>
      <c r="B1397" s="11" t="s">
        <v>4242</v>
      </c>
      <c r="C1397" s="10" t="s">
        <v>79</v>
      </c>
      <c r="D1397" s="10" t="s">
        <v>73</v>
      </c>
      <c r="E1397" s="13" t="str">
        <f>IFERROR(__xludf.DUMMYFUNCTION("ifna(filter('Yahoo ADP'!$A$2:$A2766,'Yahoo ADP'!$B$2:$B2766=$B1397,$C1397='Yahoo ADP'!$C$2:$C2766,$D1397='Yahoo ADP'!$D$2:$D2766))"),"")</f>
        <v/>
      </c>
      <c r="F1397" s="13" t="str">
        <f>IFERROR(__xludf.DUMMYFUNCTION("ifna(filter('Yahoo ADP'!$E$2:$E2766,'Yahoo ADP'!$B$2:$B2766=$B1397,$C1397='Yahoo ADP'!$C$2:$C2766,$D1397='Yahoo ADP'!$D$2:$D2766))"),"-")</f>
        <v>-</v>
      </c>
      <c r="G1397" s="27">
        <v>1384.0</v>
      </c>
      <c r="H1397" s="8">
        <f t="shared" si="1"/>
        <v>-12</v>
      </c>
    </row>
    <row r="1398">
      <c r="A1398" s="10">
        <v>1397.0</v>
      </c>
      <c r="B1398" s="11" t="s">
        <v>4243</v>
      </c>
      <c r="C1398" s="10" t="s">
        <v>79</v>
      </c>
      <c r="D1398" s="10" t="s">
        <v>23</v>
      </c>
      <c r="E1398" s="13" t="str">
        <f>IFERROR(__xludf.DUMMYFUNCTION("ifna(filter('Yahoo ADP'!$A$2:$A2766,'Yahoo ADP'!$B$2:$B2766=$B1398,$C1398='Yahoo ADP'!$C$2:$C2766,$D1398='Yahoo ADP'!$D$2:$D2766))"),"")</f>
        <v/>
      </c>
      <c r="F1398" s="13" t="str">
        <f>IFERROR(__xludf.DUMMYFUNCTION("ifna(filter('Yahoo ADP'!$E$2:$E2766,'Yahoo ADP'!$B$2:$B2766=$B1398,$C1398='Yahoo ADP'!$C$2:$C2766,$D1398='Yahoo ADP'!$D$2:$D2766))"),"-")</f>
        <v>-</v>
      </c>
      <c r="G1398" s="27">
        <v>1385.0</v>
      </c>
      <c r="H1398" s="8">
        <f t="shared" si="1"/>
        <v>-12</v>
      </c>
    </row>
    <row r="1399">
      <c r="A1399" s="10">
        <v>1398.0</v>
      </c>
      <c r="B1399" s="11" t="s">
        <v>4244</v>
      </c>
      <c r="C1399" s="10" t="s">
        <v>79</v>
      </c>
      <c r="D1399" s="10" t="s">
        <v>73</v>
      </c>
      <c r="E1399" s="13" t="str">
        <f>IFERROR(__xludf.DUMMYFUNCTION("ifna(filter('Yahoo ADP'!$A$2:$A2766,'Yahoo ADP'!$B$2:$B2766=$B1399,$C1399='Yahoo ADP'!$C$2:$C2766,$D1399='Yahoo ADP'!$D$2:$D2766))"),"")</f>
        <v/>
      </c>
      <c r="F1399" s="13" t="str">
        <f>IFERROR(__xludf.DUMMYFUNCTION("ifna(filter('Yahoo ADP'!$E$2:$E2766,'Yahoo ADP'!$B$2:$B2766=$B1399,$C1399='Yahoo ADP'!$C$2:$C2766,$D1399='Yahoo ADP'!$D$2:$D2766))"),"-")</f>
        <v>-</v>
      </c>
      <c r="G1399" s="27">
        <v>1386.0</v>
      </c>
      <c r="H1399" s="8">
        <f t="shared" si="1"/>
        <v>-12</v>
      </c>
    </row>
    <row r="1400">
      <c r="A1400" s="10">
        <v>1399.0</v>
      </c>
      <c r="B1400" s="11" t="s">
        <v>4245</v>
      </c>
      <c r="C1400" s="10" t="s">
        <v>79</v>
      </c>
      <c r="D1400" s="10" t="s">
        <v>113</v>
      </c>
      <c r="E1400" s="13" t="str">
        <f>IFERROR(__xludf.DUMMYFUNCTION("ifna(filter('Yahoo ADP'!$A$2:$A2766,'Yahoo ADP'!$B$2:$B2766=$B1400,$C1400='Yahoo ADP'!$C$2:$C2766,$D1400='Yahoo ADP'!$D$2:$D2766))"),"")</f>
        <v/>
      </c>
      <c r="F1400" s="13" t="str">
        <f>IFERROR(__xludf.DUMMYFUNCTION("ifna(filter('Yahoo ADP'!$E$2:$E2766,'Yahoo ADP'!$B$2:$B2766=$B1400,$C1400='Yahoo ADP'!$C$2:$C2766,$D1400='Yahoo ADP'!$D$2:$D2766))"),"-")</f>
        <v>-</v>
      </c>
      <c r="G1400" s="27">
        <v>1387.0</v>
      </c>
      <c r="H1400" s="8">
        <f t="shared" si="1"/>
        <v>-12</v>
      </c>
    </row>
    <row r="1401">
      <c r="A1401" s="10">
        <v>1400.0</v>
      </c>
      <c r="B1401" s="11" t="s">
        <v>4246</v>
      </c>
      <c r="C1401" s="10" t="s">
        <v>79</v>
      </c>
      <c r="D1401" s="10" t="s">
        <v>18</v>
      </c>
      <c r="E1401" s="13" t="str">
        <f>IFERROR(__xludf.DUMMYFUNCTION("ifna(filter('Yahoo ADP'!$A$2:$A2766,'Yahoo ADP'!$B$2:$B2766=$B1401,$C1401='Yahoo ADP'!$C$2:$C2766,$D1401='Yahoo ADP'!$D$2:$D2766))"),"")</f>
        <v/>
      </c>
      <c r="F1401" s="13" t="str">
        <f>IFERROR(__xludf.DUMMYFUNCTION("ifna(filter('Yahoo ADP'!$E$2:$E2766,'Yahoo ADP'!$B$2:$B2766=$B1401,$C1401='Yahoo ADP'!$C$2:$C2766,$D1401='Yahoo ADP'!$D$2:$D2766))"),"-")</f>
        <v>-</v>
      </c>
      <c r="G1401" s="27">
        <v>1388.0</v>
      </c>
      <c r="H1401" s="8">
        <f t="shared" si="1"/>
        <v>-12</v>
      </c>
    </row>
    <row r="1402">
      <c r="A1402" s="10">
        <v>1401.0</v>
      </c>
      <c r="B1402" s="11" t="s">
        <v>4247</v>
      </c>
      <c r="C1402" s="10" t="s">
        <v>79</v>
      </c>
      <c r="D1402" s="10" t="s">
        <v>49</v>
      </c>
      <c r="E1402" s="13" t="str">
        <f>IFERROR(__xludf.DUMMYFUNCTION("ifna(filter('Yahoo ADP'!$A$2:$A2766,'Yahoo ADP'!$B$2:$B2766=$B1402,$C1402='Yahoo ADP'!$C$2:$C2766,$D1402='Yahoo ADP'!$D$2:$D2766))"),"")</f>
        <v/>
      </c>
      <c r="F1402" s="13" t="str">
        <f>IFERROR(__xludf.DUMMYFUNCTION("ifna(filter('Yahoo ADP'!$E$2:$E2766,'Yahoo ADP'!$B$2:$B2766=$B1402,$C1402='Yahoo ADP'!$C$2:$C2766,$D1402='Yahoo ADP'!$D$2:$D2766))"),"-")</f>
        <v>-</v>
      </c>
      <c r="G1402" s="27">
        <v>1389.0</v>
      </c>
      <c r="H1402" s="8">
        <f t="shared" si="1"/>
        <v>-12</v>
      </c>
    </row>
    <row r="1403">
      <c r="A1403" s="10">
        <v>1402.0</v>
      </c>
      <c r="B1403" s="11" t="s">
        <v>4248</v>
      </c>
      <c r="C1403" s="10" t="s">
        <v>22</v>
      </c>
      <c r="D1403" s="10" t="s">
        <v>46</v>
      </c>
      <c r="E1403" s="13" t="str">
        <f>IFERROR(__xludf.DUMMYFUNCTION("ifna(filter('Yahoo ADP'!$A$2:$A2766,'Yahoo ADP'!$B$2:$B2766=$B1403,$C1403='Yahoo ADP'!$C$2:$C2766,$D1403='Yahoo ADP'!$D$2:$D2766))"),"")</f>
        <v/>
      </c>
      <c r="F1403" s="13" t="str">
        <f>IFERROR(__xludf.DUMMYFUNCTION("ifna(filter('Yahoo ADP'!$E$2:$E2766,'Yahoo ADP'!$B$2:$B2766=$B1403,$C1403='Yahoo ADP'!$C$2:$C2766,$D1403='Yahoo ADP'!$D$2:$D2766))"),"-")</f>
        <v>-</v>
      </c>
      <c r="G1403" s="27">
        <v>1390.0</v>
      </c>
      <c r="H1403" s="8">
        <f t="shared" si="1"/>
        <v>-12</v>
      </c>
    </row>
    <row r="1404">
      <c r="A1404" s="10">
        <v>1403.0</v>
      </c>
      <c r="B1404" s="11" t="s">
        <v>4249</v>
      </c>
      <c r="C1404" s="10" t="s">
        <v>158</v>
      </c>
      <c r="D1404" s="10" t="s">
        <v>85</v>
      </c>
      <c r="E1404" s="13" t="str">
        <f>IFERROR(__xludf.DUMMYFUNCTION("ifna(filter('Yahoo ADP'!$A$2:$A2766,'Yahoo ADP'!$B$2:$B2766=$B1404,$C1404='Yahoo ADP'!$C$2:$C2766,$D1404='Yahoo ADP'!$D$2:$D2766))"),"")</f>
        <v/>
      </c>
      <c r="F1404" s="13" t="str">
        <f>IFERROR(__xludf.DUMMYFUNCTION("ifna(filter('Yahoo ADP'!$E$2:$E2766,'Yahoo ADP'!$B$2:$B2766=$B1404,$C1404='Yahoo ADP'!$C$2:$C2766,$D1404='Yahoo ADP'!$D$2:$D2766))"),"-")</f>
        <v>-</v>
      </c>
      <c r="G1404" s="27">
        <v>1391.0</v>
      </c>
      <c r="H1404" s="8">
        <f t="shared" si="1"/>
        <v>-12</v>
      </c>
    </row>
    <row r="1405">
      <c r="A1405" s="10">
        <v>1404.0</v>
      </c>
      <c r="B1405" s="11" t="s">
        <v>4250</v>
      </c>
      <c r="C1405" s="10" t="s">
        <v>79</v>
      </c>
      <c r="D1405" s="10" t="s">
        <v>120</v>
      </c>
      <c r="E1405" s="13" t="str">
        <f>IFERROR(__xludf.DUMMYFUNCTION("ifna(filter('Yahoo ADP'!$A$2:$A2766,'Yahoo ADP'!$B$2:$B2766=$B1405,$C1405='Yahoo ADP'!$C$2:$C2766,$D1405='Yahoo ADP'!$D$2:$D2766))"),"")</f>
        <v/>
      </c>
      <c r="F1405" s="13" t="str">
        <f>IFERROR(__xludf.DUMMYFUNCTION("ifna(filter('Yahoo ADP'!$E$2:$E2766,'Yahoo ADP'!$B$2:$B2766=$B1405,$C1405='Yahoo ADP'!$C$2:$C2766,$D1405='Yahoo ADP'!$D$2:$D2766))"),"-")</f>
        <v>-</v>
      </c>
      <c r="G1405" s="27">
        <v>1392.0</v>
      </c>
      <c r="H1405" s="8">
        <f t="shared" si="1"/>
        <v>-12</v>
      </c>
    </row>
    <row r="1406">
      <c r="A1406" s="10">
        <v>1405.0</v>
      </c>
      <c r="B1406" s="11" t="s">
        <v>4251</v>
      </c>
      <c r="C1406" s="10" t="s">
        <v>79</v>
      </c>
      <c r="D1406" s="10" t="s">
        <v>67</v>
      </c>
      <c r="E1406" s="13" t="str">
        <f>IFERROR(__xludf.DUMMYFUNCTION("ifna(filter('Yahoo ADP'!$A$2:$A2766,'Yahoo ADP'!$B$2:$B2766=$B1406,$C1406='Yahoo ADP'!$C$2:$C2766,$D1406='Yahoo ADP'!$D$2:$D2766))"),"")</f>
        <v/>
      </c>
      <c r="F1406" s="13" t="str">
        <f>IFERROR(__xludf.DUMMYFUNCTION("ifna(filter('Yahoo ADP'!$E$2:$E2766,'Yahoo ADP'!$B$2:$B2766=$B1406,$C1406='Yahoo ADP'!$C$2:$C2766,$D1406='Yahoo ADP'!$D$2:$D2766))"),"-")</f>
        <v>-</v>
      </c>
      <c r="G1406" s="27">
        <v>1393.0</v>
      </c>
      <c r="H1406" s="8">
        <f t="shared" si="1"/>
        <v>-12</v>
      </c>
    </row>
    <row r="1407">
      <c r="A1407" s="10">
        <v>1406.0</v>
      </c>
      <c r="B1407" s="11" t="s">
        <v>4252</v>
      </c>
      <c r="C1407" s="10" t="s">
        <v>14</v>
      </c>
      <c r="D1407" s="10" t="s">
        <v>120</v>
      </c>
      <c r="E1407" s="13" t="str">
        <f>IFERROR(__xludf.DUMMYFUNCTION("ifna(filter('Yahoo ADP'!$A$2:$A2766,'Yahoo ADP'!$B$2:$B2766=$B1407,$C1407='Yahoo ADP'!$C$2:$C2766,$D1407='Yahoo ADP'!$D$2:$D2766))"),"")</f>
        <v/>
      </c>
      <c r="F1407" s="13" t="str">
        <f>IFERROR(__xludf.DUMMYFUNCTION("ifna(filter('Yahoo ADP'!$E$2:$E2766,'Yahoo ADP'!$B$2:$B2766=$B1407,$C1407='Yahoo ADP'!$C$2:$C2766,$D1407='Yahoo ADP'!$D$2:$D2766))"),"-")</f>
        <v>-</v>
      </c>
      <c r="G1407" s="27">
        <v>1394.0</v>
      </c>
      <c r="H1407" s="8">
        <f t="shared" si="1"/>
        <v>-12</v>
      </c>
    </row>
    <row r="1408">
      <c r="A1408" s="10">
        <v>1407.0</v>
      </c>
      <c r="B1408" s="11" t="s">
        <v>4253</v>
      </c>
      <c r="C1408" s="10" t="s">
        <v>79</v>
      </c>
      <c r="D1408" s="10" t="s">
        <v>31</v>
      </c>
      <c r="E1408" s="13" t="str">
        <f>IFERROR(__xludf.DUMMYFUNCTION("ifna(filter('Yahoo ADP'!$A$2:$A2766,'Yahoo ADP'!$B$2:$B2766=$B1408,$C1408='Yahoo ADP'!$C$2:$C2766,$D1408='Yahoo ADP'!$D$2:$D2766))"),"")</f>
        <v/>
      </c>
      <c r="F1408" s="13" t="str">
        <f>IFERROR(__xludf.DUMMYFUNCTION("ifna(filter('Yahoo ADP'!$E$2:$E2766,'Yahoo ADP'!$B$2:$B2766=$B1408,$C1408='Yahoo ADP'!$C$2:$C2766,$D1408='Yahoo ADP'!$D$2:$D2766))"),"-")</f>
        <v>-</v>
      </c>
      <c r="G1408" s="27">
        <v>1395.0</v>
      </c>
      <c r="H1408" s="8">
        <f t="shared" si="1"/>
        <v>-12</v>
      </c>
    </row>
    <row r="1409">
      <c r="A1409" s="10">
        <v>1408.0</v>
      </c>
      <c r="B1409" s="11" t="s">
        <v>4254</v>
      </c>
      <c r="C1409" s="10" t="s">
        <v>79</v>
      </c>
      <c r="D1409" s="10" t="s">
        <v>122</v>
      </c>
      <c r="E1409" s="13" t="str">
        <f>IFERROR(__xludf.DUMMYFUNCTION("ifna(filter('Yahoo ADP'!$A$2:$A2766,'Yahoo ADP'!$B$2:$B2766=$B1409,$C1409='Yahoo ADP'!$C$2:$C2766,$D1409='Yahoo ADP'!$D$2:$D2766))"),"")</f>
        <v/>
      </c>
      <c r="F1409" s="13" t="str">
        <f>IFERROR(__xludf.DUMMYFUNCTION("ifna(filter('Yahoo ADP'!$E$2:$E2766,'Yahoo ADP'!$B$2:$B2766=$B1409,$C1409='Yahoo ADP'!$C$2:$C2766,$D1409='Yahoo ADP'!$D$2:$D2766))"),"-")</f>
        <v>-</v>
      </c>
      <c r="G1409" s="27">
        <v>1396.0</v>
      </c>
      <c r="H1409" s="8">
        <f t="shared" si="1"/>
        <v>-12</v>
      </c>
    </row>
    <row r="1410">
      <c r="A1410" s="10">
        <v>1409.0</v>
      </c>
      <c r="B1410" s="11" t="s">
        <v>4255</v>
      </c>
      <c r="C1410" s="10" t="s">
        <v>79</v>
      </c>
      <c r="D1410" s="10" t="s">
        <v>31</v>
      </c>
      <c r="E1410" s="13" t="str">
        <f>IFERROR(__xludf.DUMMYFUNCTION("ifna(filter('Yahoo ADP'!$A$2:$A2766,'Yahoo ADP'!$B$2:$B2766=$B1410,$C1410='Yahoo ADP'!$C$2:$C2766,$D1410='Yahoo ADP'!$D$2:$D2766))"),"")</f>
        <v/>
      </c>
      <c r="F1410" s="13" t="str">
        <f>IFERROR(__xludf.DUMMYFUNCTION("ifna(filter('Yahoo ADP'!$E$2:$E2766,'Yahoo ADP'!$B$2:$B2766=$B1410,$C1410='Yahoo ADP'!$C$2:$C2766,$D1410='Yahoo ADP'!$D$2:$D2766))"),"-")</f>
        <v>-</v>
      </c>
      <c r="G1410" s="27">
        <v>1397.0</v>
      </c>
      <c r="H1410" s="8">
        <f t="shared" si="1"/>
        <v>-12</v>
      </c>
    </row>
    <row r="1411">
      <c r="A1411" s="10">
        <v>1410.0</v>
      </c>
      <c r="B1411" s="11" t="s">
        <v>4256</v>
      </c>
      <c r="C1411" s="10" t="s">
        <v>79</v>
      </c>
      <c r="D1411" s="10" t="s">
        <v>105</v>
      </c>
      <c r="E1411" s="13" t="str">
        <f>IFERROR(__xludf.DUMMYFUNCTION("ifna(filter('Yahoo ADP'!$A$2:$A2766,'Yahoo ADP'!$B$2:$B2766=$B1411,$C1411='Yahoo ADP'!$C$2:$C2766,$D1411='Yahoo ADP'!$D$2:$D2766))"),"")</f>
        <v/>
      </c>
      <c r="F1411" s="13" t="str">
        <f>IFERROR(__xludf.DUMMYFUNCTION("ifna(filter('Yahoo ADP'!$E$2:$E2766,'Yahoo ADP'!$B$2:$B2766=$B1411,$C1411='Yahoo ADP'!$C$2:$C2766,$D1411='Yahoo ADP'!$D$2:$D2766))"),"-")</f>
        <v>-</v>
      </c>
      <c r="G1411" s="27">
        <v>1398.0</v>
      </c>
      <c r="H1411" s="8">
        <f t="shared" si="1"/>
        <v>-12</v>
      </c>
    </row>
    <row r="1412">
      <c r="A1412" s="10">
        <v>1411.0</v>
      </c>
      <c r="B1412" s="11" t="s">
        <v>4257</v>
      </c>
      <c r="C1412" s="10" t="s">
        <v>79</v>
      </c>
      <c r="D1412" s="10" t="s">
        <v>140</v>
      </c>
      <c r="E1412" s="13" t="str">
        <f>IFERROR(__xludf.DUMMYFUNCTION("ifna(filter('Yahoo ADP'!$A$2:$A2766,'Yahoo ADP'!$B$2:$B2766=$B1412,$C1412='Yahoo ADP'!$C$2:$C2766,$D1412='Yahoo ADP'!$D$2:$D2766))"),"")</f>
        <v/>
      </c>
      <c r="F1412" s="13" t="str">
        <f>IFERROR(__xludf.DUMMYFUNCTION("ifna(filter('Yahoo ADP'!$E$2:$E2766,'Yahoo ADP'!$B$2:$B2766=$B1412,$C1412='Yahoo ADP'!$C$2:$C2766,$D1412='Yahoo ADP'!$D$2:$D2766))"),"-")</f>
        <v>-</v>
      </c>
      <c r="G1412" s="27">
        <v>1399.0</v>
      </c>
      <c r="H1412" s="8">
        <f t="shared" si="1"/>
        <v>-12</v>
      </c>
    </row>
    <row r="1413">
      <c r="A1413" s="10">
        <v>1412.0</v>
      </c>
      <c r="B1413" s="11" t="s">
        <v>4258</v>
      </c>
      <c r="C1413" s="10" t="s">
        <v>79</v>
      </c>
      <c r="D1413" s="10" t="s">
        <v>105</v>
      </c>
      <c r="E1413" s="13" t="str">
        <f>IFERROR(__xludf.DUMMYFUNCTION("ifna(filter('Yahoo ADP'!$A$2:$A2766,'Yahoo ADP'!$B$2:$B2766=$B1413,$C1413='Yahoo ADP'!$C$2:$C2766,$D1413='Yahoo ADP'!$D$2:$D2766))"),"")</f>
        <v/>
      </c>
      <c r="F1413" s="13" t="str">
        <f>IFERROR(__xludf.DUMMYFUNCTION("ifna(filter('Yahoo ADP'!$E$2:$E2766,'Yahoo ADP'!$B$2:$B2766=$B1413,$C1413='Yahoo ADP'!$C$2:$C2766,$D1413='Yahoo ADP'!$D$2:$D2766))"),"-")</f>
        <v>-</v>
      </c>
      <c r="G1413" s="27">
        <v>1400.0</v>
      </c>
      <c r="H1413" s="8">
        <f t="shared" si="1"/>
        <v>-12</v>
      </c>
    </row>
    <row r="1414">
      <c r="A1414" s="10">
        <v>1413.0</v>
      </c>
      <c r="B1414" s="11" t="s">
        <v>4259</v>
      </c>
      <c r="C1414" s="10" t="s">
        <v>79</v>
      </c>
      <c r="D1414" s="10" t="s">
        <v>82</v>
      </c>
      <c r="E1414" s="13" t="str">
        <f>IFERROR(__xludf.DUMMYFUNCTION("ifna(filter('Yahoo ADP'!$A$2:$A2766,'Yahoo ADP'!$B$2:$B2766=$B1414,$C1414='Yahoo ADP'!$C$2:$C2766,$D1414='Yahoo ADP'!$D$2:$D2766))"),"")</f>
        <v/>
      </c>
      <c r="F1414" s="13" t="str">
        <f>IFERROR(__xludf.DUMMYFUNCTION("ifna(filter('Yahoo ADP'!$E$2:$E2766,'Yahoo ADP'!$B$2:$B2766=$B1414,$C1414='Yahoo ADP'!$C$2:$C2766,$D1414='Yahoo ADP'!$D$2:$D2766))"),"-")</f>
        <v>-</v>
      </c>
      <c r="G1414" s="27">
        <v>1401.0</v>
      </c>
      <c r="H1414" s="8">
        <f t="shared" si="1"/>
        <v>-12</v>
      </c>
    </row>
    <row r="1415">
      <c r="A1415" s="10">
        <v>1414.0</v>
      </c>
      <c r="B1415" s="11" t="s">
        <v>4260</v>
      </c>
      <c r="C1415" s="10" t="s">
        <v>22</v>
      </c>
      <c r="D1415" s="10" t="s">
        <v>99</v>
      </c>
      <c r="E1415" s="13" t="str">
        <f>IFERROR(__xludf.DUMMYFUNCTION("ifna(filter('Yahoo ADP'!$A$2:$A2766,'Yahoo ADP'!$B$2:$B2766=$B1415,$C1415='Yahoo ADP'!$C$2:$C2766,$D1415='Yahoo ADP'!$D$2:$D2766))"),"")</f>
        <v/>
      </c>
      <c r="F1415" s="13" t="str">
        <f>IFERROR(__xludf.DUMMYFUNCTION("ifna(filter('Yahoo ADP'!$E$2:$E2766,'Yahoo ADP'!$B$2:$B2766=$B1415,$C1415='Yahoo ADP'!$C$2:$C2766,$D1415='Yahoo ADP'!$D$2:$D2766))"),"-")</f>
        <v>-</v>
      </c>
      <c r="G1415" s="27">
        <v>1402.0</v>
      </c>
      <c r="H1415" s="8">
        <f t="shared" si="1"/>
        <v>-12</v>
      </c>
    </row>
    <row r="1416">
      <c r="A1416" s="10">
        <v>1415.0</v>
      </c>
      <c r="B1416" s="11" t="s">
        <v>4261</v>
      </c>
      <c r="C1416" s="10" t="s">
        <v>22</v>
      </c>
      <c r="D1416" s="10" t="s">
        <v>25</v>
      </c>
      <c r="E1416" s="13" t="str">
        <f>IFERROR(__xludf.DUMMYFUNCTION("ifna(filter('Yahoo ADP'!$A$2:$A2766,'Yahoo ADP'!$B$2:$B2766=$B1416,$C1416='Yahoo ADP'!$C$2:$C2766,$D1416='Yahoo ADP'!$D$2:$D2766))"),"")</f>
        <v/>
      </c>
      <c r="F1416" s="13" t="str">
        <f>IFERROR(__xludf.DUMMYFUNCTION("ifna(filter('Yahoo ADP'!$E$2:$E2766,'Yahoo ADP'!$B$2:$B2766=$B1416,$C1416='Yahoo ADP'!$C$2:$C2766,$D1416='Yahoo ADP'!$D$2:$D2766))"),"-")</f>
        <v>-</v>
      </c>
      <c r="G1416" s="27">
        <v>1403.0</v>
      </c>
      <c r="H1416" s="8">
        <f t="shared" si="1"/>
        <v>-12</v>
      </c>
    </row>
    <row r="1417">
      <c r="A1417" s="10">
        <v>1416.0</v>
      </c>
      <c r="B1417" s="11" t="s">
        <v>4262</v>
      </c>
      <c r="C1417" s="10" t="s">
        <v>79</v>
      </c>
      <c r="D1417" s="10" t="s">
        <v>9</v>
      </c>
      <c r="E1417" s="13" t="str">
        <f>IFERROR(__xludf.DUMMYFUNCTION("ifna(filter('Yahoo ADP'!$A$2:$A2766,'Yahoo ADP'!$B$2:$B2766=$B1417,$C1417='Yahoo ADP'!$C$2:$C2766,$D1417='Yahoo ADP'!$D$2:$D2766))"),"")</f>
        <v/>
      </c>
      <c r="F1417" s="13" t="str">
        <f>IFERROR(__xludf.DUMMYFUNCTION("ifna(filter('Yahoo ADP'!$E$2:$E2766,'Yahoo ADP'!$B$2:$B2766=$B1417,$C1417='Yahoo ADP'!$C$2:$C2766,$D1417='Yahoo ADP'!$D$2:$D2766))"),"-")</f>
        <v>-</v>
      </c>
      <c r="G1417" s="27">
        <v>1404.0</v>
      </c>
      <c r="H1417" s="8">
        <f t="shared" si="1"/>
        <v>-12</v>
      </c>
    </row>
    <row r="1418">
      <c r="A1418" s="10">
        <v>1417.0</v>
      </c>
      <c r="B1418" s="11" t="s">
        <v>4263</v>
      </c>
      <c r="C1418" s="10" t="s">
        <v>79</v>
      </c>
      <c r="D1418" s="10" t="s">
        <v>82</v>
      </c>
      <c r="E1418" s="13" t="str">
        <f>IFERROR(__xludf.DUMMYFUNCTION("ifna(filter('Yahoo ADP'!$A$2:$A2766,'Yahoo ADP'!$B$2:$B2766=$B1418,$C1418='Yahoo ADP'!$C$2:$C2766,$D1418='Yahoo ADP'!$D$2:$D2766))"),"")</f>
        <v/>
      </c>
      <c r="F1418" s="13" t="str">
        <f>IFERROR(__xludf.DUMMYFUNCTION("ifna(filter('Yahoo ADP'!$E$2:$E2766,'Yahoo ADP'!$B$2:$B2766=$B1418,$C1418='Yahoo ADP'!$C$2:$C2766,$D1418='Yahoo ADP'!$D$2:$D2766))"),"-")</f>
        <v>-</v>
      </c>
      <c r="G1418" s="27">
        <v>1405.0</v>
      </c>
      <c r="H1418" s="8">
        <f t="shared" si="1"/>
        <v>-12</v>
      </c>
    </row>
    <row r="1419">
      <c r="A1419" s="10">
        <v>1418.0</v>
      </c>
      <c r="B1419" s="11" t="s">
        <v>4264</v>
      </c>
      <c r="C1419" s="10" t="s">
        <v>22</v>
      </c>
      <c r="D1419" s="10" t="s">
        <v>122</v>
      </c>
      <c r="E1419" s="13" t="str">
        <f>IFERROR(__xludf.DUMMYFUNCTION("ifna(filter('Yahoo ADP'!$A$2:$A2766,'Yahoo ADP'!$B$2:$B2766=$B1419,$C1419='Yahoo ADP'!$C$2:$C2766,$D1419='Yahoo ADP'!$D$2:$D2766))"),"")</f>
        <v/>
      </c>
      <c r="F1419" s="13" t="str">
        <f>IFERROR(__xludf.DUMMYFUNCTION("ifna(filter('Yahoo ADP'!$E$2:$E2766,'Yahoo ADP'!$B$2:$B2766=$B1419,$C1419='Yahoo ADP'!$C$2:$C2766,$D1419='Yahoo ADP'!$D$2:$D2766))"),"-")</f>
        <v>-</v>
      </c>
      <c r="G1419" s="27">
        <v>1406.0</v>
      </c>
      <c r="H1419" s="8">
        <f t="shared" si="1"/>
        <v>-12</v>
      </c>
    </row>
    <row r="1420">
      <c r="A1420" s="10">
        <v>1419.0</v>
      </c>
      <c r="B1420" s="11" t="s">
        <v>4265</v>
      </c>
      <c r="C1420" s="10" t="s">
        <v>79</v>
      </c>
      <c r="D1420" s="10" t="s">
        <v>42</v>
      </c>
      <c r="E1420" s="13" t="str">
        <f>IFERROR(__xludf.DUMMYFUNCTION("ifna(filter('Yahoo ADP'!$A$2:$A2766,'Yahoo ADP'!$B$2:$B2766=$B1420,$C1420='Yahoo ADP'!$C$2:$C2766,$D1420='Yahoo ADP'!$D$2:$D2766))"),"")</f>
        <v/>
      </c>
      <c r="F1420" s="13" t="str">
        <f>IFERROR(__xludf.DUMMYFUNCTION("ifna(filter('Yahoo ADP'!$E$2:$E2766,'Yahoo ADP'!$B$2:$B2766=$B1420,$C1420='Yahoo ADP'!$C$2:$C2766,$D1420='Yahoo ADP'!$D$2:$D2766))"),"-")</f>
        <v>-</v>
      </c>
      <c r="G1420" s="27">
        <v>1407.0</v>
      </c>
      <c r="H1420" s="8">
        <f t="shared" si="1"/>
        <v>-12</v>
      </c>
    </row>
    <row r="1421">
      <c r="A1421" s="10">
        <v>1420.0</v>
      </c>
      <c r="B1421" s="11" t="s">
        <v>4266</v>
      </c>
      <c r="C1421" s="10" t="s">
        <v>79</v>
      </c>
      <c r="D1421" s="10" t="s">
        <v>129</v>
      </c>
      <c r="E1421" s="13" t="str">
        <f>IFERROR(__xludf.DUMMYFUNCTION("ifna(filter('Yahoo ADP'!$A$2:$A2766,'Yahoo ADP'!$B$2:$B2766=$B1421,$C1421='Yahoo ADP'!$C$2:$C2766,$D1421='Yahoo ADP'!$D$2:$D2766))"),"")</f>
        <v/>
      </c>
      <c r="F1421" s="13" t="str">
        <f>IFERROR(__xludf.DUMMYFUNCTION("ifna(filter('Yahoo ADP'!$E$2:$E2766,'Yahoo ADP'!$B$2:$B2766=$B1421,$C1421='Yahoo ADP'!$C$2:$C2766,$D1421='Yahoo ADP'!$D$2:$D2766))"),"-")</f>
        <v>-</v>
      </c>
      <c r="G1421" s="27">
        <v>1408.0</v>
      </c>
      <c r="H1421" s="8">
        <f t="shared" si="1"/>
        <v>-12</v>
      </c>
    </row>
    <row r="1422">
      <c r="A1422" s="10">
        <v>1421.0</v>
      </c>
      <c r="B1422" s="11" t="s">
        <v>4267</v>
      </c>
      <c r="C1422" s="10" t="s">
        <v>22</v>
      </c>
      <c r="D1422" s="10" t="s">
        <v>34</v>
      </c>
      <c r="E1422" s="13" t="str">
        <f>IFERROR(__xludf.DUMMYFUNCTION("ifna(filter('Yahoo ADP'!$A$2:$A2766,'Yahoo ADP'!$B$2:$B2766=$B1422,$C1422='Yahoo ADP'!$C$2:$C2766,$D1422='Yahoo ADP'!$D$2:$D2766))"),"")</f>
        <v/>
      </c>
      <c r="F1422" s="13" t="str">
        <f>IFERROR(__xludf.DUMMYFUNCTION("ifna(filter('Yahoo ADP'!$E$2:$E2766,'Yahoo ADP'!$B$2:$B2766=$B1422,$C1422='Yahoo ADP'!$C$2:$C2766,$D1422='Yahoo ADP'!$D$2:$D2766))"),"-")</f>
        <v>-</v>
      </c>
      <c r="G1422" s="27">
        <v>1409.0</v>
      </c>
      <c r="H1422" s="8">
        <f t="shared" si="1"/>
        <v>-12</v>
      </c>
    </row>
    <row r="1423">
      <c r="A1423" s="10">
        <v>1422.0</v>
      </c>
      <c r="B1423" s="11" t="s">
        <v>4268</v>
      </c>
      <c r="C1423" s="10" t="s">
        <v>22</v>
      </c>
      <c r="D1423" s="10" t="s">
        <v>129</v>
      </c>
      <c r="E1423" s="13" t="str">
        <f>IFERROR(__xludf.DUMMYFUNCTION("ifna(filter('Yahoo ADP'!$A$2:$A2766,'Yahoo ADP'!$B$2:$B2766=$B1423,$C1423='Yahoo ADP'!$C$2:$C2766,$D1423='Yahoo ADP'!$D$2:$D2766))"),"")</f>
        <v/>
      </c>
      <c r="F1423" s="13" t="str">
        <f>IFERROR(__xludf.DUMMYFUNCTION("ifna(filter('Yahoo ADP'!$E$2:$E2766,'Yahoo ADP'!$B$2:$B2766=$B1423,$C1423='Yahoo ADP'!$C$2:$C2766,$D1423='Yahoo ADP'!$D$2:$D2766))"),"-")</f>
        <v>-</v>
      </c>
      <c r="G1423" s="27">
        <v>1410.0</v>
      </c>
      <c r="H1423" s="8">
        <f t="shared" si="1"/>
        <v>-12</v>
      </c>
    </row>
    <row r="1424">
      <c r="A1424" s="10">
        <v>1423.0</v>
      </c>
      <c r="B1424" s="11" t="s">
        <v>4269</v>
      </c>
      <c r="C1424" s="10" t="s">
        <v>79</v>
      </c>
      <c r="D1424" s="10" t="s">
        <v>23</v>
      </c>
      <c r="E1424" s="13" t="str">
        <f>IFERROR(__xludf.DUMMYFUNCTION("ifna(filter('Yahoo ADP'!$A$2:$A2766,'Yahoo ADP'!$B$2:$B2766=$B1424,$C1424='Yahoo ADP'!$C$2:$C2766,$D1424='Yahoo ADP'!$D$2:$D2766))"),"")</f>
        <v/>
      </c>
      <c r="F1424" s="13" t="str">
        <f>IFERROR(__xludf.DUMMYFUNCTION("ifna(filter('Yahoo ADP'!$E$2:$E2766,'Yahoo ADP'!$B$2:$B2766=$B1424,$C1424='Yahoo ADP'!$C$2:$C2766,$D1424='Yahoo ADP'!$D$2:$D2766))"),"-")</f>
        <v>-</v>
      </c>
      <c r="G1424" s="27">
        <v>1411.0</v>
      </c>
      <c r="H1424" s="8">
        <f t="shared" si="1"/>
        <v>-12</v>
      </c>
    </row>
    <row r="1425">
      <c r="A1425" s="10">
        <v>1424.0</v>
      </c>
      <c r="B1425" s="11" t="s">
        <v>4270</v>
      </c>
      <c r="C1425" s="10" t="s">
        <v>77</v>
      </c>
      <c r="D1425" s="10" t="s">
        <v>34</v>
      </c>
      <c r="E1425" s="13" t="str">
        <f>IFERROR(__xludf.DUMMYFUNCTION("ifna(filter('Yahoo ADP'!$A$2:$A2766,'Yahoo ADP'!$B$2:$B2766=$B1425,$C1425='Yahoo ADP'!$C$2:$C2766,$D1425='Yahoo ADP'!$D$2:$D2766))"),"")</f>
        <v/>
      </c>
      <c r="F1425" s="13" t="str">
        <f>IFERROR(__xludf.DUMMYFUNCTION("ifna(filter('Yahoo ADP'!$E$2:$E2766,'Yahoo ADP'!$B$2:$B2766=$B1425,$C1425='Yahoo ADP'!$C$2:$C2766,$D1425='Yahoo ADP'!$D$2:$D2766))"),"-")</f>
        <v>-</v>
      </c>
      <c r="G1425" s="27">
        <v>1412.0</v>
      </c>
      <c r="H1425" s="8">
        <f t="shared" si="1"/>
        <v>-12</v>
      </c>
    </row>
    <row r="1426">
      <c r="A1426" s="10">
        <v>1425.0</v>
      </c>
      <c r="B1426" s="11" t="s">
        <v>4271</v>
      </c>
      <c r="C1426" s="10" t="s">
        <v>79</v>
      </c>
      <c r="D1426" s="10" t="s">
        <v>18</v>
      </c>
      <c r="E1426" s="13" t="str">
        <f>IFERROR(__xludf.DUMMYFUNCTION("ifna(filter('Yahoo ADP'!$A$2:$A2766,'Yahoo ADP'!$B$2:$B2766=$B1426,$C1426='Yahoo ADP'!$C$2:$C2766,$D1426='Yahoo ADP'!$D$2:$D2766))"),"")</f>
        <v/>
      </c>
      <c r="F1426" s="13" t="str">
        <f>IFERROR(__xludf.DUMMYFUNCTION("ifna(filter('Yahoo ADP'!$E$2:$E2766,'Yahoo ADP'!$B$2:$B2766=$B1426,$C1426='Yahoo ADP'!$C$2:$C2766,$D1426='Yahoo ADP'!$D$2:$D2766))"),"-")</f>
        <v>-</v>
      </c>
      <c r="G1426" s="27">
        <v>1413.0</v>
      </c>
      <c r="H1426" s="8">
        <f t="shared" si="1"/>
        <v>-12</v>
      </c>
    </row>
    <row r="1427">
      <c r="A1427" s="10">
        <v>1426.0</v>
      </c>
      <c r="B1427" s="11" t="s">
        <v>4272</v>
      </c>
      <c r="C1427" s="10" t="s">
        <v>79</v>
      </c>
      <c r="D1427" s="10" t="s">
        <v>27</v>
      </c>
      <c r="E1427" s="13" t="str">
        <f>IFERROR(__xludf.DUMMYFUNCTION("ifna(filter('Yahoo ADP'!$A$2:$A2766,'Yahoo ADP'!$B$2:$B2766=$B1427,$C1427='Yahoo ADP'!$C$2:$C2766,$D1427='Yahoo ADP'!$D$2:$D2766))"),"")</f>
        <v/>
      </c>
      <c r="F1427" s="13" t="str">
        <f>IFERROR(__xludf.DUMMYFUNCTION("ifna(filter('Yahoo ADP'!$E$2:$E2766,'Yahoo ADP'!$B$2:$B2766=$B1427,$C1427='Yahoo ADP'!$C$2:$C2766,$D1427='Yahoo ADP'!$D$2:$D2766))"),"-")</f>
        <v>-</v>
      </c>
      <c r="G1427" s="27">
        <v>1414.0</v>
      </c>
      <c r="H1427" s="8">
        <f t="shared" si="1"/>
        <v>-12</v>
      </c>
    </row>
    <row r="1428">
      <c r="A1428" s="10">
        <v>1427.0</v>
      </c>
      <c r="B1428" s="11" t="s">
        <v>4273</v>
      </c>
      <c r="C1428" s="10" t="s">
        <v>585</v>
      </c>
      <c r="D1428" s="10" t="s">
        <v>95</v>
      </c>
      <c r="E1428" s="13" t="str">
        <f>IFERROR(__xludf.DUMMYFUNCTION("ifna(filter('Yahoo ADP'!$A$2:$A2766,'Yahoo ADP'!$B$2:$B2766=$B1428,$C1428='Yahoo ADP'!$C$2:$C2766,$D1428='Yahoo ADP'!$D$2:$D2766))"),"")</f>
        <v/>
      </c>
      <c r="F1428" s="13" t="str">
        <f>IFERROR(__xludf.DUMMYFUNCTION("ifna(filter('Yahoo ADP'!$E$2:$E2766,'Yahoo ADP'!$B$2:$B2766=$B1428,$C1428='Yahoo ADP'!$C$2:$C2766,$D1428='Yahoo ADP'!$D$2:$D2766))"),"-")</f>
        <v>-</v>
      </c>
      <c r="G1428" s="27">
        <v>1415.0</v>
      </c>
      <c r="H1428" s="8">
        <f t="shared" si="1"/>
        <v>-12</v>
      </c>
    </row>
    <row r="1429">
      <c r="A1429" s="10">
        <v>1428.0</v>
      </c>
      <c r="B1429" s="11" t="s">
        <v>4274</v>
      </c>
      <c r="C1429" s="10" t="s">
        <v>79</v>
      </c>
      <c r="D1429" s="10" t="s">
        <v>18</v>
      </c>
      <c r="E1429" s="13" t="str">
        <f>IFERROR(__xludf.DUMMYFUNCTION("ifna(filter('Yahoo ADP'!$A$2:$A2766,'Yahoo ADP'!$B$2:$B2766=$B1429,$C1429='Yahoo ADP'!$C$2:$C2766,$D1429='Yahoo ADP'!$D$2:$D2766))"),"")</f>
        <v/>
      </c>
      <c r="F1429" s="13" t="str">
        <f>IFERROR(__xludf.DUMMYFUNCTION("ifna(filter('Yahoo ADP'!$E$2:$E2766,'Yahoo ADP'!$B$2:$B2766=$B1429,$C1429='Yahoo ADP'!$C$2:$C2766,$D1429='Yahoo ADP'!$D$2:$D2766))"),"-")</f>
        <v>-</v>
      </c>
      <c r="G1429" s="27">
        <v>1416.0</v>
      </c>
      <c r="H1429" s="8">
        <f t="shared" si="1"/>
        <v>-12</v>
      </c>
    </row>
    <row r="1430">
      <c r="A1430" s="10">
        <v>1429.0</v>
      </c>
      <c r="B1430" s="11" t="s">
        <v>4275</v>
      </c>
      <c r="C1430" s="10" t="s">
        <v>22</v>
      </c>
      <c r="D1430" s="10" t="s">
        <v>36</v>
      </c>
      <c r="E1430" s="13" t="str">
        <f>IFERROR(__xludf.DUMMYFUNCTION("ifna(filter('Yahoo ADP'!$A$2:$A2766,'Yahoo ADP'!$B$2:$B2766=$B1430,$C1430='Yahoo ADP'!$C$2:$C2766,$D1430='Yahoo ADP'!$D$2:$D2766))"),"")</f>
        <v/>
      </c>
      <c r="F1430" s="13" t="str">
        <f>IFERROR(__xludf.DUMMYFUNCTION("ifna(filter('Yahoo ADP'!$E$2:$E2766,'Yahoo ADP'!$B$2:$B2766=$B1430,$C1430='Yahoo ADP'!$C$2:$C2766,$D1430='Yahoo ADP'!$D$2:$D2766))"),"-")</f>
        <v>-</v>
      </c>
      <c r="G1430" s="27">
        <v>1417.0</v>
      </c>
      <c r="H1430" s="8">
        <f t="shared" si="1"/>
        <v>-12</v>
      </c>
    </row>
    <row r="1431">
      <c r="A1431" s="10">
        <v>1430.0</v>
      </c>
      <c r="B1431" s="11" t="s">
        <v>4276</v>
      </c>
      <c r="C1431" s="10" t="s">
        <v>79</v>
      </c>
      <c r="D1431" s="10" t="s">
        <v>27</v>
      </c>
      <c r="E1431" s="13" t="str">
        <f>IFERROR(__xludf.DUMMYFUNCTION("ifna(filter('Yahoo ADP'!$A$2:$A2766,'Yahoo ADP'!$B$2:$B2766=$B1431,$C1431='Yahoo ADP'!$C$2:$C2766,$D1431='Yahoo ADP'!$D$2:$D2766))"),"")</f>
        <v/>
      </c>
      <c r="F1431" s="13" t="str">
        <f>IFERROR(__xludf.DUMMYFUNCTION("ifna(filter('Yahoo ADP'!$E$2:$E2766,'Yahoo ADP'!$B$2:$B2766=$B1431,$C1431='Yahoo ADP'!$C$2:$C2766,$D1431='Yahoo ADP'!$D$2:$D2766))"),"-")</f>
        <v>-</v>
      </c>
      <c r="G1431" s="27">
        <v>1418.0</v>
      </c>
      <c r="H1431" s="8">
        <f t="shared" si="1"/>
        <v>-12</v>
      </c>
    </row>
    <row r="1432">
      <c r="A1432" s="10">
        <v>1431.0</v>
      </c>
      <c r="B1432" s="11" t="s">
        <v>4277</v>
      </c>
      <c r="C1432" s="10" t="s">
        <v>79</v>
      </c>
      <c r="D1432" s="10" t="s">
        <v>31</v>
      </c>
      <c r="E1432" s="13" t="str">
        <f>IFERROR(__xludf.DUMMYFUNCTION("ifna(filter('Yahoo ADP'!$A$2:$A2766,'Yahoo ADP'!$B$2:$B2766=$B1432,$C1432='Yahoo ADP'!$C$2:$C2766,$D1432='Yahoo ADP'!$D$2:$D2766))"),"")</f>
        <v/>
      </c>
      <c r="F1432" s="13" t="str">
        <f>IFERROR(__xludf.DUMMYFUNCTION("ifna(filter('Yahoo ADP'!$E$2:$E2766,'Yahoo ADP'!$B$2:$B2766=$B1432,$C1432='Yahoo ADP'!$C$2:$C2766,$D1432='Yahoo ADP'!$D$2:$D2766))"),"-")</f>
        <v>-</v>
      </c>
      <c r="G1432" s="27">
        <v>1419.0</v>
      </c>
      <c r="H1432" s="8">
        <f t="shared" si="1"/>
        <v>-12</v>
      </c>
    </row>
    <row r="1433">
      <c r="A1433" s="10">
        <v>1432.0</v>
      </c>
      <c r="B1433" s="11" t="s">
        <v>4278</v>
      </c>
      <c r="C1433" s="10" t="s">
        <v>79</v>
      </c>
      <c r="D1433" s="10" t="s">
        <v>52</v>
      </c>
      <c r="E1433" s="13" t="str">
        <f>IFERROR(__xludf.DUMMYFUNCTION("ifna(filter('Yahoo ADP'!$A$2:$A2766,'Yahoo ADP'!$B$2:$B2766=$B1433,$C1433='Yahoo ADP'!$C$2:$C2766,$D1433='Yahoo ADP'!$D$2:$D2766))"),"")</f>
        <v/>
      </c>
      <c r="F1433" s="13" t="str">
        <f>IFERROR(__xludf.DUMMYFUNCTION("ifna(filter('Yahoo ADP'!$E$2:$E2766,'Yahoo ADP'!$B$2:$B2766=$B1433,$C1433='Yahoo ADP'!$C$2:$C2766,$D1433='Yahoo ADP'!$D$2:$D2766))"),"-")</f>
        <v>-</v>
      </c>
      <c r="G1433" s="27">
        <v>1420.0</v>
      </c>
      <c r="H1433" s="8">
        <f t="shared" si="1"/>
        <v>-12</v>
      </c>
    </row>
    <row r="1434">
      <c r="A1434" s="10">
        <v>1433.0</v>
      </c>
      <c r="B1434" s="11" t="s">
        <v>4279</v>
      </c>
      <c r="C1434" s="10" t="s">
        <v>79</v>
      </c>
      <c r="D1434" s="10" t="s">
        <v>71</v>
      </c>
      <c r="E1434" s="13" t="str">
        <f>IFERROR(__xludf.DUMMYFUNCTION("ifna(filter('Yahoo ADP'!$A$2:$A2766,'Yahoo ADP'!$B$2:$B2766=$B1434,$C1434='Yahoo ADP'!$C$2:$C2766,$D1434='Yahoo ADP'!$D$2:$D2766))"),"")</f>
        <v/>
      </c>
      <c r="F1434" s="13" t="str">
        <f>IFERROR(__xludf.DUMMYFUNCTION("ifna(filter('Yahoo ADP'!$E$2:$E2766,'Yahoo ADP'!$B$2:$B2766=$B1434,$C1434='Yahoo ADP'!$C$2:$C2766,$D1434='Yahoo ADP'!$D$2:$D2766))"),"-")</f>
        <v>-</v>
      </c>
      <c r="G1434" s="27">
        <v>1421.0</v>
      </c>
      <c r="H1434" s="8">
        <f t="shared" si="1"/>
        <v>-12</v>
      </c>
    </row>
    <row r="1435">
      <c r="A1435" s="10">
        <v>1434.0</v>
      </c>
      <c r="B1435" s="11" t="s">
        <v>4280</v>
      </c>
      <c r="C1435" s="10" t="s">
        <v>240</v>
      </c>
      <c r="D1435" s="10" t="s">
        <v>34</v>
      </c>
      <c r="E1435" s="13" t="str">
        <f>IFERROR(__xludf.DUMMYFUNCTION("ifna(filter('Yahoo ADP'!$A$2:$A2766,'Yahoo ADP'!$B$2:$B2766=$B1435,$C1435='Yahoo ADP'!$C$2:$C2766,$D1435='Yahoo ADP'!$D$2:$D2766))"),"")</f>
        <v/>
      </c>
      <c r="F1435" s="13" t="str">
        <f>IFERROR(__xludf.DUMMYFUNCTION("ifna(filter('Yahoo ADP'!$E$2:$E2766,'Yahoo ADP'!$B$2:$B2766=$B1435,$C1435='Yahoo ADP'!$C$2:$C2766,$D1435='Yahoo ADP'!$D$2:$D2766))"),"-")</f>
        <v>-</v>
      </c>
      <c r="G1435" s="27">
        <v>1422.0</v>
      </c>
      <c r="H1435" s="8">
        <f t="shared" si="1"/>
        <v>-12</v>
      </c>
    </row>
    <row r="1436">
      <c r="A1436" s="10">
        <v>1435.0</v>
      </c>
      <c r="B1436" s="11" t="s">
        <v>4281</v>
      </c>
      <c r="C1436" s="10" t="s">
        <v>79</v>
      </c>
      <c r="D1436" s="10" t="s">
        <v>23</v>
      </c>
      <c r="E1436" s="13" t="str">
        <f>IFERROR(__xludf.DUMMYFUNCTION("ifna(filter('Yahoo ADP'!$A$2:$A2766,'Yahoo ADP'!$B$2:$B2766=$B1436,$C1436='Yahoo ADP'!$C$2:$C2766,$D1436='Yahoo ADP'!$D$2:$D2766))"),"")</f>
        <v/>
      </c>
      <c r="F1436" s="13" t="str">
        <f>IFERROR(__xludf.DUMMYFUNCTION("ifna(filter('Yahoo ADP'!$E$2:$E2766,'Yahoo ADP'!$B$2:$B2766=$B1436,$C1436='Yahoo ADP'!$C$2:$C2766,$D1436='Yahoo ADP'!$D$2:$D2766))"),"-")</f>
        <v>-</v>
      </c>
      <c r="G1436" s="27">
        <v>1423.0</v>
      </c>
      <c r="H1436" s="8">
        <f t="shared" si="1"/>
        <v>-12</v>
      </c>
    </row>
    <row r="1437">
      <c r="A1437" s="10">
        <v>1436.0</v>
      </c>
      <c r="B1437" s="11" t="s">
        <v>4282</v>
      </c>
      <c r="C1437" s="10" t="s">
        <v>79</v>
      </c>
      <c r="D1437" s="10" t="s">
        <v>85</v>
      </c>
      <c r="E1437" s="13" t="str">
        <f>IFERROR(__xludf.DUMMYFUNCTION("ifna(filter('Yahoo ADP'!$A$2:$A2766,'Yahoo ADP'!$B$2:$B2766=$B1437,$C1437='Yahoo ADP'!$C$2:$C2766,$D1437='Yahoo ADP'!$D$2:$D2766))"),"")</f>
        <v/>
      </c>
      <c r="F1437" s="13" t="str">
        <f>IFERROR(__xludf.DUMMYFUNCTION("ifna(filter('Yahoo ADP'!$E$2:$E2766,'Yahoo ADP'!$B$2:$B2766=$B1437,$C1437='Yahoo ADP'!$C$2:$C2766,$D1437='Yahoo ADP'!$D$2:$D2766))"),"-")</f>
        <v>-</v>
      </c>
      <c r="G1437" s="27">
        <v>1424.0</v>
      </c>
      <c r="H1437" s="8">
        <f t="shared" si="1"/>
        <v>-12</v>
      </c>
    </row>
    <row r="1438">
      <c r="A1438" s="10">
        <v>1437.0</v>
      </c>
      <c r="B1438" s="11" t="s">
        <v>4283</v>
      </c>
      <c r="C1438" s="10" t="s">
        <v>79</v>
      </c>
      <c r="D1438" s="10" t="s">
        <v>27</v>
      </c>
      <c r="E1438" s="13" t="str">
        <f>IFERROR(__xludf.DUMMYFUNCTION("ifna(filter('Yahoo ADP'!$A$2:$A2766,'Yahoo ADP'!$B$2:$B2766=$B1438,$C1438='Yahoo ADP'!$C$2:$C2766,$D1438='Yahoo ADP'!$D$2:$D2766))"),"")</f>
        <v/>
      </c>
      <c r="F1438" s="13" t="str">
        <f>IFERROR(__xludf.DUMMYFUNCTION("ifna(filter('Yahoo ADP'!$E$2:$E2766,'Yahoo ADP'!$B$2:$B2766=$B1438,$C1438='Yahoo ADP'!$C$2:$C2766,$D1438='Yahoo ADP'!$D$2:$D2766))"),"-")</f>
        <v>-</v>
      </c>
      <c r="G1438" s="27">
        <v>1425.0</v>
      </c>
      <c r="H1438" s="8">
        <f t="shared" si="1"/>
        <v>-12</v>
      </c>
    </row>
    <row r="1439">
      <c r="A1439" s="10">
        <v>1438.0</v>
      </c>
      <c r="B1439" s="11" t="s">
        <v>4284</v>
      </c>
      <c r="C1439" s="10" t="s">
        <v>79</v>
      </c>
      <c r="D1439" s="10" t="s">
        <v>71</v>
      </c>
      <c r="E1439" s="13" t="str">
        <f>IFERROR(__xludf.DUMMYFUNCTION("ifna(filter('Yahoo ADP'!$A$2:$A2766,'Yahoo ADP'!$B$2:$B2766=$B1439,$C1439='Yahoo ADP'!$C$2:$C2766,$D1439='Yahoo ADP'!$D$2:$D2766))"),"")</f>
        <v/>
      </c>
      <c r="F1439" s="13" t="str">
        <f>IFERROR(__xludf.DUMMYFUNCTION("ifna(filter('Yahoo ADP'!$E$2:$E2766,'Yahoo ADP'!$B$2:$B2766=$B1439,$C1439='Yahoo ADP'!$C$2:$C2766,$D1439='Yahoo ADP'!$D$2:$D2766))"),"-")</f>
        <v>-</v>
      </c>
      <c r="G1439" s="27">
        <v>1426.0</v>
      </c>
      <c r="H1439" s="8">
        <f t="shared" si="1"/>
        <v>-12</v>
      </c>
    </row>
    <row r="1440">
      <c r="A1440" s="10">
        <v>1439.0</v>
      </c>
      <c r="B1440" s="11" t="s">
        <v>4285</v>
      </c>
      <c r="C1440" s="10" t="s">
        <v>700</v>
      </c>
      <c r="D1440" s="10" t="s">
        <v>27</v>
      </c>
      <c r="E1440" s="13" t="str">
        <f>IFERROR(__xludf.DUMMYFUNCTION("ifna(filter('Yahoo ADP'!$A$2:$A2766,'Yahoo ADP'!$B$2:$B2766=$B1440,$C1440='Yahoo ADP'!$C$2:$C2766,$D1440='Yahoo ADP'!$D$2:$D2766))"),"")</f>
        <v/>
      </c>
      <c r="F1440" s="13" t="str">
        <f>IFERROR(__xludf.DUMMYFUNCTION("ifna(filter('Yahoo ADP'!$E$2:$E2766,'Yahoo ADP'!$B$2:$B2766=$B1440,$C1440='Yahoo ADP'!$C$2:$C2766,$D1440='Yahoo ADP'!$D$2:$D2766))"),"-")</f>
        <v>-</v>
      </c>
      <c r="G1440" s="27">
        <v>1427.0</v>
      </c>
      <c r="H1440" s="8">
        <f t="shared" si="1"/>
        <v>-12</v>
      </c>
    </row>
    <row r="1441">
      <c r="A1441" s="10">
        <v>1440.0</v>
      </c>
      <c r="B1441" s="11" t="s">
        <v>4286</v>
      </c>
      <c r="C1441" s="10" t="s">
        <v>79</v>
      </c>
      <c r="D1441" s="10" t="s">
        <v>137</v>
      </c>
      <c r="E1441" s="13" t="str">
        <f>IFERROR(__xludf.DUMMYFUNCTION("ifna(filter('Yahoo ADP'!$A$2:$A2766,'Yahoo ADP'!$B$2:$B2766=$B1441,$C1441='Yahoo ADP'!$C$2:$C2766,$D1441='Yahoo ADP'!$D$2:$D2766))"),"")</f>
        <v/>
      </c>
      <c r="F1441" s="13" t="str">
        <f>IFERROR(__xludf.DUMMYFUNCTION("ifna(filter('Yahoo ADP'!$E$2:$E2766,'Yahoo ADP'!$B$2:$B2766=$B1441,$C1441='Yahoo ADP'!$C$2:$C2766,$D1441='Yahoo ADP'!$D$2:$D2766))"),"-")</f>
        <v>-</v>
      </c>
      <c r="G1441" s="27">
        <v>1428.0</v>
      </c>
      <c r="H1441" s="8">
        <f t="shared" si="1"/>
        <v>-12</v>
      </c>
    </row>
    <row r="1442">
      <c r="A1442" s="10">
        <v>1441.0</v>
      </c>
      <c r="B1442" s="11" t="s">
        <v>4287</v>
      </c>
      <c r="C1442" s="10" t="s">
        <v>79</v>
      </c>
      <c r="D1442" s="10" t="s">
        <v>18</v>
      </c>
      <c r="E1442" s="13" t="str">
        <f>IFERROR(__xludf.DUMMYFUNCTION("ifna(filter('Yahoo ADP'!$A$2:$A2766,'Yahoo ADP'!$B$2:$B2766=$B1442,$C1442='Yahoo ADP'!$C$2:$C2766,$D1442='Yahoo ADP'!$D$2:$D2766))"),"")</f>
        <v/>
      </c>
      <c r="F1442" s="13" t="str">
        <f>IFERROR(__xludf.DUMMYFUNCTION("ifna(filter('Yahoo ADP'!$E$2:$E2766,'Yahoo ADP'!$B$2:$B2766=$B1442,$C1442='Yahoo ADP'!$C$2:$C2766,$D1442='Yahoo ADP'!$D$2:$D2766))"),"-")</f>
        <v>-</v>
      </c>
      <c r="G1442" s="27">
        <v>1429.0</v>
      </c>
      <c r="H1442" s="8">
        <f t="shared" si="1"/>
        <v>-12</v>
      </c>
    </row>
    <row r="1443">
      <c r="A1443" s="10">
        <v>1442.0</v>
      </c>
      <c r="B1443" s="11" t="s">
        <v>4288</v>
      </c>
      <c r="C1443" s="10" t="s">
        <v>79</v>
      </c>
      <c r="D1443" s="10" t="s">
        <v>113</v>
      </c>
      <c r="E1443" s="13" t="str">
        <f>IFERROR(__xludf.DUMMYFUNCTION("ifna(filter('Yahoo ADP'!$A$2:$A2766,'Yahoo ADP'!$B$2:$B2766=$B1443,$C1443='Yahoo ADP'!$C$2:$C2766,$D1443='Yahoo ADP'!$D$2:$D2766))"),"")</f>
        <v/>
      </c>
      <c r="F1443" s="13" t="str">
        <f>IFERROR(__xludf.DUMMYFUNCTION("ifna(filter('Yahoo ADP'!$E$2:$E2766,'Yahoo ADP'!$B$2:$B2766=$B1443,$C1443='Yahoo ADP'!$C$2:$C2766,$D1443='Yahoo ADP'!$D$2:$D2766))"),"-")</f>
        <v>-</v>
      </c>
      <c r="G1443" s="27">
        <v>1430.0</v>
      </c>
      <c r="H1443" s="8">
        <f t="shared" si="1"/>
        <v>-12</v>
      </c>
    </row>
    <row r="1444">
      <c r="A1444" s="10">
        <v>1443.0</v>
      </c>
      <c r="B1444" s="11" t="s">
        <v>4289</v>
      </c>
      <c r="C1444" s="10" t="s">
        <v>79</v>
      </c>
      <c r="D1444" s="10" t="s">
        <v>27</v>
      </c>
      <c r="E1444" s="13" t="str">
        <f>IFERROR(__xludf.DUMMYFUNCTION("ifna(filter('Yahoo ADP'!$A$2:$A2766,'Yahoo ADP'!$B$2:$B2766=$B1444,$C1444='Yahoo ADP'!$C$2:$C2766,$D1444='Yahoo ADP'!$D$2:$D2766))"),"")</f>
        <v/>
      </c>
      <c r="F1444" s="13" t="str">
        <f>IFERROR(__xludf.DUMMYFUNCTION("ifna(filter('Yahoo ADP'!$E$2:$E2766,'Yahoo ADP'!$B$2:$B2766=$B1444,$C1444='Yahoo ADP'!$C$2:$C2766,$D1444='Yahoo ADP'!$D$2:$D2766))"),"-")</f>
        <v>-</v>
      </c>
      <c r="G1444" s="27">
        <v>1431.0</v>
      </c>
      <c r="H1444" s="8">
        <f t="shared" si="1"/>
        <v>-12</v>
      </c>
    </row>
    <row r="1445">
      <c r="A1445" s="10">
        <v>1444.0</v>
      </c>
      <c r="B1445" s="11" t="s">
        <v>4290</v>
      </c>
      <c r="C1445" s="10" t="s">
        <v>79</v>
      </c>
      <c r="D1445" s="10" t="s">
        <v>137</v>
      </c>
      <c r="E1445" s="13" t="str">
        <f>IFERROR(__xludf.DUMMYFUNCTION("ifna(filter('Yahoo ADP'!$A$2:$A2766,'Yahoo ADP'!$B$2:$B2766=$B1445,$C1445='Yahoo ADP'!$C$2:$C2766,$D1445='Yahoo ADP'!$D$2:$D2766))"),"")</f>
        <v/>
      </c>
      <c r="F1445" s="13" t="str">
        <f>IFERROR(__xludf.DUMMYFUNCTION("ifna(filter('Yahoo ADP'!$E$2:$E2766,'Yahoo ADP'!$B$2:$B2766=$B1445,$C1445='Yahoo ADP'!$C$2:$C2766,$D1445='Yahoo ADP'!$D$2:$D2766))"),"-")</f>
        <v>-</v>
      </c>
      <c r="G1445" s="27">
        <v>1432.0</v>
      </c>
      <c r="H1445" s="8">
        <f t="shared" si="1"/>
        <v>-12</v>
      </c>
    </row>
    <row r="1446">
      <c r="A1446" s="10">
        <v>1445.0</v>
      </c>
      <c r="B1446" s="11" t="s">
        <v>4291</v>
      </c>
      <c r="C1446" s="10" t="s">
        <v>79</v>
      </c>
      <c r="D1446" s="10" t="s">
        <v>36</v>
      </c>
      <c r="E1446" s="13" t="str">
        <f>IFERROR(__xludf.DUMMYFUNCTION("ifna(filter('Yahoo ADP'!$A$2:$A2766,'Yahoo ADP'!$B$2:$B2766=$B1446,$C1446='Yahoo ADP'!$C$2:$C2766,$D1446='Yahoo ADP'!$D$2:$D2766))"),"")</f>
        <v/>
      </c>
      <c r="F1446" s="13" t="str">
        <f>IFERROR(__xludf.DUMMYFUNCTION("ifna(filter('Yahoo ADP'!$E$2:$E2766,'Yahoo ADP'!$B$2:$B2766=$B1446,$C1446='Yahoo ADP'!$C$2:$C2766,$D1446='Yahoo ADP'!$D$2:$D2766))"),"-")</f>
        <v>-</v>
      </c>
      <c r="G1446" s="27">
        <v>1433.0</v>
      </c>
      <c r="H1446" s="8">
        <f t="shared" si="1"/>
        <v>-12</v>
      </c>
    </row>
    <row r="1447">
      <c r="A1447" s="10">
        <v>1446.0</v>
      </c>
      <c r="B1447" s="11" t="s">
        <v>4292</v>
      </c>
      <c r="C1447" s="10" t="s">
        <v>79</v>
      </c>
      <c r="D1447" s="10" t="s">
        <v>15</v>
      </c>
      <c r="E1447" s="13" t="str">
        <f>IFERROR(__xludf.DUMMYFUNCTION("ifna(filter('Yahoo ADP'!$A$2:$A2766,'Yahoo ADP'!$B$2:$B2766=$B1447,$C1447='Yahoo ADP'!$C$2:$C2766,$D1447='Yahoo ADP'!$D$2:$D2766))"),"")</f>
        <v/>
      </c>
      <c r="F1447" s="13" t="str">
        <f>IFERROR(__xludf.DUMMYFUNCTION("ifna(filter('Yahoo ADP'!$E$2:$E2766,'Yahoo ADP'!$B$2:$B2766=$B1447,$C1447='Yahoo ADP'!$C$2:$C2766,$D1447='Yahoo ADP'!$D$2:$D2766))"),"-")</f>
        <v>-</v>
      </c>
      <c r="G1447" s="27">
        <v>1434.0</v>
      </c>
      <c r="H1447" s="8">
        <f t="shared" si="1"/>
        <v>-12</v>
      </c>
    </row>
    <row r="1448">
      <c r="A1448" s="10">
        <v>1447.0</v>
      </c>
      <c r="B1448" s="11" t="s">
        <v>4293</v>
      </c>
      <c r="C1448" s="10" t="s">
        <v>79</v>
      </c>
      <c r="D1448" s="10" t="s">
        <v>90</v>
      </c>
      <c r="E1448" s="13" t="str">
        <f>IFERROR(__xludf.DUMMYFUNCTION("ifna(filter('Yahoo ADP'!$A$2:$A2766,'Yahoo ADP'!$B$2:$B2766=$B1448,$C1448='Yahoo ADP'!$C$2:$C2766,$D1448='Yahoo ADP'!$D$2:$D2766))"),"")</f>
        <v/>
      </c>
      <c r="F1448" s="13" t="str">
        <f>IFERROR(__xludf.DUMMYFUNCTION("ifna(filter('Yahoo ADP'!$E$2:$E2766,'Yahoo ADP'!$B$2:$B2766=$B1448,$C1448='Yahoo ADP'!$C$2:$C2766,$D1448='Yahoo ADP'!$D$2:$D2766))"),"-")</f>
        <v>-</v>
      </c>
      <c r="G1448" s="27">
        <v>1435.0</v>
      </c>
      <c r="H1448" s="8">
        <f t="shared" si="1"/>
        <v>-12</v>
      </c>
    </row>
    <row r="1449">
      <c r="A1449" s="10">
        <v>1448.0</v>
      </c>
      <c r="B1449" s="11" t="s">
        <v>4294</v>
      </c>
      <c r="C1449" s="10" t="s">
        <v>79</v>
      </c>
      <c r="D1449" s="10" t="s">
        <v>67</v>
      </c>
      <c r="E1449" s="13" t="str">
        <f>IFERROR(__xludf.DUMMYFUNCTION("ifna(filter('Yahoo ADP'!$A$2:$A2766,'Yahoo ADP'!$B$2:$B2766=$B1449,$C1449='Yahoo ADP'!$C$2:$C2766,$D1449='Yahoo ADP'!$D$2:$D2766))"),"")</f>
        <v/>
      </c>
      <c r="F1449" s="13" t="str">
        <f>IFERROR(__xludf.DUMMYFUNCTION("ifna(filter('Yahoo ADP'!$E$2:$E2766,'Yahoo ADP'!$B$2:$B2766=$B1449,$C1449='Yahoo ADP'!$C$2:$C2766,$D1449='Yahoo ADP'!$D$2:$D2766))"),"-")</f>
        <v>-</v>
      </c>
      <c r="G1449" s="27">
        <v>1436.0</v>
      </c>
      <c r="H1449" s="8">
        <f t="shared" si="1"/>
        <v>-12</v>
      </c>
    </row>
    <row r="1450">
      <c r="A1450" s="10">
        <v>1449.0</v>
      </c>
      <c r="B1450" s="11" t="s">
        <v>4295</v>
      </c>
      <c r="C1450" s="10" t="s">
        <v>79</v>
      </c>
      <c r="D1450" s="10" t="s">
        <v>137</v>
      </c>
      <c r="E1450" s="13" t="str">
        <f>IFERROR(__xludf.DUMMYFUNCTION("ifna(filter('Yahoo ADP'!$A$2:$A2766,'Yahoo ADP'!$B$2:$B2766=$B1450,$C1450='Yahoo ADP'!$C$2:$C2766,$D1450='Yahoo ADP'!$D$2:$D2766))"),"")</f>
        <v/>
      </c>
      <c r="F1450" s="13" t="str">
        <f>IFERROR(__xludf.DUMMYFUNCTION("ifna(filter('Yahoo ADP'!$E$2:$E2766,'Yahoo ADP'!$B$2:$B2766=$B1450,$C1450='Yahoo ADP'!$C$2:$C2766,$D1450='Yahoo ADP'!$D$2:$D2766))"),"-")</f>
        <v>-</v>
      </c>
      <c r="G1450" s="27">
        <v>1437.0</v>
      </c>
      <c r="H1450" s="8">
        <f t="shared" si="1"/>
        <v>-12</v>
      </c>
    </row>
    <row r="1451">
      <c r="A1451" s="10">
        <v>1450.0</v>
      </c>
      <c r="B1451" s="11" t="s">
        <v>4296</v>
      </c>
      <c r="C1451" s="10" t="s">
        <v>79</v>
      </c>
      <c r="D1451" s="10" t="s">
        <v>18</v>
      </c>
      <c r="E1451" s="13" t="str">
        <f>IFERROR(__xludf.DUMMYFUNCTION("ifna(filter('Yahoo ADP'!$A$2:$A2766,'Yahoo ADP'!$B$2:$B2766=$B1451,$C1451='Yahoo ADP'!$C$2:$C2766,$D1451='Yahoo ADP'!$D$2:$D2766))"),"")</f>
        <v/>
      </c>
      <c r="F1451" s="13" t="str">
        <f>IFERROR(__xludf.DUMMYFUNCTION("ifna(filter('Yahoo ADP'!$E$2:$E2766,'Yahoo ADP'!$B$2:$B2766=$B1451,$C1451='Yahoo ADP'!$C$2:$C2766,$D1451='Yahoo ADP'!$D$2:$D2766))"),"-")</f>
        <v>-</v>
      </c>
      <c r="G1451" s="27" t="e">
        <v>#N/A</v>
      </c>
      <c r="H1451" s="8" t="str">
        <f t="shared" si="1"/>
        <v>#N/A</v>
      </c>
    </row>
    <row r="1452">
      <c r="A1452" s="10">
        <v>1451.0</v>
      </c>
      <c r="B1452" s="11" t="s">
        <v>4297</v>
      </c>
      <c r="C1452" s="10" t="s">
        <v>79</v>
      </c>
      <c r="D1452" s="10" t="s">
        <v>122</v>
      </c>
      <c r="E1452" s="13" t="str">
        <f>IFERROR(__xludf.DUMMYFUNCTION("ifna(filter('Yahoo ADP'!$A$2:$A2766,'Yahoo ADP'!$B$2:$B2766=$B1452,$C1452='Yahoo ADP'!$C$2:$C2766,$D1452='Yahoo ADP'!$D$2:$D2766))"),"")</f>
        <v/>
      </c>
      <c r="F1452" s="13" t="str">
        <f>IFERROR(__xludf.DUMMYFUNCTION("ifna(filter('Yahoo ADP'!$E$2:$E2766,'Yahoo ADP'!$B$2:$B2766=$B1452,$C1452='Yahoo ADP'!$C$2:$C2766,$D1452='Yahoo ADP'!$D$2:$D2766))"),"-")</f>
        <v>-</v>
      </c>
      <c r="G1452" s="27">
        <v>1439.0</v>
      </c>
      <c r="H1452" s="8">
        <f t="shared" si="1"/>
        <v>-12</v>
      </c>
    </row>
    <row r="1453">
      <c r="A1453" s="10">
        <v>1452.0</v>
      </c>
      <c r="B1453" s="11" t="s">
        <v>4298</v>
      </c>
      <c r="C1453" s="10" t="s">
        <v>79</v>
      </c>
      <c r="D1453" s="10" t="s">
        <v>113</v>
      </c>
      <c r="E1453" s="13" t="str">
        <f>IFERROR(__xludf.DUMMYFUNCTION("ifna(filter('Yahoo ADP'!$A$2:$A2766,'Yahoo ADP'!$B$2:$B2766=$B1453,$C1453='Yahoo ADP'!$C$2:$C2766,$D1453='Yahoo ADP'!$D$2:$D2766))"),"")</f>
        <v/>
      </c>
      <c r="F1453" s="13" t="str">
        <f>IFERROR(__xludf.DUMMYFUNCTION("ifna(filter('Yahoo ADP'!$E$2:$E2766,'Yahoo ADP'!$B$2:$B2766=$B1453,$C1453='Yahoo ADP'!$C$2:$C2766,$D1453='Yahoo ADP'!$D$2:$D2766))"),"-")</f>
        <v>-</v>
      </c>
      <c r="G1453" s="27">
        <v>1440.0</v>
      </c>
      <c r="H1453" s="8">
        <f t="shared" si="1"/>
        <v>-12</v>
      </c>
    </row>
    <row r="1454">
      <c r="A1454" s="10">
        <v>1453.0</v>
      </c>
      <c r="B1454" s="11" t="s">
        <v>4299</v>
      </c>
      <c r="C1454" s="10" t="s">
        <v>220</v>
      </c>
      <c r="D1454" s="10" t="s">
        <v>52</v>
      </c>
      <c r="E1454" s="13" t="str">
        <f>IFERROR(__xludf.DUMMYFUNCTION("ifna(filter('Yahoo ADP'!$A$2:$A2766,'Yahoo ADP'!$B$2:$B2766=$B1454,$C1454='Yahoo ADP'!$C$2:$C2766,$D1454='Yahoo ADP'!$D$2:$D2766))"),"")</f>
        <v/>
      </c>
      <c r="F1454" s="13" t="str">
        <f>IFERROR(__xludf.DUMMYFUNCTION("ifna(filter('Yahoo ADP'!$E$2:$E2766,'Yahoo ADP'!$B$2:$B2766=$B1454,$C1454='Yahoo ADP'!$C$2:$C2766,$D1454='Yahoo ADP'!$D$2:$D2766))"),"-")</f>
        <v>-</v>
      </c>
      <c r="G1454" s="27">
        <v>1441.0</v>
      </c>
      <c r="H1454" s="8">
        <f t="shared" si="1"/>
        <v>-12</v>
      </c>
    </row>
    <row r="1455">
      <c r="A1455" s="10">
        <v>1454.0</v>
      </c>
      <c r="B1455" s="11" t="s">
        <v>4300</v>
      </c>
      <c r="C1455" s="10" t="s">
        <v>22</v>
      </c>
      <c r="D1455" s="10" t="s">
        <v>120</v>
      </c>
      <c r="E1455" s="13" t="str">
        <f>IFERROR(__xludf.DUMMYFUNCTION("ifna(filter('Yahoo ADP'!$A$2:$A2766,'Yahoo ADP'!$B$2:$B2766=$B1455,$C1455='Yahoo ADP'!$C$2:$C2766,$D1455='Yahoo ADP'!$D$2:$D2766))"),"")</f>
        <v/>
      </c>
      <c r="F1455" s="13" t="str">
        <f>IFERROR(__xludf.DUMMYFUNCTION("ifna(filter('Yahoo ADP'!$E$2:$E2766,'Yahoo ADP'!$B$2:$B2766=$B1455,$C1455='Yahoo ADP'!$C$2:$C2766,$D1455='Yahoo ADP'!$D$2:$D2766))"),"-")</f>
        <v>-</v>
      </c>
      <c r="G1455" s="27">
        <v>1442.0</v>
      </c>
      <c r="H1455" s="8">
        <f t="shared" si="1"/>
        <v>-12</v>
      </c>
    </row>
    <row r="1456">
      <c r="A1456" s="10">
        <v>1455.0</v>
      </c>
      <c r="B1456" s="11" t="s">
        <v>4301</v>
      </c>
      <c r="C1456" s="10" t="s">
        <v>79</v>
      </c>
      <c r="D1456" s="10" t="s">
        <v>52</v>
      </c>
      <c r="E1456" s="13" t="str">
        <f>IFERROR(__xludf.DUMMYFUNCTION("ifna(filter('Yahoo ADP'!$A$2:$A2766,'Yahoo ADP'!$B$2:$B2766=$B1456,$C1456='Yahoo ADP'!$C$2:$C2766,$D1456='Yahoo ADP'!$D$2:$D2766))"),"")</f>
        <v/>
      </c>
      <c r="F1456" s="13" t="str">
        <f>IFERROR(__xludf.DUMMYFUNCTION("ifna(filter('Yahoo ADP'!$E$2:$E2766,'Yahoo ADP'!$B$2:$B2766=$B1456,$C1456='Yahoo ADP'!$C$2:$C2766,$D1456='Yahoo ADP'!$D$2:$D2766))"),"-")</f>
        <v>-</v>
      </c>
      <c r="G1456" s="27">
        <v>1443.0</v>
      </c>
      <c r="H1456" s="8">
        <f t="shared" si="1"/>
        <v>-12</v>
      </c>
    </row>
    <row r="1457">
      <c r="A1457" s="10">
        <v>1456.0</v>
      </c>
      <c r="B1457" s="11" t="s">
        <v>4302</v>
      </c>
      <c r="C1457" s="10" t="s">
        <v>22</v>
      </c>
      <c r="D1457" s="10" t="s">
        <v>42</v>
      </c>
      <c r="E1457" s="13" t="str">
        <f>IFERROR(__xludf.DUMMYFUNCTION("ifna(filter('Yahoo ADP'!$A$2:$A2766,'Yahoo ADP'!$B$2:$B2766=$B1457,$C1457='Yahoo ADP'!$C$2:$C2766,$D1457='Yahoo ADP'!$D$2:$D2766))"),"")</f>
        <v/>
      </c>
      <c r="F1457" s="13" t="str">
        <f>IFERROR(__xludf.DUMMYFUNCTION("ifna(filter('Yahoo ADP'!$E$2:$E2766,'Yahoo ADP'!$B$2:$B2766=$B1457,$C1457='Yahoo ADP'!$C$2:$C2766,$D1457='Yahoo ADP'!$D$2:$D2766))"),"-")</f>
        <v>-</v>
      </c>
      <c r="G1457" s="27">
        <v>1444.0</v>
      </c>
      <c r="H1457" s="8">
        <f t="shared" si="1"/>
        <v>-12</v>
      </c>
    </row>
    <row r="1458">
      <c r="A1458" s="10">
        <v>1457.0</v>
      </c>
      <c r="B1458" s="11" t="s">
        <v>4303</v>
      </c>
      <c r="C1458" s="10" t="s">
        <v>22</v>
      </c>
      <c r="D1458" s="10" t="s">
        <v>140</v>
      </c>
      <c r="E1458" s="13" t="str">
        <f>IFERROR(__xludf.DUMMYFUNCTION("ifna(filter('Yahoo ADP'!$A$2:$A2766,'Yahoo ADP'!$B$2:$B2766=$B1458,$C1458='Yahoo ADP'!$C$2:$C2766,$D1458='Yahoo ADP'!$D$2:$D2766))"),"")</f>
        <v/>
      </c>
      <c r="F1458" s="13" t="str">
        <f>IFERROR(__xludf.DUMMYFUNCTION("ifna(filter('Yahoo ADP'!$E$2:$E2766,'Yahoo ADP'!$B$2:$B2766=$B1458,$C1458='Yahoo ADP'!$C$2:$C2766,$D1458='Yahoo ADP'!$D$2:$D2766))"),"-")</f>
        <v>-</v>
      </c>
      <c r="G1458" s="27">
        <v>1445.0</v>
      </c>
      <c r="H1458" s="8">
        <f t="shared" si="1"/>
        <v>-12</v>
      </c>
    </row>
    <row r="1459">
      <c r="A1459" s="10">
        <v>1458.0</v>
      </c>
      <c r="B1459" s="11" t="s">
        <v>4304</v>
      </c>
      <c r="C1459" s="10" t="s">
        <v>11</v>
      </c>
      <c r="D1459" s="10" t="s">
        <v>85</v>
      </c>
      <c r="E1459" s="13" t="str">
        <f>IFERROR(__xludf.DUMMYFUNCTION("ifna(filter('Yahoo ADP'!$A$2:$A2766,'Yahoo ADP'!$B$2:$B2766=$B1459,$C1459='Yahoo ADP'!$C$2:$C2766,$D1459='Yahoo ADP'!$D$2:$D2766))"),"")</f>
        <v/>
      </c>
      <c r="F1459" s="13" t="str">
        <f>IFERROR(__xludf.DUMMYFUNCTION("ifna(filter('Yahoo ADP'!$E$2:$E2766,'Yahoo ADP'!$B$2:$B2766=$B1459,$C1459='Yahoo ADP'!$C$2:$C2766,$D1459='Yahoo ADP'!$D$2:$D2766))"),"-")</f>
        <v>-</v>
      </c>
      <c r="G1459" s="27">
        <v>1446.0</v>
      </c>
      <c r="H1459" s="8">
        <f t="shared" si="1"/>
        <v>-12</v>
      </c>
    </row>
    <row r="1460">
      <c r="A1460" s="10">
        <v>1459.0</v>
      </c>
      <c r="B1460" s="11" t="s">
        <v>4305</v>
      </c>
      <c r="C1460" s="10" t="s">
        <v>79</v>
      </c>
      <c r="D1460" s="10" t="s">
        <v>99</v>
      </c>
      <c r="E1460" s="13" t="str">
        <f>IFERROR(__xludf.DUMMYFUNCTION("ifna(filter('Yahoo ADP'!$A$2:$A2766,'Yahoo ADP'!$B$2:$B2766=$B1460,$C1460='Yahoo ADP'!$C$2:$C2766,$D1460='Yahoo ADP'!$D$2:$D2766))"),"")</f>
        <v/>
      </c>
      <c r="F1460" s="13" t="str">
        <f>IFERROR(__xludf.DUMMYFUNCTION("ifna(filter('Yahoo ADP'!$E$2:$E2766,'Yahoo ADP'!$B$2:$B2766=$B1460,$C1460='Yahoo ADP'!$C$2:$C2766,$D1460='Yahoo ADP'!$D$2:$D2766))"),"-")</f>
        <v>-</v>
      </c>
      <c r="G1460" s="27">
        <v>1447.0</v>
      </c>
      <c r="H1460" s="8">
        <f t="shared" si="1"/>
        <v>-12</v>
      </c>
    </row>
    <row r="1461">
      <c r="A1461" s="10">
        <v>1460.0</v>
      </c>
      <c r="B1461" s="11" t="s">
        <v>4306</v>
      </c>
      <c r="C1461" s="10" t="s">
        <v>79</v>
      </c>
      <c r="D1461" s="10" t="s">
        <v>18</v>
      </c>
      <c r="E1461" s="13" t="str">
        <f>IFERROR(__xludf.DUMMYFUNCTION("ifna(filter('Yahoo ADP'!$A$2:$A2766,'Yahoo ADP'!$B$2:$B2766=$B1461,$C1461='Yahoo ADP'!$C$2:$C2766,$D1461='Yahoo ADP'!$D$2:$D2766))"),"")</f>
        <v/>
      </c>
      <c r="F1461" s="13" t="str">
        <f>IFERROR(__xludf.DUMMYFUNCTION("ifna(filter('Yahoo ADP'!$E$2:$E2766,'Yahoo ADP'!$B$2:$B2766=$B1461,$C1461='Yahoo ADP'!$C$2:$C2766,$D1461='Yahoo ADP'!$D$2:$D2766))"),"-")</f>
        <v>-</v>
      </c>
      <c r="G1461" s="27">
        <v>1448.0</v>
      </c>
      <c r="H1461" s="8">
        <f t="shared" si="1"/>
        <v>-12</v>
      </c>
    </row>
    <row r="1462">
      <c r="A1462" s="10">
        <v>1461.0</v>
      </c>
      <c r="B1462" s="11" t="s">
        <v>4307</v>
      </c>
      <c r="C1462" s="10" t="s">
        <v>79</v>
      </c>
      <c r="D1462" s="10" t="s">
        <v>71</v>
      </c>
      <c r="E1462" s="13" t="str">
        <f>IFERROR(__xludf.DUMMYFUNCTION("ifna(filter('Yahoo ADP'!$A$2:$A2766,'Yahoo ADP'!$B$2:$B2766=$B1462,$C1462='Yahoo ADP'!$C$2:$C2766,$D1462='Yahoo ADP'!$D$2:$D2766))"),"")</f>
        <v/>
      </c>
      <c r="F1462" s="13" t="str">
        <f>IFERROR(__xludf.DUMMYFUNCTION("ifna(filter('Yahoo ADP'!$E$2:$E2766,'Yahoo ADP'!$B$2:$B2766=$B1462,$C1462='Yahoo ADP'!$C$2:$C2766,$D1462='Yahoo ADP'!$D$2:$D2766))"),"-")</f>
        <v>-</v>
      </c>
      <c r="G1462" s="27">
        <v>1449.0</v>
      </c>
      <c r="H1462" s="8">
        <f t="shared" si="1"/>
        <v>-12</v>
      </c>
    </row>
    <row r="1463">
      <c r="A1463" s="10">
        <v>1462.0</v>
      </c>
      <c r="B1463" s="11" t="s">
        <v>4308</v>
      </c>
      <c r="C1463" s="10" t="s">
        <v>79</v>
      </c>
      <c r="D1463" s="10" t="s">
        <v>18</v>
      </c>
      <c r="E1463" s="13" t="str">
        <f>IFERROR(__xludf.DUMMYFUNCTION("ifna(filter('Yahoo ADP'!$A$2:$A2766,'Yahoo ADP'!$B$2:$B2766=$B1463,$C1463='Yahoo ADP'!$C$2:$C2766,$D1463='Yahoo ADP'!$D$2:$D2766))"),"")</f>
        <v/>
      </c>
      <c r="F1463" s="13" t="str">
        <f>IFERROR(__xludf.DUMMYFUNCTION("ifna(filter('Yahoo ADP'!$E$2:$E2766,'Yahoo ADP'!$B$2:$B2766=$B1463,$C1463='Yahoo ADP'!$C$2:$C2766,$D1463='Yahoo ADP'!$D$2:$D2766))"),"-")</f>
        <v>-</v>
      </c>
      <c r="G1463" s="27">
        <v>1450.0</v>
      </c>
      <c r="H1463" s="8">
        <f t="shared" si="1"/>
        <v>-12</v>
      </c>
    </row>
    <row r="1464">
      <c r="A1464" s="10">
        <v>1463.0</v>
      </c>
      <c r="B1464" s="11" t="s">
        <v>4309</v>
      </c>
      <c r="C1464" s="10" t="s">
        <v>22</v>
      </c>
      <c r="D1464" s="10" t="s">
        <v>85</v>
      </c>
      <c r="E1464" s="13" t="str">
        <f>IFERROR(__xludf.DUMMYFUNCTION("ifna(filter('Yahoo ADP'!$A$2:$A2766,'Yahoo ADP'!$B$2:$B2766=$B1464,$C1464='Yahoo ADP'!$C$2:$C2766,$D1464='Yahoo ADP'!$D$2:$D2766))"),"")</f>
        <v/>
      </c>
      <c r="F1464" s="13" t="str">
        <f>IFERROR(__xludf.DUMMYFUNCTION("ifna(filter('Yahoo ADP'!$E$2:$E2766,'Yahoo ADP'!$B$2:$B2766=$B1464,$C1464='Yahoo ADP'!$C$2:$C2766,$D1464='Yahoo ADP'!$D$2:$D2766))"),"-")</f>
        <v>-</v>
      </c>
      <c r="G1464" s="27">
        <v>1451.0</v>
      </c>
      <c r="H1464" s="8">
        <f t="shared" si="1"/>
        <v>-12</v>
      </c>
    </row>
    <row r="1465">
      <c r="A1465" s="10">
        <v>1464.0</v>
      </c>
      <c r="B1465" s="11" t="s">
        <v>4310</v>
      </c>
      <c r="C1465" s="10" t="s">
        <v>22</v>
      </c>
      <c r="D1465" s="10" t="s">
        <v>36</v>
      </c>
      <c r="E1465" s="13" t="str">
        <f>IFERROR(__xludf.DUMMYFUNCTION("ifna(filter('Yahoo ADP'!$A$2:$A2766,'Yahoo ADP'!$B$2:$B2766=$B1465,$C1465='Yahoo ADP'!$C$2:$C2766,$D1465='Yahoo ADP'!$D$2:$D2766))"),"")</f>
        <v/>
      </c>
      <c r="F1465" s="13" t="str">
        <f>IFERROR(__xludf.DUMMYFUNCTION("ifna(filter('Yahoo ADP'!$E$2:$E2766,'Yahoo ADP'!$B$2:$B2766=$B1465,$C1465='Yahoo ADP'!$C$2:$C2766,$D1465='Yahoo ADP'!$D$2:$D2766))"),"-")</f>
        <v>-</v>
      </c>
      <c r="G1465" s="27">
        <v>1452.0</v>
      </c>
      <c r="H1465" s="8">
        <f t="shared" si="1"/>
        <v>-12</v>
      </c>
    </row>
    <row r="1466">
      <c r="A1466" s="10">
        <v>1465.0</v>
      </c>
      <c r="B1466" s="11" t="s">
        <v>4311</v>
      </c>
      <c r="C1466" s="10" t="s">
        <v>79</v>
      </c>
      <c r="D1466" s="10" t="s">
        <v>85</v>
      </c>
      <c r="E1466" s="13" t="str">
        <f>IFERROR(__xludf.DUMMYFUNCTION("ifna(filter('Yahoo ADP'!$A$2:$A2766,'Yahoo ADP'!$B$2:$B2766=$B1466,$C1466='Yahoo ADP'!$C$2:$C2766,$D1466='Yahoo ADP'!$D$2:$D2766))"),"")</f>
        <v/>
      </c>
      <c r="F1466" s="13" t="str">
        <f>IFERROR(__xludf.DUMMYFUNCTION("ifna(filter('Yahoo ADP'!$E$2:$E2766,'Yahoo ADP'!$B$2:$B2766=$B1466,$C1466='Yahoo ADP'!$C$2:$C2766,$D1466='Yahoo ADP'!$D$2:$D2766))"),"-")</f>
        <v>-</v>
      </c>
      <c r="G1466" s="27">
        <v>1453.0</v>
      </c>
      <c r="H1466" s="8">
        <f t="shared" si="1"/>
        <v>-12</v>
      </c>
    </row>
    <row r="1467">
      <c r="A1467" s="10">
        <v>1466.0</v>
      </c>
      <c r="B1467" s="11" t="s">
        <v>4312</v>
      </c>
      <c r="C1467" s="10" t="s">
        <v>79</v>
      </c>
      <c r="D1467" s="10" t="s">
        <v>67</v>
      </c>
      <c r="E1467" s="13" t="str">
        <f>IFERROR(__xludf.DUMMYFUNCTION("ifna(filter('Yahoo ADP'!$A$2:$A2766,'Yahoo ADP'!$B$2:$B2766=$B1467,$C1467='Yahoo ADP'!$C$2:$C2766,$D1467='Yahoo ADP'!$D$2:$D2766))"),"")</f>
        <v/>
      </c>
      <c r="F1467" s="13" t="str">
        <f>IFERROR(__xludf.DUMMYFUNCTION("ifna(filter('Yahoo ADP'!$E$2:$E2766,'Yahoo ADP'!$B$2:$B2766=$B1467,$C1467='Yahoo ADP'!$C$2:$C2766,$D1467='Yahoo ADP'!$D$2:$D2766))"),"-")</f>
        <v>-</v>
      </c>
      <c r="G1467" s="27">
        <v>1454.0</v>
      </c>
      <c r="H1467" s="8">
        <f t="shared" si="1"/>
        <v>-12</v>
      </c>
    </row>
    <row r="1468">
      <c r="A1468" s="10">
        <v>1467.0</v>
      </c>
      <c r="B1468" s="11" t="s">
        <v>4313</v>
      </c>
      <c r="C1468" s="10" t="s">
        <v>79</v>
      </c>
      <c r="D1468" s="10" t="s">
        <v>9</v>
      </c>
      <c r="E1468" s="13" t="str">
        <f>IFERROR(__xludf.DUMMYFUNCTION("ifna(filter('Yahoo ADP'!$A$2:$A2766,'Yahoo ADP'!$B$2:$B2766=$B1468,$C1468='Yahoo ADP'!$C$2:$C2766,$D1468='Yahoo ADP'!$D$2:$D2766))"),"")</f>
        <v/>
      </c>
      <c r="F1468" s="13" t="str">
        <f>IFERROR(__xludf.DUMMYFUNCTION("ifna(filter('Yahoo ADP'!$E$2:$E2766,'Yahoo ADP'!$B$2:$B2766=$B1468,$C1468='Yahoo ADP'!$C$2:$C2766,$D1468='Yahoo ADP'!$D$2:$D2766))"),"-")</f>
        <v>-</v>
      </c>
      <c r="G1468" s="27">
        <v>1455.0</v>
      </c>
      <c r="H1468" s="8">
        <f t="shared" si="1"/>
        <v>-12</v>
      </c>
    </row>
    <row r="1469">
      <c r="A1469" s="10">
        <v>1468.0</v>
      </c>
      <c r="B1469" s="11" t="s">
        <v>4314</v>
      </c>
      <c r="C1469" s="10" t="s">
        <v>79</v>
      </c>
      <c r="D1469" s="10" t="s">
        <v>122</v>
      </c>
      <c r="E1469" s="13" t="str">
        <f>IFERROR(__xludf.DUMMYFUNCTION("ifna(filter('Yahoo ADP'!$A$2:$A2766,'Yahoo ADP'!$B$2:$B2766=$B1469,$C1469='Yahoo ADP'!$C$2:$C2766,$D1469='Yahoo ADP'!$D$2:$D2766))"),"")</f>
        <v/>
      </c>
      <c r="F1469" s="13" t="str">
        <f>IFERROR(__xludf.DUMMYFUNCTION("ifna(filter('Yahoo ADP'!$E$2:$E2766,'Yahoo ADP'!$B$2:$B2766=$B1469,$C1469='Yahoo ADP'!$C$2:$C2766,$D1469='Yahoo ADP'!$D$2:$D2766))"),"-")</f>
        <v>-</v>
      </c>
      <c r="G1469" s="27">
        <v>1456.0</v>
      </c>
      <c r="H1469" s="8">
        <f t="shared" si="1"/>
        <v>-12</v>
      </c>
    </row>
    <row r="1470">
      <c r="A1470" s="10">
        <v>1469.0</v>
      </c>
      <c r="B1470" s="11" t="s">
        <v>4315</v>
      </c>
      <c r="C1470" s="10" t="s">
        <v>22</v>
      </c>
      <c r="D1470" s="10" t="s">
        <v>129</v>
      </c>
      <c r="E1470" s="13" t="str">
        <f>IFERROR(__xludf.DUMMYFUNCTION("ifna(filter('Yahoo ADP'!$A$2:$A2766,'Yahoo ADP'!$B$2:$B2766=$B1470,$C1470='Yahoo ADP'!$C$2:$C2766,$D1470='Yahoo ADP'!$D$2:$D2766))"),"")</f>
        <v/>
      </c>
      <c r="F1470" s="13" t="str">
        <f>IFERROR(__xludf.DUMMYFUNCTION("ifna(filter('Yahoo ADP'!$E$2:$E2766,'Yahoo ADP'!$B$2:$B2766=$B1470,$C1470='Yahoo ADP'!$C$2:$C2766,$D1470='Yahoo ADP'!$D$2:$D2766))"),"-")</f>
        <v>-</v>
      </c>
      <c r="G1470" s="27">
        <v>1457.0</v>
      </c>
      <c r="H1470" s="8">
        <f t="shared" si="1"/>
        <v>-12</v>
      </c>
    </row>
    <row r="1471">
      <c r="A1471" s="10">
        <v>1470.0</v>
      </c>
      <c r="B1471" s="11" t="s">
        <v>4316</v>
      </c>
      <c r="C1471" s="10" t="s">
        <v>14</v>
      </c>
      <c r="D1471" s="10" t="s">
        <v>140</v>
      </c>
      <c r="E1471" s="13" t="str">
        <f>IFERROR(__xludf.DUMMYFUNCTION("ifna(filter('Yahoo ADP'!$A$2:$A2766,'Yahoo ADP'!$B$2:$B2766=$B1471,$C1471='Yahoo ADP'!$C$2:$C2766,$D1471='Yahoo ADP'!$D$2:$D2766))"),"")</f>
        <v/>
      </c>
      <c r="F1471" s="13" t="str">
        <f>IFERROR(__xludf.DUMMYFUNCTION("ifna(filter('Yahoo ADP'!$E$2:$E2766,'Yahoo ADP'!$B$2:$B2766=$B1471,$C1471='Yahoo ADP'!$C$2:$C2766,$D1471='Yahoo ADP'!$D$2:$D2766))"),"-")</f>
        <v>-</v>
      </c>
      <c r="G1471" s="27">
        <v>1458.0</v>
      </c>
      <c r="H1471" s="8">
        <f t="shared" si="1"/>
        <v>-12</v>
      </c>
    </row>
    <row r="1472">
      <c r="A1472" s="10">
        <v>1471.0</v>
      </c>
      <c r="B1472" s="11" t="s">
        <v>4317</v>
      </c>
      <c r="C1472" s="10" t="s">
        <v>79</v>
      </c>
      <c r="D1472" s="10" t="s">
        <v>140</v>
      </c>
      <c r="E1472" s="13" t="str">
        <f>IFERROR(__xludf.DUMMYFUNCTION("ifna(filter('Yahoo ADP'!$A$2:$A2766,'Yahoo ADP'!$B$2:$B2766=$B1472,$C1472='Yahoo ADP'!$C$2:$C2766,$D1472='Yahoo ADP'!$D$2:$D2766))"),"")</f>
        <v/>
      </c>
      <c r="F1472" s="13" t="str">
        <f>IFERROR(__xludf.DUMMYFUNCTION("ifna(filter('Yahoo ADP'!$E$2:$E2766,'Yahoo ADP'!$B$2:$B2766=$B1472,$C1472='Yahoo ADP'!$C$2:$C2766,$D1472='Yahoo ADP'!$D$2:$D2766))"),"-")</f>
        <v>-</v>
      </c>
      <c r="G1472" s="27">
        <v>1459.0</v>
      </c>
      <c r="H1472" s="8">
        <f t="shared" si="1"/>
        <v>-12</v>
      </c>
    </row>
    <row r="1473">
      <c r="A1473" s="10">
        <v>1472.0</v>
      </c>
      <c r="B1473" s="11" t="s">
        <v>4318</v>
      </c>
      <c r="C1473" s="10" t="s">
        <v>79</v>
      </c>
      <c r="D1473" s="10" t="s">
        <v>120</v>
      </c>
      <c r="E1473" s="13" t="str">
        <f>IFERROR(__xludf.DUMMYFUNCTION("ifna(filter('Yahoo ADP'!$A$2:$A2766,'Yahoo ADP'!$B$2:$B2766=$B1473,$C1473='Yahoo ADP'!$C$2:$C2766,$D1473='Yahoo ADP'!$D$2:$D2766))"),"")</f>
        <v/>
      </c>
      <c r="F1473" s="13" t="str">
        <f>IFERROR(__xludf.DUMMYFUNCTION("ifna(filter('Yahoo ADP'!$E$2:$E2766,'Yahoo ADP'!$B$2:$B2766=$B1473,$C1473='Yahoo ADP'!$C$2:$C2766,$D1473='Yahoo ADP'!$D$2:$D2766))"),"-")</f>
        <v>-</v>
      </c>
      <c r="G1473" s="27">
        <v>1460.0</v>
      </c>
      <c r="H1473" s="8">
        <f t="shared" si="1"/>
        <v>-12</v>
      </c>
    </row>
    <row r="1474">
      <c r="A1474" s="10">
        <v>1473.0</v>
      </c>
      <c r="B1474" s="11" t="s">
        <v>4319</v>
      </c>
      <c r="C1474" s="10" t="s">
        <v>79</v>
      </c>
      <c r="D1474" s="10" t="s">
        <v>18</v>
      </c>
      <c r="E1474" s="13" t="str">
        <f>IFERROR(__xludf.DUMMYFUNCTION("ifna(filter('Yahoo ADP'!$A$2:$A2766,'Yahoo ADP'!$B$2:$B2766=$B1474,$C1474='Yahoo ADP'!$C$2:$C2766,$D1474='Yahoo ADP'!$D$2:$D2766))"),"")</f>
        <v/>
      </c>
      <c r="F1474" s="13" t="str">
        <f>IFERROR(__xludf.DUMMYFUNCTION("ifna(filter('Yahoo ADP'!$E$2:$E2766,'Yahoo ADP'!$B$2:$B2766=$B1474,$C1474='Yahoo ADP'!$C$2:$C2766,$D1474='Yahoo ADP'!$D$2:$D2766))"),"-")</f>
        <v>-</v>
      </c>
      <c r="G1474" s="27">
        <v>1461.0</v>
      </c>
      <c r="H1474" s="8">
        <f t="shared" si="1"/>
        <v>-12</v>
      </c>
    </row>
    <row r="1475">
      <c r="A1475" s="10">
        <v>1474.0</v>
      </c>
      <c r="B1475" s="11" t="s">
        <v>4320</v>
      </c>
      <c r="C1475" s="10" t="s">
        <v>79</v>
      </c>
      <c r="D1475" s="10" t="s">
        <v>42</v>
      </c>
      <c r="E1475" s="13" t="str">
        <f>IFERROR(__xludf.DUMMYFUNCTION("ifna(filter('Yahoo ADP'!$A$2:$A2766,'Yahoo ADP'!$B$2:$B2766=$B1475,$C1475='Yahoo ADP'!$C$2:$C2766,$D1475='Yahoo ADP'!$D$2:$D2766))"),"")</f>
        <v/>
      </c>
      <c r="F1475" s="13" t="str">
        <f>IFERROR(__xludf.DUMMYFUNCTION("ifna(filter('Yahoo ADP'!$E$2:$E2766,'Yahoo ADP'!$B$2:$B2766=$B1475,$C1475='Yahoo ADP'!$C$2:$C2766,$D1475='Yahoo ADP'!$D$2:$D2766))"),"-")</f>
        <v>-</v>
      </c>
      <c r="G1475" s="27">
        <v>1462.0</v>
      </c>
      <c r="H1475" s="8">
        <f t="shared" si="1"/>
        <v>-12</v>
      </c>
    </row>
    <row r="1476">
      <c r="A1476" s="10">
        <v>1475.0</v>
      </c>
      <c r="B1476" s="11" t="s">
        <v>4321</v>
      </c>
      <c r="C1476" s="10" t="s">
        <v>22</v>
      </c>
      <c r="D1476" s="10" t="s">
        <v>122</v>
      </c>
      <c r="E1476" s="13" t="str">
        <f>IFERROR(__xludf.DUMMYFUNCTION("ifna(filter('Yahoo ADP'!$A$2:$A2766,'Yahoo ADP'!$B$2:$B2766=$B1476,$C1476='Yahoo ADP'!$C$2:$C2766,$D1476='Yahoo ADP'!$D$2:$D2766))"),"")</f>
        <v/>
      </c>
      <c r="F1476" s="13" t="str">
        <f>IFERROR(__xludf.DUMMYFUNCTION("ifna(filter('Yahoo ADP'!$E$2:$E2766,'Yahoo ADP'!$B$2:$B2766=$B1476,$C1476='Yahoo ADP'!$C$2:$C2766,$D1476='Yahoo ADP'!$D$2:$D2766))"),"-")</f>
        <v>-</v>
      </c>
      <c r="G1476" s="27">
        <v>1463.0</v>
      </c>
      <c r="H1476" s="8">
        <f t="shared" si="1"/>
        <v>-12</v>
      </c>
    </row>
    <row r="1477">
      <c r="A1477" s="10">
        <v>1476.0</v>
      </c>
      <c r="B1477" s="11" t="s">
        <v>4322</v>
      </c>
      <c r="C1477" s="10" t="s">
        <v>22</v>
      </c>
      <c r="D1477" s="10" t="s">
        <v>85</v>
      </c>
      <c r="E1477" s="13" t="str">
        <f>IFERROR(__xludf.DUMMYFUNCTION("ifna(filter('Yahoo ADP'!$A$2:$A2766,'Yahoo ADP'!$B$2:$B2766=$B1477,$C1477='Yahoo ADP'!$C$2:$C2766,$D1477='Yahoo ADP'!$D$2:$D2766))"),"")</f>
        <v/>
      </c>
      <c r="F1477" s="13" t="str">
        <f>IFERROR(__xludf.DUMMYFUNCTION("ifna(filter('Yahoo ADP'!$E$2:$E2766,'Yahoo ADP'!$B$2:$B2766=$B1477,$C1477='Yahoo ADP'!$C$2:$C2766,$D1477='Yahoo ADP'!$D$2:$D2766))"),"-")</f>
        <v>-</v>
      </c>
      <c r="G1477" s="27">
        <v>1464.0</v>
      </c>
      <c r="H1477" s="8">
        <f t="shared" si="1"/>
        <v>-12</v>
      </c>
    </row>
    <row r="1478">
      <c r="A1478" s="10">
        <v>1477.0</v>
      </c>
      <c r="B1478" s="11" t="s">
        <v>4323</v>
      </c>
      <c r="C1478" s="10" t="s">
        <v>79</v>
      </c>
      <c r="D1478" s="10" t="s">
        <v>36</v>
      </c>
      <c r="E1478" s="13" t="str">
        <f>IFERROR(__xludf.DUMMYFUNCTION("ifna(filter('Yahoo ADP'!$A$2:$A2766,'Yahoo ADP'!$B$2:$B2766=$B1478,$C1478='Yahoo ADP'!$C$2:$C2766,$D1478='Yahoo ADP'!$D$2:$D2766))"),"")</f>
        <v/>
      </c>
      <c r="F1478" s="13" t="str">
        <f>IFERROR(__xludf.DUMMYFUNCTION("ifna(filter('Yahoo ADP'!$E$2:$E2766,'Yahoo ADP'!$B$2:$B2766=$B1478,$C1478='Yahoo ADP'!$C$2:$C2766,$D1478='Yahoo ADP'!$D$2:$D2766))"),"-")</f>
        <v>-</v>
      </c>
      <c r="G1478" s="27">
        <v>1465.0</v>
      </c>
      <c r="H1478" s="8">
        <f t="shared" si="1"/>
        <v>-12</v>
      </c>
    </row>
    <row r="1479">
      <c r="A1479" s="10">
        <v>1478.0</v>
      </c>
      <c r="B1479" s="11" t="s">
        <v>4324</v>
      </c>
      <c r="C1479" s="10" t="s">
        <v>79</v>
      </c>
      <c r="D1479" s="10" t="s">
        <v>122</v>
      </c>
      <c r="E1479" s="13" t="str">
        <f>IFERROR(__xludf.DUMMYFUNCTION("ifna(filter('Yahoo ADP'!$A$2:$A2766,'Yahoo ADP'!$B$2:$B2766=$B1479,$C1479='Yahoo ADP'!$C$2:$C2766,$D1479='Yahoo ADP'!$D$2:$D2766))"),"")</f>
        <v/>
      </c>
      <c r="F1479" s="13" t="str">
        <f>IFERROR(__xludf.DUMMYFUNCTION("ifna(filter('Yahoo ADP'!$E$2:$E2766,'Yahoo ADP'!$B$2:$B2766=$B1479,$C1479='Yahoo ADP'!$C$2:$C2766,$D1479='Yahoo ADP'!$D$2:$D2766))"),"-")</f>
        <v>-</v>
      </c>
      <c r="G1479" s="27">
        <v>1466.0</v>
      </c>
      <c r="H1479" s="8">
        <f t="shared" si="1"/>
        <v>-12</v>
      </c>
    </row>
    <row r="1480">
      <c r="A1480" s="10">
        <v>1479.0</v>
      </c>
      <c r="B1480" s="11" t="s">
        <v>4325</v>
      </c>
      <c r="C1480" s="10" t="s">
        <v>79</v>
      </c>
      <c r="D1480" s="10" t="s">
        <v>36</v>
      </c>
      <c r="E1480" s="13" t="str">
        <f>IFERROR(__xludf.DUMMYFUNCTION("ifna(filter('Yahoo ADP'!$A$2:$A2766,'Yahoo ADP'!$B$2:$B2766=$B1480,$C1480='Yahoo ADP'!$C$2:$C2766,$D1480='Yahoo ADP'!$D$2:$D2766))"),"")</f>
        <v/>
      </c>
      <c r="F1480" s="13" t="str">
        <f>IFERROR(__xludf.DUMMYFUNCTION("ifna(filter('Yahoo ADP'!$E$2:$E2766,'Yahoo ADP'!$B$2:$B2766=$B1480,$C1480='Yahoo ADP'!$C$2:$C2766,$D1480='Yahoo ADP'!$D$2:$D2766))"),"-")</f>
        <v>-</v>
      </c>
      <c r="G1480" s="27">
        <v>1467.0</v>
      </c>
      <c r="H1480" s="8">
        <f t="shared" si="1"/>
        <v>-12</v>
      </c>
    </row>
    <row r="1481">
      <c r="A1481" s="10">
        <v>1480.0</v>
      </c>
      <c r="B1481" s="11" t="s">
        <v>4326</v>
      </c>
      <c r="C1481" s="10" t="s">
        <v>79</v>
      </c>
      <c r="D1481" s="10" t="s">
        <v>140</v>
      </c>
      <c r="E1481" s="13" t="str">
        <f>IFERROR(__xludf.DUMMYFUNCTION("ifna(filter('Yahoo ADP'!$A$2:$A2766,'Yahoo ADP'!$B$2:$B2766=$B1481,$C1481='Yahoo ADP'!$C$2:$C2766,$D1481='Yahoo ADP'!$D$2:$D2766))"),"")</f>
        <v/>
      </c>
      <c r="F1481" s="13" t="str">
        <f>IFERROR(__xludf.DUMMYFUNCTION("ifna(filter('Yahoo ADP'!$E$2:$E2766,'Yahoo ADP'!$B$2:$B2766=$B1481,$C1481='Yahoo ADP'!$C$2:$C2766,$D1481='Yahoo ADP'!$D$2:$D2766))"),"-")</f>
        <v>-</v>
      </c>
      <c r="G1481" s="27">
        <v>1468.0</v>
      </c>
      <c r="H1481" s="8">
        <f t="shared" si="1"/>
        <v>-12</v>
      </c>
    </row>
    <row r="1482">
      <c r="A1482" s="10">
        <v>1481.0</v>
      </c>
      <c r="B1482" s="11" t="s">
        <v>4327</v>
      </c>
      <c r="C1482" s="10" t="s">
        <v>63</v>
      </c>
      <c r="D1482" s="10" t="s">
        <v>12</v>
      </c>
      <c r="E1482" s="13" t="str">
        <f>IFERROR(__xludf.DUMMYFUNCTION("ifna(filter('Yahoo ADP'!$A$2:$A2766,'Yahoo ADP'!$B$2:$B2766=$B1482,$C1482='Yahoo ADP'!$C$2:$C2766,$D1482='Yahoo ADP'!$D$2:$D2766))"),"")</f>
        <v/>
      </c>
      <c r="F1482" s="13" t="str">
        <f>IFERROR(__xludf.DUMMYFUNCTION("ifna(filter('Yahoo ADP'!$E$2:$E2766,'Yahoo ADP'!$B$2:$B2766=$B1482,$C1482='Yahoo ADP'!$C$2:$C2766,$D1482='Yahoo ADP'!$D$2:$D2766))"),"-")</f>
        <v>-</v>
      </c>
      <c r="G1482" s="27">
        <v>1469.0</v>
      </c>
      <c r="H1482" s="8">
        <f t="shared" si="1"/>
        <v>-12</v>
      </c>
    </row>
    <row r="1483">
      <c r="A1483" s="10">
        <v>1482.0</v>
      </c>
      <c r="B1483" s="11" t="s">
        <v>4328</v>
      </c>
      <c r="C1483" s="10" t="s">
        <v>79</v>
      </c>
      <c r="D1483" s="10" t="s">
        <v>9</v>
      </c>
      <c r="E1483" s="13" t="str">
        <f>IFERROR(__xludf.DUMMYFUNCTION("ifna(filter('Yahoo ADP'!$A$2:$A2766,'Yahoo ADP'!$B$2:$B2766=$B1483,$C1483='Yahoo ADP'!$C$2:$C2766,$D1483='Yahoo ADP'!$D$2:$D2766))"),"")</f>
        <v/>
      </c>
      <c r="F1483" s="13" t="str">
        <f>IFERROR(__xludf.DUMMYFUNCTION("ifna(filter('Yahoo ADP'!$E$2:$E2766,'Yahoo ADP'!$B$2:$B2766=$B1483,$C1483='Yahoo ADP'!$C$2:$C2766,$D1483='Yahoo ADP'!$D$2:$D2766))"),"-")</f>
        <v>-</v>
      </c>
      <c r="G1483" s="27">
        <v>1470.0</v>
      </c>
      <c r="H1483" s="8">
        <f t="shared" si="1"/>
        <v>-12</v>
      </c>
    </row>
    <row r="1484">
      <c r="A1484" s="10">
        <v>1483.0</v>
      </c>
      <c r="B1484" s="11" t="s">
        <v>4329</v>
      </c>
      <c r="C1484" s="10" t="s">
        <v>220</v>
      </c>
      <c r="D1484" s="10" t="s">
        <v>105</v>
      </c>
      <c r="E1484" s="13" t="str">
        <f>IFERROR(__xludf.DUMMYFUNCTION("ifna(filter('Yahoo ADP'!$A$2:$A2766,'Yahoo ADP'!$B$2:$B2766=$B1484,$C1484='Yahoo ADP'!$C$2:$C2766,$D1484='Yahoo ADP'!$D$2:$D2766))"),"")</f>
        <v/>
      </c>
      <c r="F1484" s="13" t="str">
        <f>IFERROR(__xludf.DUMMYFUNCTION("ifna(filter('Yahoo ADP'!$E$2:$E2766,'Yahoo ADP'!$B$2:$B2766=$B1484,$C1484='Yahoo ADP'!$C$2:$C2766,$D1484='Yahoo ADP'!$D$2:$D2766))"),"-")</f>
        <v>-</v>
      </c>
      <c r="G1484" s="27">
        <v>1471.0</v>
      </c>
      <c r="H1484" s="8">
        <f t="shared" si="1"/>
        <v>-12</v>
      </c>
    </row>
    <row r="1485">
      <c r="A1485" s="10">
        <v>1484.0</v>
      </c>
      <c r="B1485" s="11" t="s">
        <v>4330</v>
      </c>
      <c r="C1485" s="10" t="s">
        <v>79</v>
      </c>
      <c r="D1485" s="10" t="s">
        <v>105</v>
      </c>
      <c r="E1485" s="13" t="str">
        <f>IFERROR(__xludf.DUMMYFUNCTION("ifna(filter('Yahoo ADP'!$A$2:$A2766,'Yahoo ADP'!$B$2:$B2766=$B1485,$C1485='Yahoo ADP'!$C$2:$C2766,$D1485='Yahoo ADP'!$D$2:$D2766))"),"")</f>
        <v/>
      </c>
      <c r="F1485" s="13" t="str">
        <f>IFERROR(__xludf.DUMMYFUNCTION("ifna(filter('Yahoo ADP'!$E$2:$E2766,'Yahoo ADP'!$B$2:$B2766=$B1485,$C1485='Yahoo ADP'!$C$2:$C2766,$D1485='Yahoo ADP'!$D$2:$D2766))"),"-")</f>
        <v>-</v>
      </c>
      <c r="G1485" s="27">
        <v>1472.0</v>
      </c>
      <c r="H1485" s="8">
        <f t="shared" si="1"/>
        <v>-12</v>
      </c>
    </row>
    <row r="1486">
      <c r="A1486" s="10">
        <v>1485.0</v>
      </c>
      <c r="B1486" s="11" t="s">
        <v>4331</v>
      </c>
      <c r="C1486" s="10" t="s">
        <v>218</v>
      </c>
      <c r="D1486" s="10" t="s">
        <v>25</v>
      </c>
      <c r="E1486" s="13" t="str">
        <f>IFERROR(__xludf.DUMMYFUNCTION("ifna(filter('Yahoo ADP'!$A$2:$A2766,'Yahoo ADP'!$B$2:$B2766=$B1486,$C1486='Yahoo ADP'!$C$2:$C2766,$D1486='Yahoo ADP'!$D$2:$D2766))"),"")</f>
        <v/>
      </c>
      <c r="F1486" s="13" t="str">
        <f>IFERROR(__xludf.DUMMYFUNCTION("ifna(filter('Yahoo ADP'!$E$2:$E2766,'Yahoo ADP'!$B$2:$B2766=$B1486,$C1486='Yahoo ADP'!$C$2:$C2766,$D1486='Yahoo ADP'!$D$2:$D2766))"),"-")</f>
        <v>-</v>
      </c>
      <c r="G1486" s="27">
        <v>1473.0</v>
      </c>
      <c r="H1486" s="8">
        <f t="shared" si="1"/>
        <v>-12</v>
      </c>
    </row>
    <row r="1487">
      <c r="A1487" s="10">
        <v>1486.0</v>
      </c>
      <c r="B1487" s="11" t="s">
        <v>4332</v>
      </c>
      <c r="C1487" s="10" t="s">
        <v>22</v>
      </c>
      <c r="D1487" s="10" t="s">
        <v>122</v>
      </c>
      <c r="E1487" s="13" t="str">
        <f>IFERROR(__xludf.DUMMYFUNCTION("ifna(filter('Yahoo ADP'!$A$2:$A2766,'Yahoo ADP'!$B$2:$B2766=$B1487,$C1487='Yahoo ADP'!$C$2:$C2766,$D1487='Yahoo ADP'!$D$2:$D2766))"),"")</f>
        <v/>
      </c>
      <c r="F1487" s="13" t="str">
        <f>IFERROR(__xludf.DUMMYFUNCTION("ifna(filter('Yahoo ADP'!$E$2:$E2766,'Yahoo ADP'!$B$2:$B2766=$B1487,$C1487='Yahoo ADP'!$C$2:$C2766,$D1487='Yahoo ADP'!$D$2:$D2766))"),"-")</f>
        <v>-</v>
      </c>
      <c r="G1487" s="27">
        <v>1475.0</v>
      </c>
      <c r="H1487" s="8">
        <f t="shared" si="1"/>
        <v>-11</v>
      </c>
    </row>
    <row r="1488">
      <c r="A1488" s="10">
        <v>1487.0</v>
      </c>
      <c r="B1488" s="11" t="s">
        <v>4333</v>
      </c>
      <c r="C1488" s="10" t="s">
        <v>79</v>
      </c>
      <c r="D1488" s="10" t="s">
        <v>90</v>
      </c>
      <c r="E1488" s="13" t="str">
        <f>IFERROR(__xludf.DUMMYFUNCTION("ifna(filter('Yahoo ADP'!$A$2:$A2766,'Yahoo ADP'!$B$2:$B2766=$B1488,$C1488='Yahoo ADP'!$C$2:$C2766,$D1488='Yahoo ADP'!$D$2:$D2766))"),"")</f>
        <v/>
      </c>
      <c r="F1488" s="13" t="str">
        <f>IFERROR(__xludf.DUMMYFUNCTION("ifna(filter('Yahoo ADP'!$E$2:$E2766,'Yahoo ADP'!$B$2:$B2766=$B1488,$C1488='Yahoo ADP'!$C$2:$C2766,$D1488='Yahoo ADP'!$D$2:$D2766))"),"-")</f>
        <v>-</v>
      </c>
      <c r="G1488" s="27">
        <v>1476.0</v>
      </c>
      <c r="H1488" s="8">
        <f t="shared" si="1"/>
        <v>-11</v>
      </c>
    </row>
    <row r="1489">
      <c r="A1489" s="10">
        <v>1488.0</v>
      </c>
      <c r="B1489" s="11" t="s">
        <v>4334</v>
      </c>
      <c r="C1489" s="10" t="s">
        <v>79</v>
      </c>
      <c r="D1489" s="10" t="s">
        <v>137</v>
      </c>
      <c r="E1489" s="13" t="str">
        <f>IFERROR(__xludf.DUMMYFUNCTION("ifna(filter('Yahoo ADP'!$A$2:$A2766,'Yahoo ADP'!$B$2:$B2766=$B1489,$C1489='Yahoo ADP'!$C$2:$C2766,$D1489='Yahoo ADP'!$D$2:$D2766))"),"")</f>
        <v/>
      </c>
      <c r="F1489" s="13" t="str">
        <f>IFERROR(__xludf.DUMMYFUNCTION("ifna(filter('Yahoo ADP'!$E$2:$E2766,'Yahoo ADP'!$B$2:$B2766=$B1489,$C1489='Yahoo ADP'!$C$2:$C2766,$D1489='Yahoo ADP'!$D$2:$D2766))"),"-")</f>
        <v>-</v>
      </c>
      <c r="G1489" s="27">
        <v>1477.0</v>
      </c>
      <c r="H1489" s="8">
        <f t="shared" si="1"/>
        <v>-11</v>
      </c>
    </row>
    <row r="1490">
      <c r="A1490" s="10">
        <v>1489.0</v>
      </c>
      <c r="B1490" s="11" t="s">
        <v>4335</v>
      </c>
      <c r="C1490" s="10" t="s">
        <v>79</v>
      </c>
      <c r="D1490" s="10" t="s">
        <v>140</v>
      </c>
      <c r="E1490" s="13" t="str">
        <f>IFERROR(__xludf.DUMMYFUNCTION("ifna(filter('Yahoo ADP'!$A$2:$A2766,'Yahoo ADP'!$B$2:$B2766=$B1490,$C1490='Yahoo ADP'!$C$2:$C2766,$D1490='Yahoo ADP'!$D$2:$D2766))"),"")</f>
        <v/>
      </c>
      <c r="F1490" s="13" t="str">
        <f>IFERROR(__xludf.DUMMYFUNCTION("ifna(filter('Yahoo ADP'!$E$2:$E2766,'Yahoo ADP'!$B$2:$B2766=$B1490,$C1490='Yahoo ADP'!$C$2:$C2766,$D1490='Yahoo ADP'!$D$2:$D2766))"),"-")</f>
        <v>-</v>
      </c>
      <c r="G1490" s="27">
        <v>1478.0</v>
      </c>
      <c r="H1490" s="8">
        <f t="shared" si="1"/>
        <v>-11</v>
      </c>
    </row>
    <row r="1491">
      <c r="A1491" s="10">
        <v>1490.0</v>
      </c>
      <c r="B1491" s="11" t="s">
        <v>4336</v>
      </c>
      <c r="C1491" s="10" t="s">
        <v>79</v>
      </c>
      <c r="D1491" s="10" t="s">
        <v>27</v>
      </c>
      <c r="E1491" s="13" t="str">
        <f>IFERROR(__xludf.DUMMYFUNCTION("ifna(filter('Yahoo ADP'!$A$2:$A2766,'Yahoo ADP'!$B$2:$B2766=$B1491,$C1491='Yahoo ADP'!$C$2:$C2766,$D1491='Yahoo ADP'!$D$2:$D2766))"),"")</f>
        <v/>
      </c>
      <c r="F1491" s="13" t="str">
        <f>IFERROR(__xludf.DUMMYFUNCTION("ifna(filter('Yahoo ADP'!$E$2:$E2766,'Yahoo ADP'!$B$2:$B2766=$B1491,$C1491='Yahoo ADP'!$C$2:$C2766,$D1491='Yahoo ADP'!$D$2:$D2766))"),"-")</f>
        <v>-</v>
      </c>
      <c r="G1491" s="27">
        <v>1479.0</v>
      </c>
      <c r="H1491" s="8">
        <f t="shared" si="1"/>
        <v>-11</v>
      </c>
    </row>
    <row r="1492">
      <c r="A1492" s="10">
        <v>1491.0</v>
      </c>
      <c r="B1492" s="11" t="s">
        <v>4337</v>
      </c>
      <c r="C1492" s="10" t="s">
        <v>220</v>
      </c>
      <c r="D1492" s="10" t="s">
        <v>15</v>
      </c>
      <c r="E1492" s="13" t="str">
        <f>IFERROR(__xludf.DUMMYFUNCTION("ifna(filter('Yahoo ADP'!$A$2:$A2766,'Yahoo ADP'!$B$2:$B2766=$B1492,$C1492='Yahoo ADP'!$C$2:$C2766,$D1492='Yahoo ADP'!$D$2:$D2766))"),"")</f>
        <v/>
      </c>
      <c r="F1492" s="13" t="str">
        <f>IFERROR(__xludf.DUMMYFUNCTION("ifna(filter('Yahoo ADP'!$E$2:$E2766,'Yahoo ADP'!$B$2:$B2766=$B1492,$C1492='Yahoo ADP'!$C$2:$C2766,$D1492='Yahoo ADP'!$D$2:$D2766))"),"-")</f>
        <v>-</v>
      </c>
      <c r="G1492" s="27">
        <v>1480.0</v>
      </c>
      <c r="H1492" s="8">
        <f t="shared" si="1"/>
        <v>-11</v>
      </c>
    </row>
    <row r="1493">
      <c r="A1493" s="10">
        <v>1492.0</v>
      </c>
      <c r="B1493" s="11" t="s">
        <v>4338</v>
      </c>
      <c r="C1493" s="10" t="s">
        <v>79</v>
      </c>
      <c r="D1493" s="10" t="s">
        <v>85</v>
      </c>
      <c r="E1493" s="13" t="str">
        <f>IFERROR(__xludf.DUMMYFUNCTION("ifna(filter('Yahoo ADP'!$A$2:$A2766,'Yahoo ADP'!$B$2:$B2766=$B1493,$C1493='Yahoo ADP'!$C$2:$C2766,$D1493='Yahoo ADP'!$D$2:$D2766))"),"")</f>
        <v/>
      </c>
      <c r="F1493" s="13" t="str">
        <f>IFERROR(__xludf.DUMMYFUNCTION("ifna(filter('Yahoo ADP'!$E$2:$E2766,'Yahoo ADP'!$B$2:$B2766=$B1493,$C1493='Yahoo ADP'!$C$2:$C2766,$D1493='Yahoo ADP'!$D$2:$D2766))"),"-")</f>
        <v>-</v>
      </c>
      <c r="G1493" s="27">
        <v>1481.0</v>
      </c>
      <c r="H1493" s="8">
        <f t="shared" si="1"/>
        <v>-11</v>
      </c>
    </row>
    <row r="1494">
      <c r="A1494" s="10">
        <v>1493.0</v>
      </c>
      <c r="B1494" s="11" t="s">
        <v>4339</v>
      </c>
      <c r="C1494" s="10" t="s">
        <v>22</v>
      </c>
      <c r="D1494" s="10" t="s">
        <v>122</v>
      </c>
      <c r="E1494" s="13" t="str">
        <f>IFERROR(__xludf.DUMMYFUNCTION("ifna(filter('Yahoo ADP'!$A$2:$A2766,'Yahoo ADP'!$B$2:$B2766=$B1494,$C1494='Yahoo ADP'!$C$2:$C2766,$D1494='Yahoo ADP'!$D$2:$D2766))"),"")</f>
        <v/>
      </c>
      <c r="F1494" s="13" t="str">
        <f>IFERROR(__xludf.DUMMYFUNCTION("ifna(filter('Yahoo ADP'!$E$2:$E2766,'Yahoo ADP'!$B$2:$B2766=$B1494,$C1494='Yahoo ADP'!$C$2:$C2766,$D1494='Yahoo ADP'!$D$2:$D2766))"),"-")</f>
        <v>-</v>
      </c>
      <c r="G1494" s="27">
        <v>1482.0</v>
      </c>
      <c r="H1494" s="8">
        <f t="shared" si="1"/>
        <v>-11</v>
      </c>
    </row>
    <row r="1495">
      <c r="A1495" s="10">
        <v>1494.0</v>
      </c>
      <c r="B1495" s="11" t="s">
        <v>4340</v>
      </c>
      <c r="C1495" s="10" t="s">
        <v>79</v>
      </c>
      <c r="D1495" s="10" t="s">
        <v>105</v>
      </c>
      <c r="E1495" s="13" t="str">
        <f>IFERROR(__xludf.DUMMYFUNCTION("ifna(filter('Yahoo ADP'!$A$2:$A2766,'Yahoo ADP'!$B$2:$B2766=$B1495,$C1495='Yahoo ADP'!$C$2:$C2766,$D1495='Yahoo ADP'!$D$2:$D2766))"),"")</f>
        <v/>
      </c>
      <c r="F1495" s="13" t="str">
        <f>IFERROR(__xludf.DUMMYFUNCTION("ifna(filter('Yahoo ADP'!$E$2:$E2766,'Yahoo ADP'!$B$2:$B2766=$B1495,$C1495='Yahoo ADP'!$C$2:$C2766,$D1495='Yahoo ADP'!$D$2:$D2766))"),"-")</f>
        <v>-</v>
      </c>
      <c r="G1495" s="27">
        <v>1483.0</v>
      </c>
      <c r="H1495" s="8">
        <f t="shared" si="1"/>
        <v>-11</v>
      </c>
    </row>
    <row r="1496">
      <c r="A1496" s="10">
        <v>1495.0</v>
      </c>
      <c r="B1496" s="11" t="s">
        <v>4341</v>
      </c>
      <c r="C1496" s="10" t="s">
        <v>79</v>
      </c>
      <c r="D1496" s="10" t="s">
        <v>42</v>
      </c>
      <c r="E1496" s="13" t="str">
        <f>IFERROR(__xludf.DUMMYFUNCTION("ifna(filter('Yahoo ADP'!$A$2:$A2766,'Yahoo ADP'!$B$2:$B2766=$B1496,$C1496='Yahoo ADP'!$C$2:$C2766,$D1496='Yahoo ADP'!$D$2:$D2766))"),"")</f>
        <v/>
      </c>
      <c r="F1496" s="13" t="str">
        <f>IFERROR(__xludf.DUMMYFUNCTION("ifna(filter('Yahoo ADP'!$E$2:$E2766,'Yahoo ADP'!$B$2:$B2766=$B1496,$C1496='Yahoo ADP'!$C$2:$C2766,$D1496='Yahoo ADP'!$D$2:$D2766))"),"-")</f>
        <v>-</v>
      </c>
      <c r="G1496" s="27">
        <v>1484.0</v>
      </c>
      <c r="H1496" s="8">
        <f t="shared" si="1"/>
        <v>-11</v>
      </c>
    </row>
    <row r="1497">
      <c r="A1497" s="10">
        <v>1496.0</v>
      </c>
      <c r="B1497" s="11" t="s">
        <v>4342</v>
      </c>
      <c r="C1497" s="10" t="s">
        <v>79</v>
      </c>
      <c r="D1497" s="10" t="s">
        <v>18</v>
      </c>
      <c r="E1497" s="13" t="str">
        <f>IFERROR(__xludf.DUMMYFUNCTION("ifna(filter('Yahoo ADP'!$A$2:$A2766,'Yahoo ADP'!$B$2:$B2766=$B1497,$C1497='Yahoo ADP'!$C$2:$C2766,$D1497='Yahoo ADP'!$D$2:$D2766))"),"")</f>
        <v/>
      </c>
      <c r="F1497" s="13" t="str">
        <f>IFERROR(__xludf.DUMMYFUNCTION("ifna(filter('Yahoo ADP'!$E$2:$E2766,'Yahoo ADP'!$B$2:$B2766=$B1497,$C1497='Yahoo ADP'!$C$2:$C2766,$D1497='Yahoo ADP'!$D$2:$D2766))"),"-")</f>
        <v>-</v>
      </c>
      <c r="G1497" s="27">
        <v>1485.0</v>
      </c>
      <c r="H1497" s="8">
        <f t="shared" si="1"/>
        <v>-11</v>
      </c>
    </row>
    <row r="1498">
      <c r="A1498" s="10">
        <v>1497.0</v>
      </c>
      <c r="B1498" s="11" t="s">
        <v>4343</v>
      </c>
      <c r="C1498" s="10" t="s">
        <v>79</v>
      </c>
      <c r="D1498" s="10" t="s">
        <v>36</v>
      </c>
      <c r="E1498" s="13" t="str">
        <f>IFERROR(__xludf.DUMMYFUNCTION("ifna(filter('Yahoo ADP'!$A$2:$A2766,'Yahoo ADP'!$B$2:$B2766=$B1498,$C1498='Yahoo ADP'!$C$2:$C2766,$D1498='Yahoo ADP'!$D$2:$D2766))"),"")</f>
        <v/>
      </c>
      <c r="F1498" s="13" t="str">
        <f>IFERROR(__xludf.DUMMYFUNCTION("ifna(filter('Yahoo ADP'!$E$2:$E2766,'Yahoo ADP'!$B$2:$B2766=$B1498,$C1498='Yahoo ADP'!$C$2:$C2766,$D1498='Yahoo ADP'!$D$2:$D2766))"),"-")</f>
        <v>-</v>
      </c>
      <c r="G1498" s="27">
        <v>1486.0</v>
      </c>
      <c r="H1498" s="8">
        <f t="shared" si="1"/>
        <v>-11</v>
      </c>
    </row>
    <row r="1499">
      <c r="A1499" s="10">
        <v>1498.0</v>
      </c>
      <c r="B1499" s="11" t="s">
        <v>4344</v>
      </c>
      <c r="C1499" s="10" t="s">
        <v>79</v>
      </c>
      <c r="D1499" s="10" t="s">
        <v>18</v>
      </c>
      <c r="E1499" s="13" t="str">
        <f>IFERROR(__xludf.DUMMYFUNCTION("ifna(filter('Yahoo ADP'!$A$2:$A2766,'Yahoo ADP'!$B$2:$B2766=$B1499,$C1499='Yahoo ADP'!$C$2:$C2766,$D1499='Yahoo ADP'!$D$2:$D2766))"),"")</f>
        <v/>
      </c>
      <c r="F1499" s="13" t="str">
        <f>IFERROR(__xludf.DUMMYFUNCTION("ifna(filter('Yahoo ADP'!$E$2:$E2766,'Yahoo ADP'!$B$2:$B2766=$B1499,$C1499='Yahoo ADP'!$C$2:$C2766,$D1499='Yahoo ADP'!$D$2:$D2766))"),"-")</f>
        <v>-</v>
      </c>
      <c r="G1499" s="27">
        <v>1487.0</v>
      </c>
      <c r="H1499" s="8">
        <f t="shared" si="1"/>
        <v>-11</v>
      </c>
    </row>
    <row r="1500">
      <c r="A1500" s="10">
        <v>1499.0</v>
      </c>
      <c r="B1500" s="11" t="s">
        <v>4345</v>
      </c>
      <c r="C1500" s="10" t="s">
        <v>79</v>
      </c>
      <c r="D1500" s="10" t="s">
        <v>113</v>
      </c>
      <c r="E1500" s="13" t="str">
        <f>IFERROR(__xludf.DUMMYFUNCTION("ifna(filter('Yahoo ADP'!$A$2:$A2766,'Yahoo ADP'!$B$2:$B2766=$B1500,$C1500='Yahoo ADP'!$C$2:$C2766,$D1500='Yahoo ADP'!$D$2:$D2766))"),"")</f>
        <v/>
      </c>
      <c r="F1500" s="13" t="str">
        <f>IFERROR(__xludf.DUMMYFUNCTION("ifna(filter('Yahoo ADP'!$E$2:$E2766,'Yahoo ADP'!$B$2:$B2766=$B1500,$C1500='Yahoo ADP'!$C$2:$C2766,$D1500='Yahoo ADP'!$D$2:$D2766))"),"-")</f>
        <v>-</v>
      </c>
      <c r="G1500" s="27">
        <v>1488.0</v>
      </c>
      <c r="H1500" s="8">
        <f t="shared" si="1"/>
        <v>-11</v>
      </c>
    </row>
    <row r="1501">
      <c r="A1501" s="10">
        <v>1500.0</v>
      </c>
      <c r="B1501" s="11" t="s">
        <v>4346</v>
      </c>
      <c r="C1501" s="10" t="s">
        <v>79</v>
      </c>
      <c r="D1501" s="10" t="s">
        <v>113</v>
      </c>
      <c r="E1501" s="13" t="str">
        <f>IFERROR(__xludf.DUMMYFUNCTION("ifna(filter('Yahoo ADP'!$A$2:$A2766,'Yahoo ADP'!$B$2:$B2766=$B1501,$C1501='Yahoo ADP'!$C$2:$C2766,$D1501='Yahoo ADP'!$D$2:$D2766))"),"")</f>
        <v/>
      </c>
      <c r="F1501" s="13" t="str">
        <f>IFERROR(__xludf.DUMMYFUNCTION("ifna(filter('Yahoo ADP'!$E$2:$E2766,'Yahoo ADP'!$B$2:$B2766=$B1501,$C1501='Yahoo ADP'!$C$2:$C2766,$D1501='Yahoo ADP'!$D$2:$D2766))"),"-")</f>
        <v>-</v>
      </c>
      <c r="G1501" s="27">
        <v>1489.0</v>
      </c>
      <c r="H1501" s="8">
        <f t="shared" si="1"/>
        <v>-11</v>
      </c>
    </row>
    <row r="1502">
      <c r="A1502" s="10">
        <v>1501.0</v>
      </c>
      <c r="B1502" s="11" t="s">
        <v>4347</v>
      </c>
      <c r="C1502" s="10" t="s">
        <v>8</v>
      </c>
      <c r="D1502" s="10" t="s">
        <v>18</v>
      </c>
      <c r="E1502" s="13" t="str">
        <f>IFERROR(__xludf.DUMMYFUNCTION("ifna(filter('Yahoo ADP'!$A$2:$A2766,'Yahoo ADP'!$B$2:$B2766=$B1502,$C1502='Yahoo ADP'!$C$2:$C2766,$D1502='Yahoo ADP'!$D$2:$D2766))"),"")</f>
        <v/>
      </c>
      <c r="F1502" s="13" t="str">
        <f>IFERROR(__xludf.DUMMYFUNCTION("ifna(filter('Yahoo ADP'!$E$2:$E2766,'Yahoo ADP'!$B$2:$B2766=$B1502,$C1502='Yahoo ADP'!$C$2:$C2766,$D1502='Yahoo ADP'!$D$2:$D2766))"),"-")</f>
        <v>-</v>
      </c>
      <c r="G1502" s="27">
        <v>1490.0</v>
      </c>
      <c r="H1502" s="8">
        <f t="shared" si="1"/>
        <v>-11</v>
      </c>
    </row>
    <row r="1503">
      <c r="A1503" s="10">
        <v>1502.0</v>
      </c>
      <c r="B1503" s="11" t="s">
        <v>4348</v>
      </c>
      <c r="C1503" s="10" t="s">
        <v>79</v>
      </c>
      <c r="D1503" s="10" t="s">
        <v>122</v>
      </c>
      <c r="E1503" s="13" t="str">
        <f>IFERROR(__xludf.DUMMYFUNCTION("ifna(filter('Yahoo ADP'!$A$2:$A2766,'Yahoo ADP'!$B$2:$B2766=$B1503,$C1503='Yahoo ADP'!$C$2:$C2766,$D1503='Yahoo ADP'!$D$2:$D2766))"),"")</f>
        <v/>
      </c>
      <c r="F1503" s="13" t="str">
        <f>IFERROR(__xludf.DUMMYFUNCTION("ifna(filter('Yahoo ADP'!$E$2:$E2766,'Yahoo ADP'!$B$2:$B2766=$B1503,$C1503='Yahoo ADP'!$C$2:$C2766,$D1503='Yahoo ADP'!$D$2:$D2766))"),"-")</f>
        <v>-</v>
      </c>
      <c r="G1503" s="27">
        <v>1491.0</v>
      </c>
      <c r="H1503" s="8">
        <f t="shared" si="1"/>
        <v>-11</v>
      </c>
    </row>
    <row r="1504">
      <c r="A1504" s="10">
        <v>1503.0</v>
      </c>
      <c r="B1504" s="11" t="s">
        <v>4349</v>
      </c>
      <c r="C1504" s="10" t="s">
        <v>79</v>
      </c>
      <c r="D1504" s="10" t="s">
        <v>99</v>
      </c>
      <c r="E1504" s="13" t="str">
        <f>IFERROR(__xludf.DUMMYFUNCTION("ifna(filter('Yahoo ADP'!$A$2:$A2766,'Yahoo ADP'!$B$2:$B2766=$B1504,$C1504='Yahoo ADP'!$C$2:$C2766,$D1504='Yahoo ADP'!$D$2:$D2766))"),"")</f>
        <v/>
      </c>
      <c r="F1504" s="13" t="str">
        <f>IFERROR(__xludf.DUMMYFUNCTION("ifna(filter('Yahoo ADP'!$E$2:$E2766,'Yahoo ADP'!$B$2:$B2766=$B1504,$C1504='Yahoo ADP'!$C$2:$C2766,$D1504='Yahoo ADP'!$D$2:$D2766))"),"-")</f>
        <v>-</v>
      </c>
      <c r="G1504" s="27">
        <v>1492.0</v>
      </c>
      <c r="H1504" s="8">
        <f t="shared" si="1"/>
        <v>-11</v>
      </c>
    </row>
    <row r="1505">
      <c r="A1505" s="10">
        <v>1504.0</v>
      </c>
      <c r="B1505" s="11" t="s">
        <v>4350</v>
      </c>
      <c r="C1505" s="10" t="s">
        <v>79</v>
      </c>
      <c r="D1505" s="10" t="s">
        <v>18</v>
      </c>
      <c r="E1505" s="13" t="str">
        <f>IFERROR(__xludf.DUMMYFUNCTION("ifna(filter('Yahoo ADP'!$A$2:$A2766,'Yahoo ADP'!$B$2:$B2766=$B1505,$C1505='Yahoo ADP'!$C$2:$C2766,$D1505='Yahoo ADP'!$D$2:$D2766))"),"")</f>
        <v/>
      </c>
      <c r="F1505" s="13" t="str">
        <f>IFERROR(__xludf.DUMMYFUNCTION("ifna(filter('Yahoo ADP'!$E$2:$E2766,'Yahoo ADP'!$B$2:$B2766=$B1505,$C1505='Yahoo ADP'!$C$2:$C2766,$D1505='Yahoo ADP'!$D$2:$D2766))"),"-")</f>
        <v>-</v>
      </c>
      <c r="G1505" s="27">
        <v>1493.0</v>
      </c>
      <c r="H1505" s="8">
        <f t="shared" si="1"/>
        <v>-11</v>
      </c>
    </row>
    <row r="1506">
      <c r="A1506" s="10">
        <v>1505.0</v>
      </c>
      <c r="B1506" s="11" t="s">
        <v>4351</v>
      </c>
      <c r="C1506" s="10" t="s">
        <v>220</v>
      </c>
      <c r="D1506" s="10" t="s">
        <v>140</v>
      </c>
      <c r="E1506" s="13" t="str">
        <f>IFERROR(__xludf.DUMMYFUNCTION("ifna(filter('Yahoo ADP'!$A$2:$A2766,'Yahoo ADP'!$B$2:$B2766=$B1506,$C1506='Yahoo ADP'!$C$2:$C2766,$D1506='Yahoo ADP'!$D$2:$D2766))"),"")</f>
        <v/>
      </c>
      <c r="F1506" s="13" t="str">
        <f>IFERROR(__xludf.DUMMYFUNCTION("ifna(filter('Yahoo ADP'!$E$2:$E2766,'Yahoo ADP'!$B$2:$B2766=$B1506,$C1506='Yahoo ADP'!$C$2:$C2766,$D1506='Yahoo ADP'!$D$2:$D2766))"),"-")</f>
        <v>-</v>
      </c>
      <c r="G1506" s="27">
        <v>1494.0</v>
      </c>
      <c r="H1506" s="8">
        <f t="shared" si="1"/>
        <v>-11</v>
      </c>
    </row>
    <row r="1507">
      <c r="A1507" s="10">
        <v>1506.0</v>
      </c>
      <c r="B1507" s="11" t="s">
        <v>4352</v>
      </c>
      <c r="C1507" s="10" t="s">
        <v>39</v>
      </c>
      <c r="D1507" s="10" t="s">
        <v>122</v>
      </c>
      <c r="E1507" s="13" t="str">
        <f>IFERROR(__xludf.DUMMYFUNCTION("ifna(filter('Yahoo ADP'!$A$2:$A2766,'Yahoo ADP'!$B$2:$B2766=$B1507,$C1507='Yahoo ADP'!$C$2:$C2766,$D1507='Yahoo ADP'!$D$2:$D2766))"),"")</f>
        <v/>
      </c>
      <c r="F1507" s="13" t="str">
        <f>IFERROR(__xludf.DUMMYFUNCTION("ifna(filter('Yahoo ADP'!$E$2:$E2766,'Yahoo ADP'!$B$2:$B2766=$B1507,$C1507='Yahoo ADP'!$C$2:$C2766,$D1507='Yahoo ADP'!$D$2:$D2766))"),"-")</f>
        <v>-</v>
      </c>
      <c r="G1507" s="27">
        <v>1495.0</v>
      </c>
      <c r="H1507" s="8">
        <f t="shared" si="1"/>
        <v>-11</v>
      </c>
    </row>
    <row r="1508">
      <c r="A1508" s="10">
        <v>1507.0</v>
      </c>
      <c r="B1508" s="11" t="s">
        <v>4353</v>
      </c>
      <c r="C1508" s="10" t="s">
        <v>79</v>
      </c>
      <c r="D1508" s="10" t="s">
        <v>140</v>
      </c>
      <c r="E1508" s="13" t="str">
        <f>IFERROR(__xludf.DUMMYFUNCTION("ifna(filter('Yahoo ADP'!$A$2:$A2766,'Yahoo ADP'!$B$2:$B2766=$B1508,$C1508='Yahoo ADP'!$C$2:$C2766,$D1508='Yahoo ADP'!$D$2:$D2766))"),"")</f>
        <v/>
      </c>
      <c r="F1508" s="13" t="str">
        <f>IFERROR(__xludf.DUMMYFUNCTION("ifna(filter('Yahoo ADP'!$E$2:$E2766,'Yahoo ADP'!$B$2:$B2766=$B1508,$C1508='Yahoo ADP'!$C$2:$C2766,$D1508='Yahoo ADP'!$D$2:$D2766))"),"-")</f>
        <v>-</v>
      </c>
      <c r="G1508" s="27">
        <v>1496.0</v>
      </c>
      <c r="H1508" s="8">
        <f t="shared" si="1"/>
        <v>-11</v>
      </c>
    </row>
    <row r="1509">
      <c r="A1509" s="10">
        <v>1508.0</v>
      </c>
      <c r="B1509" s="11" t="s">
        <v>4354</v>
      </c>
      <c r="C1509" s="10" t="s">
        <v>79</v>
      </c>
      <c r="D1509" s="10" t="s">
        <v>9</v>
      </c>
      <c r="E1509" s="13" t="str">
        <f>IFERROR(__xludf.DUMMYFUNCTION("ifna(filter('Yahoo ADP'!$A$2:$A2766,'Yahoo ADP'!$B$2:$B2766=$B1509,$C1509='Yahoo ADP'!$C$2:$C2766,$D1509='Yahoo ADP'!$D$2:$D2766))"),"")</f>
        <v/>
      </c>
      <c r="F1509" s="13" t="str">
        <f>IFERROR(__xludf.DUMMYFUNCTION("ifna(filter('Yahoo ADP'!$E$2:$E2766,'Yahoo ADP'!$B$2:$B2766=$B1509,$C1509='Yahoo ADP'!$C$2:$C2766,$D1509='Yahoo ADP'!$D$2:$D2766))"),"-")</f>
        <v>-</v>
      </c>
      <c r="G1509" s="27">
        <v>1497.0</v>
      </c>
      <c r="H1509" s="8">
        <f t="shared" si="1"/>
        <v>-11</v>
      </c>
    </row>
    <row r="1510">
      <c r="A1510" s="10">
        <v>1509.0</v>
      </c>
      <c r="B1510" s="11" t="s">
        <v>4355</v>
      </c>
      <c r="C1510" s="10" t="s">
        <v>79</v>
      </c>
      <c r="D1510" s="10" t="s">
        <v>140</v>
      </c>
      <c r="E1510" s="13" t="str">
        <f>IFERROR(__xludf.DUMMYFUNCTION("ifna(filter('Yahoo ADP'!$A$2:$A2766,'Yahoo ADP'!$B$2:$B2766=$B1510,$C1510='Yahoo ADP'!$C$2:$C2766,$D1510='Yahoo ADP'!$D$2:$D2766))"),"")</f>
        <v/>
      </c>
      <c r="F1510" s="13" t="str">
        <f>IFERROR(__xludf.DUMMYFUNCTION("ifna(filter('Yahoo ADP'!$E$2:$E2766,'Yahoo ADP'!$B$2:$B2766=$B1510,$C1510='Yahoo ADP'!$C$2:$C2766,$D1510='Yahoo ADP'!$D$2:$D2766))"),"-")</f>
        <v>-</v>
      </c>
      <c r="G1510" s="27">
        <v>1498.0</v>
      </c>
      <c r="H1510" s="8">
        <f t="shared" si="1"/>
        <v>-11</v>
      </c>
    </row>
    <row r="1511">
      <c r="A1511" s="10">
        <v>1510.0</v>
      </c>
      <c r="B1511" s="11" t="s">
        <v>4356</v>
      </c>
      <c r="C1511" s="10" t="s">
        <v>220</v>
      </c>
      <c r="D1511" s="10" t="s">
        <v>140</v>
      </c>
      <c r="E1511" s="13" t="str">
        <f>IFERROR(__xludf.DUMMYFUNCTION("ifna(filter('Yahoo ADP'!$A$2:$A2766,'Yahoo ADP'!$B$2:$B2766=$B1511,$C1511='Yahoo ADP'!$C$2:$C2766,$D1511='Yahoo ADP'!$D$2:$D2766))"),"")</f>
        <v/>
      </c>
      <c r="F1511" s="13" t="str">
        <f>IFERROR(__xludf.DUMMYFUNCTION("ifna(filter('Yahoo ADP'!$E$2:$E2766,'Yahoo ADP'!$B$2:$B2766=$B1511,$C1511='Yahoo ADP'!$C$2:$C2766,$D1511='Yahoo ADP'!$D$2:$D2766))"),"-")</f>
        <v>-</v>
      </c>
      <c r="G1511" s="27">
        <v>1499.0</v>
      </c>
      <c r="H1511" s="8">
        <f t="shared" si="1"/>
        <v>-11</v>
      </c>
    </row>
    <row r="1512">
      <c r="A1512" s="10">
        <v>1511.0</v>
      </c>
      <c r="B1512" s="11" t="s">
        <v>4357</v>
      </c>
      <c r="C1512" s="10" t="s">
        <v>69</v>
      </c>
      <c r="D1512" s="10" t="s">
        <v>120</v>
      </c>
      <c r="E1512" s="13">
        <f>IFERROR(__xludf.DUMMYFUNCTION("ifna(filter('Yahoo ADP'!$A$2:$A2766,'Yahoo ADP'!$B$2:$B2766=$B1512,$C1512='Yahoo ADP'!$C$2:$C2766,$D1512='Yahoo ADP'!$D$2:$D2766))"),260.3)</f>
        <v>260.3</v>
      </c>
      <c r="F1512" s="13">
        <f>IFERROR(__xludf.DUMMYFUNCTION("ifna(filter('Yahoo ADP'!$E$2:$E2766,'Yahoo ADP'!$B$2:$B2766=$B1512,$C1512='Yahoo ADP'!$C$2:$C2766,$D1512='Yahoo ADP'!$D$2:$D2766))"),1.0)</f>
        <v>1</v>
      </c>
      <c r="G1512" s="27">
        <v>1500.0</v>
      </c>
      <c r="H1512" s="8">
        <f t="shared" si="1"/>
        <v>-11</v>
      </c>
    </row>
    <row r="1513">
      <c r="A1513" s="10">
        <v>1512.0</v>
      </c>
      <c r="B1513" s="11" t="s">
        <v>4358</v>
      </c>
      <c r="C1513" s="10" t="s">
        <v>585</v>
      </c>
      <c r="D1513" s="10" t="s">
        <v>23</v>
      </c>
      <c r="E1513" s="13" t="str">
        <f>IFERROR(__xludf.DUMMYFUNCTION("ifna(filter('Yahoo ADP'!$A$2:$A2766,'Yahoo ADP'!$B$2:$B2766=$B1513,$C1513='Yahoo ADP'!$C$2:$C2766,$D1513='Yahoo ADP'!$D$2:$D2766))"),"")</f>
        <v/>
      </c>
      <c r="F1513" s="13" t="str">
        <f>IFERROR(__xludf.DUMMYFUNCTION("ifna(filter('Yahoo ADP'!$E$2:$E2766,'Yahoo ADP'!$B$2:$B2766=$B1513,$C1513='Yahoo ADP'!$C$2:$C2766,$D1513='Yahoo ADP'!$D$2:$D2766))"),"-")</f>
        <v>-</v>
      </c>
      <c r="G1513" s="27">
        <v>1501.0</v>
      </c>
      <c r="H1513" s="8">
        <f t="shared" si="1"/>
        <v>-11</v>
      </c>
    </row>
    <row r="1514">
      <c r="A1514" s="10">
        <v>1513.0</v>
      </c>
      <c r="B1514" s="11" t="s">
        <v>4359</v>
      </c>
      <c r="C1514" s="10" t="s">
        <v>79</v>
      </c>
      <c r="D1514" s="10" t="s">
        <v>140</v>
      </c>
      <c r="E1514" s="13" t="str">
        <f>IFERROR(__xludf.DUMMYFUNCTION("ifna(filter('Yahoo ADP'!$A$2:$A2766,'Yahoo ADP'!$B$2:$B2766=$B1514,$C1514='Yahoo ADP'!$C$2:$C2766,$D1514='Yahoo ADP'!$D$2:$D2766))"),"")</f>
        <v/>
      </c>
      <c r="F1514" s="13" t="str">
        <f>IFERROR(__xludf.DUMMYFUNCTION("ifna(filter('Yahoo ADP'!$E$2:$E2766,'Yahoo ADP'!$B$2:$B2766=$B1514,$C1514='Yahoo ADP'!$C$2:$C2766,$D1514='Yahoo ADP'!$D$2:$D2766))"),"-")</f>
        <v>-</v>
      </c>
      <c r="G1514" s="27">
        <v>1502.0</v>
      </c>
      <c r="H1514" s="8">
        <f t="shared" si="1"/>
        <v>-11</v>
      </c>
    </row>
    <row r="1515">
      <c r="A1515" s="10">
        <v>1514.0</v>
      </c>
      <c r="B1515" s="11" t="s">
        <v>4360</v>
      </c>
      <c r="C1515" s="10" t="s">
        <v>79</v>
      </c>
      <c r="D1515" s="10" t="s">
        <v>99</v>
      </c>
      <c r="E1515" s="13" t="str">
        <f>IFERROR(__xludf.DUMMYFUNCTION("ifna(filter('Yahoo ADP'!$A$2:$A2766,'Yahoo ADP'!$B$2:$B2766=$B1515,$C1515='Yahoo ADP'!$C$2:$C2766,$D1515='Yahoo ADP'!$D$2:$D2766))"),"")</f>
        <v/>
      </c>
      <c r="F1515" s="13" t="str">
        <f>IFERROR(__xludf.DUMMYFUNCTION("ifna(filter('Yahoo ADP'!$E$2:$E2766,'Yahoo ADP'!$B$2:$B2766=$B1515,$C1515='Yahoo ADP'!$C$2:$C2766,$D1515='Yahoo ADP'!$D$2:$D2766))"),"-")</f>
        <v>-</v>
      </c>
      <c r="G1515" s="27">
        <v>1503.0</v>
      </c>
      <c r="H1515" s="8">
        <f t="shared" si="1"/>
        <v>-11</v>
      </c>
    </row>
    <row r="1516">
      <c r="A1516" s="10">
        <v>1515.0</v>
      </c>
      <c r="B1516" s="11" t="s">
        <v>4361</v>
      </c>
      <c r="C1516" s="10" t="s">
        <v>79</v>
      </c>
      <c r="D1516" s="10" t="s">
        <v>82</v>
      </c>
      <c r="E1516" s="13" t="str">
        <f>IFERROR(__xludf.DUMMYFUNCTION("ifna(filter('Yahoo ADP'!$A$2:$A2766,'Yahoo ADP'!$B$2:$B2766=$B1516,$C1516='Yahoo ADP'!$C$2:$C2766,$D1516='Yahoo ADP'!$D$2:$D2766))"),"")</f>
        <v/>
      </c>
      <c r="F1516" s="13" t="str">
        <f>IFERROR(__xludf.DUMMYFUNCTION("ifna(filter('Yahoo ADP'!$E$2:$E2766,'Yahoo ADP'!$B$2:$B2766=$B1516,$C1516='Yahoo ADP'!$C$2:$C2766,$D1516='Yahoo ADP'!$D$2:$D2766))"),"-")</f>
        <v>-</v>
      </c>
      <c r="G1516" s="27">
        <v>1504.0</v>
      </c>
      <c r="H1516" s="8">
        <f t="shared" si="1"/>
        <v>-11</v>
      </c>
    </row>
    <row r="1517">
      <c r="A1517" s="10">
        <v>1516.0</v>
      </c>
      <c r="B1517" s="11" t="s">
        <v>4362</v>
      </c>
      <c r="C1517" s="10" t="s">
        <v>22</v>
      </c>
      <c r="D1517" s="10" t="s">
        <v>105</v>
      </c>
      <c r="E1517" s="13" t="str">
        <f>IFERROR(__xludf.DUMMYFUNCTION("ifna(filter('Yahoo ADP'!$A$2:$A2766,'Yahoo ADP'!$B$2:$B2766=$B1517,$C1517='Yahoo ADP'!$C$2:$C2766,$D1517='Yahoo ADP'!$D$2:$D2766))"),"")</f>
        <v/>
      </c>
      <c r="F1517" s="13" t="str">
        <f>IFERROR(__xludf.DUMMYFUNCTION("ifna(filter('Yahoo ADP'!$E$2:$E2766,'Yahoo ADP'!$B$2:$B2766=$B1517,$C1517='Yahoo ADP'!$C$2:$C2766,$D1517='Yahoo ADP'!$D$2:$D2766))"),"-")</f>
        <v>-</v>
      </c>
      <c r="G1517" s="27">
        <v>1505.0</v>
      </c>
      <c r="H1517" s="8">
        <f t="shared" si="1"/>
        <v>-11</v>
      </c>
    </row>
    <row r="1518">
      <c r="A1518" s="10">
        <v>1517.0</v>
      </c>
      <c r="B1518" s="11" t="s">
        <v>4363</v>
      </c>
      <c r="C1518" s="10" t="s">
        <v>79</v>
      </c>
      <c r="D1518" s="10" t="s">
        <v>120</v>
      </c>
      <c r="E1518" s="13" t="str">
        <f>IFERROR(__xludf.DUMMYFUNCTION("ifna(filter('Yahoo ADP'!$A$2:$A2766,'Yahoo ADP'!$B$2:$B2766=$B1518,$C1518='Yahoo ADP'!$C$2:$C2766,$D1518='Yahoo ADP'!$D$2:$D2766))"),"")</f>
        <v/>
      </c>
      <c r="F1518" s="13" t="str">
        <f>IFERROR(__xludf.DUMMYFUNCTION("ifna(filter('Yahoo ADP'!$E$2:$E2766,'Yahoo ADP'!$B$2:$B2766=$B1518,$C1518='Yahoo ADP'!$C$2:$C2766,$D1518='Yahoo ADP'!$D$2:$D2766))"),"-")</f>
        <v>-</v>
      </c>
      <c r="G1518" s="27">
        <v>1506.0</v>
      </c>
      <c r="H1518" s="8">
        <f t="shared" si="1"/>
        <v>-11</v>
      </c>
    </row>
    <row r="1519">
      <c r="A1519" s="10">
        <v>1518.0</v>
      </c>
      <c r="B1519" s="11" t="s">
        <v>4364</v>
      </c>
      <c r="C1519" s="10" t="s">
        <v>79</v>
      </c>
      <c r="D1519" s="10" t="s">
        <v>95</v>
      </c>
      <c r="E1519" s="13" t="str">
        <f>IFERROR(__xludf.DUMMYFUNCTION("ifna(filter('Yahoo ADP'!$A$2:$A2766,'Yahoo ADP'!$B$2:$B2766=$B1519,$C1519='Yahoo ADP'!$C$2:$C2766,$D1519='Yahoo ADP'!$D$2:$D2766))"),"")</f>
        <v/>
      </c>
      <c r="F1519" s="13" t="str">
        <f>IFERROR(__xludf.DUMMYFUNCTION("ifna(filter('Yahoo ADP'!$E$2:$E2766,'Yahoo ADP'!$B$2:$B2766=$B1519,$C1519='Yahoo ADP'!$C$2:$C2766,$D1519='Yahoo ADP'!$D$2:$D2766))"),"-")</f>
        <v>-</v>
      </c>
      <c r="G1519" s="27">
        <v>1507.0</v>
      </c>
      <c r="H1519" s="8">
        <f t="shared" si="1"/>
        <v>-11</v>
      </c>
    </row>
    <row r="1520">
      <c r="A1520" s="10">
        <v>1519.0</v>
      </c>
      <c r="B1520" s="11" t="s">
        <v>4365</v>
      </c>
      <c r="C1520" s="10" t="s">
        <v>79</v>
      </c>
      <c r="D1520" s="10" t="s">
        <v>73</v>
      </c>
      <c r="E1520" s="13" t="str">
        <f>IFERROR(__xludf.DUMMYFUNCTION("ifna(filter('Yahoo ADP'!$A$2:$A2766,'Yahoo ADP'!$B$2:$B2766=$B1520,$C1520='Yahoo ADP'!$C$2:$C2766,$D1520='Yahoo ADP'!$D$2:$D2766))"),"")</f>
        <v/>
      </c>
      <c r="F1520" s="13" t="str">
        <f>IFERROR(__xludf.DUMMYFUNCTION("ifna(filter('Yahoo ADP'!$E$2:$E2766,'Yahoo ADP'!$B$2:$B2766=$B1520,$C1520='Yahoo ADP'!$C$2:$C2766,$D1520='Yahoo ADP'!$D$2:$D2766))"),"-")</f>
        <v>-</v>
      </c>
      <c r="G1520" s="27">
        <v>1508.0</v>
      </c>
      <c r="H1520" s="8">
        <f t="shared" si="1"/>
        <v>-11</v>
      </c>
    </row>
    <row r="1521">
      <c r="A1521" s="10">
        <v>1520.0</v>
      </c>
      <c r="B1521" s="11" t="s">
        <v>4366</v>
      </c>
      <c r="C1521" s="10" t="s">
        <v>79</v>
      </c>
      <c r="D1521" s="10" t="s">
        <v>140</v>
      </c>
      <c r="E1521" s="13" t="str">
        <f>IFERROR(__xludf.DUMMYFUNCTION("ifna(filter('Yahoo ADP'!$A$2:$A2766,'Yahoo ADP'!$B$2:$B2766=$B1521,$C1521='Yahoo ADP'!$C$2:$C2766,$D1521='Yahoo ADP'!$D$2:$D2766))"),"")</f>
        <v/>
      </c>
      <c r="F1521" s="13" t="str">
        <f>IFERROR(__xludf.DUMMYFUNCTION("ifna(filter('Yahoo ADP'!$E$2:$E2766,'Yahoo ADP'!$B$2:$B2766=$B1521,$C1521='Yahoo ADP'!$C$2:$C2766,$D1521='Yahoo ADP'!$D$2:$D2766))"),"-")</f>
        <v>-</v>
      </c>
      <c r="G1521" s="27">
        <v>1509.0</v>
      </c>
      <c r="H1521" s="8">
        <f t="shared" si="1"/>
        <v>-11</v>
      </c>
    </row>
    <row r="1522">
      <c r="A1522" s="10">
        <v>1521.0</v>
      </c>
      <c r="B1522" s="11" t="s">
        <v>4367</v>
      </c>
      <c r="C1522" s="10" t="s">
        <v>22</v>
      </c>
      <c r="D1522" s="10" t="s">
        <v>105</v>
      </c>
      <c r="E1522" s="13" t="str">
        <f>IFERROR(__xludf.DUMMYFUNCTION("ifna(filter('Yahoo ADP'!$A$2:$A2766,'Yahoo ADP'!$B$2:$B2766=$B1522,$C1522='Yahoo ADP'!$C$2:$C2766,$D1522='Yahoo ADP'!$D$2:$D2766))"),"")</f>
        <v/>
      </c>
      <c r="F1522" s="13" t="str">
        <f>IFERROR(__xludf.DUMMYFUNCTION("ifna(filter('Yahoo ADP'!$E$2:$E2766,'Yahoo ADP'!$B$2:$B2766=$B1522,$C1522='Yahoo ADP'!$C$2:$C2766,$D1522='Yahoo ADP'!$D$2:$D2766))"),"-")</f>
        <v>-</v>
      </c>
      <c r="G1522" s="27">
        <v>1510.0</v>
      </c>
      <c r="H1522" s="8">
        <f t="shared" si="1"/>
        <v>-11</v>
      </c>
    </row>
    <row r="1523">
      <c r="A1523" s="10">
        <v>1522.0</v>
      </c>
      <c r="B1523" s="11" t="s">
        <v>4368</v>
      </c>
      <c r="C1523" s="10" t="s">
        <v>79</v>
      </c>
      <c r="D1523" s="10" t="s">
        <v>42</v>
      </c>
      <c r="E1523" s="13" t="str">
        <f>IFERROR(__xludf.DUMMYFUNCTION("ifna(filter('Yahoo ADP'!$A$2:$A2766,'Yahoo ADP'!$B$2:$B2766=$B1523,$C1523='Yahoo ADP'!$C$2:$C2766,$D1523='Yahoo ADP'!$D$2:$D2766))"),"")</f>
        <v/>
      </c>
      <c r="F1523" s="13" t="str">
        <f>IFERROR(__xludf.DUMMYFUNCTION("ifna(filter('Yahoo ADP'!$E$2:$E2766,'Yahoo ADP'!$B$2:$B2766=$B1523,$C1523='Yahoo ADP'!$C$2:$C2766,$D1523='Yahoo ADP'!$D$2:$D2766))"),"-")</f>
        <v>-</v>
      </c>
      <c r="G1523" s="27">
        <v>1511.0</v>
      </c>
      <c r="H1523" s="8">
        <f t="shared" si="1"/>
        <v>-11</v>
      </c>
    </row>
    <row r="1524">
      <c r="A1524" s="10">
        <v>1523.0</v>
      </c>
      <c r="B1524" s="11" t="s">
        <v>4369</v>
      </c>
      <c r="C1524" s="10" t="s">
        <v>585</v>
      </c>
      <c r="D1524" s="10" t="s">
        <v>67</v>
      </c>
      <c r="E1524" s="13" t="str">
        <f>IFERROR(__xludf.DUMMYFUNCTION("ifna(filter('Yahoo ADP'!$A$2:$A2766,'Yahoo ADP'!$B$2:$B2766=$B1524,$C1524='Yahoo ADP'!$C$2:$C2766,$D1524='Yahoo ADP'!$D$2:$D2766))"),"")</f>
        <v/>
      </c>
      <c r="F1524" s="13" t="str">
        <f>IFERROR(__xludf.DUMMYFUNCTION("ifna(filter('Yahoo ADP'!$E$2:$E2766,'Yahoo ADP'!$B$2:$B2766=$B1524,$C1524='Yahoo ADP'!$C$2:$C2766,$D1524='Yahoo ADP'!$D$2:$D2766))"),"-")</f>
        <v>-</v>
      </c>
      <c r="G1524" s="27">
        <v>1512.0</v>
      </c>
      <c r="H1524" s="8">
        <f t="shared" si="1"/>
        <v>-11</v>
      </c>
    </row>
    <row r="1525">
      <c r="A1525" s="10">
        <v>1524.0</v>
      </c>
      <c r="B1525" s="11" t="s">
        <v>4370</v>
      </c>
      <c r="C1525" s="10" t="s">
        <v>79</v>
      </c>
      <c r="D1525" s="10" t="s">
        <v>25</v>
      </c>
      <c r="E1525" s="13" t="str">
        <f>IFERROR(__xludf.DUMMYFUNCTION("ifna(filter('Yahoo ADP'!$A$2:$A2766,'Yahoo ADP'!$B$2:$B2766=$B1525,$C1525='Yahoo ADP'!$C$2:$C2766,$D1525='Yahoo ADP'!$D$2:$D2766))"),"")</f>
        <v/>
      </c>
      <c r="F1525" s="13" t="str">
        <f>IFERROR(__xludf.DUMMYFUNCTION("ifna(filter('Yahoo ADP'!$E$2:$E2766,'Yahoo ADP'!$B$2:$B2766=$B1525,$C1525='Yahoo ADP'!$C$2:$C2766,$D1525='Yahoo ADP'!$D$2:$D2766))"),"-")</f>
        <v>-</v>
      </c>
      <c r="G1525" s="27">
        <v>1513.0</v>
      </c>
      <c r="H1525" s="8">
        <f t="shared" si="1"/>
        <v>-11</v>
      </c>
    </row>
    <row r="1526">
      <c r="A1526" s="10">
        <v>1525.0</v>
      </c>
      <c r="B1526" s="11" t="s">
        <v>4371</v>
      </c>
      <c r="C1526" s="10" t="s">
        <v>79</v>
      </c>
      <c r="D1526" s="10" t="s">
        <v>42</v>
      </c>
      <c r="E1526" s="13" t="str">
        <f>IFERROR(__xludf.DUMMYFUNCTION("ifna(filter('Yahoo ADP'!$A$2:$A2766,'Yahoo ADP'!$B$2:$B2766=$B1526,$C1526='Yahoo ADP'!$C$2:$C2766,$D1526='Yahoo ADP'!$D$2:$D2766))"),"")</f>
        <v/>
      </c>
      <c r="F1526" s="13" t="str">
        <f>IFERROR(__xludf.DUMMYFUNCTION("ifna(filter('Yahoo ADP'!$E$2:$E2766,'Yahoo ADP'!$B$2:$B2766=$B1526,$C1526='Yahoo ADP'!$C$2:$C2766,$D1526='Yahoo ADP'!$D$2:$D2766))"),"-")</f>
        <v>-</v>
      </c>
      <c r="G1526" s="27">
        <v>1514.0</v>
      </c>
      <c r="H1526" s="8">
        <f t="shared" si="1"/>
        <v>-11</v>
      </c>
    </row>
    <row r="1527">
      <c r="A1527" s="10">
        <v>1526.0</v>
      </c>
      <c r="B1527" s="11" t="s">
        <v>4372</v>
      </c>
      <c r="C1527" s="10" t="s">
        <v>79</v>
      </c>
      <c r="D1527" s="10" t="s">
        <v>31</v>
      </c>
      <c r="E1527" s="13" t="str">
        <f>IFERROR(__xludf.DUMMYFUNCTION("ifna(filter('Yahoo ADP'!$A$2:$A2766,'Yahoo ADP'!$B$2:$B2766=$B1527,$C1527='Yahoo ADP'!$C$2:$C2766,$D1527='Yahoo ADP'!$D$2:$D2766))"),"")</f>
        <v/>
      </c>
      <c r="F1527" s="13" t="str">
        <f>IFERROR(__xludf.DUMMYFUNCTION("ifna(filter('Yahoo ADP'!$E$2:$E2766,'Yahoo ADP'!$B$2:$B2766=$B1527,$C1527='Yahoo ADP'!$C$2:$C2766,$D1527='Yahoo ADP'!$D$2:$D2766))"),"-")</f>
        <v>-</v>
      </c>
      <c r="G1527" s="27">
        <v>1515.0</v>
      </c>
      <c r="H1527" s="8">
        <f t="shared" si="1"/>
        <v>-11</v>
      </c>
    </row>
    <row r="1528">
      <c r="A1528" s="10">
        <v>1527.0</v>
      </c>
      <c r="B1528" s="11" t="s">
        <v>4373</v>
      </c>
      <c r="C1528" s="10" t="s">
        <v>79</v>
      </c>
      <c r="D1528" s="10" t="s">
        <v>206</v>
      </c>
      <c r="E1528" s="13" t="str">
        <f>IFERROR(__xludf.DUMMYFUNCTION("ifna(filter('Yahoo ADP'!$A$2:$A2766,'Yahoo ADP'!$B$2:$B2766=$B1528,$C1528='Yahoo ADP'!$C$2:$C2766,$D1528='Yahoo ADP'!$D$2:$D2766))"),"")</f>
        <v/>
      </c>
      <c r="F1528" s="13" t="str">
        <f>IFERROR(__xludf.DUMMYFUNCTION("ifna(filter('Yahoo ADP'!$E$2:$E2766,'Yahoo ADP'!$B$2:$B2766=$B1528,$C1528='Yahoo ADP'!$C$2:$C2766,$D1528='Yahoo ADP'!$D$2:$D2766))"),"-")</f>
        <v>-</v>
      </c>
      <c r="G1528" s="27">
        <v>1516.0</v>
      </c>
      <c r="H1528" s="8">
        <f t="shared" si="1"/>
        <v>-11</v>
      </c>
    </row>
    <row r="1529">
      <c r="A1529" s="10">
        <v>1528.0</v>
      </c>
      <c r="B1529" s="11" t="s">
        <v>4374</v>
      </c>
      <c r="C1529" s="10" t="s">
        <v>79</v>
      </c>
      <c r="D1529" s="10" t="s">
        <v>36</v>
      </c>
      <c r="E1529" s="13" t="str">
        <f>IFERROR(__xludf.DUMMYFUNCTION("ifna(filter('Yahoo ADP'!$A$2:$A2766,'Yahoo ADP'!$B$2:$B2766=$B1529,$C1529='Yahoo ADP'!$C$2:$C2766,$D1529='Yahoo ADP'!$D$2:$D2766))"),"")</f>
        <v/>
      </c>
      <c r="F1529" s="13" t="str">
        <f>IFERROR(__xludf.DUMMYFUNCTION("ifna(filter('Yahoo ADP'!$E$2:$E2766,'Yahoo ADP'!$B$2:$B2766=$B1529,$C1529='Yahoo ADP'!$C$2:$C2766,$D1529='Yahoo ADP'!$D$2:$D2766))"),"-")</f>
        <v>-</v>
      </c>
      <c r="G1529" s="27">
        <v>1517.0</v>
      </c>
      <c r="H1529" s="8">
        <f t="shared" si="1"/>
        <v>-11</v>
      </c>
    </row>
    <row r="1530">
      <c r="A1530" s="10">
        <v>1529.0</v>
      </c>
      <c r="B1530" s="11" t="s">
        <v>4375</v>
      </c>
      <c r="C1530" s="10" t="s">
        <v>22</v>
      </c>
      <c r="D1530" s="10" t="s">
        <v>120</v>
      </c>
      <c r="E1530" s="13" t="str">
        <f>IFERROR(__xludf.DUMMYFUNCTION("ifna(filter('Yahoo ADP'!$A$2:$A2766,'Yahoo ADP'!$B$2:$B2766=$B1530,$C1530='Yahoo ADP'!$C$2:$C2766,$D1530='Yahoo ADP'!$D$2:$D2766))"),"")</f>
        <v/>
      </c>
      <c r="F1530" s="13" t="str">
        <f>IFERROR(__xludf.DUMMYFUNCTION("ifna(filter('Yahoo ADP'!$E$2:$E2766,'Yahoo ADP'!$B$2:$B2766=$B1530,$C1530='Yahoo ADP'!$C$2:$C2766,$D1530='Yahoo ADP'!$D$2:$D2766))"),"-")</f>
        <v>-</v>
      </c>
      <c r="G1530" s="27">
        <v>1518.0</v>
      </c>
      <c r="H1530" s="8">
        <f t="shared" si="1"/>
        <v>-11</v>
      </c>
    </row>
    <row r="1531">
      <c r="A1531" s="10">
        <v>1530.0</v>
      </c>
      <c r="B1531" s="11" t="s">
        <v>4376</v>
      </c>
      <c r="C1531" s="10" t="s">
        <v>22</v>
      </c>
      <c r="D1531" s="10" t="s">
        <v>95</v>
      </c>
      <c r="E1531" s="13" t="str">
        <f>IFERROR(__xludf.DUMMYFUNCTION("ifna(filter('Yahoo ADP'!$A$2:$A2766,'Yahoo ADP'!$B$2:$B2766=$B1531,$C1531='Yahoo ADP'!$C$2:$C2766,$D1531='Yahoo ADP'!$D$2:$D2766))"),"")</f>
        <v/>
      </c>
      <c r="F1531" s="13" t="str">
        <f>IFERROR(__xludf.DUMMYFUNCTION("ifna(filter('Yahoo ADP'!$E$2:$E2766,'Yahoo ADP'!$B$2:$B2766=$B1531,$C1531='Yahoo ADP'!$C$2:$C2766,$D1531='Yahoo ADP'!$D$2:$D2766))"),"-")</f>
        <v>-</v>
      </c>
      <c r="G1531" s="27">
        <v>1519.0</v>
      </c>
      <c r="H1531" s="8">
        <f t="shared" si="1"/>
        <v>-11</v>
      </c>
    </row>
    <row r="1532">
      <c r="A1532" s="10">
        <v>1531.0</v>
      </c>
      <c r="B1532" s="11" t="s">
        <v>4377</v>
      </c>
      <c r="C1532" s="10" t="s">
        <v>79</v>
      </c>
      <c r="D1532" s="10" t="s">
        <v>18</v>
      </c>
      <c r="E1532" s="13" t="str">
        <f>IFERROR(__xludf.DUMMYFUNCTION("ifna(filter('Yahoo ADP'!$A$2:$A2766,'Yahoo ADP'!$B$2:$B2766=$B1532,$C1532='Yahoo ADP'!$C$2:$C2766,$D1532='Yahoo ADP'!$D$2:$D2766))"),"")</f>
        <v/>
      </c>
      <c r="F1532" s="13" t="str">
        <f>IFERROR(__xludf.DUMMYFUNCTION("ifna(filter('Yahoo ADP'!$E$2:$E2766,'Yahoo ADP'!$B$2:$B2766=$B1532,$C1532='Yahoo ADP'!$C$2:$C2766,$D1532='Yahoo ADP'!$D$2:$D2766))"),"-")</f>
        <v>-</v>
      </c>
      <c r="G1532" s="27">
        <v>1520.0</v>
      </c>
      <c r="H1532" s="8">
        <f t="shared" si="1"/>
        <v>-11</v>
      </c>
    </row>
    <row r="1533">
      <c r="A1533" s="10">
        <v>1532.0</v>
      </c>
      <c r="B1533" s="11" t="s">
        <v>4378</v>
      </c>
      <c r="C1533" s="10" t="s">
        <v>79</v>
      </c>
      <c r="D1533" s="10" t="s">
        <v>73</v>
      </c>
      <c r="E1533" s="13" t="str">
        <f>IFERROR(__xludf.DUMMYFUNCTION("ifna(filter('Yahoo ADP'!$A$2:$A2766,'Yahoo ADP'!$B$2:$B2766=$B1533,$C1533='Yahoo ADP'!$C$2:$C2766,$D1533='Yahoo ADP'!$D$2:$D2766))"),"")</f>
        <v/>
      </c>
      <c r="F1533" s="13" t="str">
        <f>IFERROR(__xludf.DUMMYFUNCTION("ifna(filter('Yahoo ADP'!$E$2:$E2766,'Yahoo ADP'!$B$2:$B2766=$B1533,$C1533='Yahoo ADP'!$C$2:$C2766,$D1533='Yahoo ADP'!$D$2:$D2766))"),"-")</f>
        <v>-</v>
      </c>
      <c r="G1533" s="27">
        <v>1521.0</v>
      </c>
      <c r="H1533" s="8">
        <f t="shared" si="1"/>
        <v>-11</v>
      </c>
    </row>
    <row r="1534">
      <c r="A1534" s="10">
        <v>1533.0</v>
      </c>
      <c r="B1534" s="11" t="s">
        <v>4379</v>
      </c>
      <c r="C1534" s="10" t="s">
        <v>79</v>
      </c>
      <c r="D1534" s="10" t="s">
        <v>82</v>
      </c>
      <c r="E1534" s="13" t="str">
        <f>IFERROR(__xludf.DUMMYFUNCTION("ifna(filter('Yahoo ADP'!$A$2:$A2766,'Yahoo ADP'!$B$2:$B2766=$B1534,$C1534='Yahoo ADP'!$C$2:$C2766,$D1534='Yahoo ADP'!$D$2:$D2766))"),"")</f>
        <v/>
      </c>
      <c r="F1534" s="13" t="str">
        <f>IFERROR(__xludf.DUMMYFUNCTION("ifna(filter('Yahoo ADP'!$E$2:$E2766,'Yahoo ADP'!$B$2:$B2766=$B1534,$C1534='Yahoo ADP'!$C$2:$C2766,$D1534='Yahoo ADP'!$D$2:$D2766))"),"-")</f>
        <v>-</v>
      </c>
      <c r="G1534" s="27">
        <v>1522.0</v>
      </c>
      <c r="H1534" s="8">
        <f t="shared" si="1"/>
        <v>-11</v>
      </c>
    </row>
    <row r="1535">
      <c r="A1535" s="10">
        <v>1534.0</v>
      </c>
      <c r="B1535" s="11" t="s">
        <v>4380</v>
      </c>
      <c r="C1535" s="10" t="s">
        <v>22</v>
      </c>
      <c r="D1535" s="10" t="s">
        <v>49</v>
      </c>
      <c r="E1535" s="13" t="str">
        <f>IFERROR(__xludf.DUMMYFUNCTION("ifna(filter('Yahoo ADP'!$A$2:$A2766,'Yahoo ADP'!$B$2:$B2766=$B1535,$C1535='Yahoo ADP'!$C$2:$C2766,$D1535='Yahoo ADP'!$D$2:$D2766))"),"")</f>
        <v/>
      </c>
      <c r="F1535" s="13" t="str">
        <f>IFERROR(__xludf.DUMMYFUNCTION("ifna(filter('Yahoo ADP'!$E$2:$E2766,'Yahoo ADP'!$B$2:$B2766=$B1535,$C1535='Yahoo ADP'!$C$2:$C2766,$D1535='Yahoo ADP'!$D$2:$D2766))"),"-")</f>
        <v>-</v>
      </c>
      <c r="G1535" s="27">
        <v>1523.0</v>
      </c>
      <c r="H1535" s="8">
        <f t="shared" si="1"/>
        <v>-11</v>
      </c>
    </row>
    <row r="1536">
      <c r="A1536" s="10">
        <v>1535.0</v>
      </c>
      <c r="B1536" s="11" t="s">
        <v>4381</v>
      </c>
      <c r="C1536" s="10" t="s">
        <v>79</v>
      </c>
      <c r="D1536" s="10" t="s">
        <v>73</v>
      </c>
      <c r="E1536" s="13" t="str">
        <f>IFERROR(__xludf.DUMMYFUNCTION("ifna(filter('Yahoo ADP'!$A$2:$A2766,'Yahoo ADP'!$B$2:$B2766=$B1536,$C1536='Yahoo ADP'!$C$2:$C2766,$D1536='Yahoo ADP'!$D$2:$D2766))"),"")</f>
        <v/>
      </c>
      <c r="F1536" s="13" t="str">
        <f>IFERROR(__xludf.DUMMYFUNCTION("ifna(filter('Yahoo ADP'!$E$2:$E2766,'Yahoo ADP'!$B$2:$B2766=$B1536,$C1536='Yahoo ADP'!$C$2:$C2766,$D1536='Yahoo ADP'!$D$2:$D2766))"),"-")</f>
        <v>-</v>
      </c>
      <c r="G1536" s="27">
        <v>1524.0</v>
      </c>
      <c r="H1536" s="8">
        <f t="shared" si="1"/>
        <v>-11</v>
      </c>
    </row>
    <row r="1537">
      <c r="A1537" s="10">
        <v>1536.0</v>
      </c>
      <c r="B1537" s="11" t="s">
        <v>4382</v>
      </c>
      <c r="C1537" s="10" t="s">
        <v>77</v>
      </c>
      <c r="D1537" s="10" t="s">
        <v>25</v>
      </c>
      <c r="E1537" s="13" t="str">
        <f>IFERROR(__xludf.DUMMYFUNCTION("ifna(filter('Yahoo ADP'!$A$2:$A2766,'Yahoo ADP'!$B$2:$B2766=$B1537,$C1537='Yahoo ADP'!$C$2:$C2766,$D1537='Yahoo ADP'!$D$2:$D2766))"),"")</f>
        <v/>
      </c>
      <c r="F1537" s="13" t="str">
        <f>IFERROR(__xludf.DUMMYFUNCTION("ifna(filter('Yahoo ADP'!$E$2:$E2766,'Yahoo ADP'!$B$2:$B2766=$B1537,$C1537='Yahoo ADP'!$C$2:$C2766,$D1537='Yahoo ADP'!$D$2:$D2766))"),"-")</f>
        <v>-</v>
      </c>
      <c r="G1537" s="27">
        <v>1525.0</v>
      </c>
      <c r="H1537" s="8">
        <f t="shared" si="1"/>
        <v>-11</v>
      </c>
    </row>
    <row r="1538">
      <c r="A1538" s="10">
        <v>1537.0</v>
      </c>
      <c r="B1538" s="11" t="s">
        <v>4383</v>
      </c>
      <c r="C1538" s="10" t="s">
        <v>79</v>
      </c>
      <c r="D1538" s="10" t="s">
        <v>137</v>
      </c>
      <c r="E1538" s="13" t="str">
        <f>IFERROR(__xludf.DUMMYFUNCTION("ifna(filter('Yahoo ADP'!$A$2:$A2766,'Yahoo ADP'!$B$2:$B2766=$B1538,$C1538='Yahoo ADP'!$C$2:$C2766,$D1538='Yahoo ADP'!$D$2:$D2766))"),"")</f>
        <v/>
      </c>
      <c r="F1538" s="13" t="str">
        <f>IFERROR(__xludf.DUMMYFUNCTION("ifna(filter('Yahoo ADP'!$E$2:$E2766,'Yahoo ADP'!$B$2:$B2766=$B1538,$C1538='Yahoo ADP'!$C$2:$C2766,$D1538='Yahoo ADP'!$D$2:$D2766))"),"-")</f>
        <v>-</v>
      </c>
      <c r="G1538" s="27">
        <v>1526.0</v>
      </c>
      <c r="H1538" s="8">
        <f t="shared" si="1"/>
        <v>-11</v>
      </c>
    </row>
    <row r="1539">
      <c r="A1539" s="10">
        <v>1538.0</v>
      </c>
      <c r="B1539" s="11" t="s">
        <v>4384</v>
      </c>
      <c r="C1539" s="10" t="s">
        <v>220</v>
      </c>
      <c r="D1539" s="10" t="s">
        <v>99</v>
      </c>
      <c r="E1539" s="13" t="str">
        <f>IFERROR(__xludf.DUMMYFUNCTION("ifna(filter('Yahoo ADP'!$A$2:$A2766,'Yahoo ADP'!$B$2:$B2766=$B1539,$C1539='Yahoo ADP'!$C$2:$C2766,$D1539='Yahoo ADP'!$D$2:$D2766))"),"")</f>
        <v/>
      </c>
      <c r="F1539" s="13" t="str">
        <f>IFERROR(__xludf.DUMMYFUNCTION("ifna(filter('Yahoo ADP'!$E$2:$E2766,'Yahoo ADP'!$B$2:$B2766=$B1539,$C1539='Yahoo ADP'!$C$2:$C2766,$D1539='Yahoo ADP'!$D$2:$D2766))"),"-")</f>
        <v>-</v>
      </c>
      <c r="G1539" s="27">
        <v>1527.0</v>
      </c>
      <c r="H1539" s="8">
        <f t="shared" si="1"/>
        <v>-11</v>
      </c>
    </row>
    <row r="1540">
      <c r="A1540" s="10">
        <v>1539.0</v>
      </c>
      <c r="B1540" s="11" t="s">
        <v>4385</v>
      </c>
      <c r="C1540" s="10" t="s">
        <v>79</v>
      </c>
      <c r="D1540" s="10" t="s">
        <v>52</v>
      </c>
      <c r="E1540" s="13" t="str">
        <f>IFERROR(__xludf.DUMMYFUNCTION("ifna(filter('Yahoo ADP'!$A$2:$A2766,'Yahoo ADP'!$B$2:$B2766=$B1540,$C1540='Yahoo ADP'!$C$2:$C2766,$D1540='Yahoo ADP'!$D$2:$D2766))"),"")</f>
        <v/>
      </c>
      <c r="F1540" s="13" t="str">
        <f>IFERROR(__xludf.DUMMYFUNCTION("ifna(filter('Yahoo ADP'!$E$2:$E2766,'Yahoo ADP'!$B$2:$B2766=$B1540,$C1540='Yahoo ADP'!$C$2:$C2766,$D1540='Yahoo ADP'!$D$2:$D2766))"),"-")</f>
        <v>-</v>
      </c>
      <c r="G1540" s="27" t="s">
        <v>2897</v>
      </c>
      <c r="H1540" s="8" t="str">
        <f t="shared" si="1"/>
        <v/>
      </c>
    </row>
    <row r="1541">
      <c r="A1541" s="10">
        <v>1540.0</v>
      </c>
      <c r="B1541" s="11" t="s">
        <v>4386</v>
      </c>
      <c r="C1541" s="10" t="s">
        <v>79</v>
      </c>
      <c r="D1541" s="10" t="s">
        <v>206</v>
      </c>
      <c r="E1541" s="13" t="str">
        <f>IFERROR(__xludf.DUMMYFUNCTION("ifna(filter('Yahoo ADP'!$A$2:$A2766,'Yahoo ADP'!$B$2:$B2766=$B1541,$C1541='Yahoo ADP'!$C$2:$C2766,$D1541='Yahoo ADP'!$D$2:$D2766))"),"")</f>
        <v/>
      </c>
      <c r="F1541" s="13" t="str">
        <f>IFERROR(__xludf.DUMMYFUNCTION("ifna(filter('Yahoo ADP'!$E$2:$E2766,'Yahoo ADP'!$B$2:$B2766=$B1541,$C1541='Yahoo ADP'!$C$2:$C2766,$D1541='Yahoo ADP'!$D$2:$D2766))"),"-")</f>
        <v>-</v>
      </c>
      <c r="G1541" s="27">
        <v>1529.0</v>
      </c>
      <c r="H1541" s="8">
        <f t="shared" si="1"/>
        <v>-11</v>
      </c>
    </row>
    <row r="1542">
      <c r="A1542" s="10">
        <v>1541.0</v>
      </c>
      <c r="B1542" s="11" t="s">
        <v>4387</v>
      </c>
      <c r="C1542" s="10" t="s">
        <v>220</v>
      </c>
      <c r="D1542" s="10" t="s">
        <v>18</v>
      </c>
      <c r="E1542" s="13" t="str">
        <f>IFERROR(__xludf.DUMMYFUNCTION("ifna(filter('Yahoo ADP'!$A$2:$A2766,'Yahoo ADP'!$B$2:$B2766=$B1542,$C1542='Yahoo ADP'!$C$2:$C2766,$D1542='Yahoo ADP'!$D$2:$D2766))"),"")</f>
        <v/>
      </c>
      <c r="F1542" s="13" t="str">
        <f>IFERROR(__xludf.DUMMYFUNCTION("ifna(filter('Yahoo ADP'!$E$2:$E2766,'Yahoo ADP'!$B$2:$B2766=$B1542,$C1542='Yahoo ADP'!$C$2:$C2766,$D1542='Yahoo ADP'!$D$2:$D2766))"),"-")</f>
        <v>-</v>
      </c>
      <c r="G1542" s="27">
        <v>1530.0</v>
      </c>
      <c r="H1542" s="8">
        <f t="shared" si="1"/>
        <v>-11</v>
      </c>
    </row>
    <row r="1543">
      <c r="A1543" s="10">
        <v>1542.0</v>
      </c>
      <c r="B1543" s="11" t="s">
        <v>4388</v>
      </c>
      <c r="C1543" s="10" t="s">
        <v>63</v>
      </c>
      <c r="D1543" s="10" t="s">
        <v>113</v>
      </c>
      <c r="E1543" s="13" t="str">
        <f>IFERROR(__xludf.DUMMYFUNCTION("ifna(filter('Yahoo ADP'!$A$2:$A2766,'Yahoo ADP'!$B$2:$B2766=$B1543,$C1543='Yahoo ADP'!$C$2:$C2766,$D1543='Yahoo ADP'!$D$2:$D2766))"),"")</f>
        <v/>
      </c>
      <c r="F1543" s="13" t="str">
        <f>IFERROR(__xludf.DUMMYFUNCTION("ifna(filter('Yahoo ADP'!$E$2:$E2766,'Yahoo ADP'!$B$2:$B2766=$B1543,$C1543='Yahoo ADP'!$C$2:$C2766,$D1543='Yahoo ADP'!$D$2:$D2766))"),"-")</f>
        <v>-</v>
      </c>
      <c r="G1543" s="27">
        <v>1531.0</v>
      </c>
      <c r="H1543" s="8">
        <f t="shared" si="1"/>
        <v>-11</v>
      </c>
    </row>
    <row r="1544">
      <c r="A1544" s="10">
        <v>1543.0</v>
      </c>
      <c r="B1544" s="11" t="s">
        <v>4389</v>
      </c>
      <c r="C1544" s="10" t="s">
        <v>79</v>
      </c>
      <c r="D1544" s="10" t="s">
        <v>140</v>
      </c>
      <c r="E1544" s="13" t="str">
        <f>IFERROR(__xludf.DUMMYFUNCTION("ifna(filter('Yahoo ADP'!$A$2:$A2766,'Yahoo ADP'!$B$2:$B2766=$B1544,$C1544='Yahoo ADP'!$C$2:$C2766,$D1544='Yahoo ADP'!$D$2:$D2766))"),"")</f>
        <v/>
      </c>
      <c r="F1544" s="13" t="str">
        <f>IFERROR(__xludf.DUMMYFUNCTION("ifna(filter('Yahoo ADP'!$E$2:$E2766,'Yahoo ADP'!$B$2:$B2766=$B1544,$C1544='Yahoo ADP'!$C$2:$C2766,$D1544='Yahoo ADP'!$D$2:$D2766))"),"-")</f>
        <v>-</v>
      </c>
      <c r="G1544" s="27">
        <v>1532.0</v>
      </c>
      <c r="H1544" s="8">
        <f t="shared" si="1"/>
        <v>-11</v>
      </c>
    </row>
    <row r="1545">
      <c r="A1545" s="10">
        <v>1544.0</v>
      </c>
      <c r="B1545" s="11" t="s">
        <v>4390</v>
      </c>
      <c r="C1545" s="10" t="s">
        <v>79</v>
      </c>
      <c r="D1545" s="10" t="s">
        <v>206</v>
      </c>
      <c r="E1545" s="13" t="str">
        <f>IFERROR(__xludf.DUMMYFUNCTION("ifna(filter('Yahoo ADP'!$A$2:$A2766,'Yahoo ADP'!$B$2:$B2766=$B1545,$C1545='Yahoo ADP'!$C$2:$C2766,$D1545='Yahoo ADP'!$D$2:$D2766))"),"")</f>
        <v/>
      </c>
      <c r="F1545" s="13" t="str">
        <f>IFERROR(__xludf.DUMMYFUNCTION("ifna(filter('Yahoo ADP'!$E$2:$E2766,'Yahoo ADP'!$B$2:$B2766=$B1545,$C1545='Yahoo ADP'!$C$2:$C2766,$D1545='Yahoo ADP'!$D$2:$D2766))"),"-")</f>
        <v>-</v>
      </c>
      <c r="G1545" s="27">
        <v>1533.0</v>
      </c>
      <c r="H1545" s="8">
        <f t="shared" si="1"/>
        <v>-11</v>
      </c>
    </row>
    <row r="1546">
      <c r="A1546" s="10">
        <v>1545.0</v>
      </c>
      <c r="B1546" s="11" t="s">
        <v>4391</v>
      </c>
      <c r="C1546" s="10" t="s">
        <v>79</v>
      </c>
      <c r="D1546" s="10" t="s">
        <v>67</v>
      </c>
      <c r="E1546" s="13" t="str">
        <f>IFERROR(__xludf.DUMMYFUNCTION("ifna(filter('Yahoo ADP'!$A$2:$A2766,'Yahoo ADP'!$B$2:$B2766=$B1546,$C1546='Yahoo ADP'!$C$2:$C2766,$D1546='Yahoo ADP'!$D$2:$D2766))"),"")</f>
        <v/>
      </c>
      <c r="F1546" s="13" t="str">
        <f>IFERROR(__xludf.DUMMYFUNCTION("ifna(filter('Yahoo ADP'!$E$2:$E2766,'Yahoo ADP'!$B$2:$B2766=$B1546,$C1546='Yahoo ADP'!$C$2:$C2766,$D1546='Yahoo ADP'!$D$2:$D2766))"),"-")</f>
        <v>-</v>
      </c>
      <c r="G1546" s="27">
        <v>1534.0</v>
      </c>
      <c r="H1546" s="8">
        <f t="shared" si="1"/>
        <v>-11</v>
      </c>
    </row>
    <row r="1547">
      <c r="A1547" s="10">
        <v>1546.0</v>
      </c>
      <c r="B1547" s="11" t="s">
        <v>4392</v>
      </c>
      <c r="C1547" s="10" t="s">
        <v>77</v>
      </c>
      <c r="D1547" s="10" t="s">
        <v>85</v>
      </c>
      <c r="E1547" s="13" t="str">
        <f>IFERROR(__xludf.DUMMYFUNCTION("ifna(filter('Yahoo ADP'!$A$2:$A2766,'Yahoo ADP'!$B$2:$B2766=$B1547,$C1547='Yahoo ADP'!$C$2:$C2766,$D1547='Yahoo ADP'!$D$2:$D2766))"),"")</f>
        <v/>
      </c>
      <c r="F1547" s="13" t="str">
        <f>IFERROR(__xludf.DUMMYFUNCTION("ifna(filter('Yahoo ADP'!$E$2:$E2766,'Yahoo ADP'!$B$2:$B2766=$B1547,$C1547='Yahoo ADP'!$C$2:$C2766,$D1547='Yahoo ADP'!$D$2:$D2766))"),"-")</f>
        <v>-</v>
      </c>
      <c r="G1547" s="27">
        <v>1535.0</v>
      </c>
      <c r="H1547" s="8">
        <f t="shared" si="1"/>
        <v>-11</v>
      </c>
    </row>
    <row r="1548">
      <c r="A1548" s="10">
        <v>1547.0</v>
      </c>
      <c r="B1548" s="11" t="s">
        <v>4393</v>
      </c>
      <c r="C1548" s="10" t="s">
        <v>22</v>
      </c>
      <c r="D1548" s="10" t="s">
        <v>137</v>
      </c>
      <c r="E1548" s="13" t="str">
        <f>IFERROR(__xludf.DUMMYFUNCTION("ifna(filter('Yahoo ADP'!$A$2:$A2766,'Yahoo ADP'!$B$2:$B2766=$B1548,$C1548='Yahoo ADP'!$C$2:$C2766,$D1548='Yahoo ADP'!$D$2:$D2766))"),"")</f>
        <v/>
      </c>
      <c r="F1548" s="13" t="str">
        <f>IFERROR(__xludf.DUMMYFUNCTION("ifna(filter('Yahoo ADP'!$E$2:$E2766,'Yahoo ADP'!$B$2:$B2766=$B1548,$C1548='Yahoo ADP'!$C$2:$C2766,$D1548='Yahoo ADP'!$D$2:$D2766))"),"-")</f>
        <v>-</v>
      </c>
      <c r="G1548" s="27">
        <v>1536.0</v>
      </c>
      <c r="H1548" s="8">
        <f t="shared" si="1"/>
        <v>-11</v>
      </c>
    </row>
    <row r="1549">
      <c r="A1549" s="10">
        <v>1548.0</v>
      </c>
      <c r="B1549" s="11" t="s">
        <v>4394</v>
      </c>
      <c r="C1549" s="10" t="s">
        <v>220</v>
      </c>
      <c r="D1549" s="10" t="s">
        <v>140</v>
      </c>
      <c r="E1549" s="13" t="str">
        <f>IFERROR(__xludf.DUMMYFUNCTION("ifna(filter('Yahoo ADP'!$A$2:$A2766,'Yahoo ADP'!$B$2:$B2766=$B1549,$C1549='Yahoo ADP'!$C$2:$C2766,$D1549='Yahoo ADP'!$D$2:$D2766))"),"")</f>
        <v/>
      </c>
      <c r="F1549" s="13" t="str">
        <f>IFERROR(__xludf.DUMMYFUNCTION("ifna(filter('Yahoo ADP'!$E$2:$E2766,'Yahoo ADP'!$B$2:$B2766=$B1549,$C1549='Yahoo ADP'!$C$2:$C2766,$D1549='Yahoo ADP'!$D$2:$D2766))"),"-")</f>
        <v>-</v>
      </c>
      <c r="G1549" s="27">
        <v>1537.0</v>
      </c>
      <c r="H1549" s="8">
        <f t="shared" si="1"/>
        <v>-11</v>
      </c>
    </row>
    <row r="1550">
      <c r="A1550" s="10">
        <v>1549.0</v>
      </c>
      <c r="B1550" s="11" t="s">
        <v>4395</v>
      </c>
      <c r="C1550" s="10" t="s">
        <v>79</v>
      </c>
      <c r="D1550" s="10" t="s">
        <v>31</v>
      </c>
      <c r="E1550" s="13" t="str">
        <f>IFERROR(__xludf.DUMMYFUNCTION("ifna(filter('Yahoo ADP'!$A$2:$A2766,'Yahoo ADP'!$B$2:$B2766=$B1550,$C1550='Yahoo ADP'!$C$2:$C2766,$D1550='Yahoo ADP'!$D$2:$D2766))"),"")</f>
        <v/>
      </c>
      <c r="F1550" s="13" t="str">
        <f>IFERROR(__xludf.DUMMYFUNCTION("ifna(filter('Yahoo ADP'!$E$2:$E2766,'Yahoo ADP'!$B$2:$B2766=$B1550,$C1550='Yahoo ADP'!$C$2:$C2766,$D1550='Yahoo ADP'!$D$2:$D2766))"),"-")</f>
        <v>-</v>
      </c>
      <c r="G1550" s="27">
        <v>1538.0</v>
      </c>
      <c r="H1550" s="8">
        <f t="shared" si="1"/>
        <v>-11</v>
      </c>
    </row>
    <row r="1551">
      <c r="A1551" s="10">
        <v>1550.0</v>
      </c>
      <c r="B1551" s="11" t="s">
        <v>4396</v>
      </c>
      <c r="C1551" s="10" t="s">
        <v>79</v>
      </c>
      <c r="D1551" s="10" t="s">
        <v>82</v>
      </c>
      <c r="E1551" s="13" t="str">
        <f>IFERROR(__xludf.DUMMYFUNCTION("ifna(filter('Yahoo ADP'!$A$2:$A2766,'Yahoo ADP'!$B$2:$B2766=$B1551,$C1551='Yahoo ADP'!$C$2:$C2766,$D1551='Yahoo ADP'!$D$2:$D2766))"),"")</f>
        <v/>
      </c>
      <c r="F1551" s="13" t="str">
        <f>IFERROR(__xludf.DUMMYFUNCTION("ifna(filter('Yahoo ADP'!$E$2:$E2766,'Yahoo ADP'!$B$2:$B2766=$B1551,$C1551='Yahoo ADP'!$C$2:$C2766,$D1551='Yahoo ADP'!$D$2:$D2766))"),"-")</f>
        <v>-</v>
      </c>
      <c r="G1551" s="27">
        <v>1539.0</v>
      </c>
      <c r="H1551" s="8">
        <f t="shared" si="1"/>
        <v>-11</v>
      </c>
    </row>
    <row r="1552">
      <c r="A1552" s="10">
        <v>1551.0</v>
      </c>
      <c r="B1552" s="11" t="s">
        <v>4397</v>
      </c>
      <c r="C1552" s="10" t="s">
        <v>22</v>
      </c>
      <c r="D1552" s="10" t="s">
        <v>85</v>
      </c>
      <c r="E1552" s="13" t="str">
        <f>IFERROR(__xludf.DUMMYFUNCTION("ifna(filter('Yahoo ADP'!$A$2:$A2766,'Yahoo ADP'!$B$2:$B2766=$B1552,$C1552='Yahoo ADP'!$C$2:$C2766,$D1552='Yahoo ADP'!$D$2:$D2766))"),"")</f>
        <v/>
      </c>
      <c r="F1552" s="13" t="str">
        <f>IFERROR(__xludf.DUMMYFUNCTION("ifna(filter('Yahoo ADP'!$E$2:$E2766,'Yahoo ADP'!$B$2:$B2766=$B1552,$C1552='Yahoo ADP'!$C$2:$C2766,$D1552='Yahoo ADP'!$D$2:$D2766))"),"-")</f>
        <v>-</v>
      </c>
      <c r="G1552" s="27">
        <v>1540.0</v>
      </c>
      <c r="H1552" s="8">
        <f t="shared" si="1"/>
        <v>-11</v>
      </c>
    </row>
    <row r="1553">
      <c r="A1553" s="10">
        <v>1552.0</v>
      </c>
      <c r="B1553" s="11" t="s">
        <v>4398</v>
      </c>
      <c r="C1553" s="10" t="s">
        <v>79</v>
      </c>
      <c r="D1553" s="10" t="s">
        <v>71</v>
      </c>
      <c r="E1553" s="13" t="str">
        <f>IFERROR(__xludf.DUMMYFUNCTION("ifna(filter('Yahoo ADP'!$A$2:$A2766,'Yahoo ADP'!$B$2:$B2766=$B1553,$C1553='Yahoo ADP'!$C$2:$C2766,$D1553='Yahoo ADP'!$D$2:$D2766))"),"")</f>
        <v/>
      </c>
      <c r="F1553" s="13" t="str">
        <f>IFERROR(__xludf.DUMMYFUNCTION("ifna(filter('Yahoo ADP'!$E$2:$E2766,'Yahoo ADP'!$B$2:$B2766=$B1553,$C1553='Yahoo ADP'!$C$2:$C2766,$D1553='Yahoo ADP'!$D$2:$D2766))"),"-")</f>
        <v>-</v>
      </c>
      <c r="G1553" s="27">
        <v>1541.0</v>
      </c>
      <c r="H1553" s="8">
        <f t="shared" si="1"/>
        <v>-11</v>
      </c>
    </row>
    <row r="1554">
      <c r="A1554" s="10">
        <v>1553.0</v>
      </c>
      <c r="B1554" s="11" t="s">
        <v>4399</v>
      </c>
      <c r="C1554" s="10" t="s">
        <v>79</v>
      </c>
      <c r="D1554" s="10" t="s">
        <v>25</v>
      </c>
      <c r="E1554" s="13" t="str">
        <f>IFERROR(__xludf.DUMMYFUNCTION("ifna(filter('Yahoo ADP'!$A$2:$A2766,'Yahoo ADP'!$B$2:$B2766=$B1554,$C1554='Yahoo ADP'!$C$2:$C2766,$D1554='Yahoo ADP'!$D$2:$D2766))"),"")</f>
        <v/>
      </c>
      <c r="F1554" s="13" t="str">
        <f>IFERROR(__xludf.DUMMYFUNCTION("ifna(filter('Yahoo ADP'!$E$2:$E2766,'Yahoo ADP'!$B$2:$B2766=$B1554,$C1554='Yahoo ADP'!$C$2:$C2766,$D1554='Yahoo ADP'!$D$2:$D2766))"),"-")</f>
        <v>-</v>
      </c>
      <c r="G1554" s="27">
        <v>1542.0</v>
      </c>
      <c r="H1554" s="8">
        <f t="shared" si="1"/>
        <v>-11</v>
      </c>
    </row>
    <row r="1555">
      <c r="A1555" s="10">
        <v>1554.0</v>
      </c>
      <c r="B1555" s="11" t="s">
        <v>4400</v>
      </c>
      <c r="C1555" s="10" t="s">
        <v>79</v>
      </c>
      <c r="D1555" s="10" t="s">
        <v>34</v>
      </c>
      <c r="E1555" s="13" t="str">
        <f>IFERROR(__xludf.DUMMYFUNCTION("ifna(filter('Yahoo ADP'!$A$2:$A2766,'Yahoo ADP'!$B$2:$B2766=$B1555,$C1555='Yahoo ADP'!$C$2:$C2766,$D1555='Yahoo ADP'!$D$2:$D2766))"),"")</f>
        <v/>
      </c>
      <c r="F1555" s="13" t="str">
        <f>IFERROR(__xludf.DUMMYFUNCTION("ifna(filter('Yahoo ADP'!$E$2:$E2766,'Yahoo ADP'!$B$2:$B2766=$B1555,$C1555='Yahoo ADP'!$C$2:$C2766,$D1555='Yahoo ADP'!$D$2:$D2766))"),"-")</f>
        <v>-</v>
      </c>
      <c r="G1555" s="27">
        <v>1543.0</v>
      </c>
      <c r="H1555" s="8">
        <f t="shared" si="1"/>
        <v>-11</v>
      </c>
    </row>
    <row r="1556">
      <c r="A1556" s="10">
        <v>1555.0</v>
      </c>
      <c r="B1556" s="11" t="s">
        <v>4401</v>
      </c>
      <c r="C1556" s="10" t="s">
        <v>79</v>
      </c>
      <c r="D1556" s="10" t="s">
        <v>9</v>
      </c>
      <c r="E1556" s="13" t="str">
        <f>IFERROR(__xludf.DUMMYFUNCTION("ifna(filter('Yahoo ADP'!$A$2:$A2766,'Yahoo ADP'!$B$2:$B2766=$B1556,$C1556='Yahoo ADP'!$C$2:$C2766,$D1556='Yahoo ADP'!$D$2:$D2766))"),"")</f>
        <v/>
      </c>
      <c r="F1556" s="13" t="str">
        <f>IFERROR(__xludf.DUMMYFUNCTION("ifna(filter('Yahoo ADP'!$E$2:$E2766,'Yahoo ADP'!$B$2:$B2766=$B1556,$C1556='Yahoo ADP'!$C$2:$C2766,$D1556='Yahoo ADP'!$D$2:$D2766))"),"-")</f>
        <v>-</v>
      </c>
      <c r="G1556" s="27">
        <v>1544.0</v>
      </c>
      <c r="H1556" s="8">
        <f t="shared" si="1"/>
        <v>-11</v>
      </c>
    </row>
    <row r="1557">
      <c r="A1557" s="10">
        <v>1556.0</v>
      </c>
      <c r="B1557" s="11" t="s">
        <v>4402</v>
      </c>
      <c r="C1557" s="10" t="s">
        <v>22</v>
      </c>
      <c r="D1557" s="10" t="s">
        <v>82</v>
      </c>
      <c r="E1557" s="13" t="str">
        <f>IFERROR(__xludf.DUMMYFUNCTION("ifna(filter('Yahoo ADP'!$A$2:$A2766,'Yahoo ADP'!$B$2:$B2766=$B1557,$C1557='Yahoo ADP'!$C$2:$C2766,$D1557='Yahoo ADP'!$D$2:$D2766))"),"")</f>
        <v/>
      </c>
      <c r="F1557" s="13" t="str">
        <f>IFERROR(__xludf.DUMMYFUNCTION("ifna(filter('Yahoo ADP'!$E$2:$E2766,'Yahoo ADP'!$B$2:$B2766=$B1557,$C1557='Yahoo ADP'!$C$2:$C2766,$D1557='Yahoo ADP'!$D$2:$D2766))"),"-")</f>
        <v>-</v>
      </c>
      <c r="G1557" s="27">
        <v>1545.0</v>
      </c>
      <c r="H1557" s="8">
        <f t="shared" si="1"/>
        <v>-11</v>
      </c>
    </row>
    <row r="1558">
      <c r="A1558" s="10">
        <v>1557.0</v>
      </c>
      <c r="B1558" s="11" t="s">
        <v>4403</v>
      </c>
      <c r="C1558" s="10" t="s">
        <v>22</v>
      </c>
      <c r="D1558" s="10" t="s">
        <v>34</v>
      </c>
      <c r="E1558" s="13" t="str">
        <f>IFERROR(__xludf.DUMMYFUNCTION("ifna(filter('Yahoo ADP'!$A$2:$A2766,'Yahoo ADP'!$B$2:$B2766=$B1558,$C1558='Yahoo ADP'!$C$2:$C2766,$D1558='Yahoo ADP'!$D$2:$D2766))"),"")</f>
        <v/>
      </c>
      <c r="F1558" s="13" t="str">
        <f>IFERROR(__xludf.DUMMYFUNCTION("ifna(filter('Yahoo ADP'!$E$2:$E2766,'Yahoo ADP'!$B$2:$B2766=$B1558,$C1558='Yahoo ADP'!$C$2:$C2766,$D1558='Yahoo ADP'!$D$2:$D2766))"),"-")</f>
        <v>-</v>
      </c>
      <c r="G1558" s="27">
        <v>1546.0</v>
      </c>
      <c r="H1558" s="8">
        <f t="shared" si="1"/>
        <v>-11</v>
      </c>
    </row>
    <row r="1559">
      <c r="A1559" s="10">
        <v>1558.0</v>
      </c>
      <c r="B1559" s="11" t="s">
        <v>4404</v>
      </c>
      <c r="C1559" s="10" t="s">
        <v>79</v>
      </c>
      <c r="D1559" s="10" t="s">
        <v>137</v>
      </c>
      <c r="E1559" s="13" t="str">
        <f>IFERROR(__xludf.DUMMYFUNCTION("ifna(filter('Yahoo ADP'!$A$2:$A2766,'Yahoo ADP'!$B$2:$B2766=$B1559,$C1559='Yahoo ADP'!$C$2:$C2766,$D1559='Yahoo ADP'!$D$2:$D2766))"),"")</f>
        <v/>
      </c>
      <c r="F1559" s="13" t="str">
        <f>IFERROR(__xludf.DUMMYFUNCTION("ifna(filter('Yahoo ADP'!$E$2:$E2766,'Yahoo ADP'!$B$2:$B2766=$B1559,$C1559='Yahoo ADP'!$C$2:$C2766,$D1559='Yahoo ADP'!$D$2:$D2766))"),"-")</f>
        <v>-</v>
      </c>
      <c r="G1559" s="27">
        <v>1547.0</v>
      </c>
      <c r="H1559" s="8">
        <f t="shared" si="1"/>
        <v>-11</v>
      </c>
    </row>
    <row r="1560">
      <c r="A1560" s="10">
        <v>1559.0</v>
      </c>
      <c r="B1560" s="11" t="s">
        <v>4405</v>
      </c>
      <c r="C1560" s="10" t="s">
        <v>79</v>
      </c>
      <c r="D1560" s="10" t="s">
        <v>34</v>
      </c>
      <c r="E1560" s="13" t="str">
        <f>IFERROR(__xludf.DUMMYFUNCTION("ifna(filter('Yahoo ADP'!$A$2:$A2766,'Yahoo ADP'!$B$2:$B2766=$B1560,$C1560='Yahoo ADP'!$C$2:$C2766,$D1560='Yahoo ADP'!$D$2:$D2766))"),"")</f>
        <v/>
      </c>
      <c r="F1560" s="13" t="str">
        <f>IFERROR(__xludf.DUMMYFUNCTION("ifna(filter('Yahoo ADP'!$E$2:$E2766,'Yahoo ADP'!$B$2:$B2766=$B1560,$C1560='Yahoo ADP'!$C$2:$C2766,$D1560='Yahoo ADP'!$D$2:$D2766))"),"-")</f>
        <v>-</v>
      </c>
      <c r="G1560" s="27">
        <v>1548.0</v>
      </c>
      <c r="H1560" s="8">
        <f t="shared" si="1"/>
        <v>-11</v>
      </c>
    </row>
    <row r="1561">
      <c r="A1561" s="10">
        <v>1560.0</v>
      </c>
      <c r="B1561" s="11" t="s">
        <v>4406</v>
      </c>
      <c r="C1561" s="10" t="s">
        <v>79</v>
      </c>
      <c r="D1561" s="10" t="s">
        <v>73</v>
      </c>
      <c r="E1561" s="13" t="str">
        <f>IFERROR(__xludf.DUMMYFUNCTION("ifna(filter('Yahoo ADP'!$A$2:$A2766,'Yahoo ADP'!$B$2:$B2766=$B1561,$C1561='Yahoo ADP'!$C$2:$C2766,$D1561='Yahoo ADP'!$D$2:$D2766))"),"")</f>
        <v/>
      </c>
      <c r="F1561" s="13" t="str">
        <f>IFERROR(__xludf.DUMMYFUNCTION("ifna(filter('Yahoo ADP'!$E$2:$E2766,'Yahoo ADP'!$B$2:$B2766=$B1561,$C1561='Yahoo ADP'!$C$2:$C2766,$D1561='Yahoo ADP'!$D$2:$D2766))"),"-")</f>
        <v>-</v>
      </c>
      <c r="G1561" s="27">
        <v>1549.0</v>
      </c>
      <c r="H1561" s="8">
        <f t="shared" si="1"/>
        <v>-11</v>
      </c>
    </row>
    <row r="1562">
      <c r="A1562" s="10">
        <v>1561.0</v>
      </c>
      <c r="B1562" s="11" t="s">
        <v>4407</v>
      </c>
      <c r="C1562" s="10" t="s">
        <v>79</v>
      </c>
      <c r="D1562" s="10" t="s">
        <v>36</v>
      </c>
      <c r="E1562" s="13" t="str">
        <f>IFERROR(__xludf.DUMMYFUNCTION("ifna(filter('Yahoo ADP'!$A$2:$A2766,'Yahoo ADP'!$B$2:$B2766=$B1562,$C1562='Yahoo ADP'!$C$2:$C2766,$D1562='Yahoo ADP'!$D$2:$D2766))"),"")</f>
        <v/>
      </c>
      <c r="F1562" s="13" t="str">
        <f>IFERROR(__xludf.DUMMYFUNCTION("ifna(filter('Yahoo ADP'!$E$2:$E2766,'Yahoo ADP'!$B$2:$B2766=$B1562,$C1562='Yahoo ADP'!$C$2:$C2766,$D1562='Yahoo ADP'!$D$2:$D2766))"),"-")</f>
        <v>-</v>
      </c>
      <c r="G1562" s="27">
        <v>1550.0</v>
      </c>
      <c r="H1562" s="8">
        <f t="shared" si="1"/>
        <v>-11</v>
      </c>
    </row>
    <row r="1563">
      <c r="A1563" s="10">
        <v>1562.0</v>
      </c>
      <c r="B1563" s="11" t="s">
        <v>4408</v>
      </c>
      <c r="C1563" s="10" t="s">
        <v>79</v>
      </c>
      <c r="D1563" s="10" t="s">
        <v>31</v>
      </c>
      <c r="E1563" s="13" t="str">
        <f>IFERROR(__xludf.DUMMYFUNCTION("ifna(filter('Yahoo ADP'!$A$2:$A2766,'Yahoo ADP'!$B$2:$B2766=$B1563,$C1563='Yahoo ADP'!$C$2:$C2766,$D1563='Yahoo ADP'!$D$2:$D2766))"),"")</f>
        <v/>
      </c>
      <c r="F1563" s="13" t="str">
        <f>IFERROR(__xludf.DUMMYFUNCTION("ifna(filter('Yahoo ADP'!$E$2:$E2766,'Yahoo ADP'!$B$2:$B2766=$B1563,$C1563='Yahoo ADP'!$C$2:$C2766,$D1563='Yahoo ADP'!$D$2:$D2766))"),"-")</f>
        <v>-</v>
      </c>
      <c r="G1563" s="27">
        <v>1551.0</v>
      </c>
      <c r="H1563" s="8">
        <f t="shared" si="1"/>
        <v>-11</v>
      </c>
    </row>
    <row r="1564">
      <c r="A1564" s="10">
        <v>1563.0</v>
      </c>
      <c r="B1564" s="11" t="s">
        <v>4409</v>
      </c>
      <c r="C1564" s="10" t="s">
        <v>22</v>
      </c>
      <c r="D1564" s="10" t="s">
        <v>99</v>
      </c>
      <c r="E1564" s="13" t="str">
        <f>IFERROR(__xludf.DUMMYFUNCTION("ifna(filter('Yahoo ADP'!$A$2:$A2766,'Yahoo ADP'!$B$2:$B2766=$B1564,$C1564='Yahoo ADP'!$C$2:$C2766,$D1564='Yahoo ADP'!$D$2:$D2766))"),"")</f>
        <v/>
      </c>
      <c r="F1564" s="13" t="str">
        <f>IFERROR(__xludf.DUMMYFUNCTION("ifna(filter('Yahoo ADP'!$E$2:$E2766,'Yahoo ADP'!$B$2:$B2766=$B1564,$C1564='Yahoo ADP'!$C$2:$C2766,$D1564='Yahoo ADP'!$D$2:$D2766))"),"-")</f>
        <v>-</v>
      </c>
      <c r="G1564" s="27">
        <v>1552.0</v>
      </c>
      <c r="H1564" s="8">
        <f t="shared" si="1"/>
        <v>-11</v>
      </c>
    </row>
    <row r="1565">
      <c r="A1565" s="10">
        <v>1564.0</v>
      </c>
      <c r="B1565" s="11" t="s">
        <v>4410</v>
      </c>
      <c r="C1565" s="10" t="s">
        <v>79</v>
      </c>
      <c r="D1565" s="10" t="s">
        <v>52</v>
      </c>
      <c r="E1565" s="13" t="str">
        <f>IFERROR(__xludf.DUMMYFUNCTION("ifna(filter('Yahoo ADP'!$A$2:$A2766,'Yahoo ADP'!$B$2:$B2766=$B1565,$C1565='Yahoo ADP'!$C$2:$C2766,$D1565='Yahoo ADP'!$D$2:$D2766))"),"")</f>
        <v/>
      </c>
      <c r="F1565" s="13" t="str">
        <f>IFERROR(__xludf.DUMMYFUNCTION("ifna(filter('Yahoo ADP'!$E$2:$E2766,'Yahoo ADP'!$B$2:$B2766=$B1565,$C1565='Yahoo ADP'!$C$2:$C2766,$D1565='Yahoo ADP'!$D$2:$D2766))"),"-")</f>
        <v>-</v>
      </c>
      <c r="G1565" s="27">
        <v>1553.0</v>
      </c>
      <c r="H1565" s="8">
        <f t="shared" si="1"/>
        <v>-11</v>
      </c>
    </row>
    <row r="1566">
      <c r="A1566" s="10">
        <v>1565.0</v>
      </c>
      <c r="B1566" s="11" t="s">
        <v>4411</v>
      </c>
      <c r="C1566" s="10" t="s">
        <v>79</v>
      </c>
      <c r="D1566" s="10" t="s">
        <v>137</v>
      </c>
      <c r="E1566" s="13" t="str">
        <f>IFERROR(__xludf.DUMMYFUNCTION("ifna(filter('Yahoo ADP'!$A$2:$A2766,'Yahoo ADP'!$B$2:$B2766=$B1566,$C1566='Yahoo ADP'!$C$2:$C2766,$D1566='Yahoo ADP'!$D$2:$D2766))"),"")</f>
        <v/>
      </c>
      <c r="F1566" s="13" t="str">
        <f>IFERROR(__xludf.DUMMYFUNCTION("ifna(filter('Yahoo ADP'!$E$2:$E2766,'Yahoo ADP'!$B$2:$B2766=$B1566,$C1566='Yahoo ADP'!$C$2:$C2766,$D1566='Yahoo ADP'!$D$2:$D2766))"),"-")</f>
        <v>-</v>
      </c>
      <c r="G1566" s="27">
        <v>1554.0</v>
      </c>
      <c r="H1566" s="8">
        <f t="shared" si="1"/>
        <v>-11</v>
      </c>
    </row>
    <row r="1567">
      <c r="A1567" s="10">
        <v>1566.0</v>
      </c>
      <c r="B1567" s="11" t="s">
        <v>4412</v>
      </c>
      <c r="C1567" s="10" t="s">
        <v>17</v>
      </c>
      <c r="D1567" s="10" t="s">
        <v>15</v>
      </c>
      <c r="E1567" s="13" t="str">
        <f>IFERROR(__xludf.DUMMYFUNCTION("ifna(filter('Yahoo ADP'!$A$2:$A2766,'Yahoo ADP'!$B$2:$B2766=$B1567,$C1567='Yahoo ADP'!$C$2:$C2766,$D1567='Yahoo ADP'!$D$2:$D2766))"),"")</f>
        <v/>
      </c>
      <c r="F1567" s="13" t="str">
        <f>IFERROR(__xludf.DUMMYFUNCTION("ifna(filter('Yahoo ADP'!$E$2:$E2766,'Yahoo ADP'!$B$2:$B2766=$B1567,$C1567='Yahoo ADP'!$C$2:$C2766,$D1567='Yahoo ADP'!$D$2:$D2766))"),"-")</f>
        <v>-</v>
      </c>
      <c r="G1567" s="27">
        <v>1555.0</v>
      </c>
      <c r="H1567" s="8">
        <f t="shared" si="1"/>
        <v>-11</v>
      </c>
    </row>
    <row r="1568">
      <c r="A1568" s="10">
        <v>1567.0</v>
      </c>
      <c r="B1568" s="11" t="s">
        <v>4413</v>
      </c>
      <c r="C1568" s="10" t="s">
        <v>136</v>
      </c>
      <c r="D1568" s="10" t="s">
        <v>23</v>
      </c>
      <c r="E1568" s="13" t="str">
        <f>IFERROR(__xludf.DUMMYFUNCTION("ifna(filter('Yahoo ADP'!$A$2:$A2766,'Yahoo ADP'!$B$2:$B2766=$B1568,$C1568='Yahoo ADP'!$C$2:$C2766,$D1568='Yahoo ADP'!$D$2:$D2766))"),"")</f>
        <v/>
      </c>
      <c r="F1568" s="13" t="str">
        <f>IFERROR(__xludf.DUMMYFUNCTION("ifna(filter('Yahoo ADP'!$E$2:$E2766,'Yahoo ADP'!$B$2:$B2766=$B1568,$C1568='Yahoo ADP'!$C$2:$C2766,$D1568='Yahoo ADP'!$D$2:$D2766))"),"-")</f>
        <v>-</v>
      </c>
      <c r="G1568" s="27">
        <v>1556.0</v>
      </c>
      <c r="H1568" s="8">
        <f t="shared" si="1"/>
        <v>-11</v>
      </c>
    </row>
    <row r="1569">
      <c r="A1569" s="10">
        <v>1568.0</v>
      </c>
      <c r="B1569" s="11" t="s">
        <v>4414</v>
      </c>
      <c r="C1569" s="10" t="s">
        <v>79</v>
      </c>
      <c r="D1569" s="10" t="s">
        <v>140</v>
      </c>
      <c r="E1569" s="13" t="str">
        <f>IFERROR(__xludf.DUMMYFUNCTION("ifna(filter('Yahoo ADP'!$A$2:$A2766,'Yahoo ADP'!$B$2:$B2766=$B1569,$C1569='Yahoo ADP'!$C$2:$C2766,$D1569='Yahoo ADP'!$D$2:$D2766))"),"")</f>
        <v/>
      </c>
      <c r="F1569" s="13" t="str">
        <f>IFERROR(__xludf.DUMMYFUNCTION("ifna(filter('Yahoo ADP'!$E$2:$E2766,'Yahoo ADP'!$B$2:$B2766=$B1569,$C1569='Yahoo ADP'!$C$2:$C2766,$D1569='Yahoo ADP'!$D$2:$D2766))"),"-")</f>
        <v>-</v>
      </c>
      <c r="G1569" s="27">
        <v>1557.0</v>
      </c>
      <c r="H1569" s="8">
        <f t="shared" si="1"/>
        <v>-11</v>
      </c>
    </row>
    <row r="1570">
      <c r="A1570" s="10">
        <v>1569.0</v>
      </c>
      <c r="B1570" s="11" t="s">
        <v>4415</v>
      </c>
      <c r="C1570" s="10" t="s">
        <v>79</v>
      </c>
      <c r="D1570" s="10" t="s">
        <v>18</v>
      </c>
      <c r="E1570" s="13" t="str">
        <f>IFERROR(__xludf.DUMMYFUNCTION("ifna(filter('Yahoo ADP'!$A$2:$A2766,'Yahoo ADP'!$B$2:$B2766=$B1570,$C1570='Yahoo ADP'!$C$2:$C2766,$D1570='Yahoo ADP'!$D$2:$D2766))"),"")</f>
        <v/>
      </c>
      <c r="F1570" s="13" t="str">
        <f>IFERROR(__xludf.DUMMYFUNCTION("ifna(filter('Yahoo ADP'!$E$2:$E2766,'Yahoo ADP'!$B$2:$B2766=$B1570,$C1570='Yahoo ADP'!$C$2:$C2766,$D1570='Yahoo ADP'!$D$2:$D2766))"),"-")</f>
        <v>-</v>
      </c>
      <c r="G1570" s="27">
        <v>1558.0</v>
      </c>
      <c r="H1570" s="8">
        <f t="shared" si="1"/>
        <v>-11</v>
      </c>
    </row>
    <row r="1571">
      <c r="A1571" s="10">
        <v>1570.0</v>
      </c>
      <c r="B1571" s="11" t="s">
        <v>4416</v>
      </c>
      <c r="C1571" s="10" t="s">
        <v>148</v>
      </c>
      <c r="D1571" s="10" t="s">
        <v>95</v>
      </c>
      <c r="E1571" s="13" t="str">
        <f>IFERROR(__xludf.DUMMYFUNCTION("ifna(filter('Yahoo ADP'!$A$2:$A2766,'Yahoo ADP'!$B$2:$B2766=$B1571,$C1571='Yahoo ADP'!$C$2:$C2766,$D1571='Yahoo ADP'!$D$2:$D2766))"),"")</f>
        <v/>
      </c>
      <c r="F1571" s="13" t="str">
        <f>IFERROR(__xludf.DUMMYFUNCTION("ifna(filter('Yahoo ADP'!$E$2:$E2766,'Yahoo ADP'!$B$2:$B2766=$B1571,$C1571='Yahoo ADP'!$C$2:$C2766,$D1571='Yahoo ADP'!$D$2:$D2766))"),"-")</f>
        <v>-</v>
      </c>
      <c r="G1571" s="27">
        <v>1559.0</v>
      </c>
      <c r="H1571" s="8">
        <f t="shared" si="1"/>
        <v>-11</v>
      </c>
    </row>
    <row r="1572">
      <c r="A1572" s="10">
        <v>1571.0</v>
      </c>
      <c r="B1572" s="11" t="s">
        <v>4417</v>
      </c>
      <c r="C1572" s="10" t="s">
        <v>79</v>
      </c>
      <c r="D1572" s="10" t="s">
        <v>85</v>
      </c>
      <c r="E1572" s="13" t="str">
        <f>IFERROR(__xludf.DUMMYFUNCTION("ifna(filter('Yahoo ADP'!$A$2:$A2766,'Yahoo ADP'!$B$2:$B2766=$B1572,$C1572='Yahoo ADP'!$C$2:$C2766,$D1572='Yahoo ADP'!$D$2:$D2766))"),"")</f>
        <v/>
      </c>
      <c r="F1572" s="13" t="str">
        <f>IFERROR(__xludf.DUMMYFUNCTION("ifna(filter('Yahoo ADP'!$E$2:$E2766,'Yahoo ADP'!$B$2:$B2766=$B1572,$C1572='Yahoo ADP'!$C$2:$C2766,$D1572='Yahoo ADP'!$D$2:$D2766))"),"-")</f>
        <v>-</v>
      </c>
      <c r="G1572" s="27">
        <v>1560.0</v>
      </c>
      <c r="H1572" s="8">
        <f t="shared" si="1"/>
        <v>-11</v>
      </c>
    </row>
    <row r="1573">
      <c r="A1573" s="10">
        <v>1572.0</v>
      </c>
      <c r="B1573" s="11" t="s">
        <v>4418</v>
      </c>
      <c r="C1573" s="10" t="s">
        <v>22</v>
      </c>
      <c r="D1573" s="10" t="s">
        <v>36</v>
      </c>
      <c r="E1573" s="13" t="str">
        <f>IFERROR(__xludf.DUMMYFUNCTION("ifna(filter('Yahoo ADP'!$A$2:$A2766,'Yahoo ADP'!$B$2:$B2766=$B1573,$C1573='Yahoo ADP'!$C$2:$C2766,$D1573='Yahoo ADP'!$D$2:$D2766))"),"")</f>
        <v/>
      </c>
      <c r="F1573" s="13" t="str">
        <f>IFERROR(__xludf.DUMMYFUNCTION("ifna(filter('Yahoo ADP'!$E$2:$E2766,'Yahoo ADP'!$B$2:$B2766=$B1573,$C1573='Yahoo ADP'!$C$2:$C2766,$D1573='Yahoo ADP'!$D$2:$D2766))"),"-")</f>
        <v>-</v>
      </c>
      <c r="G1573" s="27">
        <v>1561.0</v>
      </c>
      <c r="H1573" s="8">
        <f t="shared" si="1"/>
        <v>-11</v>
      </c>
    </row>
    <row r="1574">
      <c r="A1574" s="10">
        <v>1573.0</v>
      </c>
      <c r="B1574" s="11" t="s">
        <v>4419</v>
      </c>
      <c r="C1574" s="10" t="s">
        <v>79</v>
      </c>
      <c r="D1574" s="10" t="s">
        <v>18</v>
      </c>
      <c r="E1574" s="13" t="str">
        <f>IFERROR(__xludf.DUMMYFUNCTION("ifna(filter('Yahoo ADP'!$A$2:$A2766,'Yahoo ADP'!$B$2:$B2766=$B1574,$C1574='Yahoo ADP'!$C$2:$C2766,$D1574='Yahoo ADP'!$D$2:$D2766))"),"")</f>
        <v/>
      </c>
      <c r="F1574" s="13" t="str">
        <f>IFERROR(__xludf.DUMMYFUNCTION("ifna(filter('Yahoo ADP'!$E$2:$E2766,'Yahoo ADP'!$B$2:$B2766=$B1574,$C1574='Yahoo ADP'!$C$2:$C2766,$D1574='Yahoo ADP'!$D$2:$D2766))"),"-")</f>
        <v>-</v>
      </c>
      <c r="G1574" s="27">
        <v>1562.0</v>
      </c>
      <c r="H1574" s="8">
        <f t="shared" si="1"/>
        <v>-11</v>
      </c>
    </row>
    <row r="1575">
      <c r="A1575" s="10">
        <v>1574.0</v>
      </c>
      <c r="B1575" s="11" t="s">
        <v>4420</v>
      </c>
      <c r="C1575" s="10" t="s">
        <v>22</v>
      </c>
      <c r="D1575" s="10" t="s">
        <v>99</v>
      </c>
      <c r="E1575" s="13" t="str">
        <f>IFERROR(__xludf.DUMMYFUNCTION("ifna(filter('Yahoo ADP'!$A$2:$A2766,'Yahoo ADP'!$B$2:$B2766=$B1575,$C1575='Yahoo ADP'!$C$2:$C2766,$D1575='Yahoo ADP'!$D$2:$D2766))"),"")</f>
        <v/>
      </c>
      <c r="F1575" s="13" t="str">
        <f>IFERROR(__xludf.DUMMYFUNCTION("ifna(filter('Yahoo ADP'!$E$2:$E2766,'Yahoo ADP'!$B$2:$B2766=$B1575,$C1575='Yahoo ADP'!$C$2:$C2766,$D1575='Yahoo ADP'!$D$2:$D2766))"),"-")</f>
        <v>-</v>
      </c>
      <c r="G1575" s="27">
        <v>1563.0</v>
      </c>
      <c r="H1575" s="8">
        <f t="shared" si="1"/>
        <v>-11</v>
      </c>
    </row>
    <row r="1576">
      <c r="A1576" s="10">
        <v>1575.0</v>
      </c>
      <c r="B1576" s="11" t="s">
        <v>4421</v>
      </c>
      <c r="C1576" s="10" t="s">
        <v>79</v>
      </c>
      <c r="D1576" s="10" t="s">
        <v>67</v>
      </c>
      <c r="E1576" s="13" t="str">
        <f>IFERROR(__xludf.DUMMYFUNCTION("ifna(filter('Yahoo ADP'!$A$2:$A2766,'Yahoo ADP'!$B$2:$B2766=$B1576,$C1576='Yahoo ADP'!$C$2:$C2766,$D1576='Yahoo ADP'!$D$2:$D2766))"),"")</f>
        <v/>
      </c>
      <c r="F1576" s="13" t="str">
        <f>IFERROR(__xludf.DUMMYFUNCTION("ifna(filter('Yahoo ADP'!$E$2:$E2766,'Yahoo ADP'!$B$2:$B2766=$B1576,$C1576='Yahoo ADP'!$C$2:$C2766,$D1576='Yahoo ADP'!$D$2:$D2766))"),"-")</f>
        <v>-</v>
      </c>
      <c r="G1576" s="27">
        <v>1564.0</v>
      </c>
      <c r="H1576" s="8">
        <f t="shared" si="1"/>
        <v>-11</v>
      </c>
    </row>
    <row r="1577">
      <c r="A1577" s="10">
        <v>1576.0</v>
      </c>
      <c r="B1577" s="11" t="s">
        <v>4422</v>
      </c>
      <c r="C1577" s="10" t="s">
        <v>22</v>
      </c>
      <c r="D1577" s="10" t="s">
        <v>95</v>
      </c>
      <c r="E1577" s="13" t="str">
        <f>IFERROR(__xludf.DUMMYFUNCTION("ifna(filter('Yahoo ADP'!$A$2:$A2766,'Yahoo ADP'!$B$2:$B2766=$B1577,$C1577='Yahoo ADP'!$C$2:$C2766,$D1577='Yahoo ADP'!$D$2:$D2766))"),"")</f>
        <v/>
      </c>
      <c r="F1577" s="13" t="str">
        <f>IFERROR(__xludf.DUMMYFUNCTION("ifna(filter('Yahoo ADP'!$E$2:$E2766,'Yahoo ADP'!$B$2:$B2766=$B1577,$C1577='Yahoo ADP'!$C$2:$C2766,$D1577='Yahoo ADP'!$D$2:$D2766))"),"-")</f>
        <v>-</v>
      </c>
      <c r="G1577" s="27">
        <v>1566.0</v>
      </c>
      <c r="H1577" s="8">
        <f t="shared" si="1"/>
        <v>-10</v>
      </c>
    </row>
    <row r="1578">
      <c r="A1578" s="10">
        <v>1577.0</v>
      </c>
      <c r="B1578" s="11" t="s">
        <v>4423</v>
      </c>
      <c r="C1578" s="10" t="s">
        <v>79</v>
      </c>
      <c r="D1578" s="10" t="s">
        <v>85</v>
      </c>
      <c r="E1578" s="13" t="str">
        <f>IFERROR(__xludf.DUMMYFUNCTION("ifna(filter('Yahoo ADP'!$A$2:$A2766,'Yahoo ADP'!$B$2:$B2766=$B1578,$C1578='Yahoo ADP'!$C$2:$C2766,$D1578='Yahoo ADP'!$D$2:$D2766))"),"")</f>
        <v/>
      </c>
      <c r="F1578" s="13" t="str">
        <f>IFERROR(__xludf.DUMMYFUNCTION("ifna(filter('Yahoo ADP'!$E$2:$E2766,'Yahoo ADP'!$B$2:$B2766=$B1578,$C1578='Yahoo ADP'!$C$2:$C2766,$D1578='Yahoo ADP'!$D$2:$D2766))"),"-")</f>
        <v>-</v>
      </c>
      <c r="G1578" s="27">
        <v>1567.0</v>
      </c>
      <c r="H1578" s="8">
        <f t="shared" si="1"/>
        <v>-10</v>
      </c>
    </row>
    <row r="1579">
      <c r="A1579" s="10">
        <v>1578.0</v>
      </c>
      <c r="B1579" s="11" t="s">
        <v>4424</v>
      </c>
      <c r="C1579" s="10" t="s">
        <v>79</v>
      </c>
      <c r="D1579" s="10" t="s">
        <v>206</v>
      </c>
      <c r="E1579" s="13" t="str">
        <f>IFERROR(__xludf.DUMMYFUNCTION("ifna(filter('Yahoo ADP'!$A$2:$A2766,'Yahoo ADP'!$B$2:$B2766=$B1579,$C1579='Yahoo ADP'!$C$2:$C2766,$D1579='Yahoo ADP'!$D$2:$D2766))"),"")</f>
        <v/>
      </c>
      <c r="F1579" s="13" t="str">
        <f>IFERROR(__xludf.DUMMYFUNCTION("ifna(filter('Yahoo ADP'!$E$2:$E2766,'Yahoo ADP'!$B$2:$B2766=$B1579,$C1579='Yahoo ADP'!$C$2:$C2766,$D1579='Yahoo ADP'!$D$2:$D2766))"),"-")</f>
        <v>-</v>
      </c>
      <c r="G1579" s="27">
        <v>1568.0</v>
      </c>
      <c r="H1579" s="8">
        <f t="shared" si="1"/>
        <v>-10</v>
      </c>
    </row>
    <row r="1580">
      <c r="A1580" s="10">
        <v>1579.0</v>
      </c>
      <c r="B1580" s="11" t="s">
        <v>4425</v>
      </c>
      <c r="C1580" s="10" t="s">
        <v>283</v>
      </c>
      <c r="D1580" s="10" t="s">
        <v>9</v>
      </c>
      <c r="E1580" s="13" t="str">
        <f>IFERROR(__xludf.DUMMYFUNCTION("ifna(filter('Yahoo ADP'!$A$2:$A2766,'Yahoo ADP'!$B$2:$B2766=$B1580,$C1580='Yahoo ADP'!$C$2:$C2766,$D1580='Yahoo ADP'!$D$2:$D2766))"),"")</f>
        <v/>
      </c>
      <c r="F1580" s="13" t="str">
        <f>IFERROR(__xludf.DUMMYFUNCTION("ifna(filter('Yahoo ADP'!$E$2:$E2766,'Yahoo ADP'!$B$2:$B2766=$B1580,$C1580='Yahoo ADP'!$C$2:$C2766,$D1580='Yahoo ADP'!$D$2:$D2766))"),"-")</f>
        <v>-</v>
      </c>
      <c r="G1580" s="27">
        <v>1569.0</v>
      </c>
      <c r="H1580" s="8">
        <f t="shared" si="1"/>
        <v>-10</v>
      </c>
    </row>
    <row r="1581">
      <c r="A1581" s="10">
        <v>1580.0</v>
      </c>
      <c r="B1581" s="11" t="s">
        <v>4426</v>
      </c>
      <c r="C1581" s="10" t="s">
        <v>22</v>
      </c>
      <c r="D1581" s="10" t="s">
        <v>105</v>
      </c>
      <c r="E1581" s="13" t="str">
        <f>IFERROR(__xludf.DUMMYFUNCTION("ifna(filter('Yahoo ADP'!$A$2:$A2766,'Yahoo ADP'!$B$2:$B2766=$B1581,$C1581='Yahoo ADP'!$C$2:$C2766,$D1581='Yahoo ADP'!$D$2:$D2766))"),"")</f>
        <v/>
      </c>
      <c r="F1581" s="13" t="str">
        <f>IFERROR(__xludf.DUMMYFUNCTION("ifna(filter('Yahoo ADP'!$E$2:$E2766,'Yahoo ADP'!$B$2:$B2766=$B1581,$C1581='Yahoo ADP'!$C$2:$C2766,$D1581='Yahoo ADP'!$D$2:$D2766))"),"-")</f>
        <v>-</v>
      </c>
      <c r="G1581" s="27">
        <v>1570.0</v>
      </c>
      <c r="H1581" s="8">
        <f t="shared" si="1"/>
        <v>-10</v>
      </c>
    </row>
    <row r="1582">
      <c r="A1582" s="10">
        <v>1581.0</v>
      </c>
      <c r="B1582" s="11" t="s">
        <v>4427</v>
      </c>
      <c r="C1582" s="10" t="s">
        <v>220</v>
      </c>
      <c r="D1582" s="10" t="s">
        <v>67</v>
      </c>
      <c r="E1582" s="13">
        <f>IFERROR(__xludf.DUMMYFUNCTION("ifna(filter('Yahoo ADP'!$A$2:$A2766,'Yahoo ADP'!$B$2:$B2766=$B1582,$C1582='Yahoo ADP'!$C$2:$C2766,$D1582='Yahoo ADP'!$D$2:$D2766))"),243.6)</f>
        <v>243.6</v>
      </c>
      <c r="F1582" s="13">
        <f>IFERROR(__xludf.DUMMYFUNCTION("ifna(filter('Yahoo ADP'!$E$2:$E2766,'Yahoo ADP'!$B$2:$B2766=$B1582,$C1582='Yahoo ADP'!$C$2:$C2766,$D1582='Yahoo ADP'!$D$2:$D2766))"),1.2)</f>
        <v>1.2</v>
      </c>
      <c r="G1582" s="27">
        <v>1571.0</v>
      </c>
      <c r="H1582" s="8">
        <f t="shared" si="1"/>
        <v>-10</v>
      </c>
    </row>
    <row r="1583">
      <c r="A1583" s="10">
        <v>1582.0</v>
      </c>
      <c r="B1583" s="11" t="s">
        <v>4428</v>
      </c>
      <c r="C1583" s="10" t="s">
        <v>22</v>
      </c>
      <c r="D1583" s="10" t="s">
        <v>206</v>
      </c>
      <c r="E1583" s="13" t="str">
        <f>IFERROR(__xludf.DUMMYFUNCTION("ifna(filter('Yahoo ADP'!$A$2:$A2766,'Yahoo ADP'!$B$2:$B2766=$B1583,$C1583='Yahoo ADP'!$C$2:$C2766,$D1583='Yahoo ADP'!$D$2:$D2766))"),"")</f>
        <v/>
      </c>
      <c r="F1583" s="13" t="str">
        <f>IFERROR(__xludf.DUMMYFUNCTION("ifna(filter('Yahoo ADP'!$E$2:$E2766,'Yahoo ADP'!$B$2:$B2766=$B1583,$C1583='Yahoo ADP'!$C$2:$C2766,$D1583='Yahoo ADP'!$D$2:$D2766))"),"-")</f>
        <v>-</v>
      </c>
      <c r="G1583" s="27">
        <v>1572.0</v>
      </c>
      <c r="H1583" s="8">
        <f t="shared" si="1"/>
        <v>-10</v>
      </c>
    </row>
    <row r="1584">
      <c r="A1584" s="10">
        <v>1583.0</v>
      </c>
      <c r="B1584" s="11" t="s">
        <v>4429</v>
      </c>
      <c r="C1584" s="10" t="s">
        <v>22</v>
      </c>
      <c r="D1584" s="10" t="s">
        <v>73</v>
      </c>
      <c r="E1584" s="13" t="str">
        <f>IFERROR(__xludf.DUMMYFUNCTION("ifna(filter('Yahoo ADP'!$A$2:$A2766,'Yahoo ADP'!$B$2:$B2766=$B1584,$C1584='Yahoo ADP'!$C$2:$C2766,$D1584='Yahoo ADP'!$D$2:$D2766))"),"")</f>
        <v/>
      </c>
      <c r="F1584" s="13" t="str">
        <f>IFERROR(__xludf.DUMMYFUNCTION("ifna(filter('Yahoo ADP'!$E$2:$E2766,'Yahoo ADP'!$B$2:$B2766=$B1584,$C1584='Yahoo ADP'!$C$2:$C2766,$D1584='Yahoo ADP'!$D$2:$D2766))"),"-")</f>
        <v>-</v>
      </c>
      <c r="G1584" s="27">
        <v>1573.0</v>
      </c>
      <c r="H1584" s="8">
        <f t="shared" si="1"/>
        <v>-10</v>
      </c>
    </row>
    <row r="1585">
      <c r="A1585" s="10">
        <v>1584.0</v>
      </c>
      <c r="B1585" s="11" t="s">
        <v>4430</v>
      </c>
      <c r="C1585" s="10" t="s">
        <v>87</v>
      </c>
      <c r="D1585" s="10" t="s">
        <v>129</v>
      </c>
      <c r="E1585" s="13" t="str">
        <f>IFERROR(__xludf.DUMMYFUNCTION("ifna(filter('Yahoo ADP'!$A$2:$A2766,'Yahoo ADP'!$B$2:$B2766=$B1585,$C1585='Yahoo ADP'!$C$2:$C2766,$D1585='Yahoo ADP'!$D$2:$D2766))"),"")</f>
        <v/>
      </c>
      <c r="F1585" s="13" t="str">
        <f>IFERROR(__xludf.DUMMYFUNCTION("ifna(filter('Yahoo ADP'!$E$2:$E2766,'Yahoo ADP'!$B$2:$B2766=$B1585,$C1585='Yahoo ADP'!$C$2:$C2766,$D1585='Yahoo ADP'!$D$2:$D2766))"),"-")</f>
        <v>-</v>
      </c>
      <c r="G1585" s="27">
        <v>1574.0</v>
      </c>
      <c r="H1585" s="8">
        <f t="shared" si="1"/>
        <v>-10</v>
      </c>
    </row>
    <row r="1586">
      <c r="A1586" s="10">
        <v>1585.0</v>
      </c>
      <c r="B1586" s="11" t="s">
        <v>4431</v>
      </c>
      <c r="C1586" s="10" t="s">
        <v>79</v>
      </c>
      <c r="D1586" s="10" t="s">
        <v>206</v>
      </c>
      <c r="E1586" s="13" t="str">
        <f>IFERROR(__xludf.DUMMYFUNCTION("ifna(filter('Yahoo ADP'!$A$2:$A2766,'Yahoo ADP'!$B$2:$B2766=$B1586,$C1586='Yahoo ADP'!$C$2:$C2766,$D1586='Yahoo ADP'!$D$2:$D2766))"),"")</f>
        <v/>
      </c>
      <c r="F1586" s="13" t="str">
        <f>IFERROR(__xludf.DUMMYFUNCTION("ifna(filter('Yahoo ADP'!$E$2:$E2766,'Yahoo ADP'!$B$2:$B2766=$B1586,$C1586='Yahoo ADP'!$C$2:$C2766,$D1586='Yahoo ADP'!$D$2:$D2766))"),"-")</f>
        <v>-</v>
      </c>
      <c r="G1586" s="27">
        <v>1575.0</v>
      </c>
      <c r="H1586" s="8">
        <f t="shared" si="1"/>
        <v>-10</v>
      </c>
    </row>
    <row r="1587">
      <c r="A1587" s="10">
        <v>1586.0</v>
      </c>
      <c r="B1587" s="11" t="s">
        <v>4432</v>
      </c>
      <c r="C1587" s="10" t="s">
        <v>79</v>
      </c>
      <c r="D1587" s="10" t="s">
        <v>23</v>
      </c>
      <c r="E1587" s="13" t="str">
        <f>IFERROR(__xludf.DUMMYFUNCTION("ifna(filter('Yahoo ADP'!$A$2:$A2766,'Yahoo ADP'!$B$2:$B2766=$B1587,$C1587='Yahoo ADP'!$C$2:$C2766,$D1587='Yahoo ADP'!$D$2:$D2766))"),"")</f>
        <v/>
      </c>
      <c r="F1587" s="13" t="str">
        <f>IFERROR(__xludf.DUMMYFUNCTION("ifna(filter('Yahoo ADP'!$E$2:$E2766,'Yahoo ADP'!$B$2:$B2766=$B1587,$C1587='Yahoo ADP'!$C$2:$C2766,$D1587='Yahoo ADP'!$D$2:$D2766))"),"-")</f>
        <v>-</v>
      </c>
      <c r="G1587" s="27">
        <v>1576.0</v>
      </c>
      <c r="H1587" s="8">
        <f t="shared" si="1"/>
        <v>-10</v>
      </c>
    </row>
    <row r="1588">
      <c r="A1588" s="10">
        <v>1587.0</v>
      </c>
      <c r="B1588" s="11" t="s">
        <v>4433</v>
      </c>
      <c r="C1588" s="10" t="s">
        <v>79</v>
      </c>
      <c r="D1588" s="10" t="s">
        <v>73</v>
      </c>
      <c r="E1588" s="13" t="str">
        <f>IFERROR(__xludf.DUMMYFUNCTION("ifna(filter('Yahoo ADP'!$A$2:$A2766,'Yahoo ADP'!$B$2:$B2766=$B1588,$C1588='Yahoo ADP'!$C$2:$C2766,$D1588='Yahoo ADP'!$D$2:$D2766))"),"")</f>
        <v/>
      </c>
      <c r="F1588" s="13" t="str">
        <f>IFERROR(__xludf.DUMMYFUNCTION("ifna(filter('Yahoo ADP'!$E$2:$E2766,'Yahoo ADP'!$B$2:$B2766=$B1588,$C1588='Yahoo ADP'!$C$2:$C2766,$D1588='Yahoo ADP'!$D$2:$D2766))"),"-")</f>
        <v>-</v>
      </c>
      <c r="G1588" s="27">
        <v>1577.0</v>
      </c>
      <c r="H1588" s="8">
        <f t="shared" si="1"/>
        <v>-10</v>
      </c>
    </row>
    <row r="1589">
      <c r="A1589" s="10">
        <v>1588.0</v>
      </c>
      <c r="B1589" s="11" t="s">
        <v>4434</v>
      </c>
      <c r="C1589" s="10" t="s">
        <v>22</v>
      </c>
      <c r="D1589" s="10" t="s">
        <v>95</v>
      </c>
      <c r="E1589" s="13" t="str">
        <f>IFERROR(__xludf.DUMMYFUNCTION("ifna(filter('Yahoo ADP'!$A$2:$A2766,'Yahoo ADP'!$B$2:$B2766=$B1589,$C1589='Yahoo ADP'!$C$2:$C2766,$D1589='Yahoo ADP'!$D$2:$D2766))"),"")</f>
        <v/>
      </c>
      <c r="F1589" s="13" t="str">
        <f>IFERROR(__xludf.DUMMYFUNCTION("ifna(filter('Yahoo ADP'!$E$2:$E2766,'Yahoo ADP'!$B$2:$B2766=$B1589,$C1589='Yahoo ADP'!$C$2:$C2766,$D1589='Yahoo ADP'!$D$2:$D2766))"),"-")</f>
        <v>-</v>
      </c>
      <c r="G1589" s="27">
        <v>1579.0</v>
      </c>
      <c r="H1589" s="8">
        <f t="shared" si="1"/>
        <v>-9</v>
      </c>
    </row>
    <row r="1590">
      <c r="A1590" s="10">
        <v>1589.0</v>
      </c>
      <c r="B1590" s="11" t="s">
        <v>4435</v>
      </c>
      <c r="C1590" s="10" t="s">
        <v>262</v>
      </c>
      <c r="D1590" s="10" t="s">
        <v>9</v>
      </c>
      <c r="E1590" s="13" t="str">
        <f>IFERROR(__xludf.DUMMYFUNCTION("ifna(filter('Yahoo ADP'!$A$2:$A2766,'Yahoo ADP'!$B$2:$B2766=$B1590,$C1590='Yahoo ADP'!$C$2:$C2766,$D1590='Yahoo ADP'!$D$2:$D2766))"),"")</f>
        <v/>
      </c>
      <c r="F1590" s="13" t="str">
        <f>IFERROR(__xludf.DUMMYFUNCTION("ifna(filter('Yahoo ADP'!$E$2:$E2766,'Yahoo ADP'!$B$2:$B2766=$B1590,$C1590='Yahoo ADP'!$C$2:$C2766,$D1590='Yahoo ADP'!$D$2:$D2766))"),"-")</f>
        <v>-</v>
      </c>
      <c r="G1590" s="27">
        <v>1580.0</v>
      </c>
      <c r="H1590" s="8">
        <f t="shared" si="1"/>
        <v>-9</v>
      </c>
    </row>
    <row r="1591">
      <c r="A1591" s="10">
        <v>1590.0</v>
      </c>
      <c r="B1591" s="11" t="s">
        <v>4436</v>
      </c>
      <c r="C1591" s="10" t="s">
        <v>22</v>
      </c>
      <c r="D1591" s="10" t="s">
        <v>18</v>
      </c>
      <c r="E1591" s="13" t="str">
        <f>IFERROR(__xludf.DUMMYFUNCTION("ifna(filter('Yahoo ADP'!$A$2:$A2766,'Yahoo ADP'!$B$2:$B2766=$B1591,$C1591='Yahoo ADP'!$C$2:$C2766,$D1591='Yahoo ADP'!$D$2:$D2766))"),"")</f>
        <v/>
      </c>
      <c r="F1591" s="13" t="str">
        <f>IFERROR(__xludf.DUMMYFUNCTION("ifna(filter('Yahoo ADP'!$E$2:$E2766,'Yahoo ADP'!$B$2:$B2766=$B1591,$C1591='Yahoo ADP'!$C$2:$C2766,$D1591='Yahoo ADP'!$D$2:$D2766))"),"-")</f>
        <v>-</v>
      </c>
      <c r="G1591" s="27">
        <v>1581.0</v>
      </c>
      <c r="H1591" s="8">
        <f t="shared" si="1"/>
        <v>-9</v>
      </c>
    </row>
    <row r="1592">
      <c r="A1592" s="10">
        <v>1591.0</v>
      </c>
      <c r="B1592" s="11" t="s">
        <v>4437</v>
      </c>
      <c r="C1592" s="10" t="s">
        <v>22</v>
      </c>
      <c r="D1592" s="10" t="s">
        <v>49</v>
      </c>
      <c r="E1592" s="13" t="str">
        <f>IFERROR(__xludf.DUMMYFUNCTION("ifna(filter('Yahoo ADP'!$A$2:$A2766,'Yahoo ADP'!$B$2:$B2766=$B1592,$C1592='Yahoo ADP'!$C$2:$C2766,$D1592='Yahoo ADP'!$D$2:$D2766))"),"")</f>
        <v/>
      </c>
      <c r="F1592" s="13" t="str">
        <f>IFERROR(__xludf.DUMMYFUNCTION("ifna(filter('Yahoo ADP'!$E$2:$E2766,'Yahoo ADP'!$B$2:$B2766=$B1592,$C1592='Yahoo ADP'!$C$2:$C2766,$D1592='Yahoo ADP'!$D$2:$D2766))"),"-")</f>
        <v>-</v>
      </c>
      <c r="G1592" s="27">
        <v>1582.0</v>
      </c>
      <c r="H1592" s="8">
        <f t="shared" si="1"/>
        <v>-9</v>
      </c>
    </row>
    <row r="1593">
      <c r="A1593" s="10">
        <v>1592.0</v>
      </c>
      <c r="B1593" s="11" t="s">
        <v>4438</v>
      </c>
      <c r="C1593" s="10" t="s">
        <v>220</v>
      </c>
      <c r="D1593" s="10" t="s">
        <v>122</v>
      </c>
      <c r="E1593" s="13" t="str">
        <f>IFERROR(__xludf.DUMMYFUNCTION("ifna(filter('Yahoo ADP'!$A$2:$A2766,'Yahoo ADP'!$B$2:$B2766=$B1593,$C1593='Yahoo ADP'!$C$2:$C2766,$D1593='Yahoo ADP'!$D$2:$D2766))"),"")</f>
        <v/>
      </c>
      <c r="F1593" s="13" t="str">
        <f>IFERROR(__xludf.DUMMYFUNCTION("ifna(filter('Yahoo ADP'!$E$2:$E2766,'Yahoo ADP'!$B$2:$B2766=$B1593,$C1593='Yahoo ADP'!$C$2:$C2766,$D1593='Yahoo ADP'!$D$2:$D2766))"),"-")</f>
        <v>-</v>
      </c>
      <c r="G1593" s="27">
        <v>1583.0</v>
      </c>
      <c r="H1593" s="8">
        <f t="shared" si="1"/>
        <v>-9</v>
      </c>
    </row>
    <row r="1594">
      <c r="A1594" s="10">
        <v>1593.0</v>
      </c>
      <c r="B1594" s="11" t="s">
        <v>4439</v>
      </c>
      <c r="C1594" s="10" t="s">
        <v>22</v>
      </c>
      <c r="D1594" s="10" t="s">
        <v>34</v>
      </c>
      <c r="E1594" s="13" t="str">
        <f>IFERROR(__xludf.DUMMYFUNCTION("ifna(filter('Yahoo ADP'!$A$2:$A2766,'Yahoo ADP'!$B$2:$B2766=$B1594,$C1594='Yahoo ADP'!$C$2:$C2766,$D1594='Yahoo ADP'!$D$2:$D2766))"),"")</f>
        <v/>
      </c>
      <c r="F1594" s="13" t="str">
        <f>IFERROR(__xludf.DUMMYFUNCTION("ifna(filter('Yahoo ADP'!$E$2:$E2766,'Yahoo ADP'!$B$2:$B2766=$B1594,$C1594='Yahoo ADP'!$C$2:$C2766,$D1594='Yahoo ADP'!$D$2:$D2766))"),"-")</f>
        <v>-</v>
      </c>
      <c r="G1594" s="27">
        <v>1584.0</v>
      </c>
      <c r="H1594" s="8">
        <f t="shared" si="1"/>
        <v>-9</v>
      </c>
    </row>
    <row r="1595">
      <c r="A1595" s="10">
        <v>1594.0</v>
      </c>
      <c r="B1595" s="11" t="s">
        <v>4440</v>
      </c>
      <c r="C1595" s="10" t="s">
        <v>22</v>
      </c>
      <c r="D1595" s="10" t="s">
        <v>105</v>
      </c>
      <c r="E1595" s="13" t="str">
        <f>IFERROR(__xludf.DUMMYFUNCTION("ifna(filter('Yahoo ADP'!$A$2:$A2766,'Yahoo ADP'!$B$2:$B2766=$B1595,$C1595='Yahoo ADP'!$C$2:$C2766,$D1595='Yahoo ADP'!$D$2:$D2766))"),"")</f>
        <v/>
      </c>
      <c r="F1595" s="13" t="str">
        <f>IFERROR(__xludf.DUMMYFUNCTION("ifna(filter('Yahoo ADP'!$E$2:$E2766,'Yahoo ADP'!$B$2:$B2766=$B1595,$C1595='Yahoo ADP'!$C$2:$C2766,$D1595='Yahoo ADP'!$D$2:$D2766))"),"-")</f>
        <v>-</v>
      </c>
      <c r="G1595" s="27">
        <v>1585.0</v>
      </c>
      <c r="H1595" s="8">
        <f t="shared" si="1"/>
        <v>-9</v>
      </c>
    </row>
    <row r="1596">
      <c r="A1596" s="10">
        <v>1595.0</v>
      </c>
      <c r="B1596" s="11" t="s">
        <v>4441</v>
      </c>
      <c r="C1596" s="10" t="s">
        <v>79</v>
      </c>
      <c r="D1596" s="10" t="s">
        <v>140</v>
      </c>
      <c r="E1596" s="13" t="str">
        <f>IFERROR(__xludf.DUMMYFUNCTION("ifna(filter('Yahoo ADP'!$A$2:$A2766,'Yahoo ADP'!$B$2:$B2766=$B1596,$C1596='Yahoo ADP'!$C$2:$C2766,$D1596='Yahoo ADP'!$D$2:$D2766))"),"")</f>
        <v/>
      </c>
      <c r="F1596" s="13" t="str">
        <f>IFERROR(__xludf.DUMMYFUNCTION("ifna(filter('Yahoo ADP'!$E$2:$E2766,'Yahoo ADP'!$B$2:$B2766=$B1596,$C1596='Yahoo ADP'!$C$2:$C2766,$D1596='Yahoo ADP'!$D$2:$D2766))"),"-")</f>
        <v>-</v>
      </c>
      <c r="G1596" s="27">
        <v>1586.0</v>
      </c>
      <c r="H1596" s="8">
        <f t="shared" si="1"/>
        <v>-9</v>
      </c>
    </row>
    <row r="1597">
      <c r="A1597" s="10">
        <v>1596.0</v>
      </c>
      <c r="B1597" s="11" t="s">
        <v>4442</v>
      </c>
      <c r="C1597" s="10" t="s">
        <v>22</v>
      </c>
      <c r="D1597" s="10" t="s">
        <v>137</v>
      </c>
      <c r="E1597" s="13" t="str">
        <f>IFERROR(__xludf.DUMMYFUNCTION("ifna(filter('Yahoo ADP'!$A$2:$A2766,'Yahoo ADP'!$B$2:$B2766=$B1597,$C1597='Yahoo ADP'!$C$2:$C2766,$D1597='Yahoo ADP'!$D$2:$D2766))"),"")</f>
        <v/>
      </c>
      <c r="F1597" s="13" t="str">
        <f>IFERROR(__xludf.DUMMYFUNCTION("ifna(filter('Yahoo ADP'!$E$2:$E2766,'Yahoo ADP'!$B$2:$B2766=$B1597,$C1597='Yahoo ADP'!$C$2:$C2766,$D1597='Yahoo ADP'!$D$2:$D2766))"),"-")</f>
        <v>-</v>
      </c>
      <c r="G1597" s="27">
        <v>1587.0</v>
      </c>
      <c r="H1597" s="8">
        <f t="shared" si="1"/>
        <v>-9</v>
      </c>
    </row>
    <row r="1598">
      <c r="A1598" s="10">
        <v>1597.0</v>
      </c>
      <c r="B1598" s="11" t="s">
        <v>4443</v>
      </c>
      <c r="C1598" s="10" t="s">
        <v>22</v>
      </c>
      <c r="D1598" s="10" t="s">
        <v>120</v>
      </c>
      <c r="E1598" s="13" t="str">
        <f>IFERROR(__xludf.DUMMYFUNCTION("ifna(filter('Yahoo ADP'!$A$2:$A2766,'Yahoo ADP'!$B$2:$B2766=$B1598,$C1598='Yahoo ADP'!$C$2:$C2766,$D1598='Yahoo ADP'!$D$2:$D2766))"),"")</f>
        <v/>
      </c>
      <c r="F1598" s="13" t="str">
        <f>IFERROR(__xludf.DUMMYFUNCTION("ifna(filter('Yahoo ADP'!$E$2:$E2766,'Yahoo ADP'!$B$2:$B2766=$B1598,$C1598='Yahoo ADP'!$C$2:$C2766,$D1598='Yahoo ADP'!$D$2:$D2766))"),"-")</f>
        <v>-</v>
      </c>
      <c r="G1598" s="27">
        <v>1588.0</v>
      </c>
      <c r="H1598" s="8">
        <f t="shared" si="1"/>
        <v>-9</v>
      </c>
    </row>
    <row r="1599">
      <c r="A1599" s="10">
        <v>1598.0</v>
      </c>
      <c r="B1599" s="11" t="s">
        <v>4444</v>
      </c>
      <c r="C1599" s="10" t="s">
        <v>22</v>
      </c>
      <c r="D1599" s="10" t="s">
        <v>34</v>
      </c>
      <c r="E1599" s="13" t="str">
        <f>IFERROR(__xludf.DUMMYFUNCTION("ifna(filter('Yahoo ADP'!$A$2:$A2766,'Yahoo ADP'!$B$2:$B2766=$B1599,$C1599='Yahoo ADP'!$C$2:$C2766,$D1599='Yahoo ADP'!$D$2:$D2766))"),"")</f>
        <v/>
      </c>
      <c r="F1599" s="13" t="str">
        <f>IFERROR(__xludf.DUMMYFUNCTION("ifna(filter('Yahoo ADP'!$E$2:$E2766,'Yahoo ADP'!$B$2:$B2766=$B1599,$C1599='Yahoo ADP'!$C$2:$C2766,$D1599='Yahoo ADP'!$D$2:$D2766))"),"-")</f>
        <v>-</v>
      </c>
      <c r="G1599" s="27">
        <v>1589.0</v>
      </c>
      <c r="H1599" s="8">
        <f t="shared" si="1"/>
        <v>-9</v>
      </c>
    </row>
    <row r="1600">
      <c r="A1600" s="10">
        <v>1599.0</v>
      </c>
      <c r="B1600" s="11" t="s">
        <v>4445</v>
      </c>
      <c r="C1600" s="10" t="s">
        <v>79</v>
      </c>
      <c r="D1600" s="10" t="s">
        <v>9</v>
      </c>
      <c r="E1600" s="13" t="str">
        <f>IFERROR(__xludf.DUMMYFUNCTION("ifna(filter('Yahoo ADP'!$A$2:$A2766,'Yahoo ADP'!$B$2:$B2766=$B1600,$C1600='Yahoo ADP'!$C$2:$C2766,$D1600='Yahoo ADP'!$D$2:$D2766))"),"")</f>
        <v/>
      </c>
      <c r="F1600" s="13" t="str">
        <f>IFERROR(__xludf.DUMMYFUNCTION("ifna(filter('Yahoo ADP'!$E$2:$E2766,'Yahoo ADP'!$B$2:$B2766=$B1600,$C1600='Yahoo ADP'!$C$2:$C2766,$D1600='Yahoo ADP'!$D$2:$D2766))"),"-")</f>
        <v>-</v>
      </c>
      <c r="G1600" s="27">
        <v>1590.0</v>
      </c>
      <c r="H1600" s="8">
        <f t="shared" si="1"/>
        <v>-9</v>
      </c>
    </row>
    <row r="1601">
      <c r="A1601" s="10">
        <v>1600.0</v>
      </c>
      <c r="B1601" s="11" t="s">
        <v>4446</v>
      </c>
      <c r="C1601" s="10" t="s">
        <v>220</v>
      </c>
      <c r="D1601" s="10" t="s">
        <v>99</v>
      </c>
      <c r="E1601" s="13" t="str">
        <f>IFERROR(__xludf.DUMMYFUNCTION("ifna(filter('Yahoo ADP'!$A$2:$A2766,'Yahoo ADP'!$B$2:$B2766=$B1601,$C1601='Yahoo ADP'!$C$2:$C2766,$D1601='Yahoo ADP'!$D$2:$D2766))"),"")</f>
        <v/>
      </c>
      <c r="F1601" s="13" t="str">
        <f>IFERROR(__xludf.DUMMYFUNCTION("ifna(filter('Yahoo ADP'!$E$2:$E2766,'Yahoo ADP'!$B$2:$B2766=$B1601,$C1601='Yahoo ADP'!$C$2:$C2766,$D1601='Yahoo ADP'!$D$2:$D2766))"),"-")</f>
        <v>-</v>
      </c>
      <c r="G1601" s="27">
        <v>1591.0</v>
      </c>
      <c r="H1601" s="8">
        <f t="shared" si="1"/>
        <v>-9</v>
      </c>
    </row>
    <row r="1602">
      <c r="A1602" s="10">
        <v>1601.0</v>
      </c>
      <c r="B1602" s="11" t="s">
        <v>4447</v>
      </c>
      <c r="C1602" s="10" t="s">
        <v>1690</v>
      </c>
      <c r="D1602" s="10" t="s">
        <v>25</v>
      </c>
      <c r="E1602" s="13" t="str">
        <f>IFERROR(__xludf.DUMMYFUNCTION("ifna(filter('Yahoo ADP'!$A$2:$A2766,'Yahoo ADP'!$B$2:$B2766=$B1602,$C1602='Yahoo ADP'!$C$2:$C2766,$D1602='Yahoo ADP'!$D$2:$D2766))"),"")</f>
        <v/>
      </c>
      <c r="F1602" s="13" t="str">
        <f>IFERROR(__xludf.DUMMYFUNCTION("ifna(filter('Yahoo ADP'!$E$2:$E2766,'Yahoo ADP'!$B$2:$B2766=$B1602,$C1602='Yahoo ADP'!$C$2:$C2766,$D1602='Yahoo ADP'!$D$2:$D2766))"),"-")</f>
        <v>-</v>
      </c>
      <c r="G1602" s="27">
        <v>1592.0</v>
      </c>
      <c r="H1602" s="8">
        <f t="shared" si="1"/>
        <v>-9</v>
      </c>
    </row>
    <row r="1603">
      <c r="A1603" s="10">
        <v>1602.0</v>
      </c>
      <c r="B1603" s="11" t="s">
        <v>4448</v>
      </c>
      <c r="C1603" s="10" t="s">
        <v>11</v>
      </c>
      <c r="D1603" s="10" t="s">
        <v>18</v>
      </c>
      <c r="E1603" s="13" t="str">
        <f>IFERROR(__xludf.DUMMYFUNCTION("ifna(filter('Yahoo ADP'!$A$2:$A2766,'Yahoo ADP'!$B$2:$B2766=$B1603,$C1603='Yahoo ADP'!$C$2:$C2766,$D1603='Yahoo ADP'!$D$2:$D2766))"),"")</f>
        <v/>
      </c>
      <c r="F1603" s="13" t="str">
        <f>IFERROR(__xludf.DUMMYFUNCTION("ifna(filter('Yahoo ADP'!$E$2:$E2766,'Yahoo ADP'!$B$2:$B2766=$B1603,$C1603='Yahoo ADP'!$C$2:$C2766,$D1603='Yahoo ADP'!$D$2:$D2766))"),"-")</f>
        <v>-</v>
      </c>
      <c r="G1603" s="27">
        <v>1593.0</v>
      </c>
      <c r="H1603" s="8">
        <f t="shared" si="1"/>
        <v>-9</v>
      </c>
    </row>
    <row r="1604">
      <c r="A1604" s="10">
        <v>1603.0</v>
      </c>
      <c r="B1604" s="11" t="s">
        <v>4449</v>
      </c>
      <c r="C1604" s="10" t="s">
        <v>79</v>
      </c>
      <c r="D1604" s="10" t="s">
        <v>12</v>
      </c>
      <c r="E1604" s="13" t="str">
        <f>IFERROR(__xludf.DUMMYFUNCTION("ifna(filter('Yahoo ADP'!$A$2:$A2766,'Yahoo ADP'!$B$2:$B2766=$B1604,$C1604='Yahoo ADP'!$C$2:$C2766,$D1604='Yahoo ADP'!$D$2:$D2766))"),"")</f>
        <v/>
      </c>
      <c r="F1604" s="13" t="str">
        <f>IFERROR(__xludf.DUMMYFUNCTION("ifna(filter('Yahoo ADP'!$E$2:$E2766,'Yahoo ADP'!$B$2:$B2766=$B1604,$C1604='Yahoo ADP'!$C$2:$C2766,$D1604='Yahoo ADP'!$D$2:$D2766))"),"-")</f>
        <v>-</v>
      </c>
      <c r="G1604" s="27">
        <v>1594.0</v>
      </c>
      <c r="H1604" s="8">
        <f t="shared" si="1"/>
        <v>-9</v>
      </c>
    </row>
    <row r="1605">
      <c r="A1605" s="10">
        <v>1604.0</v>
      </c>
      <c r="B1605" s="11" t="s">
        <v>4450</v>
      </c>
      <c r="C1605" s="10" t="s">
        <v>79</v>
      </c>
      <c r="D1605" s="10" t="s">
        <v>49</v>
      </c>
      <c r="E1605" s="13" t="str">
        <f>IFERROR(__xludf.DUMMYFUNCTION("ifna(filter('Yahoo ADP'!$A$2:$A2766,'Yahoo ADP'!$B$2:$B2766=$B1605,$C1605='Yahoo ADP'!$C$2:$C2766,$D1605='Yahoo ADP'!$D$2:$D2766))"),"")</f>
        <v/>
      </c>
      <c r="F1605" s="13" t="str">
        <f>IFERROR(__xludf.DUMMYFUNCTION("ifna(filter('Yahoo ADP'!$E$2:$E2766,'Yahoo ADP'!$B$2:$B2766=$B1605,$C1605='Yahoo ADP'!$C$2:$C2766,$D1605='Yahoo ADP'!$D$2:$D2766))"),"-")</f>
        <v>-</v>
      </c>
      <c r="G1605" s="27">
        <v>1596.0</v>
      </c>
      <c r="H1605" s="8">
        <f t="shared" si="1"/>
        <v>-8</v>
      </c>
    </row>
    <row r="1606">
      <c r="A1606" s="10">
        <v>1605.0</v>
      </c>
      <c r="B1606" s="11" t="s">
        <v>4451</v>
      </c>
      <c r="C1606" s="10" t="s">
        <v>79</v>
      </c>
      <c r="D1606" s="10" t="s">
        <v>206</v>
      </c>
      <c r="E1606" s="13" t="str">
        <f>IFERROR(__xludf.DUMMYFUNCTION("ifna(filter('Yahoo ADP'!$A$2:$A2766,'Yahoo ADP'!$B$2:$B2766=$B1606,$C1606='Yahoo ADP'!$C$2:$C2766,$D1606='Yahoo ADP'!$D$2:$D2766))"),"")</f>
        <v/>
      </c>
      <c r="F1606" s="13" t="str">
        <f>IFERROR(__xludf.DUMMYFUNCTION("ifna(filter('Yahoo ADP'!$E$2:$E2766,'Yahoo ADP'!$B$2:$B2766=$B1606,$C1606='Yahoo ADP'!$C$2:$C2766,$D1606='Yahoo ADP'!$D$2:$D2766))"),"-")</f>
        <v>-</v>
      </c>
      <c r="G1606" s="27">
        <v>1597.0</v>
      </c>
      <c r="H1606" s="8">
        <f t="shared" si="1"/>
        <v>-8</v>
      </c>
    </row>
    <row r="1607">
      <c r="A1607" s="10">
        <v>1606.0</v>
      </c>
      <c r="B1607" s="11" t="s">
        <v>4452</v>
      </c>
      <c r="C1607" s="10" t="s">
        <v>79</v>
      </c>
      <c r="D1607" s="10" t="s">
        <v>129</v>
      </c>
      <c r="E1607" s="13" t="str">
        <f>IFERROR(__xludf.DUMMYFUNCTION("ifna(filter('Yahoo ADP'!$A$2:$A2766,'Yahoo ADP'!$B$2:$B2766=$B1607,$C1607='Yahoo ADP'!$C$2:$C2766,$D1607='Yahoo ADP'!$D$2:$D2766))"),"")</f>
        <v/>
      </c>
      <c r="F1607" s="13" t="str">
        <f>IFERROR(__xludf.DUMMYFUNCTION("ifna(filter('Yahoo ADP'!$E$2:$E2766,'Yahoo ADP'!$B$2:$B2766=$B1607,$C1607='Yahoo ADP'!$C$2:$C2766,$D1607='Yahoo ADP'!$D$2:$D2766))"),"-")</f>
        <v>-</v>
      </c>
      <c r="G1607" s="27">
        <v>1598.0</v>
      </c>
      <c r="H1607" s="8">
        <f t="shared" si="1"/>
        <v>-8</v>
      </c>
    </row>
    <row r="1608">
      <c r="A1608" s="10">
        <v>1607.0</v>
      </c>
      <c r="B1608" s="11" t="s">
        <v>4453</v>
      </c>
      <c r="C1608" s="10" t="s">
        <v>79</v>
      </c>
      <c r="D1608" s="10" t="s">
        <v>18</v>
      </c>
      <c r="E1608" s="13" t="str">
        <f>IFERROR(__xludf.DUMMYFUNCTION("ifna(filter('Yahoo ADP'!$A$2:$A2766,'Yahoo ADP'!$B$2:$B2766=$B1608,$C1608='Yahoo ADP'!$C$2:$C2766,$D1608='Yahoo ADP'!$D$2:$D2766))"),"")</f>
        <v/>
      </c>
      <c r="F1608" s="13" t="str">
        <f>IFERROR(__xludf.DUMMYFUNCTION("ifna(filter('Yahoo ADP'!$E$2:$E2766,'Yahoo ADP'!$B$2:$B2766=$B1608,$C1608='Yahoo ADP'!$C$2:$C2766,$D1608='Yahoo ADP'!$D$2:$D2766))"),"-")</f>
        <v>-</v>
      </c>
      <c r="G1608" s="27">
        <v>1599.0</v>
      </c>
      <c r="H1608" s="8">
        <f t="shared" si="1"/>
        <v>-8</v>
      </c>
    </row>
    <row r="1609">
      <c r="A1609" s="10">
        <v>1608.0</v>
      </c>
      <c r="B1609" s="11" t="s">
        <v>4454</v>
      </c>
      <c r="C1609" s="10" t="s">
        <v>79</v>
      </c>
      <c r="D1609" s="10" t="s">
        <v>25</v>
      </c>
      <c r="E1609" s="13" t="str">
        <f>IFERROR(__xludf.DUMMYFUNCTION("ifna(filter('Yahoo ADP'!$A$2:$A2766,'Yahoo ADP'!$B$2:$B2766=$B1609,$C1609='Yahoo ADP'!$C$2:$C2766,$D1609='Yahoo ADP'!$D$2:$D2766))"),"")</f>
        <v/>
      </c>
      <c r="F1609" s="13" t="str">
        <f>IFERROR(__xludf.DUMMYFUNCTION("ifna(filter('Yahoo ADP'!$E$2:$E2766,'Yahoo ADP'!$B$2:$B2766=$B1609,$C1609='Yahoo ADP'!$C$2:$C2766,$D1609='Yahoo ADP'!$D$2:$D2766))"),"-")</f>
        <v>-</v>
      </c>
      <c r="G1609" s="27">
        <v>1600.0</v>
      </c>
      <c r="H1609" s="8">
        <f t="shared" si="1"/>
        <v>-8</v>
      </c>
    </row>
    <row r="1610">
      <c r="A1610" s="10">
        <v>1609.0</v>
      </c>
      <c r="B1610" s="11" t="s">
        <v>4455</v>
      </c>
      <c r="C1610" s="10" t="s">
        <v>79</v>
      </c>
      <c r="D1610" s="10" t="s">
        <v>12</v>
      </c>
      <c r="E1610" s="13" t="str">
        <f>IFERROR(__xludf.DUMMYFUNCTION("ifna(filter('Yahoo ADP'!$A$2:$A2766,'Yahoo ADP'!$B$2:$B2766=$B1610,$C1610='Yahoo ADP'!$C$2:$C2766,$D1610='Yahoo ADP'!$D$2:$D2766))"),"")</f>
        <v/>
      </c>
      <c r="F1610" s="13" t="str">
        <f>IFERROR(__xludf.DUMMYFUNCTION("ifna(filter('Yahoo ADP'!$E$2:$E2766,'Yahoo ADP'!$B$2:$B2766=$B1610,$C1610='Yahoo ADP'!$C$2:$C2766,$D1610='Yahoo ADP'!$D$2:$D2766))"),"-")</f>
        <v>-</v>
      </c>
      <c r="G1610" s="27">
        <v>1601.0</v>
      </c>
      <c r="H1610" s="8">
        <f t="shared" si="1"/>
        <v>-8</v>
      </c>
    </row>
    <row r="1611">
      <c r="A1611" s="10">
        <v>1610.0</v>
      </c>
      <c r="B1611" s="11" t="s">
        <v>4456</v>
      </c>
      <c r="C1611" s="10" t="s">
        <v>20</v>
      </c>
      <c r="D1611" s="10" t="s">
        <v>90</v>
      </c>
      <c r="E1611" s="13" t="str">
        <f>IFERROR(__xludf.DUMMYFUNCTION("ifna(filter('Yahoo ADP'!$A$2:$A2766,'Yahoo ADP'!$B$2:$B2766=$B1611,$C1611='Yahoo ADP'!$C$2:$C2766,$D1611='Yahoo ADP'!$D$2:$D2766))"),"")</f>
        <v/>
      </c>
      <c r="F1611" s="13" t="str">
        <f>IFERROR(__xludf.DUMMYFUNCTION("ifna(filter('Yahoo ADP'!$E$2:$E2766,'Yahoo ADP'!$B$2:$B2766=$B1611,$C1611='Yahoo ADP'!$C$2:$C2766,$D1611='Yahoo ADP'!$D$2:$D2766))"),"-")</f>
        <v>-</v>
      </c>
      <c r="G1611" s="27">
        <v>1602.0</v>
      </c>
      <c r="H1611" s="8">
        <f t="shared" si="1"/>
        <v>-8</v>
      </c>
    </row>
    <row r="1612">
      <c r="A1612" s="10">
        <v>1611.0</v>
      </c>
      <c r="B1612" s="11" t="s">
        <v>4457</v>
      </c>
      <c r="C1612" s="10" t="s">
        <v>283</v>
      </c>
      <c r="D1612" s="10" t="s">
        <v>73</v>
      </c>
      <c r="E1612" s="13" t="str">
        <f>IFERROR(__xludf.DUMMYFUNCTION("ifna(filter('Yahoo ADP'!$A$2:$A2766,'Yahoo ADP'!$B$2:$B2766=$B1612,$C1612='Yahoo ADP'!$C$2:$C2766,$D1612='Yahoo ADP'!$D$2:$D2766))"),"")</f>
        <v/>
      </c>
      <c r="F1612" s="13" t="str">
        <f>IFERROR(__xludf.DUMMYFUNCTION("ifna(filter('Yahoo ADP'!$E$2:$E2766,'Yahoo ADP'!$B$2:$B2766=$B1612,$C1612='Yahoo ADP'!$C$2:$C2766,$D1612='Yahoo ADP'!$D$2:$D2766))"),"-")</f>
        <v>-</v>
      </c>
      <c r="G1612" s="27">
        <v>1603.0</v>
      </c>
      <c r="H1612" s="8">
        <f t="shared" si="1"/>
        <v>-8</v>
      </c>
    </row>
    <row r="1613">
      <c r="A1613" s="10">
        <v>1612.0</v>
      </c>
      <c r="B1613" s="11" t="s">
        <v>4458</v>
      </c>
      <c r="C1613" s="10" t="s">
        <v>79</v>
      </c>
      <c r="D1613" s="10" t="s">
        <v>31</v>
      </c>
      <c r="E1613" s="13" t="str">
        <f>IFERROR(__xludf.DUMMYFUNCTION("ifna(filter('Yahoo ADP'!$A$2:$A2766,'Yahoo ADP'!$B$2:$B2766=$B1613,$C1613='Yahoo ADP'!$C$2:$C2766,$D1613='Yahoo ADP'!$D$2:$D2766))"),"")</f>
        <v/>
      </c>
      <c r="F1613" s="13" t="str">
        <f>IFERROR(__xludf.DUMMYFUNCTION("ifna(filter('Yahoo ADP'!$E$2:$E2766,'Yahoo ADP'!$B$2:$B2766=$B1613,$C1613='Yahoo ADP'!$C$2:$C2766,$D1613='Yahoo ADP'!$D$2:$D2766))"),"-")</f>
        <v>-</v>
      </c>
      <c r="G1613" s="27">
        <v>1604.0</v>
      </c>
      <c r="H1613" s="8">
        <f t="shared" si="1"/>
        <v>-8</v>
      </c>
    </row>
    <row r="1614">
      <c r="A1614" s="10">
        <v>1613.0</v>
      </c>
      <c r="B1614" s="11" t="s">
        <v>4459</v>
      </c>
      <c r="C1614" s="10" t="s">
        <v>220</v>
      </c>
      <c r="D1614" s="10" t="s">
        <v>15</v>
      </c>
      <c r="E1614" s="13" t="str">
        <f>IFERROR(__xludf.DUMMYFUNCTION("ifna(filter('Yahoo ADP'!$A$2:$A2766,'Yahoo ADP'!$B$2:$B2766=$B1614,$C1614='Yahoo ADP'!$C$2:$C2766,$D1614='Yahoo ADP'!$D$2:$D2766))"),"")</f>
        <v/>
      </c>
      <c r="F1614" s="13" t="str">
        <f>IFERROR(__xludf.DUMMYFUNCTION("ifna(filter('Yahoo ADP'!$E$2:$E2766,'Yahoo ADP'!$B$2:$B2766=$B1614,$C1614='Yahoo ADP'!$C$2:$C2766,$D1614='Yahoo ADP'!$D$2:$D2766))"),"-")</f>
        <v>-</v>
      </c>
      <c r="G1614" s="27">
        <v>1605.0</v>
      </c>
      <c r="H1614" s="8">
        <f t="shared" si="1"/>
        <v>-8</v>
      </c>
    </row>
    <row r="1615">
      <c r="A1615" s="10">
        <v>1614.0</v>
      </c>
      <c r="B1615" s="11" t="s">
        <v>4460</v>
      </c>
      <c r="C1615" s="10" t="s">
        <v>240</v>
      </c>
      <c r="D1615" s="10" t="s">
        <v>122</v>
      </c>
      <c r="E1615" s="13" t="str">
        <f>IFERROR(__xludf.DUMMYFUNCTION("ifna(filter('Yahoo ADP'!$A$2:$A2766,'Yahoo ADP'!$B$2:$B2766=$B1615,$C1615='Yahoo ADP'!$C$2:$C2766,$D1615='Yahoo ADP'!$D$2:$D2766))"),"")</f>
        <v/>
      </c>
      <c r="F1615" s="13" t="str">
        <f>IFERROR(__xludf.DUMMYFUNCTION("ifna(filter('Yahoo ADP'!$E$2:$E2766,'Yahoo ADP'!$B$2:$B2766=$B1615,$C1615='Yahoo ADP'!$C$2:$C2766,$D1615='Yahoo ADP'!$D$2:$D2766))"),"-")</f>
        <v>-</v>
      </c>
      <c r="G1615" s="27">
        <v>1606.0</v>
      </c>
      <c r="H1615" s="8">
        <f t="shared" si="1"/>
        <v>-8</v>
      </c>
    </row>
    <row r="1616">
      <c r="A1616" s="10">
        <v>1615.0</v>
      </c>
      <c r="B1616" s="11" t="s">
        <v>4461</v>
      </c>
      <c r="C1616" s="10" t="s">
        <v>79</v>
      </c>
      <c r="D1616" s="10" t="s">
        <v>85</v>
      </c>
      <c r="E1616" s="13" t="str">
        <f>IFERROR(__xludf.DUMMYFUNCTION("ifna(filter('Yahoo ADP'!$A$2:$A2766,'Yahoo ADP'!$B$2:$B2766=$B1616,$C1616='Yahoo ADP'!$C$2:$C2766,$D1616='Yahoo ADP'!$D$2:$D2766))"),"")</f>
        <v/>
      </c>
      <c r="F1616" s="13" t="str">
        <f>IFERROR(__xludf.DUMMYFUNCTION("ifna(filter('Yahoo ADP'!$E$2:$E2766,'Yahoo ADP'!$B$2:$B2766=$B1616,$C1616='Yahoo ADP'!$C$2:$C2766,$D1616='Yahoo ADP'!$D$2:$D2766))"),"-")</f>
        <v>-</v>
      </c>
      <c r="G1616" s="27">
        <v>1607.0</v>
      </c>
      <c r="H1616" s="8">
        <f t="shared" si="1"/>
        <v>-8</v>
      </c>
    </row>
    <row r="1617">
      <c r="A1617" s="10">
        <v>1616.0</v>
      </c>
      <c r="B1617" s="11" t="s">
        <v>4462</v>
      </c>
      <c r="C1617" s="10" t="s">
        <v>20</v>
      </c>
      <c r="D1617" s="10" t="s">
        <v>120</v>
      </c>
      <c r="E1617" s="13" t="str">
        <f>IFERROR(__xludf.DUMMYFUNCTION("ifna(filter('Yahoo ADP'!$A$2:$A2766,'Yahoo ADP'!$B$2:$B2766=$B1617,$C1617='Yahoo ADP'!$C$2:$C2766,$D1617='Yahoo ADP'!$D$2:$D2766))"),"")</f>
        <v/>
      </c>
      <c r="F1617" s="13" t="str">
        <f>IFERROR(__xludf.DUMMYFUNCTION("ifna(filter('Yahoo ADP'!$E$2:$E2766,'Yahoo ADP'!$B$2:$B2766=$B1617,$C1617='Yahoo ADP'!$C$2:$C2766,$D1617='Yahoo ADP'!$D$2:$D2766))"),"-")</f>
        <v>-</v>
      </c>
      <c r="G1617" s="27">
        <v>1608.0</v>
      </c>
      <c r="H1617" s="8">
        <f t="shared" si="1"/>
        <v>-8</v>
      </c>
    </row>
    <row r="1618">
      <c r="A1618" s="10">
        <v>1617.0</v>
      </c>
      <c r="B1618" s="11" t="s">
        <v>4463</v>
      </c>
      <c r="C1618" s="10" t="s">
        <v>22</v>
      </c>
      <c r="D1618" s="10" t="s">
        <v>73</v>
      </c>
      <c r="E1618" s="13" t="str">
        <f>IFERROR(__xludf.DUMMYFUNCTION("ifna(filter('Yahoo ADP'!$A$2:$A2766,'Yahoo ADP'!$B$2:$B2766=$B1618,$C1618='Yahoo ADP'!$C$2:$C2766,$D1618='Yahoo ADP'!$D$2:$D2766))"),"")</f>
        <v/>
      </c>
      <c r="F1618" s="13" t="str">
        <f>IFERROR(__xludf.DUMMYFUNCTION("ifna(filter('Yahoo ADP'!$E$2:$E2766,'Yahoo ADP'!$B$2:$B2766=$B1618,$C1618='Yahoo ADP'!$C$2:$C2766,$D1618='Yahoo ADP'!$D$2:$D2766))"),"-")</f>
        <v>-</v>
      </c>
      <c r="G1618" s="27">
        <v>1609.0</v>
      </c>
      <c r="H1618" s="8">
        <f t="shared" si="1"/>
        <v>-8</v>
      </c>
    </row>
    <row r="1619">
      <c r="A1619" s="10">
        <v>1618.0</v>
      </c>
      <c r="B1619" s="11" t="s">
        <v>4464</v>
      </c>
      <c r="C1619" s="10" t="s">
        <v>22</v>
      </c>
      <c r="D1619" s="10" t="s">
        <v>42</v>
      </c>
      <c r="E1619" s="13" t="str">
        <f>IFERROR(__xludf.DUMMYFUNCTION("ifna(filter('Yahoo ADP'!$A$2:$A2766,'Yahoo ADP'!$B$2:$B2766=$B1619,$C1619='Yahoo ADP'!$C$2:$C2766,$D1619='Yahoo ADP'!$D$2:$D2766))"),"")</f>
        <v/>
      </c>
      <c r="F1619" s="13" t="str">
        <f>IFERROR(__xludf.DUMMYFUNCTION("ifna(filter('Yahoo ADP'!$E$2:$E2766,'Yahoo ADP'!$B$2:$B2766=$B1619,$C1619='Yahoo ADP'!$C$2:$C2766,$D1619='Yahoo ADP'!$D$2:$D2766))"),"-")</f>
        <v>-</v>
      </c>
      <c r="G1619" s="27" t="s">
        <v>2897</v>
      </c>
      <c r="H1619" s="8" t="str">
        <f t="shared" si="1"/>
        <v/>
      </c>
    </row>
    <row r="1620">
      <c r="A1620" s="10">
        <v>1619.0</v>
      </c>
      <c r="B1620" s="11" t="s">
        <v>4465</v>
      </c>
      <c r="C1620" s="10" t="s">
        <v>79</v>
      </c>
      <c r="D1620" s="10" t="s">
        <v>67</v>
      </c>
      <c r="E1620" s="13" t="str">
        <f>IFERROR(__xludf.DUMMYFUNCTION("ifna(filter('Yahoo ADP'!$A$2:$A2766,'Yahoo ADP'!$B$2:$B2766=$B1620,$C1620='Yahoo ADP'!$C$2:$C2766,$D1620='Yahoo ADP'!$D$2:$D2766))"),"")</f>
        <v/>
      </c>
      <c r="F1620" s="13" t="str">
        <f>IFERROR(__xludf.DUMMYFUNCTION("ifna(filter('Yahoo ADP'!$E$2:$E2766,'Yahoo ADP'!$B$2:$B2766=$B1620,$C1620='Yahoo ADP'!$C$2:$C2766,$D1620='Yahoo ADP'!$D$2:$D2766))"),"-")</f>
        <v>-</v>
      </c>
      <c r="G1620" s="27">
        <v>1611.0</v>
      </c>
      <c r="H1620" s="8">
        <f t="shared" si="1"/>
        <v>-8</v>
      </c>
    </row>
    <row r="1621">
      <c r="A1621" s="10">
        <v>1620.0</v>
      </c>
      <c r="B1621" s="11" t="s">
        <v>4466</v>
      </c>
      <c r="C1621" s="10" t="s">
        <v>1710</v>
      </c>
      <c r="D1621" s="10" t="s">
        <v>34</v>
      </c>
      <c r="E1621" s="13" t="str">
        <f>IFERROR(__xludf.DUMMYFUNCTION("ifna(filter('Yahoo ADP'!$A$2:$A2766,'Yahoo ADP'!$B$2:$B2766=$B1621,$C1621='Yahoo ADP'!$C$2:$C2766,$D1621='Yahoo ADP'!$D$2:$D2766))"),"")</f>
        <v/>
      </c>
      <c r="F1621" s="13" t="str">
        <f>IFERROR(__xludf.DUMMYFUNCTION("ifna(filter('Yahoo ADP'!$E$2:$E2766,'Yahoo ADP'!$B$2:$B2766=$B1621,$C1621='Yahoo ADP'!$C$2:$C2766,$D1621='Yahoo ADP'!$D$2:$D2766))"),"-")</f>
        <v>-</v>
      </c>
      <c r="G1621" s="27">
        <v>1612.0</v>
      </c>
      <c r="H1621" s="8">
        <f t="shared" si="1"/>
        <v>-8</v>
      </c>
    </row>
    <row r="1622">
      <c r="A1622" s="10">
        <v>1621.0</v>
      </c>
      <c r="B1622" s="11" t="s">
        <v>4467</v>
      </c>
      <c r="C1622" s="10" t="s">
        <v>1712</v>
      </c>
      <c r="D1622" s="10" t="s">
        <v>113</v>
      </c>
      <c r="E1622" s="13" t="str">
        <f>IFERROR(__xludf.DUMMYFUNCTION("ifna(filter('Yahoo ADP'!$A$2:$A2766,'Yahoo ADP'!$B$2:$B2766=$B1622,$C1622='Yahoo ADP'!$C$2:$C2766,$D1622='Yahoo ADP'!$D$2:$D2766))"),"")</f>
        <v/>
      </c>
      <c r="F1622" s="13" t="str">
        <f>IFERROR(__xludf.DUMMYFUNCTION("ifna(filter('Yahoo ADP'!$E$2:$E2766,'Yahoo ADP'!$B$2:$B2766=$B1622,$C1622='Yahoo ADP'!$C$2:$C2766,$D1622='Yahoo ADP'!$D$2:$D2766))"),"-")</f>
        <v>-</v>
      </c>
      <c r="G1622" s="27">
        <v>1613.0</v>
      </c>
      <c r="H1622" s="8">
        <f t="shared" si="1"/>
        <v>-8</v>
      </c>
    </row>
    <row r="1623">
      <c r="A1623" s="10">
        <v>1622.0</v>
      </c>
      <c r="B1623" s="11" t="s">
        <v>4468</v>
      </c>
      <c r="C1623" s="10" t="s">
        <v>11</v>
      </c>
      <c r="D1623" s="10" t="s">
        <v>15</v>
      </c>
      <c r="E1623" s="13" t="str">
        <f>IFERROR(__xludf.DUMMYFUNCTION("ifna(filter('Yahoo ADP'!$A$2:$A2766,'Yahoo ADP'!$B$2:$B2766=$B1623,$C1623='Yahoo ADP'!$C$2:$C2766,$D1623='Yahoo ADP'!$D$2:$D2766))"),"")</f>
        <v/>
      </c>
      <c r="F1623" s="13" t="str">
        <f>IFERROR(__xludf.DUMMYFUNCTION("ifna(filter('Yahoo ADP'!$E$2:$E2766,'Yahoo ADP'!$B$2:$B2766=$B1623,$C1623='Yahoo ADP'!$C$2:$C2766,$D1623='Yahoo ADP'!$D$2:$D2766))"),"-")</f>
        <v>-</v>
      </c>
      <c r="G1623" s="27">
        <v>1614.0</v>
      </c>
      <c r="H1623" s="8">
        <f t="shared" si="1"/>
        <v>-8</v>
      </c>
    </row>
    <row r="1624">
      <c r="A1624" s="10">
        <v>1623.0</v>
      </c>
      <c r="B1624" s="11" t="s">
        <v>4469</v>
      </c>
      <c r="C1624" s="10" t="s">
        <v>79</v>
      </c>
      <c r="D1624" s="10" t="s">
        <v>49</v>
      </c>
      <c r="E1624" s="13" t="str">
        <f>IFERROR(__xludf.DUMMYFUNCTION("ifna(filter('Yahoo ADP'!$A$2:$A2766,'Yahoo ADP'!$B$2:$B2766=$B1624,$C1624='Yahoo ADP'!$C$2:$C2766,$D1624='Yahoo ADP'!$D$2:$D2766))"),"")</f>
        <v/>
      </c>
      <c r="F1624" s="13" t="str">
        <f>IFERROR(__xludf.DUMMYFUNCTION("ifna(filter('Yahoo ADP'!$E$2:$E2766,'Yahoo ADP'!$B$2:$B2766=$B1624,$C1624='Yahoo ADP'!$C$2:$C2766,$D1624='Yahoo ADP'!$D$2:$D2766))"),"-")</f>
        <v>-</v>
      </c>
      <c r="G1624" s="27">
        <v>1615.0</v>
      </c>
      <c r="H1624" s="8">
        <f t="shared" si="1"/>
        <v>-8</v>
      </c>
    </row>
    <row r="1625">
      <c r="A1625" s="10">
        <v>1624.0</v>
      </c>
      <c r="B1625" s="11" t="s">
        <v>4470</v>
      </c>
      <c r="C1625" s="10" t="s">
        <v>79</v>
      </c>
      <c r="D1625" s="10" t="s">
        <v>73</v>
      </c>
      <c r="E1625" s="13" t="str">
        <f>IFERROR(__xludf.DUMMYFUNCTION("ifna(filter('Yahoo ADP'!$A$2:$A2766,'Yahoo ADP'!$B$2:$B2766=$B1625,$C1625='Yahoo ADP'!$C$2:$C2766,$D1625='Yahoo ADP'!$D$2:$D2766))"),"")</f>
        <v/>
      </c>
      <c r="F1625" s="13" t="str">
        <f>IFERROR(__xludf.DUMMYFUNCTION("ifna(filter('Yahoo ADP'!$E$2:$E2766,'Yahoo ADP'!$B$2:$B2766=$B1625,$C1625='Yahoo ADP'!$C$2:$C2766,$D1625='Yahoo ADP'!$D$2:$D2766))"),"-")</f>
        <v>-</v>
      </c>
      <c r="G1625" s="27">
        <v>1616.0</v>
      </c>
      <c r="H1625" s="8">
        <f t="shared" si="1"/>
        <v>-8</v>
      </c>
    </row>
    <row r="1626">
      <c r="A1626" s="10">
        <v>1625.0</v>
      </c>
      <c r="B1626" s="11" t="s">
        <v>4471</v>
      </c>
      <c r="C1626" s="10" t="s">
        <v>220</v>
      </c>
      <c r="D1626" s="10" t="s">
        <v>15</v>
      </c>
      <c r="E1626" s="13" t="str">
        <f>IFERROR(__xludf.DUMMYFUNCTION("ifna(filter('Yahoo ADP'!$A$2:$A2766,'Yahoo ADP'!$B$2:$B2766=$B1626,$C1626='Yahoo ADP'!$C$2:$C2766,$D1626='Yahoo ADP'!$D$2:$D2766))"),"")</f>
        <v/>
      </c>
      <c r="F1626" s="13" t="str">
        <f>IFERROR(__xludf.DUMMYFUNCTION("ifna(filter('Yahoo ADP'!$E$2:$E2766,'Yahoo ADP'!$B$2:$B2766=$B1626,$C1626='Yahoo ADP'!$C$2:$C2766,$D1626='Yahoo ADP'!$D$2:$D2766))"),"-")</f>
        <v>-</v>
      </c>
      <c r="G1626" s="27">
        <v>1617.0</v>
      </c>
      <c r="H1626" s="8">
        <f t="shared" si="1"/>
        <v>-8</v>
      </c>
    </row>
    <row r="1627">
      <c r="A1627" s="10">
        <v>1626.0</v>
      </c>
      <c r="B1627" s="11" t="s">
        <v>4472</v>
      </c>
      <c r="C1627" s="10" t="s">
        <v>69</v>
      </c>
      <c r="D1627" s="10" t="s">
        <v>18</v>
      </c>
      <c r="E1627" s="13" t="str">
        <f>IFERROR(__xludf.DUMMYFUNCTION("ifna(filter('Yahoo ADP'!$A$2:$A2766,'Yahoo ADP'!$B$2:$B2766=$B1627,$C1627='Yahoo ADP'!$C$2:$C2766,$D1627='Yahoo ADP'!$D$2:$D2766))"),"")</f>
        <v/>
      </c>
      <c r="F1627" s="13" t="str">
        <f>IFERROR(__xludf.DUMMYFUNCTION("ifna(filter('Yahoo ADP'!$E$2:$E2766,'Yahoo ADP'!$B$2:$B2766=$B1627,$C1627='Yahoo ADP'!$C$2:$C2766,$D1627='Yahoo ADP'!$D$2:$D2766))"),"-")</f>
        <v>-</v>
      </c>
      <c r="G1627" s="27">
        <v>1618.0</v>
      </c>
      <c r="H1627" s="8">
        <f t="shared" si="1"/>
        <v>-8</v>
      </c>
    </row>
    <row r="1628">
      <c r="A1628" s="10">
        <v>1627.0</v>
      </c>
      <c r="B1628" s="11" t="s">
        <v>4473</v>
      </c>
      <c r="C1628" s="10" t="s">
        <v>79</v>
      </c>
      <c r="D1628" s="10" t="s">
        <v>67</v>
      </c>
      <c r="E1628" s="13" t="str">
        <f>IFERROR(__xludf.DUMMYFUNCTION("ifna(filter('Yahoo ADP'!$A$2:$A2766,'Yahoo ADP'!$B$2:$B2766=$B1628,$C1628='Yahoo ADP'!$C$2:$C2766,$D1628='Yahoo ADP'!$D$2:$D2766))"),"")</f>
        <v/>
      </c>
      <c r="F1628" s="13" t="str">
        <f>IFERROR(__xludf.DUMMYFUNCTION("ifna(filter('Yahoo ADP'!$E$2:$E2766,'Yahoo ADP'!$B$2:$B2766=$B1628,$C1628='Yahoo ADP'!$C$2:$C2766,$D1628='Yahoo ADP'!$D$2:$D2766))"),"-")</f>
        <v>-</v>
      </c>
      <c r="G1628" s="27">
        <v>1619.0</v>
      </c>
      <c r="H1628" s="8">
        <f t="shared" si="1"/>
        <v>-8</v>
      </c>
    </row>
    <row r="1629">
      <c r="A1629" s="10">
        <v>1628.0</v>
      </c>
      <c r="B1629" s="11" t="s">
        <v>4474</v>
      </c>
      <c r="C1629" s="10" t="s">
        <v>79</v>
      </c>
      <c r="D1629" s="10" t="s">
        <v>42</v>
      </c>
      <c r="E1629" s="13" t="str">
        <f>IFERROR(__xludf.DUMMYFUNCTION("ifna(filter('Yahoo ADP'!$A$2:$A2766,'Yahoo ADP'!$B$2:$B2766=$B1629,$C1629='Yahoo ADP'!$C$2:$C2766,$D1629='Yahoo ADP'!$D$2:$D2766))"),"")</f>
        <v/>
      </c>
      <c r="F1629" s="13" t="str">
        <f>IFERROR(__xludf.DUMMYFUNCTION("ifna(filter('Yahoo ADP'!$E$2:$E2766,'Yahoo ADP'!$B$2:$B2766=$B1629,$C1629='Yahoo ADP'!$C$2:$C2766,$D1629='Yahoo ADP'!$D$2:$D2766))"),"-")</f>
        <v>-</v>
      </c>
      <c r="G1629" s="27">
        <v>1620.0</v>
      </c>
      <c r="H1629" s="8">
        <f t="shared" si="1"/>
        <v>-8</v>
      </c>
    </row>
    <row r="1630">
      <c r="A1630" s="10">
        <v>1629.0</v>
      </c>
      <c r="B1630" s="11" t="s">
        <v>4475</v>
      </c>
      <c r="C1630" s="10" t="s">
        <v>79</v>
      </c>
      <c r="D1630" s="10" t="s">
        <v>34</v>
      </c>
      <c r="E1630" s="13" t="str">
        <f>IFERROR(__xludf.DUMMYFUNCTION("ifna(filter('Yahoo ADP'!$A$2:$A2766,'Yahoo ADP'!$B$2:$B2766=$B1630,$C1630='Yahoo ADP'!$C$2:$C2766,$D1630='Yahoo ADP'!$D$2:$D2766))"),"")</f>
        <v/>
      </c>
      <c r="F1630" s="13" t="str">
        <f>IFERROR(__xludf.DUMMYFUNCTION("ifna(filter('Yahoo ADP'!$E$2:$E2766,'Yahoo ADP'!$B$2:$B2766=$B1630,$C1630='Yahoo ADP'!$C$2:$C2766,$D1630='Yahoo ADP'!$D$2:$D2766))"),"-")</f>
        <v>-</v>
      </c>
      <c r="G1630" s="27">
        <v>1621.0</v>
      </c>
      <c r="H1630" s="8">
        <f t="shared" si="1"/>
        <v>-8</v>
      </c>
    </row>
    <row r="1631">
      <c r="A1631" s="10">
        <v>1630.0</v>
      </c>
      <c r="B1631" s="11" t="s">
        <v>4476</v>
      </c>
      <c r="C1631" s="10" t="s">
        <v>22</v>
      </c>
      <c r="D1631" s="10" t="s">
        <v>71</v>
      </c>
      <c r="E1631" s="13" t="str">
        <f>IFERROR(__xludf.DUMMYFUNCTION("ifna(filter('Yahoo ADP'!$A$2:$A2766,'Yahoo ADP'!$B$2:$B2766=$B1631,$C1631='Yahoo ADP'!$C$2:$C2766,$D1631='Yahoo ADP'!$D$2:$D2766))"),"")</f>
        <v/>
      </c>
      <c r="F1631" s="13" t="str">
        <f>IFERROR(__xludf.DUMMYFUNCTION("ifna(filter('Yahoo ADP'!$E$2:$E2766,'Yahoo ADP'!$B$2:$B2766=$B1631,$C1631='Yahoo ADP'!$C$2:$C2766,$D1631='Yahoo ADP'!$D$2:$D2766))"),"-")</f>
        <v>-</v>
      </c>
      <c r="G1631" s="27">
        <v>1622.0</v>
      </c>
      <c r="H1631" s="8">
        <f t="shared" si="1"/>
        <v>-8</v>
      </c>
    </row>
    <row r="1632">
      <c r="A1632" s="10">
        <v>1631.0</v>
      </c>
      <c r="B1632" s="11" t="s">
        <v>4477</v>
      </c>
      <c r="C1632" s="10" t="s">
        <v>79</v>
      </c>
      <c r="D1632" s="10" t="s">
        <v>49</v>
      </c>
      <c r="E1632" s="13" t="str">
        <f>IFERROR(__xludf.DUMMYFUNCTION("ifna(filter('Yahoo ADP'!$A$2:$A2766,'Yahoo ADP'!$B$2:$B2766=$B1632,$C1632='Yahoo ADP'!$C$2:$C2766,$D1632='Yahoo ADP'!$D$2:$D2766))"),"")</f>
        <v/>
      </c>
      <c r="F1632" s="13" t="str">
        <f>IFERROR(__xludf.DUMMYFUNCTION("ifna(filter('Yahoo ADP'!$E$2:$E2766,'Yahoo ADP'!$B$2:$B2766=$B1632,$C1632='Yahoo ADP'!$C$2:$C2766,$D1632='Yahoo ADP'!$D$2:$D2766))"),"-")</f>
        <v>-</v>
      </c>
      <c r="G1632" s="27">
        <v>1623.0</v>
      </c>
      <c r="H1632" s="8">
        <f t="shared" si="1"/>
        <v>-8</v>
      </c>
    </row>
    <row r="1633">
      <c r="A1633" s="10">
        <v>1632.0</v>
      </c>
      <c r="B1633" s="11" t="s">
        <v>4478</v>
      </c>
      <c r="C1633" s="10" t="s">
        <v>79</v>
      </c>
      <c r="D1633" s="10" t="s">
        <v>90</v>
      </c>
      <c r="E1633" s="13" t="str">
        <f>IFERROR(__xludf.DUMMYFUNCTION("ifna(filter('Yahoo ADP'!$A$2:$A2766,'Yahoo ADP'!$B$2:$B2766=$B1633,$C1633='Yahoo ADP'!$C$2:$C2766,$D1633='Yahoo ADP'!$D$2:$D2766))"),"")</f>
        <v/>
      </c>
      <c r="F1633" s="13" t="str">
        <f>IFERROR(__xludf.DUMMYFUNCTION("ifna(filter('Yahoo ADP'!$E$2:$E2766,'Yahoo ADP'!$B$2:$B2766=$B1633,$C1633='Yahoo ADP'!$C$2:$C2766,$D1633='Yahoo ADP'!$D$2:$D2766))"),"-")</f>
        <v>-</v>
      </c>
      <c r="G1633" s="27">
        <v>1624.0</v>
      </c>
      <c r="H1633" s="8">
        <f t="shared" si="1"/>
        <v>-8</v>
      </c>
    </row>
    <row r="1634">
      <c r="A1634" s="10">
        <v>1633.0</v>
      </c>
      <c r="B1634" s="11" t="s">
        <v>4479</v>
      </c>
      <c r="C1634" s="10" t="s">
        <v>79</v>
      </c>
      <c r="D1634" s="10" t="s">
        <v>95</v>
      </c>
      <c r="E1634" s="13" t="str">
        <f>IFERROR(__xludf.DUMMYFUNCTION("ifna(filter('Yahoo ADP'!$A$2:$A2766,'Yahoo ADP'!$B$2:$B2766=$B1634,$C1634='Yahoo ADP'!$C$2:$C2766,$D1634='Yahoo ADP'!$D$2:$D2766))"),"")</f>
        <v/>
      </c>
      <c r="F1634" s="13" t="str">
        <f>IFERROR(__xludf.DUMMYFUNCTION("ifna(filter('Yahoo ADP'!$E$2:$E2766,'Yahoo ADP'!$B$2:$B2766=$B1634,$C1634='Yahoo ADP'!$C$2:$C2766,$D1634='Yahoo ADP'!$D$2:$D2766))"),"-")</f>
        <v>-</v>
      </c>
      <c r="G1634" s="27">
        <v>1625.0</v>
      </c>
      <c r="H1634" s="8">
        <f t="shared" si="1"/>
        <v>-8</v>
      </c>
    </row>
    <row r="1635">
      <c r="A1635" s="10">
        <v>1634.0</v>
      </c>
      <c r="B1635" s="11" t="s">
        <v>4480</v>
      </c>
      <c r="C1635" s="10" t="s">
        <v>79</v>
      </c>
      <c r="D1635" s="10" t="s">
        <v>105</v>
      </c>
      <c r="E1635" s="13" t="str">
        <f>IFERROR(__xludf.DUMMYFUNCTION("ifna(filter('Yahoo ADP'!$A$2:$A2766,'Yahoo ADP'!$B$2:$B2766=$B1635,$C1635='Yahoo ADP'!$C$2:$C2766,$D1635='Yahoo ADP'!$D$2:$D2766))"),"")</f>
        <v/>
      </c>
      <c r="F1635" s="13" t="str">
        <f>IFERROR(__xludf.DUMMYFUNCTION("ifna(filter('Yahoo ADP'!$E$2:$E2766,'Yahoo ADP'!$B$2:$B2766=$B1635,$C1635='Yahoo ADP'!$C$2:$C2766,$D1635='Yahoo ADP'!$D$2:$D2766))"),"-")</f>
        <v>-</v>
      </c>
      <c r="G1635" s="27">
        <v>1626.0</v>
      </c>
      <c r="H1635" s="8">
        <f t="shared" si="1"/>
        <v>-8</v>
      </c>
    </row>
    <row r="1636">
      <c r="A1636" s="10">
        <v>1635.0</v>
      </c>
      <c r="B1636" s="11" t="s">
        <v>4481</v>
      </c>
      <c r="C1636" s="10" t="s">
        <v>79</v>
      </c>
      <c r="D1636" s="10" t="s">
        <v>137</v>
      </c>
      <c r="E1636" s="13" t="str">
        <f>IFERROR(__xludf.DUMMYFUNCTION("ifna(filter('Yahoo ADP'!$A$2:$A2766,'Yahoo ADP'!$B$2:$B2766=$B1636,$C1636='Yahoo ADP'!$C$2:$C2766,$D1636='Yahoo ADP'!$D$2:$D2766))"),"")</f>
        <v/>
      </c>
      <c r="F1636" s="13" t="str">
        <f>IFERROR(__xludf.DUMMYFUNCTION("ifna(filter('Yahoo ADP'!$E$2:$E2766,'Yahoo ADP'!$B$2:$B2766=$B1636,$C1636='Yahoo ADP'!$C$2:$C2766,$D1636='Yahoo ADP'!$D$2:$D2766))"),"-")</f>
        <v>-</v>
      </c>
      <c r="G1636" s="27">
        <v>1627.0</v>
      </c>
      <c r="H1636" s="8">
        <f t="shared" si="1"/>
        <v>-8</v>
      </c>
    </row>
    <row r="1637">
      <c r="A1637" s="10">
        <v>1636.0</v>
      </c>
      <c r="B1637" s="11" t="s">
        <v>4482</v>
      </c>
      <c r="C1637" s="10" t="s">
        <v>79</v>
      </c>
      <c r="D1637" s="10" t="s">
        <v>42</v>
      </c>
      <c r="E1637" s="13" t="str">
        <f>IFERROR(__xludf.DUMMYFUNCTION("ifna(filter('Yahoo ADP'!$A$2:$A2766,'Yahoo ADP'!$B$2:$B2766=$B1637,$C1637='Yahoo ADP'!$C$2:$C2766,$D1637='Yahoo ADP'!$D$2:$D2766))"),"")</f>
        <v/>
      </c>
      <c r="F1637" s="13" t="str">
        <f>IFERROR(__xludf.DUMMYFUNCTION("ifna(filter('Yahoo ADP'!$E$2:$E2766,'Yahoo ADP'!$B$2:$B2766=$B1637,$C1637='Yahoo ADP'!$C$2:$C2766,$D1637='Yahoo ADP'!$D$2:$D2766))"),"-")</f>
        <v>-</v>
      </c>
      <c r="G1637" s="27">
        <v>1628.0</v>
      </c>
      <c r="H1637" s="8">
        <f t="shared" si="1"/>
        <v>-8</v>
      </c>
    </row>
    <row r="1638">
      <c r="A1638" s="10">
        <v>1637.0</v>
      </c>
      <c r="B1638" s="11" t="s">
        <v>4483</v>
      </c>
      <c r="C1638" s="10" t="s">
        <v>22</v>
      </c>
      <c r="D1638" s="10" t="s">
        <v>85</v>
      </c>
      <c r="E1638" s="13" t="str">
        <f>IFERROR(__xludf.DUMMYFUNCTION("ifna(filter('Yahoo ADP'!$A$2:$A2766,'Yahoo ADP'!$B$2:$B2766=$B1638,$C1638='Yahoo ADP'!$C$2:$C2766,$D1638='Yahoo ADP'!$D$2:$D2766))"),"")</f>
        <v/>
      </c>
      <c r="F1638" s="13" t="str">
        <f>IFERROR(__xludf.DUMMYFUNCTION("ifna(filter('Yahoo ADP'!$E$2:$E2766,'Yahoo ADP'!$B$2:$B2766=$B1638,$C1638='Yahoo ADP'!$C$2:$C2766,$D1638='Yahoo ADP'!$D$2:$D2766))"),"-")</f>
        <v>-</v>
      </c>
      <c r="G1638" s="27">
        <v>1629.0</v>
      </c>
      <c r="H1638" s="8">
        <f t="shared" si="1"/>
        <v>-8</v>
      </c>
    </row>
    <row r="1639">
      <c r="A1639" s="10">
        <v>1638.0</v>
      </c>
      <c r="B1639" s="11" t="s">
        <v>4484</v>
      </c>
      <c r="C1639" s="10" t="s">
        <v>79</v>
      </c>
      <c r="D1639" s="10" t="s">
        <v>113</v>
      </c>
      <c r="E1639" s="13" t="str">
        <f>IFERROR(__xludf.DUMMYFUNCTION("ifna(filter('Yahoo ADP'!$A$2:$A2766,'Yahoo ADP'!$B$2:$B2766=$B1639,$C1639='Yahoo ADP'!$C$2:$C2766,$D1639='Yahoo ADP'!$D$2:$D2766))"),"")</f>
        <v/>
      </c>
      <c r="F1639" s="13" t="str">
        <f>IFERROR(__xludf.DUMMYFUNCTION("ifna(filter('Yahoo ADP'!$E$2:$E2766,'Yahoo ADP'!$B$2:$B2766=$B1639,$C1639='Yahoo ADP'!$C$2:$C2766,$D1639='Yahoo ADP'!$D$2:$D2766))"),"-")</f>
        <v>-</v>
      </c>
      <c r="G1639" s="27">
        <v>1630.0</v>
      </c>
      <c r="H1639" s="8">
        <f t="shared" si="1"/>
        <v>-8</v>
      </c>
    </row>
    <row r="1640">
      <c r="A1640" s="10">
        <v>1639.0</v>
      </c>
      <c r="B1640" s="11" t="s">
        <v>4485</v>
      </c>
      <c r="C1640" s="10" t="s">
        <v>22</v>
      </c>
      <c r="D1640" s="10" t="s">
        <v>113</v>
      </c>
      <c r="E1640" s="13" t="str">
        <f>IFERROR(__xludf.DUMMYFUNCTION("ifna(filter('Yahoo ADP'!$A$2:$A2766,'Yahoo ADP'!$B$2:$B2766=$B1640,$C1640='Yahoo ADP'!$C$2:$C2766,$D1640='Yahoo ADP'!$D$2:$D2766))"),"")</f>
        <v/>
      </c>
      <c r="F1640" s="13" t="str">
        <f>IFERROR(__xludf.DUMMYFUNCTION("ifna(filter('Yahoo ADP'!$E$2:$E2766,'Yahoo ADP'!$B$2:$B2766=$B1640,$C1640='Yahoo ADP'!$C$2:$C2766,$D1640='Yahoo ADP'!$D$2:$D2766))"),"-")</f>
        <v>-</v>
      </c>
      <c r="G1640" s="27" t="s">
        <v>2897</v>
      </c>
      <c r="H1640" s="8" t="str">
        <f t="shared" si="1"/>
        <v/>
      </c>
    </row>
    <row r="1641">
      <c r="A1641" s="10">
        <v>1640.0</v>
      </c>
      <c r="B1641" s="11" t="s">
        <v>4486</v>
      </c>
      <c r="C1641" s="10" t="s">
        <v>79</v>
      </c>
      <c r="D1641" s="10" t="s">
        <v>82</v>
      </c>
      <c r="E1641" s="13" t="str">
        <f>IFERROR(__xludf.DUMMYFUNCTION("ifna(filter('Yahoo ADP'!$A$2:$A2766,'Yahoo ADP'!$B$2:$B2766=$B1641,$C1641='Yahoo ADP'!$C$2:$C2766,$D1641='Yahoo ADP'!$D$2:$D2766))"),"")</f>
        <v/>
      </c>
      <c r="F1641" s="13" t="str">
        <f>IFERROR(__xludf.DUMMYFUNCTION("ifna(filter('Yahoo ADP'!$E$2:$E2766,'Yahoo ADP'!$B$2:$B2766=$B1641,$C1641='Yahoo ADP'!$C$2:$C2766,$D1641='Yahoo ADP'!$D$2:$D2766))"),"-")</f>
        <v>-</v>
      </c>
      <c r="G1641" s="27">
        <v>1632.0</v>
      </c>
      <c r="H1641" s="8">
        <f t="shared" si="1"/>
        <v>-8</v>
      </c>
    </row>
    <row r="1642">
      <c r="A1642" s="10">
        <v>1641.0</v>
      </c>
      <c r="B1642" s="11" t="s">
        <v>4487</v>
      </c>
      <c r="C1642" s="10" t="s">
        <v>79</v>
      </c>
      <c r="D1642" s="10" t="s">
        <v>129</v>
      </c>
      <c r="E1642" s="13" t="str">
        <f>IFERROR(__xludf.DUMMYFUNCTION("ifna(filter('Yahoo ADP'!$A$2:$A2766,'Yahoo ADP'!$B$2:$B2766=$B1642,$C1642='Yahoo ADP'!$C$2:$C2766,$D1642='Yahoo ADP'!$D$2:$D2766))"),"")</f>
        <v/>
      </c>
      <c r="F1642" s="13" t="str">
        <f>IFERROR(__xludf.DUMMYFUNCTION("ifna(filter('Yahoo ADP'!$E$2:$E2766,'Yahoo ADP'!$B$2:$B2766=$B1642,$C1642='Yahoo ADP'!$C$2:$C2766,$D1642='Yahoo ADP'!$D$2:$D2766))"),"-")</f>
        <v>-</v>
      </c>
      <c r="G1642" s="27">
        <v>1634.0</v>
      </c>
      <c r="H1642" s="8">
        <f t="shared" si="1"/>
        <v>-7</v>
      </c>
    </row>
    <row r="1643">
      <c r="A1643" s="10">
        <v>1642.0</v>
      </c>
      <c r="B1643" s="11" t="s">
        <v>4488</v>
      </c>
      <c r="C1643" s="10" t="s">
        <v>22</v>
      </c>
      <c r="D1643" s="10" t="s">
        <v>82</v>
      </c>
      <c r="E1643" s="13" t="str">
        <f>IFERROR(__xludf.DUMMYFUNCTION("ifna(filter('Yahoo ADP'!$A$2:$A2766,'Yahoo ADP'!$B$2:$B2766=$B1643,$C1643='Yahoo ADP'!$C$2:$C2766,$D1643='Yahoo ADP'!$D$2:$D2766))"),"")</f>
        <v/>
      </c>
      <c r="F1643" s="13" t="str">
        <f>IFERROR(__xludf.DUMMYFUNCTION("ifna(filter('Yahoo ADP'!$E$2:$E2766,'Yahoo ADP'!$B$2:$B2766=$B1643,$C1643='Yahoo ADP'!$C$2:$C2766,$D1643='Yahoo ADP'!$D$2:$D2766))"),"-")</f>
        <v>-</v>
      </c>
      <c r="G1643" s="27">
        <v>1635.0</v>
      </c>
      <c r="H1643" s="8">
        <f t="shared" si="1"/>
        <v>-7</v>
      </c>
    </row>
    <row r="1644">
      <c r="A1644" s="10">
        <v>1643.0</v>
      </c>
      <c r="B1644" s="11" t="s">
        <v>4385</v>
      </c>
      <c r="C1644" s="10" t="s">
        <v>79</v>
      </c>
      <c r="D1644" s="10" t="s">
        <v>18</v>
      </c>
      <c r="E1644" s="13" t="str">
        <f>IFERROR(__xludf.DUMMYFUNCTION("ifna(filter('Yahoo ADP'!$A$2:$A2766,'Yahoo ADP'!$B$2:$B2766=$B1644,$C1644='Yahoo ADP'!$C$2:$C2766,$D1644='Yahoo ADP'!$D$2:$D2766))"),"")</f>
        <v/>
      </c>
      <c r="F1644" s="13" t="str">
        <f>IFERROR(__xludf.DUMMYFUNCTION("ifna(filter('Yahoo ADP'!$E$2:$E2766,'Yahoo ADP'!$B$2:$B2766=$B1644,$C1644='Yahoo ADP'!$C$2:$C2766,$D1644='Yahoo ADP'!$D$2:$D2766))"),"-")</f>
        <v>-</v>
      </c>
      <c r="G1644" s="27" t="s">
        <v>2897</v>
      </c>
      <c r="H1644" s="8" t="str">
        <f t="shared" si="1"/>
        <v/>
      </c>
    </row>
    <row r="1645">
      <c r="A1645" s="10">
        <v>1644.0</v>
      </c>
      <c r="B1645" s="11" t="s">
        <v>4489</v>
      </c>
      <c r="C1645" s="10" t="s">
        <v>220</v>
      </c>
      <c r="D1645" s="10" t="s">
        <v>52</v>
      </c>
      <c r="E1645" s="13" t="str">
        <f>IFERROR(__xludf.DUMMYFUNCTION("ifna(filter('Yahoo ADP'!$A$2:$A2766,'Yahoo ADP'!$B$2:$B2766=$B1645,$C1645='Yahoo ADP'!$C$2:$C2766,$D1645='Yahoo ADP'!$D$2:$D2766))"),"")</f>
        <v/>
      </c>
      <c r="F1645" s="13" t="str">
        <f>IFERROR(__xludf.DUMMYFUNCTION("ifna(filter('Yahoo ADP'!$E$2:$E2766,'Yahoo ADP'!$B$2:$B2766=$B1645,$C1645='Yahoo ADP'!$C$2:$C2766,$D1645='Yahoo ADP'!$D$2:$D2766))"),"-")</f>
        <v>-</v>
      </c>
      <c r="G1645" s="27">
        <v>1637.0</v>
      </c>
      <c r="H1645" s="8">
        <f t="shared" si="1"/>
        <v>-7</v>
      </c>
    </row>
    <row r="1646">
      <c r="A1646" s="10">
        <v>1645.0</v>
      </c>
      <c r="B1646" s="11" t="s">
        <v>4490</v>
      </c>
      <c r="C1646" s="10" t="s">
        <v>240</v>
      </c>
      <c r="D1646" s="10" t="s">
        <v>73</v>
      </c>
      <c r="E1646" s="13" t="str">
        <f>IFERROR(__xludf.DUMMYFUNCTION("ifna(filter('Yahoo ADP'!$A$2:$A2766,'Yahoo ADP'!$B$2:$B2766=$B1646,$C1646='Yahoo ADP'!$C$2:$C2766,$D1646='Yahoo ADP'!$D$2:$D2766))"),"")</f>
        <v/>
      </c>
      <c r="F1646" s="13" t="str">
        <f>IFERROR(__xludf.DUMMYFUNCTION("ifna(filter('Yahoo ADP'!$E$2:$E2766,'Yahoo ADP'!$B$2:$B2766=$B1646,$C1646='Yahoo ADP'!$C$2:$C2766,$D1646='Yahoo ADP'!$D$2:$D2766))"),"-")</f>
        <v>-</v>
      </c>
      <c r="G1646" s="27">
        <v>1638.0</v>
      </c>
      <c r="H1646" s="8">
        <f t="shared" si="1"/>
        <v>-7</v>
      </c>
    </row>
    <row r="1647">
      <c r="A1647" s="10">
        <v>1646.0</v>
      </c>
      <c r="B1647" s="11" t="s">
        <v>4491</v>
      </c>
      <c r="C1647" s="10" t="s">
        <v>218</v>
      </c>
      <c r="D1647" s="10" t="s">
        <v>34</v>
      </c>
      <c r="E1647" s="13" t="str">
        <f>IFERROR(__xludf.DUMMYFUNCTION("ifna(filter('Yahoo ADP'!$A$2:$A2766,'Yahoo ADP'!$B$2:$B2766=$B1647,$C1647='Yahoo ADP'!$C$2:$C2766,$D1647='Yahoo ADP'!$D$2:$D2766))"),"")</f>
        <v/>
      </c>
      <c r="F1647" s="13" t="str">
        <f>IFERROR(__xludf.DUMMYFUNCTION("ifna(filter('Yahoo ADP'!$E$2:$E2766,'Yahoo ADP'!$B$2:$B2766=$B1647,$C1647='Yahoo ADP'!$C$2:$C2766,$D1647='Yahoo ADP'!$D$2:$D2766))"),"-")</f>
        <v>-</v>
      </c>
      <c r="G1647" s="27">
        <v>1639.0</v>
      </c>
      <c r="H1647" s="8">
        <f t="shared" si="1"/>
        <v>-7</v>
      </c>
    </row>
    <row r="1648">
      <c r="A1648" s="10">
        <v>1647.0</v>
      </c>
      <c r="B1648" s="11" t="s">
        <v>4492</v>
      </c>
      <c r="C1648" s="10" t="s">
        <v>1738</v>
      </c>
      <c r="D1648" s="10" t="s">
        <v>27</v>
      </c>
      <c r="E1648" s="13">
        <f>IFERROR(__xludf.DUMMYFUNCTION("ifna(filter('Yahoo ADP'!$A$2:$A2766,'Yahoo ADP'!$B$2:$B2766=$B1648,$C1648='Yahoo ADP'!$C$2:$C2766,$D1648='Yahoo ADP'!$D$2:$D2766))"),244.9)</f>
        <v>244.9</v>
      </c>
      <c r="F1648" s="13">
        <f>IFERROR(__xludf.DUMMYFUNCTION("ifna(filter('Yahoo ADP'!$E$2:$E2766,'Yahoo ADP'!$B$2:$B2766=$B1648,$C1648='Yahoo ADP'!$C$2:$C2766,$D1648='Yahoo ADP'!$D$2:$D2766))"),1.6)</f>
        <v>1.6</v>
      </c>
      <c r="G1648" s="27">
        <v>1640.0</v>
      </c>
      <c r="H1648" s="8">
        <f t="shared" si="1"/>
        <v>-7</v>
      </c>
    </row>
    <row r="1649">
      <c r="A1649" s="10">
        <v>1648.0</v>
      </c>
      <c r="B1649" s="11" t="s">
        <v>4493</v>
      </c>
      <c r="C1649" s="10" t="s">
        <v>218</v>
      </c>
      <c r="D1649" s="10" t="s">
        <v>137</v>
      </c>
      <c r="E1649" s="13" t="str">
        <f>IFERROR(__xludf.DUMMYFUNCTION("ifna(filter('Yahoo ADP'!$A$2:$A2766,'Yahoo ADP'!$B$2:$B2766=$B1649,$C1649='Yahoo ADP'!$C$2:$C2766,$D1649='Yahoo ADP'!$D$2:$D2766))"),"")</f>
        <v/>
      </c>
      <c r="F1649" s="13" t="str">
        <f>IFERROR(__xludf.DUMMYFUNCTION("ifna(filter('Yahoo ADP'!$E$2:$E2766,'Yahoo ADP'!$B$2:$B2766=$B1649,$C1649='Yahoo ADP'!$C$2:$C2766,$D1649='Yahoo ADP'!$D$2:$D2766))"),"-")</f>
        <v>-</v>
      </c>
      <c r="G1649" s="27">
        <v>1641.0</v>
      </c>
      <c r="H1649" s="8">
        <f t="shared" si="1"/>
        <v>-7</v>
      </c>
    </row>
    <row r="1650">
      <c r="A1650" s="10">
        <v>1649.0</v>
      </c>
      <c r="B1650" s="11" t="s">
        <v>4494</v>
      </c>
      <c r="C1650" s="10" t="s">
        <v>585</v>
      </c>
      <c r="D1650" s="10" t="s">
        <v>25</v>
      </c>
      <c r="E1650" s="13" t="str">
        <f>IFERROR(__xludf.DUMMYFUNCTION("ifna(filter('Yahoo ADP'!$A$2:$A2766,'Yahoo ADP'!$B$2:$B2766=$B1650,$C1650='Yahoo ADP'!$C$2:$C2766,$D1650='Yahoo ADP'!$D$2:$D2766))"),"")</f>
        <v/>
      </c>
      <c r="F1650" s="13" t="str">
        <f>IFERROR(__xludf.DUMMYFUNCTION("ifna(filter('Yahoo ADP'!$E$2:$E2766,'Yahoo ADP'!$B$2:$B2766=$B1650,$C1650='Yahoo ADP'!$C$2:$C2766,$D1650='Yahoo ADP'!$D$2:$D2766))"),"-")</f>
        <v>-</v>
      </c>
      <c r="G1650" s="27">
        <v>1642.0</v>
      </c>
      <c r="H1650" s="8">
        <f t="shared" si="1"/>
        <v>-7</v>
      </c>
    </row>
    <row r="1651">
      <c r="A1651" s="10">
        <v>1650.0</v>
      </c>
      <c r="B1651" s="11" t="s">
        <v>4495</v>
      </c>
      <c r="C1651" s="10" t="s">
        <v>585</v>
      </c>
      <c r="D1651" s="10" t="s">
        <v>36</v>
      </c>
      <c r="E1651" s="13" t="str">
        <f>IFERROR(__xludf.DUMMYFUNCTION("ifna(filter('Yahoo ADP'!$A$2:$A2766,'Yahoo ADP'!$B$2:$B2766=$B1651,$C1651='Yahoo ADP'!$C$2:$C2766,$D1651='Yahoo ADP'!$D$2:$D2766))"),"")</f>
        <v/>
      </c>
      <c r="F1651" s="13" t="str">
        <f>IFERROR(__xludf.DUMMYFUNCTION("ifna(filter('Yahoo ADP'!$E$2:$E2766,'Yahoo ADP'!$B$2:$B2766=$B1651,$C1651='Yahoo ADP'!$C$2:$C2766,$D1651='Yahoo ADP'!$D$2:$D2766))"),"-")</f>
        <v>-</v>
      </c>
      <c r="G1651" s="27">
        <v>1643.0</v>
      </c>
      <c r="H1651" s="8">
        <f t="shared" si="1"/>
        <v>-7</v>
      </c>
    </row>
    <row r="1652">
      <c r="A1652" s="10">
        <v>1651.0</v>
      </c>
      <c r="B1652" s="11" t="s">
        <v>4496</v>
      </c>
      <c r="C1652" s="10" t="s">
        <v>79</v>
      </c>
      <c r="D1652" s="10" t="s">
        <v>31</v>
      </c>
      <c r="E1652" s="13" t="str">
        <f>IFERROR(__xludf.DUMMYFUNCTION("ifna(filter('Yahoo ADP'!$A$2:$A2766,'Yahoo ADP'!$B$2:$B2766=$B1652,$C1652='Yahoo ADP'!$C$2:$C2766,$D1652='Yahoo ADP'!$D$2:$D2766))"),"")</f>
        <v/>
      </c>
      <c r="F1652" s="13" t="str">
        <f>IFERROR(__xludf.DUMMYFUNCTION("ifna(filter('Yahoo ADP'!$E$2:$E2766,'Yahoo ADP'!$B$2:$B2766=$B1652,$C1652='Yahoo ADP'!$C$2:$C2766,$D1652='Yahoo ADP'!$D$2:$D2766))"),"-")</f>
        <v>-</v>
      </c>
      <c r="G1652" s="27">
        <v>1644.0</v>
      </c>
      <c r="H1652" s="8">
        <f t="shared" si="1"/>
        <v>-7</v>
      </c>
    </row>
    <row r="1653">
      <c r="A1653" s="10">
        <v>1652.0</v>
      </c>
      <c r="B1653" s="11" t="s">
        <v>4497</v>
      </c>
      <c r="C1653" s="10" t="s">
        <v>220</v>
      </c>
      <c r="D1653" s="10" t="s">
        <v>206</v>
      </c>
      <c r="E1653" s="13" t="str">
        <f>IFERROR(__xludf.DUMMYFUNCTION("ifna(filter('Yahoo ADP'!$A$2:$A2766,'Yahoo ADP'!$B$2:$B2766=$B1653,$C1653='Yahoo ADP'!$C$2:$C2766,$D1653='Yahoo ADP'!$D$2:$D2766))"),"")</f>
        <v/>
      </c>
      <c r="F1653" s="13" t="str">
        <f>IFERROR(__xludf.DUMMYFUNCTION("ifna(filter('Yahoo ADP'!$E$2:$E2766,'Yahoo ADP'!$B$2:$B2766=$B1653,$C1653='Yahoo ADP'!$C$2:$C2766,$D1653='Yahoo ADP'!$D$2:$D2766))"),"-")</f>
        <v>-</v>
      </c>
      <c r="G1653" s="27">
        <v>1645.0</v>
      </c>
      <c r="H1653" s="8">
        <f t="shared" si="1"/>
        <v>-7</v>
      </c>
    </row>
    <row r="1654">
      <c r="A1654" s="10">
        <v>1653.0</v>
      </c>
      <c r="B1654" s="11" t="s">
        <v>4498</v>
      </c>
      <c r="C1654" s="10" t="s">
        <v>17</v>
      </c>
      <c r="D1654" s="10" t="s">
        <v>206</v>
      </c>
      <c r="E1654" s="13" t="str">
        <f>IFERROR(__xludf.DUMMYFUNCTION("ifna(filter('Yahoo ADP'!$A$2:$A2766,'Yahoo ADP'!$B$2:$B2766=$B1654,$C1654='Yahoo ADP'!$C$2:$C2766,$D1654='Yahoo ADP'!$D$2:$D2766))"),"")</f>
        <v/>
      </c>
      <c r="F1654" s="13" t="str">
        <f>IFERROR(__xludf.DUMMYFUNCTION("ifna(filter('Yahoo ADP'!$E$2:$E2766,'Yahoo ADP'!$B$2:$B2766=$B1654,$C1654='Yahoo ADP'!$C$2:$C2766,$D1654='Yahoo ADP'!$D$2:$D2766))"),"-")</f>
        <v>-</v>
      </c>
      <c r="G1654" s="27">
        <v>1646.0</v>
      </c>
      <c r="H1654" s="8">
        <f t="shared" si="1"/>
        <v>-7</v>
      </c>
    </row>
    <row r="1655">
      <c r="A1655" s="10">
        <v>1654.0</v>
      </c>
      <c r="B1655" s="11" t="s">
        <v>4499</v>
      </c>
      <c r="C1655" s="10" t="s">
        <v>22</v>
      </c>
      <c r="D1655" s="10" t="s">
        <v>52</v>
      </c>
      <c r="E1655" s="13" t="str">
        <f>IFERROR(__xludf.DUMMYFUNCTION("ifna(filter('Yahoo ADP'!$A$2:$A2766,'Yahoo ADP'!$B$2:$B2766=$B1655,$C1655='Yahoo ADP'!$C$2:$C2766,$D1655='Yahoo ADP'!$D$2:$D2766))"),"")</f>
        <v/>
      </c>
      <c r="F1655" s="13" t="str">
        <f>IFERROR(__xludf.DUMMYFUNCTION("ifna(filter('Yahoo ADP'!$E$2:$E2766,'Yahoo ADP'!$B$2:$B2766=$B1655,$C1655='Yahoo ADP'!$C$2:$C2766,$D1655='Yahoo ADP'!$D$2:$D2766))"),"-")</f>
        <v>-</v>
      </c>
      <c r="G1655" s="27">
        <v>1647.0</v>
      </c>
      <c r="H1655" s="8">
        <f t="shared" si="1"/>
        <v>-7</v>
      </c>
    </row>
    <row r="1656">
      <c r="A1656" s="10">
        <v>1655.0</v>
      </c>
      <c r="B1656" s="11" t="s">
        <v>4500</v>
      </c>
      <c r="C1656" s="10" t="s">
        <v>79</v>
      </c>
      <c r="D1656" s="10" t="s">
        <v>113</v>
      </c>
      <c r="E1656" s="13" t="str">
        <f>IFERROR(__xludf.DUMMYFUNCTION("ifna(filter('Yahoo ADP'!$A$2:$A2766,'Yahoo ADP'!$B$2:$B2766=$B1656,$C1656='Yahoo ADP'!$C$2:$C2766,$D1656='Yahoo ADP'!$D$2:$D2766))"),"")</f>
        <v/>
      </c>
      <c r="F1656" s="13" t="str">
        <f>IFERROR(__xludf.DUMMYFUNCTION("ifna(filter('Yahoo ADP'!$E$2:$E2766,'Yahoo ADP'!$B$2:$B2766=$B1656,$C1656='Yahoo ADP'!$C$2:$C2766,$D1656='Yahoo ADP'!$D$2:$D2766))"),"-")</f>
        <v>-</v>
      </c>
      <c r="G1656" s="27">
        <v>1648.0</v>
      </c>
      <c r="H1656" s="8">
        <f t="shared" si="1"/>
        <v>-7</v>
      </c>
    </row>
    <row r="1657">
      <c r="A1657" s="10">
        <v>1656.0</v>
      </c>
      <c r="B1657" s="11" t="s">
        <v>4501</v>
      </c>
      <c r="C1657" s="10" t="s">
        <v>79</v>
      </c>
      <c r="D1657" s="10" t="s">
        <v>23</v>
      </c>
      <c r="E1657" s="13" t="str">
        <f>IFERROR(__xludf.DUMMYFUNCTION("ifna(filter('Yahoo ADP'!$A$2:$A2766,'Yahoo ADP'!$B$2:$B2766=$B1657,$C1657='Yahoo ADP'!$C$2:$C2766,$D1657='Yahoo ADP'!$D$2:$D2766))"),"")</f>
        <v/>
      </c>
      <c r="F1657" s="13" t="str">
        <f>IFERROR(__xludf.DUMMYFUNCTION("ifna(filter('Yahoo ADP'!$E$2:$E2766,'Yahoo ADP'!$B$2:$B2766=$B1657,$C1657='Yahoo ADP'!$C$2:$C2766,$D1657='Yahoo ADP'!$D$2:$D2766))"),"-")</f>
        <v>-</v>
      </c>
      <c r="G1657" s="27">
        <v>1649.0</v>
      </c>
      <c r="H1657" s="8">
        <f t="shared" si="1"/>
        <v>-7</v>
      </c>
    </row>
    <row r="1658">
      <c r="A1658" s="10">
        <v>1657.0</v>
      </c>
      <c r="B1658" s="11" t="s">
        <v>4502</v>
      </c>
      <c r="C1658" s="10" t="s">
        <v>585</v>
      </c>
      <c r="D1658" s="10" t="s">
        <v>49</v>
      </c>
      <c r="E1658" s="13" t="str">
        <f>IFERROR(__xludf.DUMMYFUNCTION("ifna(filter('Yahoo ADP'!$A$2:$A2766,'Yahoo ADP'!$B$2:$B2766=$B1658,$C1658='Yahoo ADP'!$C$2:$C2766,$D1658='Yahoo ADP'!$D$2:$D2766))"),"")</f>
        <v/>
      </c>
      <c r="F1658" s="13" t="str">
        <f>IFERROR(__xludf.DUMMYFUNCTION("ifna(filter('Yahoo ADP'!$E$2:$E2766,'Yahoo ADP'!$B$2:$B2766=$B1658,$C1658='Yahoo ADP'!$C$2:$C2766,$D1658='Yahoo ADP'!$D$2:$D2766))"),"-")</f>
        <v>-</v>
      </c>
      <c r="G1658" s="27">
        <v>1651.0</v>
      </c>
      <c r="H1658" s="8">
        <f t="shared" si="1"/>
        <v>-6</v>
      </c>
    </row>
    <row r="1659">
      <c r="A1659" s="10">
        <v>1658.0</v>
      </c>
      <c r="B1659" s="11" t="s">
        <v>4503</v>
      </c>
      <c r="C1659" s="10" t="s">
        <v>79</v>
      </c>
      <c r="D1659" s="10" t="s">
        <v>99</v>
      </c>
      <c r="E1659" s="13" t="str">
        <f>IFERROR(__xludf.DUMMYFUNCTION("ifna(filter('Yahoo ADP'!$A$2:$A2766,'Yahoo ADP'!$B$2:$B2766=$B1659,$C1659='Yahoo ADP'!$C$2:$C2766,$D1659='Yahoo ADP'!$D$2:$D2766))"),"")</f>
        <v/>
      </c>
      <c r="F1659" s="13" t="str">
        <f>IFERROR(__xludf.DUMMYFUNCTION("ifna(filter('Yahoo ADP'!$E$2:$E2766,'Yahoo ADP'!$B$2:$B2766=$B1659,$C1659='Yahoo ADP'!$C$2:$C2766,$D1659='Yahoo ADP'!$D$2:$D2766))"),"-")</f>
        <v>-</v>
      </c>
      <c r="G1659" s="27">
        <v>1652.0</v>
      </c>
      <c r="H1659" s="8">
        <f t="shared" si="1"/>
        <v>-6</v>
      </c>
    </row>
    <row r="1660">
      <c r="A1660" s="10">
        <v>1659.0</v>
      </c>
      <c r="B1660" s="11" t="s">
        <v>4504</v>
      </c>
      <c r="C1660" s="10" t="s">
        <v>8</v>
      </c>
      <c r="D1660" s="10" t="s">
        <v>82</v>
      </c>
      <c r="E1660" s="13" t="str">
        <f>IFERROR(__xludf.DUMMYFUNCTION("ifna(filter('Yahoo ADP'!$A$2:$A2766,'Yahoo ADP'!$B$2:$B2766=$B1660,$C1660='Yahoo ADP'!$C$2:$C2766,$D1660='Yahoo ADP'!$D$2:$D2766))"),"")</f>
        <v/>
      </c>
      <c r="F1660" s="13" t="str">
        <f>IFERROR(__xludf.DUMMYFUNCTION("ifna(filter('Yahoo ADP'!$E$2:$E2766,'Yahoo ADP'!$B$2:$B2766=$B1660,$C1660='Yahoo ADP'!$C$2:$C2766,$D1660='Yahoo ADP'!$D$2:$D2766))"),"-")</f>
        <v>-</v>
      </c>
      <c r="G1660" s="27">
        <v>1653.0</v>
      </c>
      <c r="H1660" s="8">
        <f t="shared" si="1"/>
        <v>-6</v>
      </c>
    </row>
    <row r="1661">
      <c r="A1661" s="10">
        <v>1660.0</v>
      </c>
      <c r="B1661" s="11" t="s">
        <v>4505</v>
      </c>
      <c r="C1661" s="10" t="s">
        <v>79</v>
      </c>
      <c r="D1661" s="10" t="s">
        <v>42</v>
      </c>
      <c r="E1661" s="13" t="str">
        <f>IFERROR(__xludf.DUMMYFUNCTION("ifna(filter('Yahoo ADP'!$A$2:$A2766,'Yahoo ADP'!$B$2:$B2766=$B1661,$C1661='Yahoo ADP'!$C$2:$C2766,$D1661='Yahoo ADP'!$D$2:$D2766))"),"")</f>
        <v/>
      </c>
      <c r="F1661" s="13" t="str">
        <f>IFERROR(__xludf.DUMMYFUNCTION("ifna(filter('Yahoo ADP'!$E$2:$E2766,'Yahoo ADP'!$B$2:$B2766=$B1661,$C1661='Yahoo ADP'!$C$2:$C2766,$D1661='Yahoo ADP'!$D$2:$D2766))"),"-")</f>
        <v>-</v>
      </c>
      <c r="G1661" s="27">
        <v>1654.0</v>
      </c>
      <c r="H1661" s="8">
        <f t="shared" si="1"/>
        <v>-6</v>
      </c>
    </row>
    <row r="1662">
      <c r="A1662" s="10">
        <v>1661.0</v>
      </c>
      <c r="B1662" s="11" t="s">
        <v>4506</v>
      </c>
      <c r="C1662" s="10" t="s">
        <v>79</v>
      </c>
      <c r="D1662" s="10" t="s">
        <v>73</v>
      </c>
      <c r="E1662" s="13" t="str">
        <f>IFERROR(__xludf.DUMMYFUNCTION("ifna(filter('Yahoo ADP'!$A$2:$A2766,'Yahoo ADP'!$B$2:$B2766=$B1662,$C1662='Yahoo ADP'!$C$2:$C2766,$D1662='Yahoo ADP'!$D$2:$D2766))"),"")</f>
        <v/>
      </c>
      <c r="F1662" s="13" t="str">
        <f>IFERROR(__xludf.DUMMYFUNCTION("ifna(filter('Yahoo ADP'!$E$2:$E2766,'Yahoo ADP'!$B$2:$B2766=$B1662,$C1662='Yahoo ADP'!$C$2:$C2766,$D1662='Yahoo ADP'!$D$2:$D2766))"),"-")</f>
        <v>-</v>
      </c>
      <c r="G1662" s="27">
        <v>1655.0</v>
      </c>
      <c r="H1662" s="8">
        <f t="shared" si="1"/>
        <v>-6</v>
      </c>
    </row>
    <row r="1663">
      <c r="A1663" s="10">
        <v>1662.0</v>
      </c>
      <c r="B1663" s="11" t="s">
        <v>4507</v>
      </c>
      <c r="C1663" s="10" t="s">
        <v>22</v>
      </c>
      <c r="D1663" s="10" t="s">
        <v>137</v>
      </c>
      <c r="E1663" s="13" t="str">
        <f>IFERROR(__xludf.DUMMYFUNCTION("ifna(filter('Yahoo ADP'!$A$2:$A2766,'Yahoo ADP'!$B$2:$B2766=$B1663,$C1663='Yahoo ADP'!$C$2:$C2766,$D1663='Yahoo ADP'!$D$2:$D2766))"),"")</f>
        <v/>
      </c>
      <c r="F1663" s="13" t="str">
        <f>IFERROR(__xludf.DUMMYFUNCTION("ifna(filter('Yahoo ADP'!$E$2:$E2766,'Yahoo ADP'!$B$2:$B2766=$B1663,$C1663='Yahoo ADP'!$C$2:$C2766,$D1663='Yahoo ADP'!$D$2:$D2766))"),"-")</f>
        <v>-</v>
      </c>
      <c r="G1663" s="27">
        <v>1656.0</v>
      </c>
      <c r="H1663" s="8">
        <f t="shared" si="1"/>
        <v>-6</v>
      </c>
    </row>
    <row r="1664">
      <c r="A1664" s="10">
        <v>1663.0</v>
      </c>
      <c r="B1664" s="11" t="s">
        <v>4508</v>
      </c>
      <c r="C1664" s="10" t="s">
        <v>17</v>
      </c>
      <c r="D1664" s="10" t="s">
        <v>71</v>
      </c>
      <c r="E1664" s="13" t="str">
        <f>IFERROR(__xludf.DUMMYFUNCTION("ifna(filter('Yahoo ADP'!$A$2:$A2766,'Yahoo ADP'!$B$2:$B2766=$B1664,$C1664='Yahoo ADP'!$C$2:$C2766,$D1664='Yahoo ADP'!$D$2:$D2766))"),"")</f>
        <v/>
      </c>
      <c r="F1664" s="13" t="str">
        <f>IFERROR(__xludf.DUMMYFUNCTION("ifna(filter('Yahoo ADP'!$E$2:$E2766,'Yahoo ADP'!$B$2:$B2766=$B1664,$C1664='Yahoo ADP'!$C$2:$C2766,$D1664='Yahoo ADP'!$D$2:$D2766))"),"-")</f>
        <v>-</v>
      </c>
      <c r="G1664" s="27">
        <v>359.0</v>
      </c>
      <c r="H1664" s="8">
        <f t="shared" si="1"/>
        <v>-1304</v>
      </c>
    </row>
    <row r="1665">
      <c r="A1665" s="10">
        <v>1664.0</v>
      </c>
      <c r="B1665" s="11" t="s">
        <v>4509</v>
      </c>
      <c r="C1665" s="10" t="s">
        <v>240</v>
      </c>
      <c r="D1665" s="10" t="s">
        <v>85</v>
      </c>
      <c r="E1665" s="13" t="str">
        <f>IFERROR(__xludf.DUMMYFUNCTION("ifna(filter('Yahoo ADP'!$A$2:$A2766,'Yahoo ADP'!$B$2:$B2766=$B1665,$C1665='Yahoo ADP'!$C$2:$C2766,$D1665='Yahoo ADP'!$D$2:$D2766))"),"")</f>
        <v/>
      </c>
      <c r="F1665" s="13" t="str">
        <f>IFERROR(__xludf.DUMMYFUNCTION("ifna(filter('Yahoo ADP'!$E$2:$E2766,'Yahoo ADP'!$B$2:$B2766=$B1665,$C1665='Yahoo ADP'!$C$2:$C2766,$D1665='Yahoo ADP'!$D$2:$D2766))"),"-")</f>
        <v>-</v>
      </c>
      <c r="G1665" s="27">
        <v>1657.0</v>
      </c>
      <c r="H1665" s="8">
        <f t="shared" si="1"/>
        <v>-7</v>
      </c>
    </row>
    <row r="1666">
      <c r="A1666" s="10">
        <v>1665.0</v>
      </c>
      <c r="B1666" s="11" t="s">
        <v>4510</v>
      </c>
      <c r="C1666" s="10" t="s">
        <v>79</v>
      </c>
      <c r="D1666" s="10" t="s">
        <v>18</v>
      </c>
      <c r="E1666" s="13" t="str">
        <f>IFERROR(__xludf.DUMMYFUNCTION("ifna(filter('Yahoo ADP'!$A$2:$A2766,'Yahoo ADP'!$B$2:$B2766=$B1666,$C1666='Yahoo ADP'!$C$2:$C2766,$D1666='Yahoo ADP'!$D$2:$D2766))"),"")</f>
        <v/>
      </c>
      <c r="F1666" s="13" t="str">
        <f>IFERROR(__xludf.DUMMYFUNCTION("ifna(filter('Yahoo ADP'!$E$2:$E2766,'Yahoo ADP'!$B$2:$B2766=$B1666,$C1666='Yahoo ADP'!$C$2:$C2766,$D1666='Yahoo ADP'!$D$2:$D2766))"),"-")</f>
        <v>-</v>
      </c>
      <c r="G1666" s="27">
        <v>1658.0</v>
      </c>
      <c r="H1666" s="8">
        <f t="shared" si="1"/>
        <v>-7</v>
      </c>
    </row>
    <row r="1667">
      <c r="A1667" s="10">
        <v>1666.0</v>
      </c>
      <c r="B1667" s="11" t="s">
        <v>4511</v>
      </c>
      <c r="C1667" s="10" t="s">
        <v>79</v>
      </c>
      <c r="D1667" s="10" t="s">
        <v>105</v>
      </c>
      <c r="E1667" s="13" t="str">
        <f>IFERROR(__xludf.DUMMYFUNCTION("ifna(filter('Yahoo ADP'!$A$2:$A2766,'Yahoo ADP'!$B$2:$B2766=$B1667,$C1667='Yahoo ADP'!$C$2:$C2766,$D1667='Yahoo ADP'!$D$2:$D2766))"),"")</f>
        <v/>
      </c>
      <c r="F1667" s="13" t="str">
        <f>IFERROR(__xludf.DUMMYFUNCTION("ifna(filter('Yahoo ADP'!$E$2:$E2766,'Yahoo ADP'!$B$2:$B2766=$B1667,$C1667='Yahoo ADP'!$C$2:$C2766,$D1667='Yahoo ADP'!$D$2:$D2766))"),"-")</f>
        <v>-</v>
      </c>
      <c r="G1667" s="27">
        <v>1659.0</v>
      </c>
      <c r="H1667" s="8">
        <f t="shared" si="1"/>
        <v>-7</v>
      </c>
    </row>
    <row r="1668">
      <c r="A1668" s="10">
        <v>1667.0</v>
      </c>
      <c r="B1668" s="11" t="s">
        <v>4512</v>
      </c>
      <c r="C1668" s="10" t="s">
        <v>79</v>
      </c>
      <c r="D1668" s="10" t="s">
        <v>73</v>
      </c>
      <c r="E1668" s="13" t="str">
        <f>IFERROR(__xludf.DUMMYFUNCTION("ifna(filter('Yahoo ADP'!$A$2:$A2766,'Yahoo ADP'!$B$2:$B2766=$B1668,$C1668='Yahoo ADP'!$C$2:$C2766,$D1668='Yahoo ADP'!$D$2:$D2766))"),"")</f>
        <v/>
      </c>
      <c r="F1668" s="13" t="str">
        <f>IFERROR(__xludf.DUMMYFUNCTION("ifna(filter('Yahoo ADP'!$E$2:$E2766,'Yahoo ADP'!$B$2:$B2766=$B1668,$C1668='Yahoo ADP'!$C$2:$C2766,$D1668='Yahoo ADP'!$D$2:$D2766))"),"-")</f>
        <v>-</v>
      </c>
      <c r="G1668" s="27">
        <v>1660.0</v>
      </c>
      <c r="H1668" s="8">
        <f t="shared" si="1"/>
        <v>-7</v>
      </c>
    </row>
    <row r="1669">
      <c r="A1669" s="10">
        <v>1668.0</v>
      </c>
      <c r="B1669" s="11" t="s">
        <v>4513</v>
      </c>
      <c r="C1669" s="10" t="s">
        <v>20</v>
      </c>
      <c r="D1669" s="10" t="s">
        <v>18</v>
      </c>
      <c r="E1669" s="13" t="str">
        <f>IFERROR(__xludf.DUMMYFUNCTION("ifna(filter('Yahoo ADP'!$A$2:$A2766,'Yahoo ADP'!$B$2:$B2766=$B1669,$C1669='Yahoo ADP'!$C$2:$C2766,$D1669='Yahoo ADP'!$D$2:$D2766))"),"")</f>
        <v/>
      </c>
      <c r="F1669" s="13" t="str">
        <f>IFERROR(__xludf.DUMMYFUNCTION("ifna(filter('Yahoo ADP'!$E$2:$E2766,'Yahoo ADP'!$B$2:$B2766=$B1669,$C1669='Yahoo ADP'!$C$2:$C2766,$D1669='Yahoo ADP'!$D$2:$D2766))"),"-")</f>
        <v>-</v>
      </c>
      <c r="G1669" s="27">
        <v>1661.0</v>
      </c>
      <c r="H1669" s="8">
        <f t="shared" si="1"/>
        <v>-7</v>
      </c>
    </row>
    <row r="1670">
      <c r="A1670" s="10">
        <v>1669.0</v>
      </c>
      <c r="B1670" s="11" t="s">
        <v>4514</v>
      </c>
      <c r="C1670" s="10" t="s">
        <v>220</v>
      </c>
      <c r="D1670" s="10" t="s">
        <v>71</v>
      </c>
      <c r="E1670" s="13" t="str">
        <f>IFERROR(__xludf.DUMMYFUNCTION("ifna(filter('Yahoo ADP'!$A$2:$A2766,'Yahoo ADP'!$B$2:$B2766=$B1670,$C1670='Yahoo ADP'!$C$2:$C2766,$D1670='Yahoo ADP'!$D$2:$D2766))"),"")</f>
        <v/>
      </c>
      <c r="F1670" s="13" t="str">
        <f>IFERROR(__xludf.DUMMYFUNCTION("ifna(filter('Yahoo ADP'!$E$2:$E2766,'Yahoo ADP'!$B$2:$B2766=$B1670,$C1670='Yahoo ADP'!$C$2:$C2766,$D1670='Yahoo ADP'!$D$2:$D2766))"),"-")</f>
        <v>-</v>
      </c>
      <c r="G1670" s="27">
        <v>1662.0</v>
      </c>
      <c r="H1670" s="8">
        <f t="shared" si="1"/>
        <v>-7</v>
      </c>
    </row>
    <row r="1671">
      <c r="A1671" s="10">
        <v>1670.0</v>
      </c>
      <c r="B1671" s="11" t="s">
        <v>4515</v>
      </c>
      <c r="C1671" s="10" t="s">
        <v>63</v>
      </c>
      <c r="D1671" s="10" t="s">
        <v>46</v>
      </c>
      <c r="E1671" s="13" t="str">
        <f>IFERROR(__xludf.DUMMYFUNCTION("ifna(filter('Yahoo ADP'!$A$2:$A2766,'Yahoo ADP'!$B$2:$B2766=$B1671,$C1671='Yahoo ADP'!$C$2:$C2766,$D1671='Yahoo ADP'!$D$2:$D2766))"),"")</f>
        <v/>
      </c>
      <c r="F1671" s="13" t="str">
        <f>IFERROR(__xludf.DUMMYFUNCTION("ifna(filter('Yahoo ADP'!$E$2:$E2766,'Yahoo ADP'!$B$2:$B2766=$B1671,$C1671='Yahoo ADP'!$C$2:$C2766,$D1671='Yahoo ADP'!$D$2:$D2766))"),"-")</f>
        <v>-</v>
      </c>
      <c r="G1671" s="27">
        <v>1663.0</v>
      </c>
      <c r="H1671" s="8">
        <f t="shared" si="1"/>
        <v>-7</v>
      </c>
    </row>
    <row r="1672">
      <c r="A1672" s="10">
        <v>1671.0</v>
      </c>
      <c r="B1672" s="11" t="s">
        <v>4516</v>
      </c>
      <c r="C1672" s="10" t="s">
        <v>11</v>
      </c>
      <c r="D1672" s="10" t="s">
        <v>36</v>
      </c>
      <c r="E1672" s="13" t="str">
        <f>IFERROR(__xludf.DUMMYFUNCTION("ifna(filter('Yahoo ADP'!$A$2:$A2766,'Yahoo ADP'!$B$2:$B2766=$B1672,$C1672='Yahoo ADP'!$C$2:$C2766,$D1672='Yahoo ADP'!$D$2:$D2766))"),"")</f>
        <v/>
      </c>
      <c r="F1672" s="13" t="str">
        <f>IFERROR(__xludf.DUMMYFUNCTION("ifna(filter('Yahoo ADP'!$E$2:$E2766,'Yahoo ADP'!$B$2:$B2766=$B1672,$C1672='Yahoo ADP'!$C$2:$C2766,$D1672='Yahoo ADP'!$D$2:$D2766))"),"-")</f>
        <v>-</v>
      </c>
      <c r="G1672" s="27">
        <v>1664.0</v>
      </c>
      <c r="H1672" s="8">
        <f t="shared" si="1"/>
        <v>-7</v>
      </c>
    </row>
    <row r="1673">
      <c r="A1673" s="10">
        <v>1672.0</v>
      </c>
      <c r="B1673" s="11" t="s">
        <v>4517</v>
      </c>
      <c r="C1673" s="10" t="s">
        <v>79</v>
      </c>
      <c r="D1673" s="10" t="s">
        <v>71</v>
      </c>
      <c r="E1673" s="13" t="str">
        <f>IFERROR(__xludf.DUMMYFUNCTION("ifna(filter('Yahoo ADP'!$A$2:$A2766,'Yahoo ADP'!$B$2:$B2766=$B1673,$C1673='Yahoo ADP'!$C$2:$C2766,$D1673='Yahoo ADP'!$D$2:$D2766))"),"")</f>
        <v/>
      </c>
      <c r="F1673" s="13" t="str">
        <f>IFERROR(__xludf.DUMMYFUNCTION("ifna(filter('Yahoo ADP'!$E$2:$E2766,'Yahoo ADP'!$B$2:$B2766=$B1673,$C1673='Yahoo ADP'!$C$2:$C2766,$D1673='Yahoo ADP'!$D$2:$D2766))"),"-")</f>
        <v>-</v>
      </c>
      <c r="G1673" s="27">
        <v>1665.0</v>
      </c>
      <c r="H1673" s="8">
        <f t="shared" si="1"/>
        <v>-7</v>
      </c>
    </row>
    <row r="1674">
      <c r="A1674" s="10">
        <v>1673.0</v>
      </c>
      <c r="B1674" s="11" t="s">
        <v>4518</v>
      </c>
      <c r="C1674" s="10" t="s">
        <v>11</v>
      </c>
      <c r="D1674" s="10" t="s">
        <v>18</v>
      </c>
      <c r="E1674" s="13" t="str">
        <f>IFERROR(__xludf.DUMMYFUNCTION("ifna(filter('Yahoo ADP'!$A$2:$A2766,'Yahoo ADP'!$B$2:$B2766=$B1674,$C1674='Yahoo ADP'!$C$2:$C2766,$D1674='Yahoo ADP'!$D$2:$D2766))"),"")</f>
        <v/>
      </c>
      <c r="F1674" s="13" t="str">
        <f>IFERROR(__xludf.DUMMYFUNCTION("ifna(filter('Yahoo ADP'!$E$2:$E2766,'Yahoo ADP'!$B$2:$B2766=$B1674,$C1674='Yahoo ADP'!$C$2:$C2766,$D1674='Yahoo ADP'!$D$2:$D2766))"),"-")</f>
        <v>-</v>
      </c>
      <c r="G1674" s="27">
        <v>1666.0</v>
      </c>
      <c r="H1674" s="8">
        <f t="shared" si="1"/>
        <v>-7</v>
      </c>
    </row>
    <row r="1675">
      <c r="A1675" s="10">
        <v>1674.0</v>
      </c>
      <c r="B1675" s="11" t="s">
        <v>4519</v>
      </c>
      <c r="C1675" s="10" t="s">
        <v>63</v>
      </c>
      <c r="D1675" s="10" t="s">
        <v>46</v>
      </c>
      <c r="E1675" s="13" t="str">
        <f>IFERROR(__xludf.DUMMYFUNCTION("ifna(filter('Yahoo ADP'!$A$2:$A2766,'Yahoo ADP'!$B$2:$B2766=$B1675,$C1675='Yahoo ADP'!$C$2:$C2766,$D1675='Yahoo ADP'!$D$2:$D2766))"),"")</f>
        <v/>
      </c>
      <c r="F1675" s="13" t="str">
        <f>IFERROR(__xludf.DUMMYFUNCTION("ifna(filter('Yahoo ADP'!$E$2:$E2766,'Yahoo ADP'!$B$2:$B2766=$B1675,$C1675='Yahoo ADP'!$C$2:$C2766,$D1675='Yahoo ADP'!$D$2:$D2766))"),"-")</f>
        <v>-</v>
      </c>
      <c r="G1675" s="27">
        <v>1667.0</v>
      </c>
      <c r="H1675" s="8">
        <f t="shared" si="1"/>
        <v>-7</v>
      </c>
    </row>
    <row r="1676">
      <c r="A1676" s="10">
        <v>1675.0</v>
      </c>
      <c r="B1676" s="11" t="s">
        <v>4520</v>
      </c>
      <c r="C1676" s="10" t="s">
        <v>79</v>
      </c>
      <c r="D1676" s="10" t="s">
        <v>129</v>
      </c>
      <c r="E1676" s="13" t="str">
        <f>IFERROR(__xludf.DUMMYFUNCTION("ifna(filter('Yahoo ADP'!$A$2:$A2766,'Yahoo ADP'!$B$2:$B2766=$B1676,$C1676='Yahoo ADP'!$C$2:$C2766,$D1676='Yahoo ADP'!$D$2:$D2766))"),"")</f>
        <v/>
      </c>
      <c r="F1676" s="13" t="str">
        <f>IFERROR(__xludf.DUMMYFUNCTION("ifna(filter('Yahoo ADP'!$E$2:$E2766,'Yahoo ADP'!$B$2:$B2766=$B1676,$C1676='Yahoo ADP'!$C$2:$C2766,$D1676='Yahoo ADP'!$D$2:$D2766))"),"-")</f>
        <v>-</v>
      </c>
      <c r="G1676" s="27">
        <v>1668.0</v>
      </c>
      <c r="H1676" s="8">
        <f t="shared" si="1"/>
        <v>-7</v>
      </c>
    </row>
    <row r="1677">
      <c r="A1677" s="10">
        <v>1676.0</v>
      </c>
      <c r="B1677" s="11" t="s">
        <v>4521</v>
      </c>
      <c r="C1677" s="10" t="s">
        <v>79</v>
      </c>
      <c r="D1677" s="10" t="s">
        <v>140</v>
      </c>
      <c r="E1677" s="13" t="str">
        <f>IFERROR(__xludf.DUMMYFUNCTION("ifna(filter('Yahoo ADP'!$A$2:$A2766,'Yahoo ADP'!$B$2:$B2766=$B1677,$C1677='Yahoo ADP'!$C$2:$C2766,$D1677='Yahoo ADP'!$D$2:$D2766))"),"")</f>
        <v/>
      </c>
      <c r="F1677" s="13" t="str">
        <f>IFERROR(__xludf.DUMMYFUNCTION("ifna(filter('Yahoo ADP'!$E$2:$E2766,'Yahoo ADP'!$B$2:$B2766=$B1677,$C1677='Yahoo ADP'!$C$2:$C2766,$D1677='Yahoo ADP'!$D$2:$D2766))"),"-")</f>
        <v>-</v>
      </c>
      <c r="G1677" s="27">
        <v>1669.0</v>
      </c>
      <c r="H1677" s="8">
        <f t="shared" si="1"/>
        <v>-7</v>
      </c>
    </row>
    <row r="1678">
      <c r="A1678" s="10">
        <v>1677.0</v>
      </c>
      <c r="B1678" s="11" t="s">
        <v>4522</v>
      </c>
      <c r="C1678" s="10" t="s">
        <v>22</v>
      </c>
      <c r="D1678" s="10" t="s">
        <v>140</v>
      </c>
      <c r="E1678" s="13" t="str">
        <f>IFERROR(__xludf.DUMMYFUNCTION("ifna(filter('Yahoo ADP'!$A$2:$A2766,'Yahoo ADP'!$B$2:$B2766=$B1678,$C1678='Yahoo ADP'!$C$2:$C2766,$D1678='Yahoo ADP'!$D$2:$D2766))"),"")</f>
        <v/>
      </c>
      <c r="F1678" s="13" t="str">
        <f>IFERROR(__xludf.DUMMYFUNCTION("ifna(filter('Yahoo ADP'!$E$2:$E2766,'Yahoo ADP'!$B$2:$B2766=$B1678,$C1678='Yahoo ADP'!$C$2:$C2766,$D1678='Yahoo ADP'!$D$2:$D2766))"),"-")</f>
        <v>-</v>
      </c>
      <c r="G1678" s="27">
        <v>1671.0</v>
      </c>
      <c r="H1678" s="8">
        <f t="shared" si="1"/>
        <v>-6</v>
      </c>
    </row>
    <row r="1679">
      <c r="A1679" s="10">
        <v>1678.0</v>
      </c>
      <c r="B1679" s="11" t="s">
        <v>4523</v>
      </c>
      <c r="C1679" s="10" t="s">
        <v>22</v>
      </c>
      <c r="D1679" s="10" t="s">
        <v>71</v>
      </c>
      <c r="E1679" s="13" t="str">
        <f>IFERROR(__xludf.DUMMYFUNCTION("ifna(filter('Yahoo ADP'!$A$2:$A2766,'Yahoo ADP'!$B$2:$B2766=$B1679,$C1679='Yahoo ADP'!$C$2:$C2766,$D1679='Yahoo ADP'!$D$2:$D2766))"),"")</f>
        <v/>
      </c>
      <c r="F1679" s="13" t="str">
        <f>IFERROR(__xludf.DUMMYFUNCTION("ifna(filter('Yahoo ADP'!$E$2:$E2766,'Yahoo ADP'!$B$2:$B2766=$B1679,$C1679='Yahoo ADP'!$C$2:$C2766,$D1679='Yahoo ADP'!$D$2:$D2766))"),"-")</f>
        <v>-</v>
      </c>
      <c r="G1679" s="27">
        <v>1672.0</v>
      </c>
      <c r="H1679" s="8">
        <f t="shared" si="1"/>
        <v>-6</v>
      </c>
    </row>
    <row r="1680">
      <c r="A1680" s="10">
        <v>1679.0</v>
      </c>
      <c r="B1680" s="11" t="s">
        <v>4524</v>
      </c>
      <c r="C1680" s="10" t="s">
        <v>79</v>
      </c>
      <c r="D1680" s="10" t="s">
        <v>25</v>
      </c>
      <c r="E1680" s="13" t="str">
        <f>IFERROR(__xludf.DUMMYFUNCTION("ifna(filter('Yahoo ADP'!$A$2:$A2766,'Yahoo ADP'!$B$2:$B2766=$B1680,$C1680='Yahoo ADP'!$C$2:$C2766,$D1680='Yahoo ADP'!$D$2:$D2766))"),"")</f>
        <v/>
      </c>
      <c r="F1680" s="13" t="str">
        <f>IFERROR(__xludf.DUMMYFUNCTION("ifna(filter('Yahoo ADP'!$E$2:$E2766,'Yahoo ADP'!$B$2:$B2766=$B1680,$C1680='Yahoo ADP'!$C$2:$C2766,$D1680='Yahoo ADP'!$D$2:$D2766))"),"-")</f>
        <v>-</v>
      </c>
      <c r="G1680" s="27">
        <v>1673.0</v>
      </c>
      <c r="H1680" s="8">
        <f t="shared" si="1"/>
        <v>-6</v>
      </c>
    </row>
    <row r="1681">
      <c r="A1681" s="10">
        <v>1680.0</v>
      </c>
      <c r="B1681" s="11" t="s">
        <v>4525</v>
      </c>
      <c r="C1681" s="10" t="s">
        <v>22</v>
      </c>
      <c r="D1681" s="10" t="s">
        <v>137</v>
      </c>
      <c r="E1681" s="13" t="str">
        <f>IFERROR(__xludf.DUMMYFUNCTION("ifna(filter('Yahoo ADP'!$A$2:$A2766,'Yahoo ADP'!$B$2:$B2766=$B1681,$C1681='Yahoo ADP'!$C$2:$C2766,$D1681='Yahoo ADP'!$D$2:$D2766))"),"")</f>
        <v/>
      </c>
      <c r="F1681" s="13" t="str">
        <f>IFERROR(__xludf.DUMMYFUNCTION("ifna(filter('Yahoo ADP'!$E$2:$E2766,'Yahoo ADP'!$B$2:$B2766=$B1681,$C1681='Yahoo ADP'!$C$2:$C2766,$D1681='Yahoo ADP'!$D$2:$D2766))"),"-")</f>
        <v>-</v>
      </c>
      <c r="G1681" s="27">
        <v>1674.0</v>
      </c>
      <c r="H1681" s="8">
        <f t="shared" si="1"/>
        <v>-6</v>
      </c>
    </row>
    <row r="1682">
      <c r="A1682" s="10">
        <v>1681.0</v>
      </c>
      <c r="B1682" s="11" t="s">
        <v>4526</v>
      </c>
      <c r="C1682" s="10" t="s">
        <v>77</v>
      </c>
      <c r="D1682" s="10" t="s">
        <v>15</v>
      </c>
      <c r="E1682" s="13" t="str">
        <f>IFERROR(__xludf.DUMMYFUNCTION("ifna(filter('Yahoo ADP'!$A$2:$A2766,'Yahoo ADP'!$B$2:$B2766=$B1682,$C1682='Yahoo ADP'!$C$2:$C2766,$D1682='Yahoo ADP'!$D$2:$D2766))"),"")</f>
        <v/>
      </c>
      <c r="F1682" s="13" t="str">
        <f>IFERROR(__xludf.DUMMYFUNCTION("ifna(filter('Yahoo ADP'!$E$2:$E2766,'Yahoo ADP'!$B$2:$B2766=$B1682,$C1682='Yahoo ADP'!$C$2:$C2766,$D1682='Yahoo ADP'!$D$2:$D2766))"),"-")</f>
        <v>-</v>
      </c>
      <c r="G1682" s="27">
        <v>1675.0</v>
      </c>
      <c r="H1682" s="8">
        <f t="shared" si="1"/>
        <v>-6</v>
      </c>
    </row>
    <row r="1683">
      <c r="A1683" s="10">
        <v>1682.0</v>
      </c>
      <c r="B1683" s="11" t="s">
        <v>4527</v>
      </c>
      <c r="C1683" s="10" t="s">
        <v>22</v>
      </c>
      <c r="D1683" s="10" t="s">
        <v>140</v>
      </c>
      <c r="E1683" s="13" t="str">
        <f>IFERROR(__xludf.DUMMYFUNCTION("ifna(filter('Yahoo ADP'!$A$2:$A2766,'Yahoo ADP'!$B$2:$B2766=$B1683,$C1683='Yahoo ADP'!$C$2:$C2766,$D1683='Yahoo ADP'!$D$2:$D2766))"),"")</f>
        <v/>
      </c>
      <c r="F1683" s="13" t="str">
        <f>IFERROR(__xludf.DUMMYFUNCTION("ifna(filter('Yahoo ADP'!$E$2:$E2766,'Yahoo ADP'!$B$2:$B2766=$B1683,$C1683='Yahoo ADP'!$C$2:$C2766,$D1683='Yahoo ADP'!$D$2:$D2766))"),"-")</f>
        <v>-</v>
      </c>
      <c r="G1683" s="27">
        <v>1676.0</v>
      </c>
      <c r="H1683" s="8">
        <f t="shared" si="1"/>
        <v>-6</v>
      </c>
    </row>
    <row r="1684">
      <c r="A1684" s="10">
        <v>1683.0</v>
      </c>
      <c r="B1684" s="11" t="s">
        <v>4528</v>
      </c>
      <c r="C1684" s="10" t="s">
        <v>22</v>
      </c>
      <c r="D1684" s="10" t="s">
        <v>9</v>
      </c>
      <c r="E1684" s="13" t="str">
        <f>IFERROR(__xludf.DUMMYFUNCTION("ifna(filter('Yahoo ADP'!$A$2:$A2766,'Yahoo ADP'!$B$2:$B2766=$B1684,$C1684='Yahoo ADP'!$C$2:$C2766,$D1684='Yahoo ADP'!$D$2:$D2766))"),"")</f>
        <v/>
      </c>
      <c r="F1684" s="13" t="str">
        <f>IFERROR(__xludf.DUMMYFUNCTION("ifna(filter('Yahoo ADP'!$E$2:$E2766,'Yahoo ADP'!$B$2:$B2766=$B1684,$C1684='Yahoo ADP'!$C$2:$C2766,$D1684='Yahoo ADP'!$D$2:$D2766))"),"-")</f>
        <v>-</v>
      </c>
      <c r="G1684" s="27">
        <v>1677.0</v>
      </c>
      <c r="H1684" s="8">
        <f t="shared" si="1"/>
        <v>-6</v>
      </c>
    </row>
    <row r="1685">
      <c r="A1685" s="10">
        <v>1684.0</v>
      </c>
      <c r="B1685" s="11" t="s">
        <v>4529</v>
      </c>
      <c r="C1685" s="10" t="s">
        <v>22</v>
      </c>
      <c r="D1685" s="10" t="s">
        <v>12</v>
      </c>
      <c r="E1685" s="13" t="str">
        <f>IFERROR(__xludf.DUMMYFUNCTION("ifna(filter('Yahoo ADP'!$A$2:$A2766,'Yahoo ADP'!$B$2:$B2766=$B1685,$C1685='Yahoo ADP'!$C$2:$C2766,$D1685='Yahoo ADP'!$D$2:$D2766))"),"")</f>
        <v/>
      </c>
      <c r="F1685" s="13" t="str">
        <f>IFERROR(__xludf.DUMMYFUNCTION("ifna(filter('Yahoo ADP'!$E$2:$E2766,'Yahoo ADP'!$B$2:$B2766=$B1685,$C1685='Yahoo ADP'!$C$2:$C2766,$D1685='Yahoo ADP'!$D$2:$D2766))"),"-")</f>
        <v>-</v>
      </c>
      <c r="G1685" s="27">
        <v>1678.0</v>
      </c>
      <c r="H1685" s="8">
        <f t="shared" si="1"/>
        <v>-6</v>
      </c>
    </row>
    <row r="1686">
      <c r="A1686" s="10">
        <v>1685.0</v>
      </c>
      <c r="B1686" s="11" t="s">
        <v>4530</v>
      </c>
      <c r="C1686" s="10" t="s">
        <v>22</v>
      </c>
      <c r="D1686" s="10" t="s">
        <v>99</v>
      </c>
      <c r="E1686" s="13" t="str">
        <f>IFERROR(__xludf.DUMMYFUNCTION("ifna(filter('Yahoo ADP'!$A$2:$A2766,'Yahoo ADP'!$B$2:$B2766=$B1686,$C1686='Yahoo ADP'!$C$2:$C2766,$D1686='Yahoo ADP'!$D$2:$D2766))"),"")</f>
        <v/>
      </c>
      <c r="F1686" s="13" t="str">
        <f>IFERROR(__xludf.DUMMYFUNCTION("ifna(filter('Yahoo ADP'!$E$2:$E2766,'Yahoo ADP'!$B$2:$B2766=$B1686,$C1686='Yahoo ADP'!$C$2:$C2766,$D1686='Yahoo ADP'!$D$2:$D2766))"),"-")</f>
        <v>-</v>
      </c>
      <c r="G1686" s="27">
        <v>1679.0</v>
      </c>
      <c r="H1686" s="8">
        <f t="shared" si="1"/>
        <v>-6</v>
      </c>
    </row>
    <row r="1687">
      <c r="A1687" s="10">
        <v>1686.0</v>
      </c>
      <c r="B1687" s="11" t="s">
        <v>4531</v>
      </c>
      <c r="C1687" s="10" t="s">
        <v>218</v>
      </c>
      <c r="D1687" s="10" t="s">
        <v>129</v>
      </c>
      <c r="E1687" s="13" t="str">
        <f>IFERROR(__xludf.DUMMYFUNCTION("ifna(filter('Yahoo ADP'!$A$2:$A2766,'Yahoo ADP'!$B$2:$B2766=$B1687,$C1687='Yahoo ADP'!$C$2:$C2766,$D1687='Yahoo ADP'!$D$2:$D2766))"),"")</f>
        <v/>
      </c>
      <c r="F1687" s="13" t="str">
        <f>IFERROR(__xludf.DUMMYFUNCTION("ifna(filter('Yahoo ADP'!$E$2:$E2766,'Yahoo ADP'!$B$2:$B2766=$B1687,$C1687='Yahoo ADP'!$C$2:$C2766,$D1687='Yahoo ADP'!$D$2:$D2766))"),"-")</f>
        <v>-</v>
      </c>
      <c r="G1687" s="27">
        <v>1680.0</v>
      </c>
      <c r="H1687" s="8">
        <f t="shared" si="1"/>
        <v>-6</v>
      </c>
    </row>
    <row r="1688">
      <c r="A1688" s="10">
        <v>1687.0</v>
      </c>
      <c r="B1688" s="11" t="s">
        <v>4532</v>
      </c>
      <c r="C1688" s="10" t="s">
        <v>470</v>
      </c>
      <c r="D1688" s="10" t="s">
        <v>52</v>
      </c>
      <c r="E1688" s="13" t="str">
        <f>IFERROR(__xludf.DUMMYFUNCTION("ifna(filter('Yahoo ADP'!$A$2:$A2766,'Yahoo ADP'!$B$2:$B2766=$B1688,$C1688='Yahoo ADP'!$C$2:$C2766,$D1688='Yahoo ADP'!$D$2:$D2766))"),"")</f>
        <v/>
      </c>
      <c r="F1688" s="13" t="str">
        <f>IFERROR(__xludf.DUMMYFUNCTION("ifna(filter('Yahoo ADP'!$E$2:$E2766,'Yahoo ADP'!$B$2:$B2766=$B1688,$C1688='Yahoo ADP'!$C$2:$C2766,$D1688='Yahoo ADP'!$D$2:$D2766))"),"-")</f>
        <v>-</v>
      </c>
      <c r="G1688" s="27">
        <v>1681.0</v>
      </c>
      <c r="H1688" s="8">
        <f t="shared" si="1"/>
        <v>-6</v>
      </c>
    </row>
    <row r="1689">
      <c r="A1689" s="10">
        <v>1688.0</v>
      </c>
      <c r="B1689" s="11" t="s">
        <v>4533</v>
      </c>
      <c r="C1689" s="10" t="s">
        <v>220</v>
      </c>
      <c r="D1689" s="10" t="s">
        <v>140</v>
      </c>
      <c r="E1689" s="13" t="str">
        <f>IFERROR(__xludf.DUMMYFUNCTION("ifna(filter('Yahoo ADP'!$A$2:$A2766,'Yahoo ADP'!$B$2:$B2766=$B1689,$C1689='Yahoo ADP'!$C$2:$C2766,$D1689='Yahoo ADP'!$D$2:$D2766))"),"")</f>
        <v/>
      </c>
      <c r="F1689" s="13" t="str">
        <f>IFERROR(__xludf.DUMMYFUNCTION("ifna(filter('Yahoo ADP'!$E$2:$E2766,'Yahoo ADP'!$B$2:$B2766=$B1689,$C1689='Yahoo ADP'!$C$2:$C2766,$D1689='Yahoo ADP'!$D$2:$D2766))"),"-")</f>
        <v>-</v>
      </c>
      <c r="G1689" s="27">
        <v>1682.0</v>
      </c>
      <c r="H1689" s="8">
        <f t="shared" si="1"/>
        <v>-6</v>
      </c>
    </row>
    <row r="1690">
      <c r="A1690" s="10">
        <v>1689.0</v>
      </c>
      <c r="B1690" s="11" t="s">
        <v>4534</v>
      </c>
      <c r="C1690" s="10" t="s">
        <v>79</v>
      </c>
      <c r="D1690" s="10" t="s">
        <v>9</v>
      </c>
      <c r="E1690" s="13" t="str">
        <f>IFERROR(__xludf.DUMMYFUNCTION("ifna(filter('Yahoo ADP'!$A$2:$A2766,'Yahoo ADP'!$B$2:$B2766=$B1690,$C1690='Yahoo ADP'!$C$2:$C2766,$D1690='Yahoo ADP'!$D$2:$D2766))"),"")</f>
        <v/>
      </c>
      <c r="F1690" s="13" t="str">
        <f>IFERROR(__xludf.DUMMYFUNCTION("ifna(filter('Yahoo ADP'!$E$2:$E2766,'Yahoo ADP'!$B$2:$B2766=$B1690,$C1690='Yahoo ADP'!$C$2:$C2766,$D1690='Yahoo ADP'!$D$2:$D2766))"),"-")</f>
        <v>-</v>
      </c>
      <c r="G1690" s="27">
        <v>1683.0</v>
      </c>
      <c r="H1690" s="8">
        <f t="shared" si="1"/>
        <v>-6</v>
      </c>
    </row>
    <row r="1691">
      <c r="A1691" s="10">
        <v>1690.0</v>
      </c>
      <c r="B1691" s="11" t="s">
        <v>4535</v>
      </c>
      <c r="C1691" s="10" t="s">
        <v>79</v>
      </c>
      <c r="D1691" s="10" t="s">
        <v>15</v>
      </c>
      <c r="E1691" s="13" t="str">
        <f>IFERROR(__xludf.DUMMYFUNCTION("ifna(filter('Yahoo ADP'!$A$2:$A2766,'Yahoo ADP'!$B$2:$B2766=$B1691,$C1691='Yahoo ADP'!$C$2:$C2766,$D1691='Yahoo ADP'!$D$2:$D2766))"),"")</f>
        <v/>
      </c>
      <c r="F1691" s="13" t="str">
        <f>IFERROR(__xludf.DUMMYFUNCTION("ifna(filter('Yahoo ADP'!$E$2:$E2766,'Yahoo ADP'!$B$2:$B2766=$B1691,$C1691='Yahoo ADP'!$C$2:$C2766,$D1691='Yahoo ADP'!$D$2:$D2766))"),"-")</f>
        <v>-</v>
      </c>
      <c r="G1691" s="27">
        <v>1684.0</v>
      </c>
      <c r="H1691" s="8">
        <f t="shared" si="1"/>
        <v>-6</v>
      </c>
    </row>
    <row r="1692">
      <c r="A1692" s="10">
        <v>1691.0</v>
      </c>
      <c r="B1692" s="11" t="s">
        <v>4536</v>
      </c>
      <c r="C1692" s="10" t="s">
        <v>22</v>
      </c>
      <c r="D1692" s="10" t="s">
        <v>99</v>
      </c>
      <c r="E1692" s="13" t="str">
        <f>IFERROR(__xludf.DUMMYFUNCTION("ifna(filter('Yahoo ADP'!$A$2:$A2766,'Yahoo ADP'!$B$2:$B2766=$B1692,$C1692='Yahoo ADP'!$C$2:$C2766,$D1692='Yahoo ADP'!$D$2:$D2766))"),"")</f>
        <v/>
      </c>
      <c r="F1692" s="13" t="str">
        <f>IFERROR(__xludf.DUMMYFUNCTION("ifna(filter('Yahoo ADP'!$E$2:$E2766,'Yahoo ADP'!$B$2:$B2766=$B1692,$C1692='Yahoo ADP'!$C$2:$C2766,$D1692='Yahoo ADP'!$D$2:$D2766))"),"-")</f>
        <v>-</v>
      </c>
      <c r="G1692" s="27">
        <v>1685.0</v>
      </c>
      <c r="H1692" s="8">
        <f t="shared" si="1"/>
        <v>-6</v>
      </c>
    </row>
    <row r="1693">
      <c r="A1693" s="10">
        <v>1692.0</v>
      </c>
      <c r="B1693" s="11" t="s">
        <v>4537</v>
      </c>
      <c r="C1693" s="10" t="s">
        <v>22</v>
      </c>
      <c r="D1693" s="10" t="s">
        <v>137</v>
      </c>
      <c r="E1693" s="13" t="str">
        <f>IFERROR(__xludf.DUMMYFUNCTION("ifna(filter('Yahoo ADP'!$A$2:$A2766,'Yahoo ADP'!$B$2:$B2766=$B1693,$C1693='Yahoo ADP'!$C$2:$C2766,$D1693='Yahoo ADP'!$D$2:$D2766))"),"")</f>
        <v/>
      </c>
      <c r="F1693" s="13" t="str">
        <f>IFERROR(__xludf.DUMMYFUNCTION("ifna(filter('Yahoo ADP'!$E$2:$E2766,'Yahoo ADP'!$B$2:$B2766=$B1693,$C1693='Yahoo ADP'!$C$2:$C2766,$D1693='Yahoo ADP'!$D$2:$D2766))"),"-")</f>
        <v>-</v>
      </c>
      <c r="G1693" s="27">
        <v>1686.0</v>
      </c>
      <c r="H1693" s="8">
        <f t="shared" si="1"/>
        <v>-6</v>
      </c>
    </row>
    <row r="1694">
      <c r="A1694" s="10">
        <v>1693.0</v>
      </c>
      <c r="B1694" s="11" t="s">
        <v>4538</v>
      </c>
      <c r="C1694" s="10" t="s">
        <v>79</v>
      </c>
      <c r="D1694" s="10" t="s">
        <v>99</v>
      </c>
      <c r="E1694" s="13" t="str">
        <f>IFERROR(__xludf.DUMMYFUNCTION("ifna(filter('Yahoo ADP'!$A$2:$A2766,'Yahoo ADP'!$B$2:$B2766=$B1694,$C1694='Yahoo ADP'!$C$2:$C2766,$D1694='Yahoo ADP'!$D$2:$D2766))"),"")</f>
        <v/>
      </c>
      <c r="F1694" s="13" t="str">
        <f>IFERROR(__xludf.DUMMYFUNCTION("ifna(filter('Yahoo ADP'!$E$2:$E2766,'Yahoo ADP'!$B$2:$B2766=$B1694,$C1694='Yahoo ADP'!$C$2:$C2766,$D1694='Yahoo ADP'!$D$2:$D2766))"),"-")</f>
        <v>-</v>
      </c>
      <c r="G1694" s="27">
        <v>1687.0</v>
      </c>
      <c r="H1694" s="8">
        <f t="shared" si="1"/>
        <v>-6</v>
      </c>
    </row>
    <row r="1695">
      <c r="A1695" s="10">
        <v>1694.0</v>
      </c>
      <c r="B1695" s="11" t="s">
        <v>4539</v>
      </c>
      <c r="C1695" s="10" t="s">
        <v>22</v>
      </c>
      <c r="D1695" s="10" t="s">
        <v>73</v>
      </c>
      <c r="E1695" s="13" t="str">
        <f>IFERROR(__xludf.DUMMYFUNCTION("ifna(filter('Yahoo ADP'!$A$2:$A2766,'Yahoo ADP'!$B$2:$B2766=$B1695,$C1695='Yahoo ADP'!$C$2:$C2766,$D1695='Yahoo ADP'!$D$2:$D2766))"),"")</f>
        <v/>
      </c>
      <c r="F1695" s="13" t="str">
        <f>IFERROR(__xludf.DUMMYFUNCTION("ifna(filter('Yahoo ADP'!$E$2:$E2766,'Yahoo ADP'!$B$2:$B2766=$B1695,$C1695='Yahoo ADP'!$C$2:$C2766,$D1695='Yahoo ADP'!$D$2:$D2766))"),"-")</f>
        <v>-</v>
      </c>
      <c r="G1695" s="27">
        <v>1688.0</v>
      </c>
      <c r="H1695" s="8">
        <f t="shared" si="1"/>
        <v>-6</v>
      </c>
    </row>
    <row r="1696">
      <c r="A1696" s="10">
        <v>1695.0</v>
      </c>
      <c r="B1696" s="11" t="s">
        <v>4540</v>
      </c>
      <c r="C1696" s="10" t="s">
        <v>220</v>
      </c>
      <c r="D1696" s="10" t="s">
        <v>82</v>
      </c>
      <c r="E1696" s="13" t="str">
        <f>IFERROR(__xludf.DUMMYFUNCTION("ifna(filter('Yahoo ADP'!$A$2:$A2766,'Yahoo ADP'!$B$2:$B2766=$B1696,$C1696='Yahoo ADP'!$C$2:$C2766,$D1696='Yahoo ADP'!$D$2:$D2766))"),"")</f>
        <v/>
      </c>
      <c r="F1696" s="13" t="str">
        <f>IFERROR(__xludf.DUMMYFUNCTION("ifna(filter('Yahoo ADP'!$E$2:$E2766,'Yahoo ADP'!$B$2:$B2766=$B1696,$C1696='Yahoo ADP'!$C$2:$C2766,$D1696='Yahoo ADP'!$D$2:$D2766))"),"-")</f>
        <v>-</v>
      </c>
      <c r="G1696" s="27">
        <v>1689.0</v>
      </c>
      <c r="H1696" s="8">
        <f t="shared" si="1"/>
        <v>-6</v>
      </c>
    </row>
    <row r="1697">
      <c r="A1697" s="10">
        <v>1696.0</v>
      </c>
      <c r="B1697" s="11" t="s">
        <v>4541</v>
      </c>
      <c r="C1697" s="10" t="s">
        <v>220</v>
      </c>
      <c r="D1697" s="10" t="s">
        <v>129</v>
      </c>
      <c r="E1697" s="13" t="str">
        <f>IFERROR(__xludf.DUMMYFUNCTION("ifna(filter('Yahoo ADP'!$A$2:$A2766,'Yahoo ADP'!$B$2:$B2766=$B1697,$C1697='Yahoo ADP'!$C$2:$C2766,$D1697='Yahoo ADP'!$D$2:$D2766))"),"")</f>
        <v/>
      </c>
      <c r="F1697" s="13" t="str">
        <f>IFERROR(__xludf.DUMMYFUNCTION("ifna(filter('Yahoo ADP'!$E$2:$E2766,'Yahoo ADP'!$B$2:$B2766=$B1697,$C1697='Yahoo ADP'!$C$2:$C2766,$D1697='Yahoo ADP'!$D$2:$D2766))"),"-")</f>
        <v>-</v>
      </c>
      <c r="G1697" s="27">
        <v>1690.0</v>
      </c>
      <c r="H1697" s="8">
        <f t="shared" si="1"/>
        <v>-6</v>
      </c>
    </row>
    <row r="1698">
      <c r="A1698" s="10">
        <v>1697.0</v>
      </c>
      <c r="B1698" s="11" t="s">
        <v>4542</v>
      </c>
      <c r="C1698" s="10" t="s">
        <v>79</v>
      </c>
      <c r="D1698" s="10" t="s">
        <v>9</v>
      </c>
      <c r="E1698" s="13" t="str">
        <f>IFERROR(__xludf.DUMMYFUNCTION("ifna(filter('Yahoo ADP'!$A$2:$A2766,'Yahoo ADP'!$B$2:$B2766=$B1698,$C1698='Yahoo ADP'!$C$2:$C2766,$D1698='Yahoo ADP'!$D$2:$D2766))"),"")</f>
        <v/>
      </c>
      <c r="F1698" s="13" t="str">
        <f>IFERROR(__xludf.DUMMYFUNCTION("ifna(filter('Yahoo ADP'!$E$2:$E2766,'Yahoo ADP'!$B$2:$B2766=$B1698,$C1698='Yahoo ADP'!$C$2:$C2766,$D1698='Yahoo ADP'!$D$2:$D2766))"),"-")</f>
        <v>-</v>
      </c>
      <c r="G1698" s="27">
        <v>1691.0</v>
      </c>
      <c r="H1698" s="8">
        <f t="shared" si="1"/>
        <v>-6</v>
      </c>
    </row>
    <row r="1699">
      <c r="A1699" s="10">
        <v>1698.0</v>
      </c>
      <c r="B1699" s="11" t="s">
        <v>4543</v>
      </c>
      <c r="C1699" s="10" t="s">
        <v>22</v>
      </c>
      <c r="D1699" s="10" t="s">
        <v>120</v>
      </c>
      <c r="E1699" s="13" t="str">
        <f>IFERROR(__xludf.DUMMYFUNCTION("ifna(filter('Yahoo ADP'!$A$2:$A2766,'Yahoo ADP'!$B$2:$B2766=$B1699,$C1699='Yahoo ADP'!$C$2:$C2766,$D1699='Yahoo ADP'!$D$2:$D2766))"),"")</f>
        <v/>
      </c>
      <c r="F1699" s="13" t="str">
        <f>IFERROR(__xludf.DUMMYFUNCTION("ifna(filter('Yahoo ADP'!$E$2:$E2766,'Yahoo ADP'!$B$2:$B2766=$B1699,$C1699='Yahoo ADP'!$C$2:$C2766,$D1699='Yahoo ADP'!$D$2:$D2766))"),"-")</f>
        <v>-</v>
      </c>
      <c r="G1699" s="27">
        <v>1692.0</v>
      </c>
      <c r="H1699" s="8">
        <f t="shared" si="1"/>
        <v>-6</v>
      </c>
    </row>
    <row r="1700">
      <c r="A1700" s="10">
        <v>1699.0</v>
      </c>
      <c r="B1700" s="11" t="s">
        <v>4544</v>
      </c>
      <c r="C1700" s="10" t="s">
        <v>585</v>
      </c>
      <c r="D1700" s="10" t="s">
        <v>129</v>
      </c>
      <c r="E1700" s="13" t="str">
        <f>IFERROR(__xludf.DUMMYFUNCTION("ifna(filter('Yahoo ADP'!$A$2:$A2766,'Yahoo ADP'!$B$2:$B2766=$B1700,$C1700='Yahoo ADP'!$C$2:$C2766,$D1700='Yahoo ADP'!$D$2:$D2766))"),"")</f>
        <v/>
      </c>
      <c r="F1700" s="13" t="str">
        <f>IFERROR(__xludf.DUMMYFUNCTION("ifna(filter('Yahoo ADP'!$E$2:$E2766,'Yahoo ADP'!$B$2:$B2766=$B1700,$C1700='Yahoo ADP'!$C$2:$C2766,$D1700='Yahoo ADP'!$D$2:$D2766))"),"-")</f>
        <v>-</v>
      </c>
      <c r="G1700" s="27">
        <v>1693.0</v>
      </c>
      <c r="H1700" s="8">
        <f t="shared" si="1"/>
        <v>-6</v>
      </c>
    </row>
    <row r="1701">
      <c r="A1701" s="10">
        <v>1700.0</v>
      </c>
      <c r="B1701" s="11" t="s">
        <v>4545</v>
      </c>
      <c r="C1701" s="10" t="s">
        <v>220</v>
      </c>
      <c r="D1701" s="10" t="s">
        <v>36</v>
      </c>
      <c r="E1701" s="13" t="str">
        <f>IFERROR(__xludf.DUMMYFUNCTION("ifna(filter('Yahoo ADP'!$A$2:$A2766,'Yahoo ADP'!$B$2:$B2766=$B1701,$C1701='Yahoo ADP'!$C$2:$C2766,$D1701='Yahoo ADP'!$D$2:$D2766))"),"")</f>
        <v/>
      </c>
      <c r="F1701" s="13" t="str">
        <f>IFERROR(__xludf.DUMMYFUNCTION("ifna(filter('Yahoo ADP'!$E$2:$E2766,'Yahoo ADP'!$B$2:$B2766=$B1701,$C1701='Yahoo ADP'!$C$2:$C2766,$D1701='Yahoo ADP'!$D$2:$D2766))"),"-")</f>
        <v>-</v>
      </c>
      <c r="G1701" s="27">
        <v>1694.0</v>
      </c>
      <c r="H1701" s="8">
        <f t="shared" si="1"/>
        <v>-6</v>
      </c>
    </row>
    <row r="1702">
      <c r="A1702" s="10">
        <v>1701.0</v>
      </c>
      <c r="B1702" s="11" t="s">
        <v>4546</v>
      </c>
      <c r="C1702" s="10" t="s">
        <v>69</v>
      </c>
      <c r="D1702" s="10" t="s">
        <v>73</v>
      </c>
      <c r="E1702" s="13" t="str">
        <f>IFERROR(__xludf.DUMMYFUNCTION("ifna(filter('Yahoo ADP'!$A$2:$A2766,'Yahoo ADP'!$B$2:$B2766=$B1702,$C1702='Yahoo ADP'!$C$2:$C2766,$D1702='Yahoo ADP'!$D$2:$D2766))"),"")</f>
        <v/>
      </c>
      <c r="F1702" s="13" t="str">
        <f>IFERROR(__xludf.DUMMYFUNCTION("ifna(filter('Yahoo ADP'!$E$2:$E2766,'Yahoo ADP'!$B$2:$B2766=$B1702,$C1702='Yahoo ADP'!$C$2:$C2766,$D1702='Yahoo ADP'!$D$2:$D2766))"),"-")</f>
        <v>-</v>
      </c>
      <c r="G1702" s="27">
        <v>1695.0</v>
      </c>
      <c r="H1702" s="8">
        <f t="shared" si="1"/>
        <v>-6</v>
      </c>
    </row>
    <row r="1703">
      <c r="A1703" s="10">
        <v>1702.0</v>
      </c>
      <c r="B1703" s="11" t="s">
        <v>4547</v>
      </c>
      <c r="C1703" s="10" t="s">
        <v>22</v>
      </c>
      <c r="D1703" s="10" t="s">
        <v>67</v>
      </c>
      <c r="E1703" s="13" t="str">
        <f>IFERROR(__xludf.DUMMYFUNCTION("ifna(filter('Yahoo ADP'!$A$2:$A2766,'Yahoo ADP'!$B$2:$B2766=$B1703,$C1703='Yahoo ADP'!$C$2:$C2766,$D1703='Yahoo ADP'!$D$2:$D2766))"),"")</f>
        <v/>
      </c>
      <c r="F1703" s="13" t="str">
        <f>IFERROR(__xludf.DUMMYFUNCTION("ifna(filter('Yahoo ADP'!$E$2:$E2766,'Yahoo ADP'!$B$2:$B2766=$B1703,$C1703='Yahoo ADP'!$C$2:$C2766,$D1703='Yahoo ADP'!$D$2:$D2766))"),"-")</f>
        <v>-</v>
      </c>
      <c r="G1703" s="27">
        <v>1698.0</v>
      </c>
      <c r="H1703" s="8">
        <f t="shared" si="1"/>
        <v>-4</v>
      </c>
    </row>
    <row r="1704">
      <c r="A1704" s="10">
        <v>1703.0</v>
      </c>
      <c r="B1704" s="11" t="s">
        <v>4548</v>
      </c>
      <c r="C1704" s="10" t="s">
        <v>17</v>
      </c>
      <c r="D1704" s="10" t="s">
        <v>34</v>
      </c>
      <c r="E1704" s="13" t="str">
        <f>IFERROR(__xludf.DUMMYFUNCTION("ifna(filter('Yahoo ADP'!$A$2:$A2766,'Yahoo ADP'!$B$2:$B2766=$B1704,$C1704='Yahoo ADP'!$C$2:$C2766,$D1704='Yahoo ADP'!$D$2:$D2766))"),"")</f>
        <v/>
      </c>
      <c r="F1704" s="13" t="str">
        <f>IFERROR(__xludf.DUMMYFUNCTION("ifna(filter('Yahoo ADP'!$E$2:$E2766,'Yahoo ADP'!$B$2:$B2766=$B1704,$C1704='Yahoo ADP'!$C$2:$C2766,$D1704='Yahoo ADP'!$D$2:$D2766))"),"-")</f>
        <v>-</v>
      </c>
      <c r="G1704" s="27">
        <v>1699.0</v>
      </c>
      <c r="H1704" s="8">
        <f t="shared" si="1"/>
        <v>-4</v>
      </c>
    </row>
    <row r="1705">
      <c r="A1705" s="10">
        <v>1704.0</v>
      </c>
      <c r="B1705" s="11" t="s">
        <v>4549</v>
      </c>
      <c r="C1705" s="10" t="s">
        <v>220</v>
      </c>
      <c r="D1705" s="10" t="s">
        <v>140</v>
      </c>
      <c r="E1705" s="13" t="str">
        <f>IFERROR(__xludf.DUMMYFUNCTION("ifna(filter('Yahoo ADP'!$A$2:$A2766,'Yahoo ADP'!$B$2:$B2766=$B1705,$C1705='Yahoo ADP'!$C$2:$C2766,$D1705='Yahoo ADP'!$D$2:$D2766))"),"")</f>
        <v/>
      </c>
      <c r="F1705" s="13" t="str">
        <f>IFERROR(__xludf.DUMMYFUNCTION("ifna(filter('Yahoo ADP'!$E$2:$E2766,'Yahoo ADP'!$B$2:$B2766=$B1705,$C1705='Yahoo ADP'!$C$2:$C2766,$D1705='Yahoo ADP'!$D$2:$D2766))"),"-")</f>
        <v>-</v>
      </c>
      <c r="G1705" s="27">
        <v>1700.0</v>
      </c>
      <c r="H1705" s="8">
        <f t="shared" si="1"/>
        <v>-4</v>
      </c>
    </row>
    <row r="1706">
      <c r="A1706" s="10">
        <v>1705.0</v>
      </c>
      <c r="B1706" s="11" t="s">
        <v>4550</v>
      </c>
      <c r="C1706" s="10" t="s">
        <v>220</v>
      </c>
      <c r="D1706" s="10" t="s">
        <v>42</v>
      </c>
      <c r="E1706" s="13" t="str">
        <f>IFERROR(__xludf.DUMMYFUNCTION("ifna(filter('Yahoo ADP'!$A$2:$A2766,'Yahoo ADP'!$B$2:$B2766=$B1706,$C1706='Yahoo ADP'!$C$2:$C2766,$D1706='Yahoo ADP'!$D$2:$D2766))"),"")</f>
        <v/>
      </c>
      <c r="F1706" s="13" t="str">
        <f>IFERROR(__xludf.DUMMYFUNCTION("ifna(filter('Yahoo ADP'!$E$2:$E2766,'Yahoo ADP'!$B$2:$B2766=$B1706,$C1706='Yahoo ADP'!$C$2:$C2766,$D1706='Yahoo ADP'!$D$2:$D2766))"),"-")</f>
        <v>-</v>
      </c>
      <c r="G1706" s="27">
        <v>1701.0</v>
      </c>
      <c r="H1706" s="8">
        <f t="shared" si="1"/>
        <v>-4</v>
      </c>
    </row>
    <row r="1707">
      <c r="A1707" s="10">
        <v>1706.0</v>
      </c>
      <c r="B1707" s="11" t="s">
        <v>4551</v>
      </c>
      <c r="C1707" s="10" t="s">
        <v>8</v>
      </c>
      <c r="D1707" s="10" t="s">
        <v>137</v>
      </c>
      <c r="E1707" s="13" t="str">
        <f>IFERROR(__xludf.DUMMYFUNCTION("ifna(filter('Yahoo ADP'!$A$2:$A2766,'Yahoo ADP'!$B$2:$B2766=$B1707,$C1707='Yahoo ADP'!$C$2:$C2766,$D1707='Yahoo ADP'!$D$2:$D2766))"),"")</f>
        <v/>
      </c>
      <c r="F1707" s="13" t="str">
        <f>IFERROR(__xludf.DUMMYFUNCTION("ifna(filter('Yahoo ADP'!$E$2:$E2766,'Yahoo ADP'!$B$2:$B2766=$B1707,$C1707='Yahoo ADP'!$C$2:$C2766,$D1707='Yahoo ADP'!$D$2:$D2766))"),"-")</f>
        <v>-</v>
      </c>
      <c r="G1707" s="27">
        <v>1702.0</v>
      </c>
      <c r="H1707" s="8">
        <f t="shared" si="1"/>
        <v>-4</v>
      </c>
    </row>
    <row r="1708">
      <c r="A1708" s="10">
        <v>1707.0</v>
      </c>
      <c r="B1708" s="11" t="s">
        <v>4552</v>
      </c>
      <c r="C1708" s="10" t="s">
        <v>79</v>
      </c>
      <c r="D1708" s="10" t="s">
        <v>85</v>
      </c>
      <c r="E1708" s="13" t="str">
        <f>IFERROR(__xludf.DUMMYFUNCTION("ifna(filter('Yahoo ADP'!$A$2:$A2766,'Yahoo ADP'!$B$2:$B2766=$B1708,$C1708='Yahoo ADP'!$C$2:$C2766,$D1708='Yahoo ADP'!$D$2:$D2766))"),"")</f>
        <v/>
      </c>
      <c r="F1708" s="13" t="str">
        <f>IFERROR(__xludf.DUMMYFUNCTION("ifna(filter('Yahoo ADP'!$E$2:$E2766,'Yahoo ADP'!$B$2:$B2766=$B1708,$C1708='Yahoo ADP'!$C$2:$C2766,$D1708='Yahoo ADP'!$D$2:$D2766))"),"-")</f>
        <v>-</v>
      </c>
      <c r="G1708" s="27">
        <v>1704.0</v>
      </c>
      <c r="H1708" s="8">
        <f t="shared" si="1"/>
        <v>-3</v>
      </c>
    </row>
    <row r="1709">
      <c r="A1709" s="10">
        <v>1708.0</v>
      </c>
      <c r="B1709" s="11" t="s">
        <v>4553</v>
      </c>
      <c r="C1709" s="10" t="s">
        <v>79</v>
      </c>
      <c r="D1709" s="10" t="s">
        <v>90</v>
      </c>
      <c r="E1709" s="13" t="str">
        <f>IFERROR(__xludf.DUMMYFUNCTION("ifna(filter('Yahoo ADP'!$A$2:$A2766,'Yahoo ADP'!$B$2:$B2766=$B1709,$C1709='Yahoo ADP'!$C$2:$C2766,$D1709='Yahoo ADP'!$D$2:$D2766))"),"")</f>
        <v/>
      </c>
      <c r="F1709" s="13" t="str">
        <f>IFERROR(__xludf.DUMMYFUNCTION("ifna(filter('Yahoo ADP'!$E$2:$E2766,'Yahoo ADP'!$B$2:$B2766=$B1709,$C1709='Yahoo ADP'!$C$2:$C2766,$D1709='Yahoo ADP'!$D$2:$D2766))"),"-")</f>
        <v>-</v>
      </c>
      <c r="G1709" s="27">
        <v>1705.0</v>
      </c>
      <c r="H1709" s="8">
        <f t="shared" si="1"/>
        <v>-3</v>
      </c>
    </row>
    <row r="1710">
      <c r="A1710" s="10">
        <v>1709.0</v>
      </c>
      <c r="B1710" s="11" t="s">
        <v>4554</v>
      </c>
      <c r="C1710" s="10" t="s">
        <v>22</v>
      </c>
      <c r="D1710" s="10" t="s">
        <v>137</v>
      </c>
      <c r="E1710" s="13" t="str">
        <f>IFERROR(__xludf.DUMMYFUNCTION("ifna(filter('Yahoo ADP'!$A$2:$A2766,'Yahoo ADP'!$B$2:$B2766=$B1710,$C1710='Yahoo ADP'!$C$2:$C2766,$D1710='Yahoo ADP'!$D$2:$D2766))"),"")</f>
        <v/>
      </c>
      <c r="F1710" s="13" t="str">
        <f>IFERROR(__xludf.DUMMYFUNCTION("ifna(filter('Yahoo ADP'!$E$2:$E2766,'Yahoo ADP'!$B$2:$B2766=$B1710,$C1710='Yahoo ADP'!$C$2:$C2766,$D1710='Yahoo ADP'!$D$2:$D2766))"),"-")</f>
        <v>-</v>
      </c>
      <c r="G1710" s="27">
        <v>1706.0</v>
      </c>
      <c r="H1710" s="8">
        <f t="shared" si="1"/>
        <v>-3</v>
      </c>
    </row>
    <row r="1711">
      <c r="A1711" s="10">
        <v>1710.0</v>
      </c>
      <c r="B1711" s="11" t="s">
        <v>4555</v>
      </c>
      <c r="C1711" s="10" t="s">
        <v>87</v>
      </c>
      <c r="D1711" s="10" t="s">
        <v>105</v>
      </c>
      <c r="E1711" s="13" t="str">
        <f>IFERROR(__xludf.DUMMYFUNCTION("ifna(filter('Yahoo ADP'!$A$2:$A2766,'Yahoo ADP'!$B$2:$B2766=$B1711,$C1711='Yahoo ADP'!$C$2:$C2766,$D1711='Yahoo ADP'!$D$2:$D2766))"),"")</f>
        <v/>
      </c>
      <c r="F1711" s="13" t="str">
        <f>IFERROR(__xludf.DUMMYFUNCTION("ifna(filter('Yahoo ADP'!$E$2:$E2766,'Yahoo ADP'!$B$2:$B2766=$B1711,$C1711='Yahoo ADP'!$C$2:$C2766,$D1711='Yahoo ADP'!$D$2:$D2766))"),"-")</f>
        <v>-</v>
      </c>
      <c r="G1711" s="27">
        <v>1707.0</v>
      </c>
      <c r="H1711" s="8">
        <f t="shared" si="1"/>
        <v>-3</v>
      </c>
    </row>
    <row r="1712">
      <c r="A1712" s="10">
        <v>1711.0</v>
      </c>
      <c r="B1712" s="11" t="s">
        <v>4556</v>
      </c>
      <c r="C1712" s="10" t="s">
        <v>33</v>
      </c>
      <c r="D1712" s="10" t="s">
        <v>46</v>
      </c>
      <c r="E1712" s="13" t="str">
        <f>IFERROR(__xludf.DUMMYFUNCTION("ifna(filter('Yahoo ADP'!$A$2:$A2766,'Yahoo ADP'!$B$2:$B2766=$B1712,$C1712='Yahoo ADP'!$C$2:$C2766,$D1712='Yahoo ADP'!$D$2:$D2766))"),"")</f>
        <v/>
      </c>
      <c r="F1712" s="13" t="str">
        <f>IFERROR(__xludf.DUMMYFUNCTION("ifna(filter('Yahoo ADP'!$E$2:$E2766,'Yahoo ADP'!$B$2:$B2766=$B1712,$C1712='Yahoo ADP'!$C$2:$C2766,$D1712='Yahoo ADP'!$D$2:$D2766))"),"-")</f>
        <v>-</v>
      </c>
      <c r="G1712" s="27">
        <v>1708.0</v>
      </c>
      <c r="H1712" s="8">
        <f t="shared" si="1"/>
        <v>-3</v>
      </c>
    </row>
    <row r="1713">
      <c r="A1713" s="10">
        <v>1712.0</v>
      </c>
      <c r="B1713" s="11" t="s">
        <v>4557</v>
      </c>
      <c r="C1713" s="10" t="s">
        <v>22</v>
      </c>
      <c r="D1713" s="10" t="s">
        <v>140</v>
      </c>
      <c r="E1713" s="13" t="str">
        <f>IFERROR(__xludf.DUMMYFUNCTION("ifna(filter('Yahoo ADP'!$A$2:$A2766,'Yahoo ADP'!$B$2:$B2766=$B1713,$C1713='Yahoo ADP'!$C$2:$C2766,$D1713='Yahoo ADP'!$D$2:$D2766))"),"")</f>
        <v/>
      </c>
      <c r="F1713" s="13" t="str">
        <f>IFERROR(__xludf.DUMMYFUNCTION("ifna(filter('Yahoo ADP'!$E$2:$E2766,'Yahoo ADP'!$B$2:$B2766=$B1713,$C1713='Yahoo ADP'!$C$2:$C2766,$D1713='Yahoo ADP'!$D$2:$D2766))"),"-")</f>
        <v>-</v>
      </c>
      <c r="G1713" s="27">
        <v>1709.0</v>
      </c>
      <c r="H1713" s="8">
        <f t="shared" si="1"/>
        <v>-3</v>
      </c>
    </row>
    <row r="1714">
      <c r="A1714" s="10">
        <v>1713.0</v>
      </c>
      <c r="B1714" s="11" t="s">
        <v>4558</v>
      </c>
      <c r="C1714" s="10" t="s">
        <v>77</v>
      </c>
      <c r="D1714" s="10" t="s">
        <v>52</v>
      </c>
      <c r="E1714" s="13" t="str">
        <f>IFERROR(__xludf.DUMMYFUNCTION("ifna(filter('Yahoo ADP'!$A$2:$A2766,'Yahoo ADP'!$B$2:$B2766=$B1714,$C1714='Yahoo ADP'!$C$2:$C2766,$D1714='Yahoo ADP'!$D$2:$D2766))"),"")</f>
        <v/>
      </c>
      <c r="F1714" s="13" t="str">
        <f>IFERROR(__xludf.DUMMYFUNCTION("ifna(filter('Yahoo ADP'!$E$2:$E2766,'Yahoo ADP'!$B$2:$B2766=$B1714,$C1714='Yahoo ADP'!$C$2:$C2766,$D1714='Yahoo ADP'!$D$2:$D2766))"),"-")</f>
        <v>-</v>
      </c>
      <c r="G1714" s="27">
        <v>1710.0</v>
      </c>
      <c r="H1714" s="8">
        <f t="shared" si="1"/>
        <v>-3</v>
      </c>
    </row>
    <row r="1715">
      <c r="A1715" s="10">
        <v>1714.0</v>
      </c>
      <c r="B1715" s="11" t="s">
        <v>4559</v>
      </c>
      <c r="C1715" s="10" t="s">
        <v>1710</v>
      </c>
      <c r="D1715" s="10" t="s">
        <v>122</v>
      </c>
      <c r="E1715" s="13" t="str">
        <f>IFERROR(__xludf.DUMMYFUNCTION("ifna(filter('Yahoo ADP'!$A$2:$A2766,'Yahoo ADP'!$B$2:$B2766=$B1715,$C1715='Yahoo ADP'!$C$2:$C2766,$D1715='Yahoo ADP'!$D$2:$D2766))"),"")</f>
        <v/>
      </c>
      <c r="F1715" s="13" t="str">
        <f>IFERROR(__xludf.DUMMYFUNCTION("ifna(filter('Yahoo ADP'!$E$2:$E2766,'Yahoo ADP'!$B$2:$B2766=$B1715,$C1715='Yahoo ADP'!$C$2:$C2766,$D1715='Yahoo ADP'!$D$2:$D2766))"),"-")</f>
        <v>-</v>
      </c>
      <c r="G1715" s="27">
        <v>1711.0</v>
      </c>
      <c r="H1715" s="8">
        <f t="shared" si="1"/>
        <v>-3</v>
      </c>
    </row>
    <row r="1716">
      <c r="A1716" s="10">
        <v>1715.0</v>
      </c>
      <c r="B1716" s="11" t="s">
        <v>4560</v>
      </c>
      <c r="C1716" s="10" t="s">
        <v>79</v>
      </c>
      <c r="D1716" s="10" t="s">
        <v>18</v>
      </c>
      <c r="E1716" s="13" t="str">
        <f>IFERROR(__xludf.DUMMYFUNCTION("ifna(filter('Yahoo ADP'!$A$2:$A2766,'Yahoo ADP'!$B$2:$B2766=$B1716,$C1716='Yahoo ADP'!$C$2:$C2766,$D1716='Yahoo ADP'!$D$2:$D2766))"),"")</f>
        <v/>
      </c>
      <c r="F1716" s="13" t="str">
        <f>IFERROR(__xludf.DUMMYFUNCTION("ifna(filter('Yahoo ADP'!$E$2:$E2766,'Yahoo ADP'!$B$2:$B2766=$B1716,$C1716='Yahoo ADP'!$C$2:$C2766,$D1716='Yahoo ADP'!$D$2:$D2766))"),"-")</f>
        <v>-</v>
      </c>
      <c r="G1716" s="27">
        <v>1712.0</v>
      </c>
      <c r="H1716" s="8">
        <f t="shared" si="1"/>
        <v>-3</v>
      </c>
    </row>
    <row r="1717">
      <c r="A1717" s="10">
        <v>1716.0</v>
      </c>
      <c r="B1717" s="11" t="s">
        <v>4561</v>
      </c>
      <c r="C1717" s="10" t="s">
        <v>79</v>
      </c>
      <c r="D1717" s="10" t="s">
        <v>34</v>
      </c>
      <c r="E1717" s="13" t="str">
        <f>IFERROR(__xludf.DUMMYFUNCTION("ifna(filter('Yahoo ADP'!$A$2:$A2766,'Yahoo ADP'!$B$2:$B2766=$B1717,$C1717='Yahoo ADP'!$C$2:$C2766,$D1717='Yahoo ADP'!$D$2:$D2766))"),"")</f>
        <v/>
      </c>
      <c r="F1717" s="13" t="str">
        <f>IFERROR(__xludf.DUMMYFUNCTION("ifna(filter('Yahoo ADP'!$E$2:$E2766,'Yahoo ADP'!$B$2:$B2766=$B1717,$C1717='Yahoo ADP'!$C$2:$C2766,$D1717='Yahoo ADP'!$D$2:$D2766))"),"-")</f>
        <v>-</v>
      </c>
      <c r="G1717" s="27">
        <v>1713.0</v>
      </c>
      <c r="H1717" s="8">
        <f t="shared" si="1"/>
        <v>-3</v>
      </c>
    </row>
    <row r="1718">
      <c r="A1718" s="10">
        <v>1717.0</v>
      </c>
      <c r="B1718" s="11" t="s">
        <v>4562</v>
      </c>
      <c r="C1718" s="10" t="s">
        <v>283</v>
      </c>
      <c r="D1718" s="10" t="s">
        <v>34</v>
      </c>
      <c r="E1718" s="13" t="str">
        <f>IFERROR(__xludf.DUMMYFUNCTION("ifna(filter('Yahoo ADP'!$A$2:$A2766,'Yahoo ADP'!$B$2:$B2766=$B1718,$C1718='Yahoo ADP'!$C$2:$C2766,$D1718='Yahoo ADP'!$D$2:$D2766))"),"")</f>
        <v/>
      </c>
      <c r="F1718" s="13" t="str">
        <f>IFERROR(__xludf.DUMMYFUNCTION("ifna(filter('Yahoo ADP'!$E$2:$E2766,'Yahoo ADP'!$B$2:$B2766=$B1718,$C1718='Yahoo ADP'!$C$2:$C2766,$D1718='Yahoo ADP'!$D$2:$D2766))"),"-")</f>
        <v>-</v>
      </c>
      <c r="G1718" s="27">
        <v>1714.0</v>
      </c>
      <c r="H1718" s="8">
        <f t="shared" si="1"/>
        <v>-3</v>
      </c>
    </row>
    <row r="1719">
      <c r="A1719" s="10">
        <v>1718.0</v>
      </c>
      <c r="B1719" s="11" t="s">
        <v>4563</v>
      </c>
      <c r="C1719" s="10" t="s">
        <v>79</v>
      </c>
      <c r="D1719" s="10" t="s">
        <v>137</v>
      </c>
      <c r="E1719" s="13" t="str">
        <f>IFERROR(__xludf.DUMMYFUNCTION("ifna(filter('Yahoo ADP'!$A$2:$A2766,'Yahoo ADP'!$B$2:$B2766=$B1719,$C1719='Yahoo ADP'!$C$2:$C2766,$D1719='Yahoo ADP'!$D$2:$D2766))"),"")</f>
        <v/>
      </c>
      <c r="F1719" s="13" t="str">
        <f>IFERROR(__xludf.DUMMYFUNCTION("ifna(filter('Yahoo ADP'!$E$2:$E2766,'Yahoo ADP'!$B$2:$B2766=$B1719,$C1719='Yahoo ADP'!$C$2:$C2766,$D1719='Yahoo ADP'!$D$2:$D2766))"),"-")</f>
        <v>-</v>
      </c>
      <c r="G1719" s="27">
        <v>1715.0</v>
      </c>
      <c r="H1719" s="8">
        <f t="shared" si="1"/>
        <v>-3</v>
      </c>
    </row>
    <row r="1720">
      <c r="A1720" s="10">
        <v>1719.0</v>
      </c>
      <c r="B1720" s="11" t="s">
        <v>4564</v>
      </c>
      <c r="C1720" s="10" t="s">
        <v>189</v>
      </c>
      <c r="D1720" s="10" t="s">
        <v>71</v>
      </c>
      <c r="E1720" s="13" t="str">
        <f>IFERROR(__xludf.DUMMYFUNCTION("ifna(filter('Yahoo ADP'!$A$2:$A2766,'Yahoo ADP'!$B$2:$B2766=$B1720,$C1720='Yahoo ADP'!$C$2:$C2766,$D1720='Yahoo ADP'!$D$2:$D2766))"),"")</f>
        <v/>
      </c>
      <c r="F1720" s="13" t="str">
        <f>IFERROR(__xludf.DUMMYFUNCTION("ifna(filter('Yahoo ADP'!$E$2:$E2766,'Yahoo ADP'!$B$2:$B2766=$B1720,$C1720='Yahoo ADP'!$C$2:$C2766,$D1720='Yahoo ADP'!$D$2:$D2766))"),"-")</f>
        <v>-</v>
      </c>
      <c r="G1720" s="27">
        <v>1716.0</v>
      </c>
      <c r="H1720" s="8">
        <f t="shared" si="1"/>
        <v>-3</v>
      </c>
    </row>
    <row r="1721">
      <c r="A1721" s="10">
        <v>1720.0</v>
      </c>
      <c r="B1721" s="11" t="s">
        <v>4565</v>
      </c>
      <c r="C1721" s="10" t="s">
        <v>8</v>
      </c>
      <c r="D1721" s="10" t="s">
        <v>18</v>
      </c>
      <c r="E1721" s="13" t="str">
        <f>IFERROR(__xludf.DUMMYFUNCTION("ifna(filter('Yahoo ADP'!$A$2:$A2766,'Yahoo ADP'!$B$2:$B2766=$B1721,$C1721='Yahoo ADP'!$C$2:$C2766,$D1721='Yahoo ADP'!$D$2:$D2766))"),"")</f>
        <v/>
      </c>
      <c r="F1721" s="13" t="str">
        <f>IFERROR(__xludf.DUMMYFUNCTION("ifna(filter('Yahoo ADP'!$E$2:$E2766,'Yahoo ADP'!$B$2:$B2766=$B1721,$C1721='Yahoo ADP'!$C$2:$C2766,$D1721='Yahoo ADP'!$D$2:$D2766))"),"-")</f>
        <v>-</v>
      </c>
      <c r="G1721" s="27">
        <v>1717.0</v>
      </c>
      <c r="H1721" s="8">
        <f t="shared" si="1"/>
        <v>-3</v>
      </c>
    </row>
    <row r="1722">
      <c r="A1722" s="10">
        <v>1721.0</v>
      </c>
      <c r="B1722" s="11" t="s">
        <v>4566</v>
      </c>
      <c r="C1722" s="10" t="s">
        <v>136</v>
      </c>
      <c r="D1722" s="10" t="s">
        <v>27</v>
      </c>
      <c r="E1722" s="13" t="str">
        <f>IFERROR(__xludf.DUMMYFUNCTION("ifna(filter('Yahoo ADP'!$A$2:$A2766,'Yahoo ADP'!$B$2:$B2766=$B1722,$C1722='Yahoo ADP'!$C$2:$C2766,$D1722='Yahoo ADP'!$D$2:$D2766))"),"")</f>
        <v/>
      </c>
      <c r="F1722" s="13" t="str">
        <f>IFERROR(__xludf.DUMMYFUNCTION("ifna(filter('Yahoo ADP'!$E$2:$E2766,'Yahoo ADP'!$B$2:$B2766=$B1722,$C1722='Yahoo ADP'!$C$2:$C2766,$D1722='Yahoo ADP'!$D$2:$D2766))"),"-")</f>
        <v>-</v>
      </c>
      <c r="G1722" s="27">
        <v>1718.0</v>
      </c>
      <c r="H1722" s="8">
        <f t="shared" si="1"/>
        <v>-3</v>
      </c>
    </row>
    <row r="1723">
      <c r="A1723" s="10">
        <v>1722.0</v>
      </c>
      <c r="B1723" s="11" t="s">
        <v>4567</v>
      </c>
      <c r="C1723" s="10" t="s">
        <v>1814</v>
      </c>
      <c r="D1723" s="10" t="s">
        <v>12</v>
      </c>
      <c r="E1723" s="13" t="str">
        <f>IFERROR(__xludf.DUMMYFUNCTION("ifna(filter('Yahoo ADP'!$A$2:$A2766,'Yahoo ADP'!$B$2:$B2766=$B1723,$C1723='Yahoo ADP'!$C$2:$C2766,$D1723='Yahoo ADP'!$D$2:$D2766))"),"")</f>
        <v/>
      </c>
      <c r="F1723" s="13" t="str">
        <f>IFERROR(__xludf.DUMMYFUNCTION("ifna(filter('Yahoo ADP'!$E$2:$E2766,'Yahoo ADP'!$B$2:$B2766=$B1723,$C1723='Yahoo ADP'!$C$2:$C2766,$D1723='Yahoo ADP'!$D$2:$D2766))"),"-")</f>
        <v>-</v>
      </c>
      <c r="G1723" s="27">
        <v>1719.0</v>
      </c>
      <c r="H1723" s="8">
        <f t="shared" si="1"/>
        <v>-3</v>
      </c>
    </row>
    <row r="1724">
      <c r="A1724" s="10">
        <v>1723.0</v>
      </c>
      <c r="B1724" s="11" t="s">
        <v>4568</v>
      </c>
      <c r="C1724" s="10" t="s">
        <v>158</v>
      </c>
      <c r="D1724" s="10" t="s">
        <v>46</v>
      </c>
      <c r="E1724" s="13" t="str">
        <f>IFERROR(__xludf.DUMMYFUNCTION("ifna(filter('Yahoo ADP'!$A$2:$A2766,'Yahoo ADP'!$B$2:$B2766=$B1724,$C1724='Yahoo ADP'!$C$2:$C2766,$D1724='Yahoo ADP'!$D$2:$D2766))"),"")</f>
        <v/>
      </c>
      <c r="F1724" s="13" t="str">
        <f>IFERROR(__xludf.DUMMYFUNCTION("ifna(filter('Yahoo ADP'!$E$2:$E2766,'Yahoo ADP'!$B$2:$B2766=$B1724,$C1724='Yahoo ADP'!$C$2:$C2766,$D1724='Yahoo ADP'!$D$2:$D2766))"),"-")</f>
        <v>-</v>
      </c>
      <c r="G1724" s="27">
        <v>1720.0</v>
      </c>
      <c r="H1724" s="8">
        <f t="shared" si="1"/>
        <v>-3</v>
      </c>
    </row>
    <row r="1725">
      <c r="A1725" s="10">
        <v>1724.0</v>
      </c>
      <c r="B1725" s="11" t="s">
        <v>4569</v>
      </c>
      <c r="C1725" s="10" t="s">
        <v>79</v>
      </c>
      <c r="D1725" s="10" t="s">
        <v>15</v>
      </c>
      <c r="E1725" s="13" t="str">
        <f>IFERROR(__xludf.DUMMYFUNCTION("ifna(filter('Yahoo ADP'!$A$2:$A2766,'Yahoo ADP'!$B$2:$B2766=$B1725,$C1725='Yahoo ADP'!$C$2:$C2766,$D1725='Yahoo ADP'!$D$2:$D2766))"),"")</f>
        <v/>
      </c>
      <c r="F1725" s="13" t="str">
        <f>IFERROR(__xludf.DUMMYFUNCTION("ifna(filter('Yahoo ADP'!$E$2:$E2766,'Yahoo ADP'!$B$2:$B2766=$B1725,$C1725='Yahoo ADP'!$C$2:$C2766,$D1725='Yahoo ADP'!$D$2:$D2766))"),"-")</f>
        <v>-</v>
      </c>
      <c r="G1725" s="27">
        <v>1721.0</v>
      </c>
      <c r="H1725" s="8">
        <f t="shared" si="1"/>
        <v>-3</v>
      </c>
    </row>
    <row r="1726">
      <c r="A1726" s="10">
        <v>1725.0</v>
      </c>
      <c r="B1726" s="11" t="s">
        <v>4570</v>
      </c>
      <c r="C1726" s="10" t="s">
        <v>218</v>
      </c>
      <c r="D1726" s="10" t="s">
        <v>105</v>
      </c>
      <c r="E1726" s="13" t="str">
        <f>IFERROR(__xludf.DUMMYFUNCTION("ifna(filter('Yahoo ADP'!$A$2:$A2766,'Yahoo ADP'!$B$2:$B2766=$B1726,$C1726='Yahoo ADP'!$C$2:$C2766,$D1726='Yahoo ADP'!$D$2:$D2766))"),"")</f>
        <v/>
      </c>
      <c r="F1726" s="13" t="str">
        <f>IFERROR(__xludf.DUMMYFUNCTION("ifna(filter('Yahoo ADP'!$E$2:$E2766,'Yahoo ADP'!$B$2:$B2766=$B1726,$C1726='Yahoo ADP'!$C$2:$C2766,$D1726='Yahoo ADP'!$D$2:$D2766))"),"-")</f>
        <v>-</v>
      </c>
      <c r="G1726" s="27">
        <v>1722.0</v>
      </c>
      <c r="H1726" s="8">
        <f t="shared" si="1"/>
        <v>-3</v>
      </c>
    </row>
    <row r="1727">
      <c r="A1727" s="10">
        <v>1726.0</v>
      </c>
      <c r="B1727" s="11" t="s">
        <v>4571</v>
      </c>
      <c r="C1727" s="10" t="s">
        <v>283</v>
      </c>
      <c r="D1727" s="10" t="s">
        <v>31</v>
      </c>
      <c r="E1727" s="13" t="str">
        <f>IFERROR(__xludf.DUMMYFUNCTION("ifna(filter('Yahoo ADP'!$A$2:$A2766,'Yahoo ADP'!$B$2:$B2766=$B1727,$C1727='Yahoo ADP'!$C$2:$C2766,$D1727='Yahoo ADP'!$D$2:$D2766))"),"")</f>
        <v/>
      </c>
      <c r="F1727" s="13" t="str">
        <f>IFERROR(__xludf.DUMMYFUNCTION("ifna(filter('Yahoo ADP'!$E$2:$E2766,'Yahoo ADP'!$B$2:$B2766=$B1727,$C1727='Yahoo ADP'!$C$2:$C2766,$D1727='Yahoo ADP'!$D$2:$D2766))"),"-")</f>
        <v>-</v>
      </c>
      <c r="G1727" s="27">
        <v>1723.0</v>
      </c>
      <c r="H1727" s="8">
        <f t="shared" si="1"/>
        <v>-3</v>
      </c>
    </row>
    <row r="1728">
      <c r="A1728" s="10">
        <v>1727.0</v>
      </c>
      <c r="B1728" s="11" t="s">
        <v>4572</v>
      </c>
      <c r="C1728" s="10" t="s">
        <v>218</v>
      </c>
      <c r="D1728" s="10" t="s">
        <v>34</v>
      </c>
      <c r="E1728" s="13" t="str">
        <f>IFERROR(__xludf.DUMMYFUNCTION("ifna(filter('Yahoo ADP'!$A$2:$A2766,'Yahoo ADP'!$B$2:$B2766=$B1728,$C1728='Yahoo ADP'!$C$2:$C2766,$D1728='Yahoo ADP'!$D$2:$D2766))"),"")</f>
        <v/>
      </c>
      <c r="F1728" s="13" t="str">
        <f>IFERROR(__xludf.DUMMYFUNCTION("ifna(filter('Yahoo ADP'!$E$2:$E2766,'Yahoo ADP'!$B$2:$B2766=$B1728,$C1728='Yahoo ADP'!$C$2:$C2766,$D1728='Yahoo ADP'!$D$2:$D2766))"),"-")</f>
        <v>-</v>
      </c>
      <c r="G1728" s="27">
        <v>1724.0</v>
      </c>
      <c r="H1728" s="8">
        <f t="shared" si="1"/>
        <v>-3</v>
      </c>
    </row>
    <row r="1729">
      <c r="A1729" s="10">
        <v>1728.0</v>
      </c>
      <c r="B1729" s="11" t="s">
        <v>4573</v>
      </c>
      <c r="C1729" s="10" t="s">
        <v>77</v>
      </c>
      <c r="D1729" s="10" t="s">
        <v>90</v>
      </c>
      <c r="E1729" s="13" t="str">
        <f>IFERROR(__xludf.DUMMYFUNCTION("ifna(filter('Yahoo ADP'!$A$2:$A2766,'Yahoo ADP'!$B$2:$B2766=$B1729,$C1729='Yahoo ADP'!$C$2:$C2766,$D1729='Yahoo ADP'!$D$2:$D2766))"),"")</f>
        <v/>
      </c>
      <c r="F1729" s="13" t="str">
        <f>IFERROR(__xludf.DUMMYFUNCTION("ifna(filter('Yahoo ADP'!$E$2:$E2766,'Yahoo ADP'!$B$2:$B2766=$B1729,$C1729='Yahoo ADP'!$C$2:$C2766,$D1729='Yahoo ADP'!$D$2:$D2766))"),"-")</f>
        <v>-</v>
      </c>
      <c r="G1729" s="27">
        <v>1725.0</v>
      </c>
      <c r="H1729" s="8">
        <f t="shared" si="1"/>
        <v>-3</v>
      </c>
    </row>
    <row r="1730">
      <c r="A1730" s="10">
        <v>1729.0</v>
      </c>
      <c r="B1730" s="11" t="s">
        <v>4574</v>
      </c>
      <c r="C1730" s="10" t="s">
        <v>79</v>
      </c>
      <c r="D1730" s="10" t="s">
        <v>46</v>
      </c>
      <c r="E1730" s="13" t="str">
        <f>IFERROR(__xludf.DUMMYFUNCTION("ifna(filter('Yahoo ADP'!$A$2:$A2766,'Yahoo ADP'!$B$2:$B2766=$B1730,$C1730='Yahoo ADP'!$C$2:$C2766,$D1730='Yahoo ADP'!$D$2:$D2766))"),"")</f>
        <v/>
      </c>
      <c r="F1730" s="13" t="str">
        <f>IFERROR(__xludf.DUMMYFUNCTION("ifna(filter('Yahoo ADP'!$E$2:$E2766,'Yahoo ADP'!$B$2:$B2766=$B1730,$C1730='Yahoo ADP'!$C$2:$C2766,$D1730='Yahoo ADP'!$D$2:$D2766))"),"-")</f>
        <v>-</v>
      </c>
      <c r="G1730" s="27">
        <v>1726.0</v>
      </c>
      <c r="H1730" s="8">
        <f t="shared" si="1"/>
        <v>-3</v>
      </c>
    </row>
    <row r="1731">
      <c r="A1731" s="10">
        <v>1730.0</v>
      </c>
      <c r="B1731" s="11" t="s">
        <v>4575</v>
      </c>
      <c r="C1731" s="10" t="s">
        <v>79</v>
      </c>
      <c r="D1731" s="10" t="s">
        <v>82</v>
      </c>
      <c r="E1731" s="13" t="str">
        <f>IFERROR(__xludf.DUMMYFUNCTION("ifna(filter('Yahoo ADP'!$A$2:$A2766,'Yahoo ADP'!$B$2:$B2766=$B1731,$C1731='Yahoo ADP'!$C$2:$C2766,$D1731='Yahoo ADP'!$D$2:$D2766))"),"")</f>
        <v/>
      </c>
      <c r="F1731" s="13" t="str">
        <f>IFERROR(__xludf.DUMMYFUNCTION("ifna(filter('Yahoo ADP'!$E$2:$E2766,'Yahoo ADP'!$B$2:$B2766=$B1731,$C1731='Yahoo ADP'!$C$2:$C2766,$D1731='Yahoo ADP'!$D$2:$D2766))"),"-")</f>
        <v>-</v>
      </c>
      <c r="G1731" s="27">
        <v>1727.0</v>
      </c>
      <c r="H1731" s="8">
        <f t="shared" si="1"/>
        <v>-3</v>
      </c>
    </row>
    <row r="1732">
      <c r="A1732" s="10">
        <v>1731.0</v>
      </c>
      <c r="B1732" s="11" t="s">
        <v>4576</v>
      </c>
      <c r="C1732" s="10" t="s">
        <v>126</v>
      </c>
      <c r="D1732" s="10" t="s">
        <v>120</v>
      </c>
      <c r="E1732" s="13" t="str">
        <f>IFERROR(__xludf.DUMMYFUNCTION("ifna(filter('Yahoo ADP'!$A$2:$A2766,'Yahoo ADP'!$B$2:$B2766=$B1732,$C1732='Yahoo ADP'!$C$2:$C2766,$D1732='Yahoo ADP'!$D$2:$D2766))"),"")</f>
        <v/>
      </c>
      <c r="F1732" s="13" t="str">
        <f>IFERROR(__xludf.DUMMYFUNCTION("ifna(filter('Yahoo ADP'!$E$2:$E2766,'Yahoo ADP'!$B$2:$B2766=$B1732,$C1732='Yahoo ADP'!$C$2:$C2766,$D1732='Yahoo ADP'!$D$2:$D2766))"),"-")</f>
        <v>-</v>
      </c>
      <c r="G1732" s="27">
        <v>1728.0</v>
      </c>
      <c r="H1732" s="8">
        <f t="shared" si="1"/>
        <v>-3</v>
      </c>
    </row>
    <row r="1733">
      <c r="A1733" s="10">
        <v>1732.0</v>
      </c>
      <c r="B1733" s="11" t="s">
        <v>4577</v>
      </c>
      <c r="C1733" s="10" t="s">
        <v>240</v>
      </c>
      <c r="D1733" s="10" t="s">
        <v>206</v>
      </c>
      <c r="E1733" s="13" t="str">
        <f>IFERROR(__xludf.DUMMYFUNCTION("ifna(filter('Yahoo ADP'!$A$2:$A2766,'Yahoo ADP'!$B$2:$B2766=$B1733,$C1733='Yahoo ADP'!$C$2:$C2766,$D1733='Yahoo ADP'!$D$2:$D2766))"),"")</f>
        <v/>
      </c>
      <c r="F1733" s="13" t="str">
        <f>IFERROR(__xludf.DUMMYFUNCTION("ifna(filter('Yahoo ADP'!$E$2:$E2766,'Yahoo ADP'!$B$2:$B2766=$B1733,$C1733='Yahoo ADP'!$C$2:$C2766,$D1733='Yahoo ADP'!$D$2:$D2766))"),"-")</f>
        <v>-</v>
      </c>
      <c r="G1733" s="27">
        <v>1729.0</v>
      </c>
      <c r="H1733" s="8">
        <f t="shared" si="1"/>
        <v>-3</v>
      </c>
    </row>
    <row r="1734">
      <c r="A1734" s="10">
        <v>1733.0</v>
      </c>
      <c r="B1734" s="11" t="s">
        <v>4578</v>
      </c>
      <c r="C1734" s="10" t="s">
        <v>20</v>
      </c>
      <c r="D1734" s="10" t="s">
        <v>137</v>
      </c>
      <c r="E1734" s="13" t="str">
        <f>IFERROR(__xludf.DUMMYFUNCTION("ifna(filter('Yahoo ADP'!$A$2:$A2766,'Yahoo ADP'!$B$2:$B2766=$B1734,$C1734='Yahoo ADP'!$C$2:$C2766,$D1734='Yahoo ADP'!$D$2:$D2766))"),"")</f>
        <v/>
      </c>
      <c r="F1734" s="13" t="str">
        <f>IFERROR(__xludf.DUMMYFUNCTION("ifna(filter('Yahoo ADP'!$E$2:$E2766,'Yahoo ADP'!$B$2:$B2766=$B1734,$C1734='Yahoo ADP'!$C$2:$C2766,$D1734='Yahoo ADP'!$D$2:$D2766))"),"-")</f>
        <v>-</v>
      </c>
      <c r="G1734" s="27">
        <v>1730.0</v>
      </c>
      <c r="H1734" s="8">
        <f t="shared" si="1"/>
        <v>-3</v>
      </c>
    </row>
    <row r="1735">
      <c r="A1735" s="10">
        <v>1734.0</v>
      </c>
      <c r="B1735" s="11" t="s">
        <v>4579</v>
      </c>
      <c r="C1735" s="10" t="s">
        <v>158</v>
      </c>
      <c r="D1735" s="10" t="s">
        <v>12</v>
      </c>
      <c r="E1735" s="13" t="str">
        <f>IFERROR(__xludf.DUMMYFUNCTION("ifna(filter('Yahoo ADP'!$A$2:$A2766,'Yahoo ADP'!$B$2:$B2766=$B1735,$C1735='Yahoo ADP'!$C$2:$C2766,$D1735='Yahoo ADP'!$D$2:$D2766))"),"")</f>
        <v/>
      </c>
      <c r="F1735" s="13" t="str">
        <f>IFERROR(__xludf.DUMMYFUNCTION("ifna(filter('Yahoo ADP'!$E$2:$E2766,'Yahoo ADP'!$B$2:$B2766=$B1735,$C1735='Yahoo ADP'!$C$2:$C2766,$D1735='Yahoo ADP'!$D$2:$D2766))"),"-")</f>
        <v>-</v>
      </c>
      <c r="G1735" s="27">
        <v>1731.0</v>
      </c>
      <c r="H1735" s="8">
        <f t="shared" si="1"/>
        <v>-3</v>
      </c>
    </row>
    <row r="1736">
      <c r="A1736" s="10">
        <v>1735.0</v>
      </c>
      <c r="B1736" s="11" t="s">
        <v>4580</v>
      </c>
      <c r="C1736" s="10" t="s">
        <v>22</v>
      </c>
      <c r="D1736" s="10" t="s">
        <v>82</v>
      </c>
      <c r="E1736" s="13" t="str">
        <f>IFERROR(__xludf.DUMMYFUNCTION("ifna(filter('Yahoo ADP'!$A$2:$A2766,'Yahoo ADP'!$B$2:$B2766=$B1736,$C1736='Yahoo ADP'!$C$2:$C2766,$D1736='Yahoo ADP'!$D$2:$D2766))"),"")</f>
        <v/>
      </c>
      <c r="F1736" s="13" t="str">
        <f>IFERROR(__xludf.DUMMYFUNCTION("ifna(filter('Yahoo ADP'!$E$2:$E2766,'Yahoo ADP'!$B$2:$B2766=$B1736,$C1736='Yahoo ADP'!$C$2:$C2766,$D1736='Yahoo ADP'!$D$2:$D2766))"),"-")</f>
        <v>-</v>
      </c>
      <c r="G1736" s="27">
        <v>1732.0</v>
      </c>
      <c r="H1736" s="8">
        <f t="shared" si="1"/>
        <v>-3</v>
      </c>
    </row>
    <row r="1737">
      <c r="A1737" s="10">
        <v>1736.0</v>
      </c>
      <c r="B1737" s="11" t="s">
        <v>4581</v>
      </c>
      <c r="C1737" s="10" t="s">
        <v>48</v>
      </c>
      <c r="D1737" s="10" t="s">
        <v>42</v>
      </c>
      <c r="E1737" s="13" t="str">
        <f>IFERROR(__xludf.DUMMYFUNCTION("ifna(filter('Yahoo ADP'!$A$2:$A2766,'Yahoo ADP'!$B$2:$B2766=$B1737,$C1737='Yahoo ADP'!$C$2:$C2766,$D1737='Yahoo ADP'!$D$2:$D2766))"),"")</f>
        <v/>
      </c>
      <c r="F1737" s="13" t="str">
        <f>IFERROR(__xludf.DUMMYFUNCTION("ifna(filter('Yahoo ADP'!$E$2:$E2766,'Yahoo ADP'!$B$2:$B2766=$B1737,$C1737='Yahoo ADP'!$C$2:$C2766,$D1737='Yahoo ADP'!$D$2:$D2766))"),"-")</f>
        <v>-</v>
      </c>
      <c r="G1737" s="27">
        <v>1733.0</v>
      </c>
      <c r="H1737" s="8">
        <f t="shared" si="1"/>
        <v>-3</v>
      </c>
    </row>
    <row r="1738">
      <c r="A1738" s="10">
        <v>1737.0</v>
      </c>
      <c r="B1738" s="11" t="s">
        <v>4582</v>
      </c>
      <c r="C1738" s="10" t="s">
        <v>22</v>
      </c>
      <c r="D1738" s="10" t="s">
        <v>113</v>
      </c>
      <c r="E1738" s="13" t="str">
        <f>IFERROR(__xludf.DUMMYFUNCTION("ifna(filter('Yahoo ADP'!$A$2:$A2766,'Yahoo ADP'!$B$2:$B2766=$B1738,$C1738='Yahoo ADP'!$C$2:$C2766,$D1738='Yahoo ADP'!$D$2:$D2766))"),"")</f>
        <v/>
      </c>
      <c r="F1738" s="13" t="str">
        <f>IFERROR(__xludf.DUMMYFUNCTION("ifna(filter('Yahoo ADP'!$E$2:$E2766,'Yahoo ADP'!$B$2:$B2766=$B1738,$C1738='Yahoo ADP'!$C$2:$C2766,$D1738='Yahoo ADP'!$D$2:$D2766))"),"-")</f>
        <v>-</v>
      </c>
      <c r="G1738" s="27">
        <v>1734.0</v>
      </c>
      <c r="H1738" s="8">
        <f t="shared" si="1"/>
        <v>-3</v>
      </c>
    </row>
    <row r="1739">
      <c r="A1739" s="10">
        <v>1738.0</v>
      </c>
      <c r="B1739" s="11" t="s">
        <v>4583</v>
      </c>
      <c r="C1739" s="10" t="s">
        <v>79</v>
      </c>
      <c r="D1739" s="10" t="s">
        <v>137</v>
      </c>
      <c r="E1739" s="13" t="str">
        <f>IFERROR(__xludf.DUMMYFUNCTION("ifna(filter('Yahoo ADP'!$A$2:$A2766,'Yahoo ADP'!$B$2:$B2766=$B1739,$C1739='Yahoo ADP'!$C$2:$C2766,$D1739='Yahoo ADP'!$D$2:$D2766))"),"")</f>
        <v/>
      </c>
      <c r="F1739" s="13" t="str">
        <f>IFERROR(__xludf.DUMMYFUNCTION("ifna(filter('Yahoo ADP'!$E$2:$E2766,'Yahoo ADP'!$B$2:$B2766=$B1739,$C1739='Yahoo ADP'!$C$2:$C2766,$D1739='Yahoo ADP'!$D$2:$D2766))"),"-")</f>
        <v>-</v>
      </c>
      <c r="G1739" s="27">
        <v>1735.0</v>
      </c>
      <c r="H1739" s="8">
        <f t="shared" si="1"/>
        <v>-3</v>
      </c>
    </row>
    <row r="1740">
      <c r="A1740" s="10">
        <v>1739.0</v>
      </c>
      <c r="B1740" s="11" t="s">
        <v>4584</v>
      </c>
      <c r="C1740" s="10" t="s">
        <v>87</v>
      </c>
      <c r="D1740" s="10" t="s">
        <v>42</v>
      </c>
      <c r="E1740" s="13" t="str">
        <f>IFERROR(__xludf.DUMMYFUNCTION("ifna(filter('Yahoo ADP'!$A$2:$A2766,'Yahoo ADP'!$B$2:$B2766=$B1740,$C1740='Yahoo ADP'!$C$2:$C2766,$D1740='Yahoo ADP'!$D$2:$D2766))"),"")</f>
        <v/>
      </c>
      <c r="F1740" s="13" t="str">
        <f>IFERROR(__xludf.DUMMYFUNCTION("ifna(filter('Yahoo ADP'!$E$2:$E2766,'Yahoo ADP'!$B$2:$B2766=$B1740,$C1740='Yahoo ADP'!$C$2:$C2766,$D1740='Yahoo ADP'!$D$2:$D2766))"),"-")</f>
        <v>-</v>
      </c>
      <c r="G1740" s="27">
        <v>1736.0</v>
      </c>
      <c r="H1740" s="8">
        <f t="shared" si="1"/>
        <v>-3</v>
      </c>
    </row>
    <row r="1741">
      <c r="A1741" s="10">
        <v>1740.0</v>
      </c>
      <c r="B1741" s="11" t="s">
        <v>4585</v>
      </c>
      <c r="C1741" s="10" t="s">
        <v>39</v>
      </c>
      <c r="D1741" s="10" t="s">
        <v>27</v>
      </c>
      <c r="E1741" s="13" t="str">
        <f>IFERROR(__xludf.DUMMYFUNCTION("ifna(filter('Yahoo ADP'!$A$2:$A2766,'Yahoo ADP'!$B$2:$B2766=$B1741,$C1741='Yahoo ADP'!$C$2:$C2766,$D1741='Yahoo ADP'!$D$2:$D2766))"),"")</f>
        <v/>
      </c>
      <c r="F1741" s="13" t="str">
        <f>IFERROR(__xludf.DUMMYFUNCTION("ifna(filter('Yahoo ADP'!$E$2:$E2766,'Yahoo ADP'!$B$2:$B2766=$B1741,$C1741='Yahoo ADP'!$C$2:$C2766,$D1741='Yahoo ADP'!$D$2:$D2766))"),"-")</f>
        <v>-</v>
      </c>
      <c r="G1741" s="27">
        <v>1737.0</v>
      </c>
      <c r="H1741" s="8">
        <f t="shared" si="1"/>
        <v>-3</v>
      </c>
    </row>
    <row r="1742">
      <c r="A1742" s="10">
        <v>1741.0</v>
      </c>
      <c r="B1742" s="11" t="s">
        <v>4586</v>
      </c>
      <c r="C1742" s="10" t="s">
        <v>22</v>
      </c>
      <c r="D1742" s="10" t="s">
        <v>18</v>
      </c>
      <c r="E1742" s="13" t="str">
        <f>IFERROR(__xludf.DUMMYFUNCTION("ifna(filter('Yahoo ADP'!$A$2:$A2766,'Yahoo ADP'!$B$2:$B2766=$B1742,$C1742='Yahoo ADP'!$C$2:$C2766,$D1742='Yahoo ADP'!$D$2:$D2766))"),"")</f>
        <v/>
      </c>
      <c r="F1742" s="13" t="str">
        <f>IFERROR(__xludf.DUMMYFUNCTION("ifna(filter('Yahoo ADP'!$E$2:$E2766,'Yahoo ADP'!$B$2:$B2766=$B1742,$C1742='Yahoo ADP'!$C$2:$C2766,$D1742='Yahoo ADP'!$D$2:$D2766))"),"-")</f>
        <v>-</v>
      </c>
      <c r="G1742" s="27">
        <v>1738.0</v>
      </c>
      <c r="H1742" s="8">
        <f t="shared" si="1"/>
        <v>-3</v>
      </c>
    </row>
    <row r="1743">
      <c r="A1743" s="10">
        <v>1742.0</v>
      </c>
      <c r="B1743" s="11" t="s">
        <v>4587</v>
      </c>
      <c r="C1743" s="10" t="s">
        <v>218</v>
      </c>
      <c r="D1743" s="10" t="s">
        <v>71</v>
      </c>
      <c r="E1743" s="13" t="str">
        <f>IFERROR(__xludf.DUMMYFUNCTION("ifna(filter('Yahoo ADP'!$A$2:$A2766,'Yahoo ADP'!$B$2:$B2766=$B1743,$C1743='Yahoo ADP'!$C$2:$C2766,$D1743='Yahoo ADP'!$D$2:$D2766))"),"")</f>
        <v/>
      </c>
      <c r="F1743" s="13" t="str">
        <f>IFERROR(__xludf.DUMMYFUNCTION("ifna(filter('Yahoo ADP'!$E$2:$E2766,'Yahoo ADP'!$B$2:$B2766=$B1743,$C1743='Yahoo ADP'!$C$2:$C2766,$D1743='Yahoo ADP'!$D$2:$D2766))"),"-")</f>
        <v>-</v>
      </c>
      <c r="G1743" s="27">
        <v>1739.0</v>
      </c>
      <c r="H1743" s="8">
        <f t="shared" si="1"/>
        <v>-3</v>
      </c>
    </row>
    <row r="1744">
      <c r="A1744" s="10">
        <v>1743.0</v>
      </c>
      <c r="B1744" s="11" t="s">
        <v>4588</v>
      </c>
      <c r="C1744" s="10" t="s">
        <v>220</v>
      </c>
      <c r="D1744" s="10" t="s">
        <v>99</v>
      </c>
      <c r="E1744" s="13" t="str">
        <f>IFERROR(__xludf.DUMMYFUNCTION("ifna(filter('Yahoo ADP'!$A$2:$A2766,'Yahoo ADP'!$B$2:$B2766=$B1744,$C1744='Yahoo ADP'!$C$2:$C2766,$D1744='Yahoo ADP'!$D$2:$D2766))"),"")</f>
        <v/>
      </c>
      <c r="F1744" s="13" t="str">
        <f>IFERROR(__xludf.DUMMYFUNCTION("ifna(filter('Yahoo ADP'!$E$2:$E2766,'Yahoo ADP'!$B$2:$B2766=$B1744,$C1744='Yahoo ADP'!$C$2:$C2766,$D1744='Yahoo ADP'!$D$2:$D2766))"),"-")</f>
        <v>-</v>
      </c>
      <c r="G1744" s="27">
        <v>1740.0</v>
      </c>
      <c r="H1744" s="8">
        <f t="shared" si="1"/>
        <v>-3</v>
      </c>
    </row>
    <row r="1745">
      <c r="A1745" s="10">
        <v>1744.0</v>
      </c>
      <c r="B1745" s="11" t="s">
        <v>4589</v>
      </c>
      <c r="C1745" s="10" t="s">
        <v>22</v>
      </c>
      <c r="D1745" s="10" t="s">
        <v>67</v>
      </c>
      <c r="E1745" s="13" t="str">
        <f>IFERROR(__xludf.DUMMYFUNCTION("ifna(filter('Yahoo ADP'!$A$2:$A2766,'Yahoo ADP'!$B$2:$B2766=$B1745,$C1745='Yahoo ADP'!$C$2:$C2766,$D1745='Yahoo ADP'!$D$2:$D2766))"),"")</f>
        <v/>
      </c>
      <c r="F1745" s="13" t="str">
        <f>IFERROR(__xludf.DUMMYFUNCTION("ifna(filter('Yahoo ADP'!$E$2:$E2766,'Yahoo ADP'!$B$2:$B2766=$B1745,$C1745='Yahoo ADP'!$C$2:$C2766,$D1745='Yahoo ADP'!$D$2:$D2766))"),"-")</f>
        <v>-</v>
      </c>
      <c r="G1745" s="27">
        <v>1741.0</v>
      </c>
      <c r="H1745" s="8">
        <f t="shared" si="1"/>
        <v>-3</v>
      </c>
    </row>
    <row r="1746">
      <c r="A1746" s="10">
        <v>1745.0</v>
      </c>
      <c r="B1746" s="11" t="s">
        <v>4590</v>
      </c>
      <c r="C1746" s="10" t="s">
        <v>218</v>
      </c>
      <c r="D1746" s="10" t="s">
        <v>42</v>
      </c>
      <c r="E1746" s="13" t="str">
        <f>IFERROR(__xludf.DUMMYFUNCTION("ifna(filter('Yahoo ADP'!$A$2:$A2766,'Yahoo ADP'!$B$2:$B2766=$B1746,$C1746='Yahoo ADP'!$C$2:$C2766,$D1746='Yahoo ADP'!$D$2:$D2766))"),"")</f>
        <v/>
      </c>
      <c r="F1746" s="13" t="str">
        <f>IFERROR(__xludf.DUMMYFUNCTION("ifna(filter('Yahoo ADP'!$E$2:$E2766,'Yahoo ADP'!$B$2:$B2766=$B1746,$C1746='Yahoo ADP'!$C$2:$C2766,$D1746='Yahoo ADP'!$D$2:$D2766))"),"-")</f>
        <v>-</v>
      </c>
      <c r="G1746" s="27">
        <v>1742.0</v>
      </c>
      <c r="H1746" s="8">
        <f t="shared" si="1"/>
        <v>-3</v>
      </c>
    </row>
    <row r="1747">
      <c r="A1747" s="10">
        <v>1746.0</v>
      </c>
      <c r="B1747" s="11" t="s">
        <v>4591</v>
      </c>
      <c r="C1747" s="10" t="s">
        <v>1839</v>
      </c>
      <c r="D1747" s="10" t="s">
        <v>18</v>
      </c>
      <c r="E1747" s="13" t="str">
        <f>IFERROR(__xludf.DUMMYFUNCTION("ifna(filter('Yahoo ADP'!$A$2:$A2766,'Yahoo ADP'!$B$2:$B2766=$B1747,$C1747='Yahoo ADP'!$C$2:$C2766,$D1747='Yahoo ADP'!$D$2:$D2766))"),"")</f>
        <v/>
      </c>
      <c r="F1747" s="13" t="str">
        <f>IFERROR(__xludf.DUMMYFUNCTION("ifna(filter('Yahoo ADP'!$E$2:$E2766,'Yahoo ADP'!$B$2:$B2766=$B1747,$C1747='Yahoo ADP'!$C$2:$C2766,$D1747='Yahoo ADP'!$D$2:$D2766))"),"-")</f>
        <v>-</v>
      </c>
      <c r="G1747" s="27">
        <v>1743.0</v>
      </c>
      <c r="H1747" s="8">
        <f t="shared" si="1"/>
        <v>-3</v>
      </c>
    </row>
    <row r="1748">
      <c r="A1748" s="10">
        <v>1747.0</v>
      </c>
      <c r="B1748" s="11" t="s">
        <v>4592</v>
      </c>
      <c r="C1748" s="10" t="s">
        <v>22</v>
      </c>
      <c r="D1748" s="10" t="s">
        <v>46</v>
      </c>
      <c r="E1748" s="13" t="str">
        <f>IFERROR(__xludf.DUMMYFUNCTION("ifna(filter('Yahoo ADP'!$A$2:$A2766,'Yahoo ADP'!$B$2:$B2766=$B1748,$C1748='Yahoo ADP'!$C$2:$C2766,$D1748='Yahoo ADP'!$D$2:$D2766))"),"")</f>
        <v/>
      </c>
      <c r="F1748" s="13" t="str">
        <f>IFERROR(__xludf.DUMMYFUNCTION("ifna(filter('Yahoo ADP'!$E$2:$E2766,'Yahoo ADP'!$B$2:$B2766=$B1748,$C1748='Yahoo ADP'!$C$2:$C2766,$D1748='Yahoo ADP'!$D$2:$D2766))"),"-")</f>
        <v>-</v>
      </c>
      <c r="G1748" s="27">
        <v>1744.0</v>
      </c>
      <c r="H1748" s="8">
        <f t="shared" si="1"/>
        <v>-3</v>
      </c>
    </row>
    <row r="1749">
      <c r="A1749" s="10">
        <v>1748.0</v>
      </c>
      <c r="B1749" s="11" t="s">
        <v>4593</v>
      </c>
      <c r="C1749" s="10" t="s">
        <v>77</v>
      </c>
      <c r="D1749" s="10" t="s">
        <v>99</v>
      </c>
      <c r="E1749" s="13" t="str">
        <f>IFERROR(__xludf.DUMMYFUNCTION("ifna(filter('Yahoo ADP'!$A$2:$A2766,'Yahoo ADP'!$B$2:$B2766=$B1749,$C1749='Yahoo ADP'!$C$2:$C2766,$D1749='Yahoo ADP'!$D$2:$D2766))"),"")</f>
        <v/>
      </c>
      <c r="F1749" s="13" t="str">
        <f>IFERROR(__xludf.DUMMYFUNCTION("ifna(filter('Yahoo ADP'!$E$2:$E2766,'Yahoo ADP'!$B$2:$B2766=$B1749,$C1749='Yahoo ADP'!$C$2:$C2766,$D1749='Yahoo ADP'!$D$2:$D2766))"),"-")</f>
        <v>-</v>
      </c>
      <c r="G1749" s="27">
        <v>1745.0</v>
      </c>
      <c r="H1749" s="8">
        <f t="shared" si="1"/>
        <v>-3</v>
      </c>
    </row>
    <row r="1750">
      <c r="A1750" s="10">
        <v>1749.0</v>
      </c>
      <c r="B1750" s="11" t="s">
        <v>4594</v>
      </c>
      <c r="C1750" s="10" t="s">
        <v>218</v>
      </c>
      <c r="D1750" s="10" t="s">
        <v>18</v>
      </c>
      <c r="E1750" s="13" t="str">
        <f>IFERROR(__xludf.DUMMYFUNCTION("ifna(filter('Yahoo ADP'!$A$2:$A2766,'Yahoo ADP'!$B$2:$B2766=$B1750,$C1750='Yahoo ADP'!$C$2:$C2766,$D1750='Yahoo ADP'!$D$2:$D2766))"),"")</f>
        <v/>
      </c>
      <c r="F1750" s="13" t="str">
        <f>IFERROR(__xludf.DUMMYFUNCTION("ifna(filter('Yahoo ADP'!$E$2:$E2766,'Yahoo ADP'!$B$2:$B2766=$B1750,$C1750='Yahoo ADP'!$C$2:$C2766,$D1750='Yahoo ADP'!$D$2:$D2766))"),"-")</f>
        <v>-</v>
      </c>
      <c r="G1750" s="27">
        <v>1746.0</v>
      </c>
      <c r="H1750" s="8">
        <f t="shared" si="1"/>
        <v>-3</v>
      </c>
    </row>
    <row r="1751">
      <c r="A1751" s="10">
        <v>1750.0</v>
      </c>
      <c r="B1751" s="11" t="s">
        <v>4595</v>
      </c>
      <c r="C1751" s="10" t="s">
        <v>77</v>
      </c>
      <c r="D1751" s="10" t="s">
        <v>49</v>
      </c>
      <c r="E1751" s="13" t="str">
        <f>IFERROR(__xludf.DUMMYFUNCTION("ifna(filter('Yahoo ADP'!$A$2:$A2766,'Yahoo ADP'!$B$2:$B2766=$B1751,$C1751='Yahoo ADP'!$C$2:$C2766,$D1751='Yahoo ADP'!$D$2:$D2766))"),"")</f>
        <v/>
      </c>
      <c r="F1751" s="13" t="str">
        <f>IFERROR(__xludf.DUMMYFUNCTION("ifna(filter('Yahoo ADP'!$E$2:$E2766,'Yahoo ADP'!$B$2:$B2766=$B1751,$C1751='Yahoo ADP'!$C$2:$C2766,$D1751='Yahoo ADP'!$D$2:$D2766))"),"-")</f>
        <v>-</v>
      </c>
      <c r="G1751" s="27">
        <v>1747.0</v>
      </c>
      <c r="H1751" s="8">
        <f t="shared" si="1"/>
        <v>-3</v>
      </c>
    </row>
    <row r="1752">
      <c r="A1752" s="10">
        <v>1751.0</v>
      </c>
      <c r="B1752" s="11" t="s">
        <v>4596</v>
      </c>
      <c r="C1752" s="10" t="s">
        <v>327</v>
      </c>
      <c r="D1752" s="10" t="s">
        <v>99</v>
      </c>
      <c r="E1752" s="13" t="str">
        <f>IFERROR(__xludf.DUMMYFUNCTION("ifna(filter('Yahoo ADP'!$A$2:$A2766,'Yahoo ADP'!$B$2:$B2766=$B1752,$C1752='Yahoo ADP'!$C$2:$C2766,$D1752='Yahoo ADP'!$D$2:$D2766))"),"")</f>
        <v/>
      </c>
      <c r="F1752" s="13" t="str">
        <f>IFERROR(__xludf.DUMMYFUNCTION("ifna(filter('Yahoo ADP'!$E$2:$E2766,'Yahoo ADP'!$B$2:$B2766=$B1752,$C1752='Yahoo ADP'!$C$2:$C2766,$D1752='Yahoo ADP'!$D$2:$D2766))"),"-")</f>
        <v>-</v>
      </c>
      <c r="G1752" s="27">
        <v>1748.0</v>
      </c>
      <c r="H1752" s="8">
        <f t="shared" si="1"/>
        <v>-3</v>
      </c>
    </row>
    <row r="1753">
      <c r="A1753" s="10">
        <v>1752.0</v>
      </c>
      <c r="B1753" s="11" t="s">
        <v>4597</v>
      </c>
      <c r="C1753" s="10" t="s">
        <v>220</v>
      </c>
      <c r="D1753" s="10" t="s">
        <v>71</v>
      </c>
      <c r="E1753" s="13" t="str">
        <f>IFERROR(__xludf.DUMMYFUNCTION("ifna(filter('Yahoo ADP'!$A$2:$A2766,'Yahoo ADP'!$B$2:$B2766=$B1753,$C1753='Yahoo ADP'!$C$2:$C2766,$D1753='Yahoo ADP'!$D$2:$D2766))"),"")</f>
        <v/>
      </c>
      <c r="F1753" s="13" t="str">
        <f>IFERROR(__xludf.DUMMYFUNCTION("ifna(filter('Yahoo ADP'!$E$2:$E2766,'Yahoo ADP'!$B$2:$B2766=$B1753,$C1753='Yahoo ADP'!$C$2:$C2766,$D1753='Yahoo ADP'!$D$2:$D2766))"),"-")</f>
        <v>-</v>
      </c>
      <c r="G1753" s="27">
        <v>1749.0</v>
      </c>
      <c r="H1753" s="8">
        <f t="shared" si="1"/>
        <v>-3</v>
      </c>
    </row>
    <row r="1754">
      <c r="A1754" s="10">
        <v>1753.0</v>
      </c>
      <c r="B1754" s="11" t="s">
        <v>4598</v>
      </c>
      <c r="C1754" s="10" t="s">
        <v>136</v>
      </c>
      <c r="D1754" s="10" t="s">
        <v>49</v>
      </c>
      <c r="E1754" s="13" t="str">
        <f>IFERROR(__xludf.DUMMYFUNCTION("ifna(filter('Yahoo ADP'!$A$2:$A2766,'Yahoo ADP'!$B$2:$B2766=$B1754,$C1754='Yahoo ADP'!$C$2:$C2766,$D1754='Yahoo ADP'!$D$2:$D2766))"),"")</f>
        <v/>
      </c>
      <c r="F1754" s="13" t="str">
        <f>IFERROR(__xludf.DUMMYFUNCTION("ifna(filter('Yahoo ADP'!$E$2:$E2766,'Yahoo ADP'!$B$2:$B2766=$B1754,$C1754='Yahoo ADP'!$C$2:$C2766,$D1754='Yahoo ADP'!$D$2:$D2766))"),"-")</f>
        <v>-</v>
      </c>
      <c r="G1754" s="27">
        <v>1750.0</v>
      </c>
      <c r="H1754" s="8">
        <f t="shared" si="1"/>
        <v>-3</v>
      </c>
    </row>
    <row r="1755">
      <c r="A1755" s="10">
        <v>1754.0</v>
      </c>
      <c r="B1755" s="11" t="s">
        <v>4599</v>
      </c>
      <c r="C1755" s="10" t="s">
        <v>8</v>
      </c>
      <c r="D1755" s="10" t="s">
        <v>122</v>
      </c>
      <c r="E1755" s="13" t="str">
        <f>IFERROR(__xludf.DUMMYFUNCTION("ifna(filter('Yahoo ADP'!$A$2:$A2766,'Yahoo ADP'!$B$2:$B2766=$B1755,$C1755='Yahoo ADP'!$C$2:$C2766,$D1755='Yahoo ADP'!$D$2:$D2766))"),"")</f>
        <v/>
      </c>
      <c r="F1755" s="13" t="str">
        <f>IFERROR(__xludf.DUMMYFUNCTION("ifna(filter('Yahoo ADP'!$E$2:$E2766,'Yahoo ADP'!$B$2:$B2766=$B1755,$C1755='Yahoo ADP'!$C$2:$C2766,$D1755='Yahoo ADP'!$D$2:$D2766))"),"-")</f>
        <v>-</v>
      </c>
      <c r="G1755" s="27">
        <v>1751.0</v>
      </c>
      <c r="H1755" s="8">
        <f t="shared" si="1"/>
        <v>-3</v>
      </c>
    </row>
    <row r="1756">
      <c r="A1756" s="10">
        <v>1755.0</v>
      </c>
      <c r="B1756" s="11" t="s">
        <v>4600</v>
      </c>
      <c r="C1756" s="10" t="s">
        <v>220</v>
      </c>
      <c r="D1756" s="10" t="s">
        <v>113</v>
      </c>
      <c r="E1756" s="13" t="str">
        <f>IFERROR(__xludf.DUMMYFUNCTION("ifna(filter('Yahoo ADP'!$A$2:$A2766,'Yahoo ADP'!$B$2:$B2766=$B1756,$C1756='Yahoo ADP'!$C$2:$C2766,$D1756='Yahoo ADP'!$D$2:$D2766))"),"")</f>
        <v/>
      </c>
      <c r="F1756" s="13" t="str">
        <f>IFERROR(__xludf.DUMMYFUNCTION("ifna(filter('Yahoo ADP'!$E$2:$E2766,'Yahoo ADP'!$B$2:$B2766=$B1756,$C1756='Yahoo ADP'!$C$2:$C2766,$D1756='Yahoo ADP'!$D$2:$D2766))"),"-")</f>
        <v>-</v>
      </c>
      <c r="G1756" s="27">
        <v>1752.0</v>
      </c>
      <c r="H1756" s="8">
        <f t="shared" si="1"/>
        <v>-3</v>
      </c>
    </row>
    <row r="1757">
      <c r="A1757" s="10">
        <v>1756.0</v>
      </c>
      <c r="B1757" s="11" t="s">
        <v>4601</v>
      </c>
      <c r="C1757" s="10" t="s">
        <v>77</v>
      </c>
      <c r="D1757" s="10" t="s">
        <v>42</v>
      </c>
      <c r="E1757" s="13" t="str">
        <f>IFERROR(__xludf.DUMMYFUNCTION("ifna(filter('Yahoo ADP'!$A$2:$A2766,'Yahoo ADP'!$B$2:$B2766=$B1757,$C1757='Yahoo ADP'!$C$2:$C2766,$D1757='Yahoo ADP'!$D$2:$D2766))"),"")</f>
        <v/>
      </c>
      <c r="F1757" s="13" t="str">
        <f>IFERROR(__xludf.DUMMYFUNCTION("ifna(filter('Yahoo ADP'!$E$2:$E2766,'Yahoo ADP'!$B$2:$B2766=$B1757,$C1757='Yahoo ADP'!$C$2:$C2766,$D1757='Yahoo ADP'!$D$2:$D2766))"),"-")</f>
        <v>-</v>
      </c>
      <c r="G1757" s="27">
        <v>1753.0</v>
      </c>
      <c r="H1757" s="8">
        <f t="shared" si="1"/>
        <v>-3</v>
      </c>
    </row>
    <row r="1758">
      <c r="A1758" s="10">
        <v>1757.0</v>
      </c>
      <c r="B1758" s="11" t="s">
        <v>4602</v>
      </c>
      <c r="C1758" s="10" t="s">
        <v>17</v>
      </c>
      <c r="D1758" s="10" t="s">
        <v>36</v>
      </c>
      <c r="E1758" s="13" t="str">
        <f>IFERROR(__xludf.DUMMYFUNCTION("ifna(filter('Yahoo ADP'!$A$2:$A2766,'Yahoo ADP'!$B$2:$B2766=$B1758,$C1758='Yahoo ADP'!$C$2:$C2766,$D1758='Yahoo ADP'!$D$2:$D2766))"),"")</f>
        <v/>
      </c>
      <c r="F1758" s="13" t="str">
        <f>IFERROR(__xludf.DUMMYFUNCTION("ifna(filter('Yahoo ADP'!$E$2:$E2766,'Yahoo ADP'!$B$2:$B2766=$B1758,$C1758='Yahoo ADP'!$C$2:$C2766,$D1758='Yahoo ADP'!$D$2:$D2766))"),"-")</f>
        <v>-</v>
      </c>
      <c r="G1758" s="27">
        <v>1754.0</v>
      </c>
      <c r="H1758" s="8">
        <f t="shared" si="1"/>
        <v>-3</v>
      </c>
    </row>
    <row r="1759">
      <c r="A1759" s="10">
        <v>1758.0</v>
      </c>
      <c r="B1759" s="11" t="s">
        <v>4603</v>
      </c>
      <c r="C1759" s="10" t="s">
        <v>220</v>
      </c>
      <c r="D1759" s="10" t="s">
        <v>90</v>
      </c>
      <c r="E1759" s="13" t="str">
        <f>IFERROR(__xludf.DUMMYFUNCTION("ifna(filter('Yahoo ADP'!$A$2:$A2766,'Yahoo ADP'!$B$2:$B2766=$B1759,$C1759='Yahoo ADP'!$C$2:$C2766,$D1759='Yahoo ADP'!$D$2:$D2766))"),"")</f>
        <v/>
      </c>
      <c r="F1759" s="13" t="str">
        <f>IFERROR(__xludf.DUMMYFUNCTION("ifna(filter('Yahoo ADP'!$E$2:$E2766,'Yahoo ADP'!$B$2:$B2766=$B1759,$C1759='Yahoo ADP'!$C$2:$C2766,$D1759='Yahoo ADP'!$D$2:$D2766))"),"-")</f>
        <v>-</v>
      </c>
      <c r="G1759" s="27">
        <v>1755.0</v>
      </c>
      <c r="H1759" s="8">
        <f t="shared" si="1"/>
        <v>-3</v>
      </c>
    </row>
    <row r="1760">
      <c r="A1760" s="10">
        <v>1759.0</v>
      </c>
      <c r="B1760" s="11" t="s">
        <v>4604</v>
      </c>
      <c r="C1760" s="10" t="s">
        <v>14</v>
      </c>
      <c r="D1760" s="10" t="s">
        <v>206</v>
      </c>
      <c r="E1760" s="13" t="str">
        <f>IFERROR(__xludf.DUMMYFUNCTION("ifna(filter('Yahoo ADP'!$A$2:$A2766,'Yahoo ADP'!$B$2:$B2766=$B1760,$C1760='Yahoo ADP'!$C$2:$C2766,$D1760='Yahoo ADP'!$D$2:$D2766))"),"")</f>
        <v/>
      </c>
      <c r="F1760" s="13" t="str">
        <f>IFERROR(__xludf.DUMMYFUNCTION("ifna(filter('Yahoo ADP'!$E$2:$E2766,'Yahoo ADP'!$B$2:$B2766=$B1760,$C1760='Yahoo ADP'!$C$2:$C2766,$D1760='Yahoo ADP'!$D$2:$D2766))"),"-")</f>
        <v>-</v>
      </c>
      <c r="G1760" s="27">
        <v>1756.0</v>
      </c>
      <c r="H1760" s="8">
        <f t="shared" si="1"/>
        <v>-3</v>
      </c>
    </row>
    <row r="1761">
      <c r="A1761" s="10">
        <v>1760.0</v>
      </c>
      <c r="B1761" s="11" t="s">
        <v>4605</v>
      </c>
      <c r="C1761" s="10" t="s">
        <v>136</v>
      </c>
      <c r="D1761" s="10" t="s">
        <v>95</v>
      </c>
      <c r="E1761" s="13" t="str">
        <f>IFERROR(__xludf.DUMMYFUNCTION("ifna(filter('Yahoo ADP'!$A$2:$A2766,'Yahoo ADP'!$B$2:$B2766=$B1761,$C1761='Yahoo ADP'!$C$2:$C2766,$D1761='Yahoo ADP'!$D$2:$D2766))"),"")</f>
        <v/>
      </c>
      <c r="F1761" s="13" t="str">
        <f>IFERROR(__xludf.DUMMYFUNCTION("ifna(filter('Yahoo ADP'!$E$2:$E2766,'Yahoo ADP'!$B$2:$B2766=$B1761,$C1761='Yahoo ADP'!$C$2:$C2766,$D1761='Yahoo ADP'!$D$2:$D2766))"),"-")</f>
        <v>-</v>
      </c>
      <c r="G1761" s="27">
        <v>1757.0</v>
      </c>
      <c r="H1761" s="8">
        <f t="shared" si="1"/>
        <v>-3</v>
      </c>
    </row>
    <row r="1762">
      <c r="A1762" s="10">
        <v>1761.0</v>
      </c>
      <c r="B1762" s="11" t="s">
        <v>4606</v>
      </c>
      <c r="C1762" s="10" t="s">
        <v>69</v>
      </c>
      <c r="D1762" s="10" t="s">
        <v>206</v>
      </c>
      <c r="E1762" s="13" t="str">
        <f>IFERROR(__xludf.DUMMYFUNCTION("ifna(filter('Yahoo ADP'!$A$2:$A2766,'Yahoo ADP'!$B$2:$B2766=$B1762,$C1762='Yahoo ADP'!$C$2:$C2766,$D1762='Yahoo ADP'!$D$2:$D2766))"),"")</f>
        <v/>
      </c>
      <c r="F1762" s="13" t="str">
        <f>IFERROR(__xludf.DUMMYFUNCTION("ifna(filter('Yahoo ADP'!$E$2:$E2766,'Yahoo ADP'!$B$2:$B2766=$B1762,$C1762='Yahoo ADP'!$C$2:$C2766,$D1762='Yahoo ADP'!$D$2:$D2766))"),"-")</f>
        <v>-</v>
      </c>
      <c r="G1762" s="27">
        <v>1758.0</v>
      </c>
      <c r="H1762" s="8">
        <f t="shared" si="1"/>
        <v>-3</v>
      </c>
    </row>
    <row r="1763">
      <c r="A1763" s="10">
        <v>1762.0</v>
      </c>
      <c r="B1763" s="11" t="s">
        <v>4607</v>
      </c>
      <c r="C1763" s="10" t="s">
        <v>79</v>
      </c>
      <c r="D1763" s="10" t="s">
        <v>140</v>
      </c>
      <c r="E1763" s="13" t="str">
        <f>IFERROR(__xludf.DUMMYFUNCTION("ifna(filter('Yahoo ADP'!$A$2:$A2766,'Yahoo ADP'!$B$2:$B2766=$B1763,$C1763='Yahoo ADP'!$C$2:$C2766,$D1763='Yahoo ADP'!$D$2:$D2766))"),"")</f>
        <v/>
      </c>
      <c r="F1763" s="13" t="str">
        <f>IFERROR(__xludf.DUMMYFUNCTION("ifna(filter('Yahoo ADP'!$E$2:$E2766,'Yahoo ADP'!$B$2:$B2766=$B1763,$C1763='Yahoo ADP'!$C$2:$C2766,$D1763='Yahoo ADP'!$D$2:$D2766))"),"-")</f>
        <v>-</v>
      </c>
      <c r="G1763" s="27">
        <v>1759.0</v>
      </c>
      <c r="H1763" s="8">
        <f t="shared" si="1"/>
        <v>-3</v>
      </c>
    </row>
    <row r="1764">
      <c r="A1764" s="10">
        <v>1763.0</v>
      </c>
      <c r="B1764" s="11" t="s">
        <v>4608</v>
      </c>
      <c r="C1764" s="10" t="s">
        <v>1857</v>
      </c>
      <c r="D1764" s="10" t="s">
        <v>71</v>
      </c>
      <c r="E1764" s="13" t="str">
        <f>IFERROR(__xludf.DUMMYFUNCTION("ifna(filter('Yahoo ADP'!$A$2:$A2766,'Yahoo ADP'!$B$2:$B2766=$B1764,$C1764='Yahoo ADP'!$C$2:$C2766,$D1764='Yahoo ADP'!$D$2:$D2766))"),"")</f>
        <v/>
      </c>
      <c r="F1764" s="13" t="str">
        <f>IFERROR(__xludf.DUMMYFUNCTION("ifna(filter('Yahoo ADP'!$E$2:$E2766,'Yahoo ADP'!$B$2:$B2766=$B1764,$C1764='Yahoo ADP'!$C$2:$C2766,$D1764='Yahoo ADP'!$D$2:$D2766))"),"-")</f>
        <v>-</v>
      </c>
      <c r="G1764" s="27">
        <v>1760.0</v>
      </c>
      <c r="H1764" s="8">
        <f t="shared" si="1"/>
        <v>-3</v>
      </c>
    </row>
    <row r="1765">
      <c r="A1765" s="10">
        <v>1764.0</v>
      </c>
      <c r="B1765" s="11" t="s">
        <v>4609</v>
      </c>
      <c r="C1765" s="10" t="s">
        <v>77</v>
      </c>
      <c r="D1765" s="10" t="s">
        <v>9</v>
      </c>
      <c r="E1765" s="13" t="str">
        <f>IFERROR(__xludf.DUMMYFUNCTION("ifna(filter('Yahoo ADP'!$A$2:$A2766,'Yahoo ADP'!$B$2:$B2766=$B1765,$C1765='Yahoo ADP'!$C$2:$C2766,$D1765='Yahoo ADP'!$D$2:$D2766))"),"")</f>
        <v/>
      </c>
      <c r="F1765" s="13" t="str">
        <f>IFERROR(__xludf.DUMMYFUNCTION("ifna(filter('Yahoo ADP'!$E$2:$E2766,'Yahoo ADP'!$B$2:$B2766=$B1765,$C1765='Yahoo ADP'!$C$2:$C2766,$D1765='Yahoo ADP'!$D$2:$D2766))"),"-")</f>
        <v>-</v>
      </c>
      <c r="G1765" s="27">
        <v>1761.0</v>
      </c>
      <c r="H1765" s="8">
        <f t="shared" si="1"/>
        <v>-3</v>
      </c>
    </row>
    <row r="1766">
      <c r="A1766" s="10">
        <v>1765.0</v>
      </c>
      <c r="B1766" s="11" t="s">
        <v>4610</v>
      </c>
      <c r="C1766" s="10" t="s">
        <v>22</v>
      </c>
      <c r="D1766" s="10" t="s">
        <v>82</v>
      </c>
      <c r="E1766" s="13" t="str">
        <f>IFERROR(__xludf.DUMMYFUNCTION("ifna(filter('Yahoo ADP'!$A$2:$A2766,'Yahoo ADP'!$B$2:$B2766=$B1766,$C1766='Yahoo ADP'!$C$2:$C2766,$D1766='Yahoo ADP'!$D$2:$D2766))"),"")</f>
        <v/>
      </c>
      <c r="F1766" s="13" t="str">
        <f>IFERROR(__xludf.DUMMYFUNCTION("ifna(filter('Yahoo ADP'!$E$2:$E2766,'Yahoo ADP'!$B$2:$B2766=$B1766,$C1766='Yahoo ADP'!$C$2:$C2766,$D1766='Yahoo ADP'!$D$2:$D2766))"),"-")</f>
        <v>-</v>
      </c>
      <c r="G1766" s="27">
        <v>1762.0</v>
      </c>
      <c r="H1766" s="8">
        <f t="shared" si="1"/>
        <v>-3</v>
      </c>
    </row>
    <row r="1767">
      <c r="A1767" s="10">
        <v>1766.0</v>
      </c>
      <c r="B1767" s="11" t="s">
        <v>4611</v>
      </c>
      <c r="C1767" s="10" t="s">
        <v>1861</v>
      </c>
      <c r="D1767" s="10" t="s">
        <v>73</v>
      </c>
      <c r="E1767" s="13" t="str">
        <f>IFERROR(__xludf.DUMMYFUNCTION("ifna(filter('Yahoo ADP'!$A$2:$A2766,'Yahoo ADP'!$B$2:$B2766=$B1767,$C1767='Yahoo ADP'!$C$2:$C2766,$D1767='Yahoo ADP'!$D$2:$D2766))"),"")</f>
        <v/>
      </c>
      <c r="F1767" s="13" t="str">
        <f>IFERROR(__xludf.DUMMYFUNCTION("ifna(filter('Yahoo ADP'!$E$2:$E2766,'Yahoo ADP'!$B$2:$B2766=$B1767,$C1767='Yahoo ADP'!$C$2:$C2766,$D1767='Yahoo ADP'!$D$2:$D2766))"),"-")</f>
        <v>-</v>
      </c>
      <c r="G1767" s="27">
        <v>1764.0</v>
      </c>
      <c r="H1767" s="8">
        <f t="shared" si="1"/>
        <v>-2</v>
      </c>
    </row>
    <row r="1768">
      <c r="A1768" s="10">
        <v>1767.0</v>
      </c>
      <c r="B1768" s="11" t="s">
        <v>4612</v>
      </c>
      <c r="C1768" s="10" t="s">
        <v>77</v>
      </c>
      <c r="D1768" s="10" t="s">
        <v>71</v>
      </c>
      <c r="E1768" s="13" t="str">
        <f>IFERROR(__xludf.DUMMYFUNCTION("ifna(filter('Yahoo ADP'!$A$2:$A2766,'Yahoo ADP'!$B$2:$B2766=$B1768,$C1768='Yahoo ADP'!$C$2:$C2766,$D1768='Yahoo ADP'!$D$2:$D2766))"),"")</f>
        <v/>
      </c>
      <c r="F1768" s="13" t="str">
        <f>IFERROR(__xludf.DUMMYFUNCTION("ifna(filter('Yahoo ADP'!$E$2:$E2766,'Yahoo ADP'!$B$2:$B2766=$B1768,$C1768='Yahoo ADP'!$C$2:$C2766,$D1768='Yahoo ADP'!$D$2:$D2766))"),"-")</f>
        <v>-</v>
      </c>
      <c r="G1768" s="27">
        <v>1765.0</v>
      </c>
      <c r="H1768" s="8">
        <f t="shared" si="1"/>
        <v>-2</v>
      </c>
    </row>
    <row r="1769">
      <c r="A1769" s="10">
        <v>1768.0</v>
      </c>
      <c r="B1769" s="11" t="s">
        <v>4613</v>
      </c>
      <c r="C1769" s="10" t="s">
        <v>439</v>
      </c>
      <c r="D1769" s="10" t="s">
        <v>140</v>
      </c>
      <c r="E1769" s="13" t="str">
        <f>IFERROR(__xludf.DUMMYFUNCTION("ifna(filter('Yahoo ADP'!$A$2:$A2766,'Yahoo ADP'!$B$2:$B2766=$B1769,$C1769='Yahoo ADP'!$C$2:$C2766,$D1769='Yahoo ADP'!$D$2:$D2766))"),"")</f>
        <v/>
      </c>
      <c r="F1769" s="13" t="str">
        <f>IFERROR(__xludf.DUMMYFUNCTION("ifna(filter('Yahoo ADP'!$E$2:$E2766,'Yahoo ADP'!$B$2:$B2766=$B1769,$C1769='Yahoo ADP'!$C$2:$C2766,$D1769='Yahoo ADP'!$D$2:$D2766))"),"-")</f>
        <v>-</v>
      </c>
      <c r="G1769" s="27">
        <v>1766.0</v>
      </c>
      <c r="H1769" s="8">
        <f t="shared" si="1"/>
        <v>-2</v>
      </c>
    </row>
    <row r="1770">
      <c r="A1770" s="10">
        <v>1769.0</v>
      </c>
      <c r="B1770" s="11" t="s">
        <v>4614</v>
      </c>
      <c r="C1770" s="10" t="s">
        <v>218</v>
      </c>
      <c r="D1770" s="10" t="s">
        <v>85</v>
      </c>
      <c r="E1770" s="13" t="str">
        <f>IFERROR(__xludf.DUMMYFUNCTION("ifna(filter('Yahoo ADP'!$A$2:$A2766,'Yahoo ADP'!$B$2:$B2766=$B1770,$C1770='Yahoo ADP'!$C$2:$C2766,$D1770='Yahoo ADP'!$D$2:$D2766))"),"")</f>
        <v/>
      </c>
      <c r="F1770" s="13" t="str">
        <f>IFERROR(__xludf.DUMMYFUNCTION("ifna(filter('Yahoo ADP'!$E$2:$E2766,'Yahoo ADP'!$B$2:$B2766=$B1770,$C1770='Yahoo ADP'!$C$2:$C2766,$D1770='Yahoo ADP'!$D$2:$D2766))"),"-")</f>
        <v>-</v>
      </c>
      <c r="G1770" s="27">
        <v>1767.0</v>
      </c>
      <c r="H1770" s="8">
        <f t="shared" si="1"/>
        <v>-2</v>
      </c>
    </row>
    <row r="1771">
      <c r="A1771" s="10">
        <v>1770.0</v>
      </c>
      <c r="B1771" s="11" t="s">
        <v>4615</v>
      </c>
      <c r="C1771" s="10" t="s">
        <v>39</v>
      </c>
      <c r="D1771" s="10" t="s">
        <v>34</v>
      </c>
      <c r="E1771" s="13" t="str">
        <f>IFERROR(__xludf.DUMMYFUNCTION("ifna(filter('Yahoo ADP'!$A$2:$A2766,'Yahoo ADP'!$B$2:$B2766=$B1771,$C1771='Yahoo ADP'!$C$2:$C2766,$D1771='Yahoo ADP'!$D$2:$D2766))"),"")</f>
        <v/>
      </c>
      <c r="F1771" s="13" t="str">
        <f>IFERROR(__xludf.DUMMYFUNCTION("ifna(filter('Yahoo ADP'!$E$2:$E2766,'Yahoo ADP'!$B$2:$B2766=$B1771,$C1771='Yahoo ADP'!$C$2:$C2766,$D1771='Yahoo ADP'!$D$2:$D2766))"),"-")</f>
        <v>-</v>
      </c>
      <c r="G1771" s="27">
        <v>1768.0</v>
      </c>
      <c r="H1771" s="8">
        <f t="shared" si="1"/>
        <v>-2</v>
      </c>
    </row>
    <row r="1772">
      <c r="A1772" s="10">
        <v>1771.0</v>
      </c>
      <c r="B1772" s="11" t="s">
        <v>4616</v>
      </c>
      <c r="C1772" s="10" t="s">
        <v>22</v>
      </c>
      <c r="D1772" s="10" t="s">
        <v>71</v>
      </c>
      <c r="E1772" s="13" t="str">
        <f>IFERROR(__xludf.DUMMYFUNCTION("ifna(filter('Yahoo ADP'!$A$2:$A2766,'Yahoo ADP'!$B$2:$B2766=$B1772,$C1772='Yahoo ADP'!$C$2:$C2766,$D1772='Yahoo ADP'!$D$2:$D2766))"),"")</f>
        <v/>
      </c>
      <c r="F1772" s="13" t="str">
        <f>IFERROR(__xludf.DUMMYFUNCTION("ifna(filter('Yahoo ADP'!$E$2:$E2766,'Yahoo ADP'!$B$2:$B2766=$B1772,$C1772='Yahoo ADP'!$C$2:$C2766,$D1772='Yahoo ADP'!$D$2:$D2766))"),"-")</f>
        <v>-</v>
      </c>
      <c r="G1772" s="27">
        <v>1769.0</v>
      </c>
      <c r="H1772" s="8">
        <f t="shared" si="1"/>
        <v>-2</v>
      </c>
    </row>
    <row r="1773">
      <c r="A1773" s="10">
        <v>1772.0</v>
      </c>
      <c r="B1773" s="11" t="s">
        <v>4617</v>
      </c>
      <c r="C1773" s="10" t="s">
        <v>1868</v>
      </c>
      <c r="D1773" s="10" t="s">
        <v>140</v>
      </c>
      <c r="E1773" s="13" t="str">
        <f>IFERROR(__xludf.DUMMYFUNCTION("ifna(filter('Yahoo ADP'!$A$2:$A2766,'Yahoo ADP'!$B$2:$B2766=$B1773,$C1773='Yahoo ADP'!$C$2:$C2766,$D1773='Yahoo ADP'!$D$2:$D2766))"),"")</f>
        <v/>
      </c>
      <c r="F1773" s="13" t="str">
        <f>IFERROR(__xludf.DUMMYFUNCTION("ifna(filter('Yahoo ADP'!$E$2:$E2766,'Yahoo ADP'!$B$2:$B2766=$B1773,$C1773='Yahoo ADP'!$C$2:$C2766,$D1773='Yahoo ADP'!$D$2:$D2766))"),"-")</f>
        <v>-</v>
      </c>
      <c r="G1773" s="27">
        <v>1770.0</v>
      </c>
      <c r="H1773" s="8">
        <f t="shared" si="1"/>
        <v>-2</v>
      </c>
    </row>
    <row r="1774">
      <c r="A1774" s="10">
        <v>1773.0</v>
      </c>
      <c r="B1774" s="11" t="s">
        <v>4618</v>
      </c>
      <c r="C1774" s="10" t="s">
        <v>220</v>
      </c>
      <c r="D1774" s="10" t="s">
        <v>71</v>
      </c>
      <c r="E1774" s="13" t="str">
        <f>IFERROR(__xludf.DUMMYFUNCTION("ifna(filter('Yahoo ADP'!$A$2:$A2766,'Yahoo ADP'!$B$2:$B2766=$B1774,$C1774='Yahoo ADP'!$C$2:$C2766,$D1774='Yahoo ADP'!$D$2:$D2766))"),"")</f>
        <v/>
      </c>
      <c r="F1774" s="13" t="str">
        <f>IFERROR(__xludf.DUMMYFUNCTION("ifna(filter('Yahoo ADP'!$E$2:$E2766,'Yahoo ADP'!$B$2:$B2766=$B1774,$C1774='Yahoo ADP'!$C$2:$C2766,$D1774='Yahoo ADP'!$D$2:$D2766))"),"-")</f>
        <v>-</v>
      </c>
      <c r="G1774" s="27">
        <v>1771.0</v>
      </c>
      <c r="H1774" s="8">
        <f t="shared" si="1"/>
        <v>-2</v>
      </c>
    </row>
    <row r="1775">
      <c r="A1775" s="10">
        <v>1774.0</v>
      </c>
      <c r="B1775" s="11" t="s">
        <v>4619</v>
      </c>
      <c r="C1775" s="10" t="s">
        <v>136</v>
      </c>
      <c r="D1775" s="10" t="s">
        <v>34</v>
      </c>
      <c r="E1775" s="13" t="str">
        <f>IFERROR(__xludf.DUMMYFUNCTION("ifna(filter('Yahoo ADP'!$A$2:$A2766,'Yahoo ADP'!$B$2:$B2766=$B1775,$C1775='Yahoo ADP'!$C$2:$C2766,$D1775='Yahoo ADP'!$D$2:$D2766))"),"")</f>
        <v/>
      </c>
      <c r="F1775" s="13" t="str">
        <f>IFERROR(__xludf.DUMMYFUNCTION("ifna(filter('Yahoo ADP'!$E$2:$E2766,'Yahoo ADP'!$B$2:$B2766=$B1775,$C1775='Yahoo ADP'!$C$2:$C2766,$D1775='Yahoo ADP'!$D$2:$D2766))"),"-")</f>
        <v>-</v>
      </c>
      <c r="G1775" s="27">
        <v>1772.0</v>
      </c>
      <c r="H1775" s="8">
        <f t="shared" si="1"/>
        <v>-2</v>
      </c>
    </row>
    <row r="1776">
      <c r="A1776" s="10">
        <v>1775.0</v>
      </c>
      <c r="B1776" s="11" t="s">
        <v>4620</v>
      </c>
      <c r="C1776" s="10" t="s">
        <v>218</v>
      </c>
      <c r="D1776" s="10" t="s">
        <v>12</v>
      </c>
      <c r="E1776" s="13" t="str">
        <f>IFERROR(__xludf.DUMMYFUNCTION("ifna(filter('Yahoo ADP'!$A$2:$A2766,'Yahoo ADP'!$B$2:$B2766=$B1776,$C1776='Yahoo ADP'!$C$2:$C2766,$D1776='Yahoo ADP'!$D$2:$D2766))"),"")</f>
        <v/>
      </c>
      <c r="F1776" s="13" t="str">
        <f>IFERROR(__xludf.DUMMYFUNCTION("ifna(filter('Yahoo ADP'!$E$2:$E2766,'Yahoo ADP'!$B$2:$B2766=$B1776,$C1776='Yahoo ADP'!$C$2:$C2766,$D1776='Yahoo ADP'!$D$2:$D2766))"),"-")</f>
        <v>-</v>
      </c>
      <c r="G1776" s="27">
        <v>1773.0</v>
      </c>
      <c r="H1776" s="8">
        <f t="shared" si="1"/>
        <v>-2</v>
      </c>
    </row>
    <row r="1777">
      <c r="A1777" s="10">
        <v>1776.0</v>
      </c>
      <c r="B1777" s="11" t="s">
        <v>4621</v>
      </c>
      <c r="C1777" s="10" t="s">
        <v>20</v>
      </c>
      <c r="D1777" s="10" t="s">
        <v>25</v>
      </c>
      <c r="E1777" s="13" t="str">
        <f>IFERROR(__xludf.DUMMYFUNCTION("ifna(filter('Yahoo ADP'!$A$2:$A2766,'Yahoo ADP'!$B$2:$B2766=$B1777,$C1777='Yahoo ADP'!$C$2:$C2766,$D1777='Yahoo ADP'!$D$2:$D2766))"),"")</f>
        <v/>
      </c>
      <c r="F1777" s="13" t="str">
        <f>IFERROR(__xludf.DUMMYFUNCTION("ifna(filter('Yahoo ADP'!$E$2:$E2766,'Yahoo ADP'!$B$2:$B2766=$B1777,$C1777='Yahoo ADP'!$C$2:$C2766,$D1777='Yahoo ADP'!$D$2:$D2766))"),"-")</f>
        <v>-</v>
      </c>
      <c r="G1777" s="27">
        <v>1774.0</v>
      </c>
      <c r="H1777" s="8">
        <f t="shared" si="1"/>
        <v>-2</v>
      </c>
    </row>
    <row r="1778">
      <c r="A1778" s="10">
        <v>1777.0</v>
      </c>
      <c r="B1778" s="11" t="s">
        <v>4622</v>
      </c>
      <c r="C1778" s="10" t="s">
        <v>158</v>
      </c>
      <c r="D1778" s="10" t="s">
        <v>67</v>
      </c>
      <c r="E1778" s="13" t="str">
        <f>IFERROR(__xludf.DUMMYFUNCTION("ifna(filter('Yahoo ADP'!$A$2:$A2766,'Yahoo ADP'!$B$2:$B2766=$B1778,$C1778='Yahoo ADP'!$C$2:$C2766,$D1778='Yahoo ADP'!$D$2:$D2766))"),"")</f>
        <v/>
      </c>
      <c r="F1778" s="13" t="str">
        <f>IFERROR(__xludf.DUMMYFUNCTION("ifna(filter('Yahoo ADP'!$E$2:$E2766,'Yahoo ADP'!$B$2:$B2766=$B1778,$C1778='Yahoo ADP'!$C$2:$C2766,$D1778='Yahoo ADP'!$D$2:$D2766))"),"-")</f>
        <v>-</v>
      </c>
      <c r="G1778" s="27">
        <v>1775.0</v>
      </c>
      <c r="H1778" s="8">
        <f t="shared" si="1"/>
        <v>-2</v>
      </c>
    </row>
    <row r="1779">
      <c r="A1779" s="10">
        <v>1778.0</v>
      </c>
      <c r="B1779" s="11" t="s">
        <v>4623</v>
      </c>
      <c r="C1779" s="10" t="s">
        <v>283</v>
      </c>
      <c r="D1779" s="10" t="s">
        <v>52</v>
      </c>
      <c r="E1779" s="13" t="str">
        <f>IFERROR(__xludf.DUMMYFUNCTION("ifna(filter('Yahoo ADP'!$A$2:$A2766,'Yahoo ADP'!$B$2:$B2766=$B1779,$C1779='Yahoo ADP'!$C$2:$C2766,$D1779='Yahoo ADP'!$D$2:$D2766))"),"")</f>
        <v/>
      </c>
      <c r="F1779" s="13" t="str">
        <f>IFERROR(__xludf.DUMMYFUNCTION("ifna(filter('Yahoo ADP'!$E$2:$E2766,'Yahoo ADP'!$B$2:$B2766=$B1779,$C1779='Yahoo ADP'!$C$2:$C2766,$D1779='Yahoo ADP'!$D$2:$D2766))"),"-")</f>
        <v>-</v>
      </c>
      <c r="G1779" s="27">
        <v>1776.0</v>
      </c>
      <c r="H1779" s="8">
        <f t="shared" si="1"/>
        <v>-2</v>
      </c>
    </row>
    <row r="1780">
      <c r="A1780" s="10">
        <v>1779.0</v>
      </c>
      <c r="B1780" s="11" t="s">
        <v>4624</v>
      </c>
      <c r="C1780" s="10" t="s">
        <v>220</v>
      </c>
      <c r="D1780" s="10" t="s">
        <v>71</v>
      </c>
      <c r="E1780" s="13" t="str">
        <f>IFERROR(__xludf.DUMMYFUNCTION("ifna(filter('Yahoo ADP'!$A$2:$A2766,'Yahoo ADP'!$B$2:$B2766=$B1780,$C1780='Yahoo ADP'!$C$2:$C2766,$D1780='Yahoo ADP'!$D$2:$D2766))"),"")</f>
        <v/>
      </c>
      <c r="F1780" s="13" t="str">
        <f>IFERROR(__xludf.DUMMYFUNCTION("ifna(filter('Yahoo ADP'!$E$2:$E2766,'Yahoo ADP'!$B$2:$B2766=$B1780,$C1780='Yahoo ADP'!$C$2:$C2766,$D1780='Yahoo ADP'!$D$2:$D2766))"),"-")</f>
        <v>-</v>
      </c>
      <c r="G1780" s="27">
        <v>1777.0</v>
      </c>
      <c r="H1780" s="8">
        <f t="shared" si="1"/>
        <v>-2</v>
      </c>
    </row>
    <row r="1781">
      <c r="A1781" s="10">
        <v>1780.0</v>
      </c>
      <c r="B1781" s="11" t="s">
        <v>4625</v>
      </c>
      <c r="C1781" s="10" t="s">
        <v>136</v>
      </c>
      <c r="D1781" s="10" t="s">
        <v>71</v>
      </c>
      <c r="E1781" s="13" t="str">
        <f>IFERROR(__xludf.DUMMYFUNCTION("ifna(filter('Yahoo ADP'!$A$2:$A2766,'Yahoo ADP'!$B$2:$B2766=$B1781,$C1781='Yahoo ADP'!$C$2:$C2766,$D1781='Yahoo ADP'!$D$2:$D2766))"),"")</f>
        <v/>
      </c>
      <c r="F1781" s="13" t="str">
        <f>IFERROR(__xludf.DUMMYFUNCTION("ifna(filter('Yahoo ADP'!$E$2:$E2766,'Yahoo ADP'!$B$2:$B2766=$B1781,$C1781='Yahoo ADP'!$C$2:$C2766,$D1781='Yahoo ADP'!$D$2:$D2766))"),"-")</f>
        <v>-</v>
      </c>
      <c r="G1781" s="27">
        <v>1778.0</v>
      </c>
      <c r="H1781" s="8">
        <f t="shared" si="1"/>
        <v>-2</v>
      </c>
    </row>
    <row r="1782">
      <c r="A1782" s="10">
        <v>1781.0</v>
      </c>
      <c r="B1782" s="11" t="s">
        <v>4626</v>
      </c>
      <c r="C1782" s="10" t="s">
        <v>17</v>
      </c>
      <c r="D1782" s="10" t="s">
        <v>120</v>
      </c>
      <c r="E1782" s="13" t="str">
        <f>IFERROR(__xludf.DUMMYFUNCTION("ifna(filter('Yahoo ADP'!$A$2:$A2766,'Yahoo ADP'!$B$2:$B2766=$B1782,$C1782='Yahoo ADP'!$C$2:$C2766,$D1782='Yahoo ADP'!$D$2:$D2766))"),"")</f>
        <v/>
      </c>
      <c r="F1782" s="13" t="str">
        <f>IFERROR(__xludf.DUMMYFUNCTION("ifna(filter('Yahoo ADP'!$E$2:$E2766,'Yahoo ADP'!$B$2:$B2766=$B1782,$C1782='Yahoo ADP'!$C$2:$C2766,$D1782='Yahoo ADP'!$D$2:$D2766))"),"-")</f>
        <v>-</v>
      </c>
      <c r="G1782" s="27">
        <v>1779.0</v>
      </c>
      <c r="H1782" s="8">
        <f t="shared" si="1"/>
        <v>-2</v>
      </c>
    </row>
    <row r="1783">
      <c r="A1783" s="10">
        <v>1782.0</v>
      </c>
      <c r="B1783" s="11" t="s">
        <v>4627</v>
      </c>
      <c r="C1783" s="10" t="s">
        <v>77</v>
      </c>
      <c r="D1783" s="10" t="s">
        <v>95</v>
      </c>
      <c r="E1783" s="13" t="str">
        <f>IFERROR(__xludf.DUMMYFUNCTION("ifna(filter('Yahoo ADP'!$A$2:$A2766,'Yahoo ADP'!$B$2:$B2766=$B1783,$C1783='Yahoo ADP'!$C$2:$C2766,$D1783='Yahoo ADP'!$D$2:$D2766))"),"")</f>
        <v/>
      </c>
      <c r="F1783" s="13" t="str">
        <f>IFERROR(__xludf.DUMMYFUNCTION("ifna(filter('Yahoo ADP'!$E$2:$E2766,'Yahoo ADP'!$B$2:$B2766=$B1783,$C1783='Yahoo ADP'!$C$2:$C2766,$D1783='Yahoo ADP'!$D$2:$D2766))"),"-")</f>
        <v>-</v>
      </c>
      <c r="G1783" s="27">
        <v>1780.0</v>
      </c>
      <c r="H1783" s="8">
        <f t="shared" si="1"/>
        <v>-2</v>
      </c>
    </row>
    <row r="1784">
      <c r="A1784" s="10">
        <v>1783.0</v>
      </c>
      <c r="B1784" s="11" t="s">
        <v>4628</v>
      </c>
      <c r="C1784" s="10" t="s">
        <v>77</v>
      </c>
      <c r="D1784" s="10" t="s">
        <v>27</v>
      </c>
      <c r="E1784" s="13" t="str">
        <f>IFERROR(__xludf.DUMMYFUNCTION("ifna(filter('Yahoo ADP'!$A$2:$A2766,'Yahoo ADP'!$B$2:$B2766=$B1784,$C1784='Yahoo ADP'!$C$2:$C2766,$D1784='Yahoo ADP'!$D$2:$D2766))"),"")</f>
        <v/>
      </c>
      <c r="F1784" s="13" t="str">
        <f>IFERROR(__xludf.DUMMYFUNCTION("ifna(filter('Yahoo ADP'!$E$2:$E2766,'Yahoo ADP'!$B$2:$B2766=$B1784,$C1784='Yahoo ADP'!$C$2:$C2766,$D1784='Yahoo ADP'!$D$2:$D2766))"),"-")</f>
        <v>-</v>
      </c>
      <c r="G1784" s="27">
        <v>1781.0</v>
      </c>
      <c r="H1784" s="8">
        <f t="shared" si="1"/>
        <v>-2</v>
      </c>
    </row>
    <row r="1785">
      <c r="A1785" s="10">
        <v>1784.0</v>
      </c>
      <c r="B1785" s="11" t="s">
        <v>4629</v>
      </c>
      <c r="C1785" s="10" t="s">
        <v>77</v>
      </c>
      <c r="D1785" s="10" t="s">
        <v>27</v>
      </c>
      <c r="E1785" s="13" t="str">
        <f>IFERROR(__xludf.DUMMYFUNCTION("ifna(filter('Yahoo ADP'!$A$2:$A2766,'Yahoo ADP'!$B$2:$B2766=$B1785,$C1785='Yahoo ADP'!$C$2:$C2766,$D1785='Yahoo ADP'!$D$2:$D2766))"),"")</f>
        <v/>
      </c>
      <c r="F1785" s="13" t="str">
        <f>IFERROR(__xludf.DUMMYFUNCTION("ifna(filter('Yahoo ADP'!$E$2:$E2766,'Yahoo ADP'!$B$2:$B2766=$B1785,$C1785='Yahoo ADP'!$C$2:$C2766,$D1785='Yahoo ADP'!$D$2:$D2766))"),"-")</f>
        <v>-</v>
      </c>
      <c r="G1785" s="27">
        <v>1782.0</v>
      </c>
      <c r="H1785" s="8">
        <f t="shared" si="1"/>
        <v>-2</v>
      </c>
    </row>
    <row r="1786">
      <c r="A1786" s="10">
        <v>1785.0</v>
      </c>
      <c r="B1786" s="11" t="s">
        <v>4630</v>
      </c>
      <c r="C1786" s="10" t="s">
        <v>189</v>
      </c>
      <c r="D1786" s="10" t="s">
        <v>25</v>
      </c>
      <c r="E1786" s="13" t="str">
        <f>IFERROR(__xludf.DUMMYFUNCTION("ifna(filter('Yahoo ADP'!$A$2:$A2766,'Yahoo ADP'!$B$2:$B2766=$B1786,$C1786='Yahoo ADP'!$C$2:$C2766,$D1786='Yahoo ADP'!$D$2:$D2766))"),"")</f>
        <v/>
      </c>
      <c r="F1786" s="13" t="str">
        <f>IFERROR(__xludf.DUMMYFUNCTION("ifna(filter('Yahoo ADP'!$E$2:$E2766,'Yahoo ADP'!$B$2:$B2766=$B1786,$C1786='Yahoo ADP'!$C$2:$C2766,$D1786='Yahoo ADP'!$D$2:$D2766))"),"-")</f>
        <v>-</v>
      </c>
      <c r="G1786" s="27">
        <v>1783.0</v>
      </c>
      <c r="H1786" s="8">
        <f t="shared" si="1"/>
        <v>-2</v>
      </c>
    </row>
    <row r="1787">
      <c r="A1787" s="10">
        <v>1786.0</v>
      </c>
      <c r="B1787" s="11" t="s">
        <v>4631</v>
      </c>
      <c r="C1787" s="10" t="s">
        <v>1738</v>
      </c>
      <c r="D1787" s="10" t="s">
        <v>27</v>
      </c>
      <c r="E1787" s="13" t="str">
        <f>IFERROR(__xludf.DUMMYFUNCTION("ifna(filter('Yahoo ADP'!$A$2:$A2766,'Yahoo ADP'!$B$2:$B2766=$B1787,$C1787='Yahoo ADP'!$C$2:$C2766,$D1787='Yahoo ADP'!$D$2:$D2766))"),"")</f>
        <v/>
      </c>
      <c r="F1787" s="13" t="str">
        <f>IFERROR(__xludf.DUMMYFUNCTION("ifna(filter('Yahoo ADP'!$E$2:$E2766,'Yahoo ADP'!$B$2:$B2766=$B1787,$C1787='Yahoo ADP'!$C$2:$C2766,$D1787='Yahoo ADP'!$D$2:$D2766))"),"-")</f>
        <v>-</v>
      </c>
      <c r="G1787" s="27">
        <v>1784.0</v>
      </c>
      <c r="H1787" s="8">
        <f t="shared" si="1"/>
        <v>-2</v>
      </c>
    </row>
    <row r="1788">
      <c r="A1788" s="10">
        <v>1787.0</v>
      </c>
      <c r="B1788" s="11" t="s">
        <v>4632</v>
      </c>
      <c r="C1788" s="10" t="s">
        <v>218</v>
      </c>
      <c r="D1788" s="10" t="s">
        <v>129</v>
      </c>
      <c r="E1788" s="13" t="str">
        <f>IFERROR(__xludf.DUMMYFUNCTION("ifna(filter('Yahoo ADP'!$A$2:$A2766,'Yahoo ADP'!$B$2:$B2766=$B1788,$C1788='Yahoo ADP'!$C$2:$C2766,$D1788='Yahoo ADP'!$D$2:$D2766))"),"")</f>
        <v/>
      </c>
      <c r="F1788" s="13" t="str">
        <f>IFERROR(__xludf.DUMMYFUNCTION("ifna(filter('Yahoo ADP'!$E$2:$E2766,'Yahoo ADP'!$B$2:$B2766=$B1788,$C1788='Yahoo ADP'!$C$2:$C2766,$D1788='Yahoo ADP'!$D$2:$D2766))"),"-")</f>
        <v>-</v>
      </c>
      <c r="G1788" s="27">
        <v>1785.0</v>
      </c>
      <c r="H1788" s="8">
        <f t="shared" si="1"/>
        <v>-2</v>
      </c>
    </row>
    <row r="1789">
      <c r="A1789" s="10">
        <v>1788.0</v>
      </c>
      <c r="B1789" s="11" t="s">
        <v>4633</v>
      </c>
      <c r="C1789" s="10" t="s">
        <v>22</v>
      </c>
      <c r="D1789" s="10" t="s">
        <v>82</v>
      </c>
      <c r="E1789" s="13" t="str">
        <f>IFERROR(__xludf.DUMMYFUNCTION("ifna(filter('Yahoo ADP'!$A$2:$A2766,'Yahoo ADP'!$B$2:$B2766=$B1789,$C1789='Yahoo ADP'!$C$2:$C2766,$D1789='Yahoo ADP'!$D$2:$D2766))"),"")</f>
        <v/>
      </c>
      <c r="F1789" s="13" t="str">
        <f>IFERROR(__xludf.DUMMYFUNCTION("ifna(filter('Yahoo ADP'!$E$2:$E2766,'Yahoo ADP'!$B$2:$B2766=$B1789,$C1789='Yahoo ADP'!$C$2:$C2766,$D1789='Yahoo ADP'!$D$2:$D2766))"),"-")</f>
        <v>-</v>
      </c>
      <c r="G1789" s="27">
        <v>1786.0</v>
      </c>
      <c r="H1789" s="8">
        <f t="shared" si="1"/>
        <v>-2</v>
      </c>
    </row>
    <row r="1790">
      <c r="A1790" s="10">
        <v>1789.0</v>
      </c>
      <c r="B1790" s="11" t="s">
        <v>4634</v>
      </c>
      <c r="C1790" s="10" t="s">
        <v>240</v>
      </c>
      <c r="D1790" s="10" t="s">
        <v>140</v>
      </c>
      <c r="E1790" s="13" t="str">
        <f>IFERROR(__xludf.DUMMYFUNCTION("ifna(filter('Yahoo ADP'!$A$2:$A2766,'Yahoo ADP'!$B$2:$B2766=$B1790,$C1790='Yahoo ADP'!$C$2:$C2766,$D1790='Yahoo ADP'!$D$2:$D2766))"),"")</f>
        <v/>
      </c>
      <c r="F1790" s="13" t="str">
        <f>IFERROR(__xludf.DUMMYFUNCTION("ifna(filter('Yahoo ADP'!$E$2:$E2766,'Yahoo ADP'!$B$2:$B2766=$B1790,$C1790='Yahoo ADP'!$C$2:$C2766,$D1790='Yahoo ADP'!$D$2:$D2766))"),"-")</f>
        <v>-</v>
      </c>
      <c r="G1790" s="27">
        <v>1787.0</v>
      </c>
      <c r="H1790" s="8">
        <f t="shared" si="1"/>
        <v>-2</v>
      </c>
    </row>
    <row r="1791">
      <c r="A1791" s="10">
        <v>1790.0</v>
      </c>
      <c r="B1791" s="11" t="s">
        <v>4635</v>
      </c>
      <c r="C1791" s="10" t="s">
        <v>220</v>
      </c>
      <c r="D1791" s="10" t="s">
        <v>137</v>
      </c>
      <c r="E1791" s="13" t="str">
        <f>IFERROR(__xludf.DUMMYFUNCTION("ifna(filter('Yahoo ADP'!$A$2:$A2766,'Yahoo ADP'!$B$2:$B2766=$B1791,$C1791='Yahoo ADP'!$C$2:$C2766,$D1791='Yahoo ADP'!$D$2:$D2766))"),"")</f>
        <v/>
      </c>
      <c r="F1791" s="13" t="str">
        <f>IFERROR(__xludf.DUMMYFUNCTION("ifna(filter('Yahoo ADP'!$E$2:$E2766,'Yahoo ADP'!$B$2:$B2766=$B1791,$C1791='Yahoo ADP'!$C$2:$C2766,$D1791='Yahoo ADP'!$D$2:$D2766))"),"-")</f>
        <v>-</v>
      </c>
      <c r="G1791" s="27">
        <v>1788.0</v>
      </c>
      <c r="H1791" s="8">
        <f t="shared" si="1"/>
        <v>-2</v>
      </c>
    </row>
    <row r="1792">
      <c r="A1792" s="10">
        <v>1791.0</v>
      </c>
      <c r="B1792" s="11" t="s">
        <v>4636</v>
      </c>
      <c r="C1792" s="10" t="s">
        <v>176</v>
      </c>
      <c r="D1792" s="10" t="s">
        <v>137</v>
      </c>
      <c r="E1792" s="13" t="str">
        <f>IFERROR(__xludf.DUMMYFUNCTION("ifna(filter('Yahoo ADP'!$A$2:$A2766,'Yahoo ADP'!$B$2:$B2766=$B1792,$C1792='Yahoo ADP'!$C$2:$C2766,$D1792='Yahoo ADP'!$D$2:$D2766))"),"")</f>
        <v/>
      </c>
      <c r="F1792" s="13" t="str">
        <f>IFERROR(__xludf.DUMMYFUNCTION("ifna(filter('Yahoo ADP'!$E$2:$E2766,'Yahoo ADP'!$B$2:$B2766=$B1792,$C1792='Yahoo ADP'!$C$2:$C2766,$D1792='Yahoo ADP'!$D$2:$D2766))"),"-")</f>
        <v>-</v>
      </c>
      <c r="G1792" s="27">
        <v>1789.0</v>
      </c>
      <c r="H1792" s="8">
        <f t="shared" si="1"/>
        <v>-2</v>
      </c>
    </row>
    <row r="1793">
      <c r="A1793" s="10">
        <v>1792.0</v>
      </c>
      <c r="B1793" s="11" t="s">
        <v>4637</v>
      </c>
      <c r="C1793" s="10" t="s">
        <v>8</v>
      </c>
      <c r="D1793" s="10" t="s">
        <v>49</v>
      </c>
      <c r="E1793" s="13" t="str">
        <f>IFERROR(__xludf.DUMMYFUNCTION("ifna(filter('Yahoo ADP'!$A$2:$A2766,'Yahoo ADP'!$B$2:$B2766=$B1793,$C1793='Yahoo ADP'!$C$2:$C2766,$D1793='Yahoo ADP'!$D$2:$D2766))"),"")</f>
        <v/>
      </c>
      <c r="F1793" s="13" t="str">
        <f>IFERROR(__xludf.DUMMYFUNCTION("ifna(filter('Yahoo ADP'!$E$2:$E2766,'Yahoo ADP'!$B$2:$B2766=$B1793,$C1793='Yahoo ADP'!$C$2:$C2766,$D1793='Yahoo ADP'!$D$2:$D2766))"),"-")</f>
        <v>-</v>
      </c>
      <c r="G1793" s="27">
        <v>1790.0</v>
      </c>
      <c r="H1793" s="8">
        <f t="shared" si="1"/>
        <v>-2</v>
      </c>
    </row>
    <row r="1794">
      <c r="A1794" s="10">
        <v>1793.0</v>
      </c>
      <c r="B1794" s="11" t="s">
        <v>4638</v>
      </c>
      <c r="C1794" s="10" t="s">
        <v>39</v>
      </c>
      <c r="D1794" s="10" t="s">
        <v>113</v>
      </c>
      <c r="E1794" s="13" t="str">
        <f>IFERROR(__xludf.DUMMYFUNCTION("ifna(filter('Yahoo ADP'!$A$2:$A2766,'Yahoo ADP'!$B$2:$B2766=$B1794,$C1794='Yahoo ADP'!$C$2:$C2766,$D1794='Yahoo ADP'!$D$2:$D2766))"),"")</f>
        <v/>
      </c>
      <c r="F1794" s="13" t="str">
        <f>IFERROR(__xludf.DUMMYFUNCTION("ifna(filter('Yahoo ADP'!$E$2:$E2766,'Yahoo ADP'!$B$2:$B2766=$B1794,$C1794='Yahoo ADP'!$C$2:$C2766,$D1794='Yahoo ADP'!$D$2:$D2766))"),"-")</f>
        <v>-</v>
      </c>
      <c r="G1794" s="27">
        <v>1791.0</v>
      </c>
      <c r="H1794" s="8">
        <f t="shared" si="1"/>
        <v>-2</v>
      </c>
    </row>
    <row r="1795">
      <c r="A1795" s="10">
        <v>1794.0</v>
      </c>
      <c r="B1795" s="11" t="s">
        <v>4639</v>
      </c>
      <c r="C1795" s="10" t="s">
        <v>39</v>
      </c>
      <c r="D1795" s="10" t="s">
        <v>23</v>
      </c>
      <c r="E1795" s="13" t="str">
        <f>IFERROR(__xludf.DUMMYFUNCTION("ifna(filter('Yahoo ADP'!$A$2:$A2766,'Yahoo ADP'!$B$2:$B2766=$B1795,$C1795='Yahoo ADP'!$C$2:$C2766,$D1795='Yahoo ADP'!$D$2:$D2766))"),"")</f>
        <v/>
      </c>
      <c r="F1795" s="13" t="str">
        <f>IFERROR(__xludf.DUMMYFUNCTION("ifna(filter('Yahoo ADP'!$E$2:$E2766,'Yahoo ADP'!$B$2:$B2766=$B1795,$C1795='Yahoo ADP'!$C$2:$C2766,$D1795='Yahoo ADP'!$D$2:$D2766))"),"-")</f>
        <v>-</v>
      </c>
      <c r="G1795" s="27">
        <v>1792.0</v>
      </c>
      <c r="H1795" s="8">
        <f t="shared" si="1"/>
        <v>-2</v>
      </c>
    </row>
    <row r="1796">
      <c r="A1796" s="10">
        <v>1795.0</v>
      </c>
      <c r="B1796" s="11" t="s">
        <v>4640</v>
      </c>
      <c r="C1796" s="10" t="s">
        <v>69</v>
      </c>
      <c r="D1796" s="10" t="s">
        <v>99</v>
      </c>
      <c r="E1796" s="13" t="str">
        <f>IFERROR(__xludf.DUMMYFUNCTION("ifna(filter('Yahoo ADP'!$A$2:$A2766,'Yahoo ADP'!$B$2:$B2766=$B1796,$C1796='Yahoo ADP'!$C$2:$C2766,$D1796='Yahoo ADP'!$D$2:$D2766))"),"")</f>
        <v/>
      </c>
      <c r="F1796" s="13" t="str">
        <f>IFERROR(__xludf.DUMMYFUNCTION("ifna(filter('Yahoo ADP'!$E$2:$E2766,'Yahoo ADP'!$B$2:$B2766=$B1796,$C1796='Yahoo ADP'!$C$2:$C2766,$D1796='Yahoo ADP'!$D$2:$D2766))"),"-")</f>
        <v>-</v>
      </c>
      <c r="G1796" s="27">
        <v>1793.0</v>
      </c>
      <c r="H1796" s="8">
        <f t="shared" si="1"/>
        <v>-2</v>
      </c>
    </row>
    <row r="1797">
      <c r="A1797" s="10">
        <v>1796.0</v>
      </c>
      <c r="B1797" s="11" t="s">
        <v>4641</v>
      </c>
      <c r="C1797" s="10" t="s">
        <v>79</v>
      </c>
      <c r="D1797" s="10" t="s">
        <v>12</v>
      </c>
      <c r="E1797" s="13" t="str">
        <f>IFERROR(__xludf.DUMMYFUNCTION("ifna(filter('Yahoo ADP'!$A$2:$A2766,'Yahoo ADP'!$B$2:$B2766=$B1797,$C1797='Yahoo ADP'!$C$2:$C2766,$D1797='Yahoo ADP'!$D$2:$D2766))"),"")</f>
        <v/>
      </c>
      <c r="F1797" s="13" t="str">
        <f>IFERROR(__xludf.DUMMYFUNCTION("ifna(filter('Yahoo ADP'!$E$2:$E2766,'Yahoo ADP'!$B$2:$B2766=$B1797,$C1797='Yahoo ADP'!$C$2:$C2766,$D1797='Yahoo ADP'!$D$2:$D2766))"),"-")</f>
        <v>-</v>
      </c>
      <c r="G1797" s="27">
        <v>1794.0</v>
      </c>
      <c r="H1797" s="8">
        <f t="shared" si="1"/>
        <v>-2</v>
      </c>
    </row>
    <row r="1798">
      <c r="A1798" s="10">
        <v>1797.0</v>
      </c>
      <c r="B1798" s="11" t="s">
        <v>4642</v>
      </c>
      <c r="C1798" s="10" t="s">
        <v>136</v>
      </c>
      <c r="D1798" s="10" t="s">
        <v>137</v>
      </c>
      <c r="E1798" s="13" t="str">
        <f>IFERROR(__xludf.DUMMYFUNCTION("ifna(filter('Yahoo ADP'!$A$2:$A2766,'Yahoo ADP'!$B$2:$B2766=$B1798,$C1798='Yahoo ADP'!$C$2:$C2766,$D1798='Yahoo ADP'!$D$2:$D2766))"),"")</f>
        <v/>
      </c>
      <c r="F1798" s="13" t="str">
        <f>IFERROR(__xludf.DUMMYFUNCTION("ifna(filter('Yahoo ADP'!$E$2:$E2766,'Yahoo ADP'!$B$2:$B2766=$B1798,$C1798='Yahoo ADP'!$C$2:$C2766,$D1798='Yahoo ADP'!$D$2:$D2766))"),"-")</f>
        <v>-</v>
      </c>
      <c r="G1798" s="27">
        <v>1795.0</v>
      </c>
      <c r="H1798" s="8">
        <f t="shared" si="1"/>
        <v>-2</v>
      </c>
    </row>
    <row r="1799">
      <c r="A1799" s="10">
        <v>1798.0</v>
      </c>
      <c r="B1799" s="11" t="s">
        <v>4643</v>
      </c>
      <c r="C1799" s="10" t="s">
        <v>77</v>
      </c>
      <c r="D1799" s="10" t="s">
        <v>12</v>
      </c>
      <c r="E1799" s="13" t="str">
        <f>IFERROR(__xludf.DUMMYFUNCTION("ifna(filter('Yahoo ADP'!$A$2:$A2766,'Yahoo ADP'!$B$2:$B2766=$B1799,$C1799='Yahoo ADP'!$C$2:$C2766,$D1799='Yahoo ADP'!$D$2:$D2766))"),"")</f>
        <v/>
      </c>
      <c r="F1799" s="13" t="str">
        <f>IFERROR(__xludf.DUMMYFUNCTION("ifna(filter('Yahoo ADP'!$E$2:$E2766,'Yahoo ADP'!$B$2:$B2766=$B1799,$C1799='Yahoo ADP'!$C$2:$C2766,$D1799='Yahoo ADP'!$D$2:$D2766))"),"-")</f>
        <v>-</v>
      </c>
      <c r="G1799" s="27">
        <v>1796.0</v>
      </c>
      <c r="H1799" s="8">
        <f t="shared" si="1"/>
        <v>-2</v>
      </c>
    </row>
    <row r="1800">
      <c r="A1800" s="10">
        <v>1799.0</v>
      </c>
      <c r="B1800" s="11" t="s">
        <v>4644</v>
      </c>
      <c r="C1800" s="10" t="s">
        <v>77</v>
      </c>
      <c r="D1800" s="10" t="s">
        <v>105</v>
      </c>
      <c r="E1800" s="13" t="str">
        <f>IFERROR(__xludf.DUMMYFUNCTION("ifna(filter('Yahoo ADP'!$A$2:$A2766,'Yahoo ADP'!$B$2:$B2766=$B1800,$C1800='Yahoo ADP'!$C$2:$C2766,$D1800='Yahoo ADP'!$D$2:$D2766))"),"")</f>
        <v/>
      </c>
      <c r="F1800" s="13" t="str">
        <f>IFERROR(__xludf.DUMMYFUNCTION("ifna(filter('Yahoo ADP'!$E$2:$E2766,'Yahoo ADP'!$B$2:$B2766=$B1800,$C1800='Yahoo ADP'!$C$2:$C2766,$D1800='Yahoo ADP'!$D$2:$D2766))"),"-")</f>
        <v>-</v>
      </c>
      <c r="G1800" s="27">
        <v>1797.0</v>
      </c>
      <c r="H1800" s="8">
        <f t="shared" si="1"/>
        <v>-2</v>
      </c>
    </row>
    <row r="1801">
      <c r="A1801" s="10">
        <v>1800.0</v>
      </c>
      <c r="B1801" s="11" t="s">
        <v>4645</v>
      </c>
      <c r="C1801" s="10" t="s">
        <v>77</v>
      </c>
      <c r="D1801" s="10" t="s">
        <v>23</v>
      </c>
      <c r="E1801" s="13" t="str">
        <f>IFERROR(__xludf.DUMMYFUNCTION("ifna(filter('Yahoo ADP'!$A$2:$A2766,'Yahoo ADP'!$B$2:$B2766=$B1801,$C1801='Yahoo ADP'!$C$2:$C2766,$D1801='Yahoo ADP'!$D$2:$D2766))"),"")</f>
        <v/>
      </c>
      <c r="F1801" s="13" t="str">
        <f>IFERROR(__xludf.DUMMYFUNCTION("ifna(filter('Yahoo ADP'!$E$2:$E2766,'Yahoo ADP'!$B$2:$B2766=$B1801,$C1801='Yahoo ADP'!$C$2:$C2766,$D1801='Yahoo ADP'!$D$2:$D2766))"),"-")</f>
        <v>-</v>
      </c>
      <c r="G1801" s="27">
        <v>1798.0</v>
      </c>
      <c r="H1801" s="8">
        <f t="shared" si="1"/>
        <v>-2</v>
      </c>
    </row>
    <row r="1802">
      <c r="A1802" s="10">
        <v>1801.0</v>
      </c>
      <c r="B1802" s="11" t="s">
        <v>4646</v>
      </c>
      <c r="C1802" s="10" t="s">
        <v>220</v>
      </c>
      <c r="D1802" s="10" t="s">
        <v>25</v>
      </c>
      <c r="E1802" s="13" t="str">
        <f>IFERROR(__xludf.DUMMYFUNCTION("ifna(filter('Yahoo ADP'!$A$2:$A2766,'Yahoo ADP'!$B$2:$B2766=$B1802,$C1802='Yahoo ADP'!$C$2:$C2766,$D1802='Yahoo ADP'!$D$2:$D2766))"),"")</f>
        <v/>
      </c>
      <c r="F1802" s="13" t="str">
        <f>IFERROR(__xludf.DUMMYFUNCTION("ifna(filter('Yahoo ADP'!$E$2:$E2766,'Yahoo ADP'!$B$2:$B2766=$B1802,$C1802='Yahoo ADP'!$C$2:$C2766,$D1802='Yahoo ADP'!$D$2:$D2766))"),"-")</f>
        <v>-</v>
      </c>
      <c r="G1802" s="27">
        <v>1799.0</v>
      </c>
      <c r="H1802" s="8">
        <f t="shared" si="1"/>
        <v>-2</v>
      </c>
    </row>
    <row r="1803">
      <c r="A1803" s="10">
        <v>1802.0</v>
      </c>
      <c r="B1803" s="11" t="s">
        <v>4647</v>
      </c>
      <c r="C1803" s="10" t="s">
        <v>22</v>
      </c>
      <c r="D1803" s="10" t="s">
        <v>122</v>
      </c>
      <c r="E1803" s="13" t="str">
        <f>IFERROR(__xludf.DUMMYFUNCTION("ifna(filter('Yahoo ADP'!$A$2:$A2766,'Yahoo ADP'!$B$2:$B2766=$B1803,$C1803='Yahoo ADP'!$C$2:$C2766,$D1803='Yahoo ADP'!$D$2:$D2766))"),"")</f>
        <v/>
      </c>
      <c r="F1803" s="13" t="str">
        <f>IFERROR(__xludf.DUMMYFUNCTION("ifna(filter('Yahoo ADP'!$E$2:$E2766,'Yahoo ADP'!$B$2:$B2766=$B1803,$C1803='Yahoo ADP'!$C$2:$C2766,$D1803='Yahoo ADP'!$D$2:$D2766))"),"-")</f>
        <v>-</v>
      </c>
      <c r="G1803" s="27">
        <v>1800.0</v>
      </c>
      <c r="H1803" s="8">
        <f t="shared" si="1"/>
        <v>-2</v>
      </c>
    </row>
    <row r="1804">
      <c r="A1804" s="10">
        <v>1803.0</v>
      </c>
      <c r="B1804" s="11" t="s">
        <v>4648</v>
      </c>
      <c r="C1804" s="10" t="s">
        <v>619</v>
      </c>
      <c r="D1804" s="10" t="s">
        <v>9</v>
      </c>
      <c r="E1804" s="13" t="str">
        <f>IFERROR(__xludf.DUMMYFUNCTION("ifna(filter('Yahoo ADP'!$A$2:$A2766,'Yahoo ADP'!$B$2:$B2766=$B1804,$C1804='Yahoo ADP'!$C$2:$C2766,$D1804='Yahoo ADP'!$D$2:$D2766))"),"")</f>
        <v/>
      </c>
      <c r="F1804" s="13" t="str">
        <f>IFERROR(__xludf.DUMMYFUNCTION("ifna(filter('Yahoo ADP'!$E$2:$E2766,'Yahoo ADP'!$B$2:$B2766=$B1804,$C1804='Yahoo ADP'!$C$2:$C2766,$D1804='Yahoo ADP'!$D$2:$D2766))"),"-")</f>
        <v>-</v>
      </c>
      <c r="G1804" s="27">
        <v>1801.0</v>
      </c>
      <c r="H1804" s="8">
        <f t="shared" si="1"/>
        <v>-2</v>
      </c>
    </row>
    <row r="1805">
      <c r="A1805" s="10">
        <v>1804.0</v>
      </c>
      <c r="B1805" s="11" t="s">
        <v>4649</v>
      </c>
      <c r="C1805" s="10" t="s">
        <v>1814</v>
      </c>
      <c r="D1805" s="10" t="s">
        <v>85</v>
      </c>
      <c r="E1805" s="13" t="str">
        <f>IFERROR(__xludf.DUMMYFUNCTION("ifna(filter('Yahoo ADP'!$A$2:$A2766,'Yahoo ADP'!$B$2:$B2766=$B1805,$C1805='Yahoo ADP'!$C$2:$C2766,$D1805='Yahoo ADP'!$D$2:$D2766))"),"")</f>
        <v/>
      </c>
      <c r="F1805" s="13" t="str">
        <f>IFERROR(__xludf.DUMMYFUNCTION("ifna(filter('Yahoo ADP'!$E$2:$E2766,'Yahoo ADP'!$B$2:$B2766=$B1805,$C1805='Yahoo ADP'!$C$2:$C2766,$D1805='Yahoo ADP'!$D$2:$D2766))"),"-")</f>
        <v>-</v>
      </c>
      <c r="G1805" s="27">
        <v>1802.0</v>
      </c>
      <c r="H1805" s="8">
        <f t="shared" si="1"/>
        <v>-2</v>
      </c>
    </row>
    <row r="1806">
      <c r="A1806" s="10">
        <v>1805.0</v>
      </c>
      <c r="B1806" s="11" t="s">
        <v>4650</v>
      </c>
      <c r="C1806" s="10" t="s">
        <v>22</v>
      </c>
      <c r="D1806" s="10" t="s">
        <v>71</v>
      </c>
      <c r="E1806" s="13" t="str">
        <f>IFERROR(__xludf.DUMMYFUNCTION("ifna(filter('Yahoo ADP'!$A$2:$A2766,'Yahoo ADP'!$B$2:$B2766=$B1806,$C1806='Yahoo ADP'!$C$2:$C2766,$D1806='Yahoo ADP'!$D$2:$D2766))"),"")</f>
        <v/>
      </c>
      <c r="F1806" s="13" t="str">
        <f>IFERROR(__xludf.DUMMYFUNCTION("ifna(filter('Yahoo ADP'!$E$2:$E2766,'Yahoo ADP'!$B$2:$B2766=$B1806,$C1806='Yahoo ADP'!$C$2:$C2766,$D1806='Yahoo ADP'!$D$2:$D2766))"),"-")</f>
        <v>-</v>
      </c>
      <c r="G1806" s="27">
        <v>1803.0</v>
      </c>
      <c r="H1806" s="8">
        <f t="shared" si="1"/>
        <v>-2</v>
      </c>
    </row>
    <row r="1807">
      <c r="A1807" s="10">
        <v>1806.0</v>
      </c>
      <c r="B1807" s="11" t="s">
        <v>4651</v>
      </c>
      <c r="C1807" s="10" t="s">
        <v>77</v>
      </c>
      <c r="D1807" s="10" t="s">
        <v>122</v>
      </c>
      <c r="E1807" s="13" t="str">
        <f>IFERROR(__xludf.DUMMYFUNCTION("ifna(filter('Yahoo ADP'!$A$2:$A2766,'Yahoo ADP'!$B$2:$B2766=$B1807,$C1807='Yahoo ADP'!$C$2:$C2766,$D1807='Yahoo ADP'!$D$2:$D2766))"),"")</f>
        <v/>
      </c>
      <c r="F1807" s="13" t="str">
        <f>IFERROR(__xludf.DUMMYFUNCTION("ifna(filter('Yahoo ADP'!$E$2:$E2766,'Yahoo ADP'!$B$2:$B2766=$B1807,$C1807='Yahoo ADP'!$C$2:$C2766,$D1807='Yahoo ADP'!$D$2:$D2766))"),"-")</f>
        <v>-</v>
      </c>
      <c r="G1807" s="27">
        <v>1804.0</v>
      </c>
      <c r="H1807" s="8">
        <f t="shared" si="1"/>
        <v>-2</v>
      </c>
    </row>
    <row r="1808">
      <c r="A1808" s="10">
        <v>1807.0</v>
      </c>
      <c r="B1808" s="11" t="s">
        <v>4652</v>
      </c>
      <c r="C1808" s="10" t="s">
        <v>55</v>
      </c>
      <c r="D1808" s="10" t="s">
        <v>49</v>
      </c>
      <c r="E1808" s="13" t="str">
        <f>IFERROR(__xludf.DUMMYFUNCTION("ifna(filter('Yahoo ADP'!$A$2:$A2766,'Yahoo ADP'!$B$2:$B2766=$B1808,$C1808='Yahoo ADP'!$C$2:$C2766,$D1808='Yahoo ADP'!$D$2:$D2766))"),"")</f>
        <v/>
      </c>
      <c r="F1808" s="13" t="str">
        <f>IFERROR(__xludf.DUMMYFUNCTION("ifna(filter('Yahoo ADP'!$E$2:$E2766,'Yahoo ADP'!$B$2:$B2766=$B1808,$C1808='Yahoo ADP'!$C$2:$C2766,$D1808='Yahoo ADP'!$D$2:$D2766))"),"-")</f>
        <v>-</v>
      </c>
      <c r="G1808" s="27">
        <v>1805.0</v>
      </c>
      <c r="H1808" s="8">
        <f t="shared" si="1"/>
        <v>-2</v>
      </c>
    </row>
    <row r="1809">
      <c r="A1809" s="10">
        <v>1808.0</v>
      </c>
      <c r="B1809" s="11" t="s">
        <v>4653</v>
      </c>
      <c r="C1809" s="10" t="s">
        <v>346</v>
      </c>
      <c r="D1809" s="10" t="s">
        <v>129</v>
      </c>
      <c r="E1809" s="13" t="str">
        <f>IFERROR(__xludf.DUMMYFUNCTION("ifna(filter('Yahoo ADP'!$A$2:$A2766,'Yahoo ADP'!$B$2:$B2766=$B1809,$C1809='Yahoo ADP'!$C$2:$C2766,$D1809='Yahoo ADP'!$D$2:$D2766))"),"")</f>
        <v/>
      </c>
      <c r="F1809" s="13" t="str">
        <f>IFERROR(__xludf.DUMMYFUNCTION("ifna(filter('Yahoo ADP'!$E$2:$E2766,'Yahoo ADP'!$B$2:$B2766=$B1809,$C1809='Yahoo ADP'!$C$2:$C2766,$D1809='Yahoo ADP'!$D$2:$D2766))"),"-")</f>
        <v>-</v>
      </c>
      <c r="G1809" s="27">
        <v>1806.0</v>
      </c>
      <c r="H1809" s="8">
        <f t="shared" si="1"/>
        <v>-2</v>
      </c>
    </row>
    <row r="1810">
      <c r="A1810" s="10">
        <v>1809.0</v>
      </c>
      <c r="B1810" s="11" t="s">
        <v>4654</v>
      </c>
      <c r="C1810" s="10" t="s">
        <v>22</v>
      </c>
      <c r="D1810" s="10" t="s">
        <v>46</v>
      </c>
      <c r="E1810" s="13" t="str">
        <f>IFERROR(__xludf.DUMMYFUNCTION("ifna(filter('Yahoo ADP'!$A$2:$A2766,'Yahoo ADP'!$B$2:$B2766=$B1810,$C1810='Yahoo ADP'!$C$2:$C2766,$D1810='Yahoo ADP'!$D$2:$D2766))"),"")</f>
        <v/>
      </c>
      <c r="F1810" s="13" t="str">
        <f>IFERROR(__xludf.DUMMYFUNCTION("ifna(filter('Yahoo ADP'!$E$2:$E2766,'Yahoo ADP'!$B$2:$B2766=$B1810,$C1810='Yahoo ADP'!$C$2:$C2766,$D1810='Yahoo ADP'!$D$2:$D2766))"),"-")</f>
        <v>-</v>
      </c>
      <c r="G1810" s="27">
        <v>1807.0</v>
      </c>
      <c r="H1810" s="8">
        <f t="shared" si="1"/>
        <v>-2</v>
      </c>
    </row>
    <row r="1811">
      <c r="A1811" s="10">
        <v>1810.0</v>
      </c>
      <c r="B1811" s="11" t="s">
        <v>4655</v>
      </c>
      <c r="C1811" s="10" t="s">
        <v>48</v>
      </c>
      <c r="D1811" s="10" t="s">
        <v>36</v>
      </c>
      <c r="E1811" s="13" t="str">
        <f>IFERROR(__xludf.DUMMYFUNCTION("ifna(filter('Yahoo ADP'!$A$2:$A2766,'Yahoo ADP'!$B$2:$B2766=$B1811,$C1811='Yahoo ADP'!$C$2:$C2766,$D1811='Yahoo ADP'!$D$2:$D2766))"),"")</f>
        <v/>
      </c>
      <c r="F1811" s="13" t="str">
        <f>IFERROR(__xludf.DUMMYFUNCTION("ifna(filter('Yahoo ADP'!$E$2:$E2766,'Yahoo ADP'!$B$2:$B2766=$B1811,$C1811='Yahoo ADP'!$C$2:$C2766,$D1811='Yahoo ADP'!$D$2:$D2766))"),"-")</f>
        <v>-</v>
      </c>
      <c r="G1811" s="27">
        <v>1808.0</v>
      </c>
      <c r="H1811" s="8">
        <f t="shared" si="1"/>
        <v>-2</v>
      </c>
    </row>
    <row r="1812">
      <c r="A1812" s="10">
        <v>1811.0</v>
      </c>
      <c r="B1812" s="11" t="s">
        <v>4656</v>
      </c>
      <c r="C1812" s="10" t="s">
        <v>240</v>
      </c>
      <c r="D1812" s="10" t="s">
        <v>23</v>
      </c>
      <c r="E1812" s="13" t="str">
        <f>IFERROR(__xludf.DUMMYFUNCTION("ifna(filter('Yahoo ADP'!$A$2:$A2766,'Yahoo ADP'!$B$2:$B2766=$B1812,$C1812='Yahoo ADP'!$C$2:$C2766,$D1812='Yahoo ADP'!$D$2:$D2766))"),"")</f>
        <v/>
      </c>
      <c r="F1812" s="13" t="str">
        <f>IFERROR(__xludf.DUMMYFUNCTION("ifna(filter('Yahoo ADP'!$E$2:$E2766,'Yahoo ADP'!$B$2:$B2766=$B1812,$C1812='Yahoo ADP'!$C$2:$C2766,$D1812='Yahoo ADP'!$D$2:$D2766))"),"-")</f>
        <v>-</v>
      </c>
      <c r="G1812" s="27">
        <v>1809.0</v>
      </c>
      <c r="H1812" s="8">
        <f t="shared" si="1"/>
        <v>-2</v>
      </c>
    </row>
    <row r="1813">
      <c r="A1813" s="10">
        <v>1812.0</v>
      </c>
      <c r="B1813" s="11" t="s">
        <v>4657</v>
      </c>
      <c r="C1813" s="10" t="s">
        <v>39</v>
      </c>
      <c r="D1813" s="10" t="s">
        <v>36</v>
      </c>
      <c r="E1813" s="13" t="str">
        <f>IFERROR(__xludf.DUMMYFUNCTION("ifna(filter('Yahoo ADP'!$A$2:$A2766,'Yahoo ADP'!$B$2:$B2766=$B1813,$C1813='Yahoo ADP'!$C$2:$C2766,$D1813='Yahoo ADP'!$D$2:$D2766))"),"")</f>
        <v/>
      </c>
      <c r="F1813" s="13" t="str">
        <f>IFERROR(__xludf.DUMMYFUNCTION("ifna(filter('Yahoo ADP'!$E$2:$E2766,'Yahoo ADP'!$B$2:$B2766=$B1813,$C1813='Yahoo ADP'!$C$2:$C2766,$D1813='Yahoo ADP'!$D$2:$D2766))"),"-")</f>
        <v>-</v>
      </c>
      <c r="G1813" s="27">
        <v>1810.0</v>
      </c>
      <c r="H1813" s="8">
        <f t="shared" si="1"/>
        <v>-2</v>
      </c>
    </row>
    <row r="1814">
      <c r="A1814" s="10">
        <v>1813.0</v>
      </c>
      <c r="B1814" s="11" t="s">
        <v>4658</v>
      </c>
      <c r="C1814" s="10" t="s">
        <v>218</v>
      </c>
      <c r="D1814" s="10" t="s">
        <v>15</v>
      </c>
      <c r="E1814" s="13" t="str">
        <f>IFERROR(__xludf.DUMMYFUNCTION("ifna(filter('Yahoo ADP'!$A$2:$A2766,'Yahoo ADP'!$B$2:$B2766=$B1814,$C1814='Yahoo ADP'!$C$2:$C2766,$D1814='Yahoo ADP'!$D$2:$D2766))"),"")</f>
        <v/>
      </c>
      <c r="F1814" s="13" t="str">
        <f>IFERROR(__xludf.DUMMYFUNCTION("ifna(filter('Yahoo ADP'!$E$2:$E2766,'Yahoo ADP'!$B$2:$B2766=$B1814,$C1814='Yahoo ADP'!$C$2:$C2766,$D1814='Yahoo ADP'!$D$2:$D2766))"),"-")</f>
        <v>-</v>
      </c>
      <c r="G1814" s="27">
        <v>1811.0</v>
      </c>
      <c r="H1814" s="8">
        <f t="shared" si="1"/>
        <v>-2</v>
      </c>
    </row>
    <row r="1815">
      <c r="A1815" s="10">
        <v>1814.0</v>
      </c>
      <c r="B1815" s="11" t="s">
        <v>4659</v>
      </c>
      <c r="C1815" s="10" t="s">
        <v>77</v>
      </c>
      <c r="D1815" s="10" t="s">
        <v>34</v>
      </c>
      <c r="E1815" s="13" t="str">
        <f>IFERROR(__xludf.DUMMYFUNCTION("ifna(filter('Yahoo ADP'!$A$2:$A2766,'Yahoo ADP'!$B$2:$B2766=$B1815,$C1815='Yahoo ADP'!$C$2:$C2766,$D1815='Yahoo ADP'!$D$2:$D2766))"),"")</f>
        <v/>
      </c>
      <c r="F1815" s="13" t="str">
        <f>IFERROR(__xludf.DUMMYFUNCTION("ifna(filter('Yahoo ADP'!$E$2:$E2766,'Yahoo ADP'!$B$2:$B2766=$B1815,$C1815='Yahoo ADP'!$C$2:$C2766,$D1815='Yahoo ADP'!$D$2:$D2766))"),"-")</f>
        <v>-</v>
      </c>
      <c r="G1815" s="27">
        <v>1812.0</v>
      </c>
      <c r="H1815" s="8">
        <f t="shared" si="1"/>
        <v>-2</v>
      </c>
    </row>
    <row r="1816">
      <c r="A1816" s="10">
        <v>1815.0</v>
      </c>
      <c r="B1816" s="11" t="s">
        <v>4660</v>
      </c>
      <c r="C1816" s="10" t="s">
        <v>77</v>
      </c>
      <c r="D1816" s="10" t="s">
        <v>71</v>
      </c>
      <c r="E1816" s="13" t="str">
        <f>IFERROR(__xludf.DUMMYFUNCTION("ifna(filter('Yahoo ADP'!$A$2:$A2766,'Yahoo ADP'!$B$2:$B2766=$B1816,$C1816='Yahoo ADP'!$C$2:$C2766,$D1816='Yahoo ADP'!$D$2:$D2766))"),"")</f>
        <v/>
      </c>
      <c r="F1816" s="13" t="str">
        <f>IFERROR(__xludf.DUMMYFUNCTION("ifna(filter('Yahoo ADP'!$E$2:$E2766,'Yahoo ADP'!$B$2:$B2766=$B1816,$C1816='Yahoo ADP'!$C$2:$C2766,$D1816='Yahoo ADP'!$D$2:$D2766))"),"-")</f>
        <v>-</v>
      </c>
      <c r="G1816" s="27">
        <v>1813.0</v>
      </c>
      <c r="H1816" s="8">
        <f t="shared" si="1"/>
        <v>-2</v>
      </c>
    </row>
    <row r="1817">
      <c r="A1817" s="10">
        <v>1816.0</v>
      </c>
      <c r="B1817" s="11" t="s">
        <v>4661</v>
      </c>
      <c r="C1817" s="10" t="s">
        <v>69</v>
      </c>
      <c r="D1817" s="10" t="s">
        <v>67</v>
      </c>
      <c r="E1817" s="13" t="str">
        <f>IFERROR(__xludf.DUMMYFUNCTION("ifna(filter('Yahoo ADP'!$A$2:$A2766,'Yahoo ADP'!$B$2:$B2766=$B1817,$C1817='Yahoo ADP'!$C$2:$C2766,$D1817='Yahoo ADP'!$D$2:$D2766))"),"")</f>
        <v/>
      </c>
      <c r="F1817" s="13" t="str">
        <f>IFERROR(__xludf.DUMMYFUNCTION("ifna(filter('Yahoo ADP'!$E$2:$E2766,'Yahoo ADP'!$B$2:$B2766=$B1817,$C1817='Yahoo ADP'!$C$2:$C2766,$D1817='Yahoo ADP'!$D$2:$D2766))"),"-")</f>
        <v>-</v>
      </c>
      <c r="G1817" s="27">
        <v>1814.0</v>
      </c>
      <c r="H1817" s="8">
        <f t="shared" si="1"/>
        <v>-2</v>
      </c>
    </row>
    <row r="1818">
      <c r="A1818" s="10">
        <v>1817.0</v>
      </c>
      <c r="B1818" s="11" t="s">
        <v>4662</v>
      </c>
      <c r="C1818" s="10" t="s">
        <v>22</v>
      </c>
      <c r="D1818" s="10" t="s">
        <v>73</v>
      </c>
      <c r="E1818" s="13" t="str">
        <f>IFERROR(__xludf.DUMMYFUNCTION("ifna(filter('Yahoo ADP'!$A$2:$A2766,'Yahoo ADP'!$B$2:$B2766=$B1818,$C1818='Yahoo ADP'!$C$2:$C2766,$D1818='Yahoo ADP'!$D$2:$D2766))"),"")</f>
        <v/>
      </c>
      <c r="F1818" s="13" t="str">
        <f>IFERROR(__xludf.DUMMYFUNCTION("ifna(filter('Yahoo ADP'!$E$2:$E2766,'Yahoo ADP'!$B$2:$B2766=$B1818,$C1818='Yahoo ADP'!$C$2:$C2766,$D1818='Yahoo ADP'!$D$2:$D2766))"),"-")</f>
        <v>-</v>
      </c>
      <c r="G1818" s="27">
        <v>1815.0</v>
      </c>
      <c r="H1818" s="8">
        <f t="shared" si="1"/>
        <v>-2</v>
      </c>
    </row>
    <row r="1819">
      <c r="A1819" s="10">
        <v>1818.0</v>
      </c>
      <c r="B1819" s="11" t="s">
        <v>4663</v>
      </c>
      <c r="C1819" s="10" t="s">
        <v>262</v>
      </c>
      <c r="D1819" s="10" t="s">
        <v>120</v>
      </c>
      <c r="E1819" s="13" t="str">
        <f>IFERROR(__xludf.DUMMYFUNCTION("ifna(filter('Yahoo ADP'!$A$2:$A2766,'Yahoo ADP'!$B$2:$B2766=$B1819,$C1819='Yahoo ADP'!$C$2:$C2766,$D1819='Yahoo ADP'!$D$2:$D2766))"),"")</f>
        <v/>
      </c>
      <c r="F1819" s="13" t="str">
        <f>IFERROR(__xludf.DUMMYFUNCTION("ifna(filter('Yahoo ADP'!$E$2:$E2766,'Yahoo ADP'!$B$2:$B2766=$B1819,$C1819='Yahoo ADP'!$C$2:$C2766,$D1819='Yahoo ADP'!$D$2:$D2766))"),"-")</f>
        <v>-</v>
      </c>
      <c r="G1819" s="27">
        <v>1816.0</v>
      </c>
      <c r="H1819" s="8">
        <f t="shared" si="1"/>
        <v>-2</v>
      </c>
    </row>
    <row r="1820">
      <c r="A1820" s="10">
        <v>1819.0</v>
      </c>
      <c r="B1820" s="11" t="s">
        <v>4664</v>
      </c>
      <c r="C1820" s="10" t="s">
        <v>1839</v>
      </c>
      <c r="D1820" s="10" t="s">
        <v>9</v>
      </c>
      <c r="E1820" s="13" t="str">
        <f>IFERROR(__xludf.DUMMYFUNCTION("ifna(filter('Yahoo ADP'!$A$2:$A2766,'Yahoo ADP'!$B$2:$B2766=$B1820,$C1820='Yahoo ADP'!$C$2:$C2766,$D1820='Yahoo ADP'!$D$2:$D2766))"),"")</f>
        <v/>
      </c>
      <c r="F1820" s="13" t="str">
        <f>IFERROR(__xludf.DUMMYFUNCTION("ifna(filter('Yahoo ADP'!$E$2:$E2766,'Yahoo ADP'!$B$2:$B2766=$B1820,$C1820='Yahoo ADP'!$C$2:$C2766,$D1820='Yahoo ADP'!$D$2:$D2766))"),"-")</f>
        <v>-</v>
      </c>
      <c r="G1820" s="27">
        <v>1817.0</v>
      </c>
      <c r="H1820" s="8">
        <f t="shared" si="1"/>
        <v>-2</v>
      </c>
    </row>
    <row r="1821">
      <c r="A1821" s="10">
        <v>1820.0</v>
      </c>
      <c r="B1821" s="11" t="s">
        <v>4665</v>
      </c>
      <c r="C1821" s="10" t="s">
        <v>55</v>
      </c>
      <c r="D1821" s="10" t="s">
        <v>23</v>
      </c>
      <c r="E1821" s="13" t="str">
        <f>IFERROR(__xludf.DUMMYFUNCTION("ifna(filter('Yahoo ADP'!$A$2:$A2766,'Yahoo ADP'!$B$2:$B2766=$B1821,$C1821='Yahoo ADP'!$C$2:$C2766,$D1821='Yahoo ADP'!$D$2:$D2766))"),"")</f>
        <v/>
      </c>
      <c r="F1821" s="13" t="str">
        <f>IFERROR(__xludf.DUMMYFUNCTION("ifna(filter('Yahoo ADP'!$E$2:$E2766,'Yahoo ADP'!$B$2:$B2766=$B1821,$C1821='Yahoo ADP'!$C$2:$C2766,$D1821='Yahoo ADP'!$D$2:$D2766))"),"-")</f>
        <v>-</v>
      </c>
      <c r="G1821" s="27">
        <v>1818.0</v>
      </c>
      <c r="H1821" s="8">
        <f t="shared" si="1"/>
        <v>-2</v>
      </c>
    </row>
    <row r="1822">
      <c r="A1822" s="10">
        <v>1821.0</v>
      </c>
      <c r="B1822" s="11" t="s">
        <v>4666</v>
      </c>
      <c r="C1822" s="10" t="s">
        <v>1918</v>
      </c>
      <c r="D1822" s="10" t="s">
        <v>85</v>
      </c>
      <c r="E1822" s="13" t="str">
        <f>IFERROR(__xludf.DUMMYFUNCTION("ifna(filter('Yahoo ADP'!$A$2:$A2766,'Yahoo ADP'!$B$2:$B2766=$B1822,$C1822='Yahoo ADP'!$C$2:$C2766,$D1822='Yahoo ADP'!$D$2:$D2766))"),"")</f>
        <v/>
      </c>
      <c r="F1822" s="13" t="str">
        <f>IFERROR(__xludf.DUMMYFUNCTION("ifna(filter('Yahoo ADP'!$E$2:$E2766,'Yahoo ADP'!$B$2:$B2766=$B1822,$C1822='Yahoo ADP'!$C$2:$C2766,$D1822='Yahoo ADP'!$D$2:$D2766))"),"-")</f>
        <v>-</v>
      </c>
      <c r="G1822" s="27">
        <v>1819.0</v>
      </c>
      <c r="H1822" s="8">
        <f t="shared" si="1"/>
        <v>-2</v>
      </c>
    </row>
    <row r="1823">
      <c r="A1823" s="10">
        <v>1822.0</v>
      </c>
      <c r="B1823" s="11" t="s">
        <v>4667</v>
      </c>
      <c r="C1823" s="10" t="s">
        <v>39</v>
      </c>
      <c r="D1823" s="10" t="s">
        <v>71</v>
      </c>
      <c r="E1823" s="13" t="str">
        <f>IFERROR(__xludf.DUMMYFUNCTION("ifna(filter('Yahoo ADP'!$A$2:$A2766,'Yahoo ADP'!$B$2:$B2766=$B1823,$C1823='Yahoo ADP'!$C$2:$C2766,$D1823='Yahoo ADP'!$D$2:$D2766))"),"")</f>
        <v/>
      </c>
      <c r="F1823" s="13" t="str">
        <f>IFERROR(__xludf.DUMMYFUNCTION("ifna(filter('Yahoo ADP'!$E$2:$E2766,'Yahoo ADP'!$B$2:$B2766=$B1823,$C1823='Yahoo ADP'!$C$2:$C2766,$D1823='Yahoo ADP'!$D$2:$D2766))"),"-")</f>
        <v>-</v>
      </c>
      <c r="G1823" s="27">
        <v>1820.0</v>
      </c>
      <c r="H1823" s="8">
        <f t="shared" si="1"/>
        <v>-2</v>
      </c>
    </row>
    <row r="1824">
      <c r="A1824" s="10">
        <v>1823.0</v>
      </c>
      <c r="B1824" s="11" t="s">
        <v>4668</v>
      </c>
      <c r="C1824" s="10" t="s">
        <v>77</v>
      </c>
      <c r="D1824" s="10" t="s">
        <v>49</v>
      </c>
      <c r="E1824" s="13" t="str">
        <f>IFERROR(__xludf.DUMMYFUNCTION("ifna(filter('Yahoo ADP'!$A$2:$A2766,'Yahoo ADP'!$B$2:$B2766=$B1824,$C1824='Yahoo ADP'!$C$2:$C2766,$D1824='Yahoo ADP'!$D$2:$D2766))"),"")</f>
        <v/>
      </c>
      <c r="F1824" s="13" t="str">
        <f>IFERROR(__xludf.DUMMYFUNCTION("ifna(filter('Yahoo ADP'!$E$2:$E2766,'Yahoo ADP'!$B$2:$B2766=$B1824,$C1824='Yahoo ADP'!$C$2:$C2766,$D1824='Yahoo ADP'!$D$2:$D2766))"),"-")</f>
        <v>-</v>
      </c>
      <c r="G1824" s="27">
        <v>1821.0</v>
      </c>
      <c r="H1824" s="8">
        <f t="shared" si="1"/>
        <v>-2</v>
      </c>
    </row>
    <row r="1825">
      <c r="A1825" s="10">
        <v>1824.0</v>
      </c>
      <c r="B1825" s="11" t="s">
        <v>4669</v>
      </c>
      <c r="C1825" s="10" t="s">
        <v>77</v>
      </c>
      <c r="D1825" s="10" t="s">
        <v>113</v>
      </c>
      <c r="E1825" s="13" t="str">
        <f>IFERROR(__xludf.DUMMYFUNCTION("ifna(filter('Yahoo ADP'!$A$2:$A2766,'Yahoo ADP'!$B$2:$B2766=$B1825,$C1825='Yahoo ADP'!$C$2:$C2766,$D1825='Yahoo ADP'!$D$2:$D2766))"),"")</f>
        <v/>
      </c>
      <c r="F1825" s="13" t="str">
        <f>IFERROR(__xludf.DUMMYFUNCTION("ifna(filter('Yahoo ADP'!$E$2:$E2766,'Yahoo ADP'!$B$2:$B2766=$B1825,$C1825='Yahoo ADP'!$C$2:$C2766,$D1825='Yahoo ADP'!$D$2:$D2766))"),"-")</f>
        <v>-</v>
      </c>
      <c r="G1825" s="27">
        <v>1822.0</v>
      </c>
      <c r="H1825" s="8">
        <f t="shared" si="1"/>
        <v>-2</v>
      </c>
    </row>
    <row r="1826">
      <c r="A1826" s="10">
        <v>1825.0</v>
      </c>
      <c r="B1826" s="11" t="s">
        <v>4670</v>
      </c>
      <c r="C1826" s="10" t="s">
        <v>69</v>
      </c>
      <c r="D1826" s="10" t="s">
        <v>99</v>
      </c>
      <c r="E1826" s="13" t="str">
        <f>IFERROR(__xludf.DUMMYFUNCTION("ifna(filter('Yahoo ADP'!$A$2:$A2766,'Yahoo ADP'!$B$2:$B2766=$B1826,$C1826='Yahoo ADP'!$C$2:$C2766,$D1826='Yahoo ADP'!$D$2:$D2766))"),"")</f>
        <v/>
      </c>
      <c r="F1826" s="13" t="str">
        <f>IFERROR(__xludf.DUMMYFUNCTION("ifna(filter('Yahoo ADP'!$E$2:$E2766,'Yahoo ADP'!$B$2:$B2766=$B1826,$C1826='Yahoo ADP'!$C$2:$C2766,$D1826='Yahoo ADP'!$D$2:$D2766))"),"-")</f>
        <v>-</v>
      </c>
      <c r="G1826" s="27">
        <v>1823.0</v>
      </c>
      <c r="H1826" s="8">
        <f t="shared" si="1"/>
        <v>-2</v>
      </c>
    </row>
    <row r="1827">
      <c r="A1827" s="10">
        <v>1826.0</v>
      </c>
      <c r="B1827" s="11" t="s">
        <v>4671</v>
      </c>
      <c r="C1827" s="10" t="s">
        <v>220</v>
      </c>
      <c r="D1827" s="10" t="s">
        <v>95</v>
      </c>
      <c r="E1827" s="13" t="str">
        <f>IFERROR(__xludf.DUMMYFUNCTION("ifna(filter('Yahoo ADP'!$A$2:$A2766,'Yahoo ADP'!$B$2:$B2766=$B1827,$C1827='Yahoo ADP'!$C$2:$C2766,$D1827='Yahoo ADP'!$D$2:$D2766))"),"")</f>
        <v/>
      </c>
      <c r="F1827" s="13" t="str">
        <f>IFERROR(__xludf.DUMMYFUNCTION("ifna(filter('Yahoo ADP'!$E$2:$E2766,'Yahoo ADP'!$B$2:$B2766=$B1827,$C1827='Yahoo ADP'!$C$2:$C2766,$D1827='Yahoo ADP'!$D$2:$D2766))"),"-")</f>
        <v>-</v>
      </c>
      <c r="G1827" s="27">
        <v>1824.0</v>
      </c>
      <c r="H1827" s="8">
        <f t="shared" si="1"/>
        <v>-2</v>
      </c>
    </row>
    <row r="1828">
      <c r="A1828" s="10">
        <v>1827.0</v>
      </c>
      <c r="B1828" s="11" t="s">
        <v>4672</v>
      </c>
      <c r="C1828" s="10" t="s">
        <v>220</v>
      </c>
      <c r="D1828" s="10" t="s">
        <v>73</v>
      </c>
      <c r="E1828" s="13" t="str">
        <f>IFERROR(__xludf.DUMMYFUNCTION("ifna(filter('Yahoo ADP'!$A$2:$A2766,'Yahoo ADP'!$B$2:$B2766=$B1828,$C1828='Yahoo ADP'!$C$2:$C2766,$D1828='Yahoo ADP'!$D$2:$D2766))"),"")</f>
        <v/>
      </c>
      <c r="F1828" s="13" t="str">
        <f>IFERROR(__xludf.DUMMYFUNCTION("ifna(filter('Yahoo ADP'!$E$2:$E2766,'Yahoo ADP'!$B$2:$B2766=$B1828,$C1828='Yahoo ADP'!$C$2:$C2766,$D1828='Yahoo ADP'!$D$2:$D2766))"),"-")</f>
        <v>-</v>
      </c>
      <c r="G1828" s="27">
        <v>1825.0</v>
      </c>
      <c r="H1828" s="8">
        <f t="shared" si="1"/>
        <v>-2</v>
      </c>
    </row>
    <row r="1829">
      <c r="A1829" s="10">
        <v>1828.0</v>
      </c>
      <c r="B1829" s="11" t="s">
        <v>4673</v>
      </c>
      <c r="C1829" s="10" t="s">
        <v>22</v>
      </c>
      <c r="D1829" s="10" t="s">
        <v>140</v>
      </c>
      <c r="E1829" s="13" t="str">
        <f>IFERROR(__xludf.DUMMYFUNCTION("ifna(filter('Yahoo ADP'!$A$2:$A2766,'Yahoo ADP'!$B$2:$B2766=$B1829,$C1829='Yahoo ADP'!$C$2:$C2766,$D1829='Yahoo ADP'!$D$2:$D2766))"),"")</f>
        <v/>
      </c>
      <c r="F1829" s="13" t="str">
        <f>IFERROR(__xludf.DUMMYFUNCTION("ifna(filter('Yahoo ADP'!$E$2:$E2766,'Yahoo ADP'!$B$2:$B2766=$B1829,$C1829='Yahoo ADP'!$C$2:$C2766,$D1829='Yahoo ADP'!$D$2:$D2766))"),"-")</f>
        <v>-</v>
      </c>
      <c r="G1829" s="27">
        <v>1826.0</v>
      </c>
      <c r="H1829" s="8">
        <f t="shared" si="1"/>
        <v>-2</v>
      </c>
    </row>
    <row r="1830">
      <c r="A1830" s="10">
        <v>1829.0</v>
      </c>
      <c r="B1830" s="11" t="s">
        <v>4674</v>
      </c>
      <c r="C1830" s="10" t="s">
        <v>11</v>
      </c>
      <c r="D1830" s="10" t="s">
        <v>18</v>
      </c>
      <c r="E1830" s="13" t="str">
        <f>IFERROR(__xludf.DUMMYFUNCTION("ifna(filter('Yahoo ADP'!$A$2:$A2766,'Yahoo ADP'!$B$2:$B2766=$B1830,$C1830='Yahoo ADP'!$C$2:$C2766,$D1830='Yahoo ADP'!$D$2:$D2766))"),"")</f>
        <v/>
      </c>
      <c r="F1830" s="13" t="str">
        <f>IFERROR(__xludf.DUMMYFUNCTION("ifna(filter('Yahoo ADP'!$E$2:$E2766,'Yahoo ADP'!$B$2:$B2766=$B1830,$C1830='Yahoo ADP'!$C$2:$C2766,$D1830='Yahoo ADP'!$D$2:$D2766))"),"-")</f>
        <v>-</v>
      </c>
      <c r="G1830" s="27">
        <v>1827.0</v>
      </c>
      <c r="H1830" s="8">
        <f t="shared" si="1"/>
        <v>-2</v>
      </c>
    </row>
    <row r="1831">
      <c r="A1831" s="10">
        <v>1830.0</v>
      </c>
      <c r="B1831" s="11" t="s">
        <v>4675</v>
      </c>
      <c r="C1831" s="10" t="s">
        <v>77</v>
      </c>
      <c r="D1831" s="10" t="s">
        <v>12</v>
      </c>
      <c r="E1831" s="13" t="str">
        <f>IFERROR(__xludf.DUMMYFUNCTION("ifna(filter('Yahoo ADP'!$A$2:$A2766,'Yahoo ADP'!$B$2:$B2766=$B1831,$C1831='Yahoo ADP'!$C$2:$C2766,$D1831='Yahoo ADP'!$D$2:$D2766))"),"")</f>
        <v/>
      </c>
      <c r="F1831" s="13" t="str">
        <f>IFERROR(__xludf.DUMMYFUNCTION("ifna(filter('Yahoo ADP'!$E$2:$E2766,'Yahoo ADP'!$B$2:$B2766=$B1831,$C1831='Yahoo ADP'!$C$2:$C2766,$D1831='Yahoo ADP'!$D$2:$D2766))"),"-")</f>
        <v>-</v>
      </c>
      <c r="G1831" s="27">
        <v>1828.0</v>
      </c>
      <c r="H1831" s="8">
        <f t="shared" si="1"/>
        <v>-2</v>
      </c>
    </row>
    <row r="1832">
      <c r="A1832" s="10">
        <v>1831.0</v>
      </c>
      <c r="B1832" s="11" t="s">
        <v>4676</v>
      </c>
      <c r="C1832" s="10" t="s">
        <v>1868</v>
      </c>
      <c r="D1832" s="10" t="s">
        <v>34</v>
      </c>
      <c r="E1832" s="13" t="str">
        <f>IFERROR(__xludf.DUMMYFUNCTION("ifna(filter('Yahoo ADP'!$A$2:$A2766,'Yahoo ADP'!$B$2:$B2766=$B1832,$C1832='Yahoo ADP'!$C$2:$C2766,$D1832='Yahoo ADP'!$D$2:$D2766))"),"")</f>
        <v/>
      </c>
      <c r="F1832" s="13" t="str">
        <f>IFERROR(__xludf.DUMMYFUNCTION("ifna(filter('Yahoo ADP'!$E$2:$E2766,'Yahoo ADP'!$B$2:$B2766=$B1832,$C1832='Yahoo ADP'!$C$2:$C2766,$D1832='Yahoo ADP'!$D$2:$D2766))"),"-")</f>
        <v>-</v>
      </c>
      <c r="G1832" s="27">
        <v>1829.0</v>
      </c>
      <c r="H1832" s="8">
        <f t="shared" si="1"/>
        <v>-2</v>
      </c>
    </row>
    <row r="1833">
      <c r="A1833" s="10">
        <v>1832.0</v>
      </c>
      <c r="B1833" s="11" t="s">
        <v>4677</v>
      </c>
      <c r="C1833" s="10" t="s">
        <v>17</v>
      </c>
      <c r="D1833" s="10" t="s">
        <v>82</v>
      </c>
      <c r="E1833" s="13" t="str">
        <f>IFERROR(__xludf.DUMMYFUNCTION("ifna(filter('Yahoo ADP'!$A$2:$A2766,'Yahoo ADP'!$B$2:$B2766=$B1833,$C1833='Yahoo ADP'!$C$2:$C2766,$D1833='Yahoo ADP'!$D$2:$D2766))"),"")</f>
        <v/>
      </c>
      <c r="F1833" s="13" t="str">
        <f>IFERROR(__xludf.DUMMYFUNCTION("ifna(filter('Yahoo ADP'!$E$2:$E2766,'Yahoo ADP'!$B$2:$B2766=$B1833,$C1833='Yahoo ADP'!$C$2:$C2766,$D1833='Yahoo ADP'!$D$2:$D2766))"),"-")</f>
        <v>-</v>
      </c>
      <c r="G1833" s="27">
        <v>1830.0</v>
      </c>
      <c r="H1833" s="8">
        <f t="shared" si="1"/>
        <v>-2</v>
      </c>
    </row>
    <row r="1834">
      <c r="A1834" s="10">
        <v>1833.0</v>
      </c>
      <c r="B1834" s="11" t="s">
        <v>4678</v>
      </c>
      <c r="C1834" s="10" t="s">
        <v>8</v>
      </c>
      <c r="D1834" s="10" t="s">
        <v>206</v>
      </c>
      <c r="E1834" s="13" t="str">
        <f>IFERROR(__xludf.DUMMYFUNCTION("ifna(filter('Yahoo ADP'!$A$2:$A2766,'Yahoo ADP'!$B$2:$B2766=$B1834,$C1834='Yahoo ADP'!$C$2:$C2766,$D1834='Yahoo ADP'!$D$2:$D2766))"),"")</f>
        <v/>
      </c>
      <c r="F1834" s="13" t="str">
        <f>IFERROR(__xludf.DUMMYFUNCTION("ifna(filter('Yahoo ADP'!$E$2:$E2766,'Yahoo ADP'!$B$2:$B2766=$B1834,$C1834='Yahoo ADP'!$C$2:$C2766,$D1834='Yahoo ADP'!$D$2:$D2766))"),"-")</f>
        <v>-</v>
      </c>
      <c r="G1834" s="27">
        <v>1831.0</v>
      </c>
      <c r="H1834" s="8">
        <f t="shared" si="1"/>
        <v>-2</v>
      </c>
    </row>
    <row r="1835">
      <c r="A1835" s="10">
        <v>1834.0</v>
      </c>
      <c r="B1835" s="11" t="s">
        <v>4679</v>
      </c>
      <c r="C1835" s="10" t="s">
        <v>11</v>
      </c>
      <c r="D1835" s="10" t="s">
        <v>49</v>
      </c>
      <c r="E1835" s="13" t="str">
        <f>IFERROR(__xludf.DUMMYFUNCTION("ifna(filter('Yahoo ADP'!$A$2:$A2766,'Yahoo ADP'!$B$2:$B2766=$B1835,$C1835='Yahoo ADP'!$C$2:$C2766,$D1835='Yahoo ADP'!$D$2:$D2766))"),"")</f>
        <v/>
      </c>
      <c r="F1835" s="13" t="str">
        <f>IFERROR(__xludf.DUMMYFUNCTION("ifna(filter('Yahoo ADP'!$E$2:$E2766,'Yahoo ADP'!$B$2:$B2766=$B1835,$C1835='Yahoo ADP'!$C$2:$C2766,$D1835='Yahoo ADP'!$D$2:$D2766))"),"-")</f>
        <v>-</v>
      </c>
      <c r="G1835" s="27">
        <v>1832.0</v>
      </c>
      <c r="H1835" s="8">
        <f t="shared" si="1"/>
        <v>-2</v>
      </c>
    </row>
    <row r="1836">
      <c r="A1836" s="10">
        <v>1835.0</v>
      </c>
      <c r="B1836" s="11" t="s">
        <v>4680</v>
      </c>
      <c r="C1836" s="10" t="s">
        <v>63</v>
      </c>
      <c r="D1836" s="10" t="s">
        <v>113</v>
      </c>
      <c r="E1836" s="13" t="str">
        <f>IFERROR(__xludf.DUMMYFUNCTION("ifna(filter('Yahoo ADP'!$A$2:$A2766,'Yahoo ADP'!$B$2:$B2766=$B1836,$C1836='Yahoo ADP'!$C$2:$C2766,$D1836='Yahoo ADP'!$D$2:$D2766))"),"")</f>
        <v/>
      </c>
      <c r="F1836" s="13" t="str">
        <f>IFERROR(__xludf.DUMMYFUNCTION("ifna(filter('Yahoo ADP'!$E$2:$E2766,'Yahoo ADP'!$B$2:$B2766=$B1836,$C1836='Yahoo ADP'!$C$2:$C2766,$D1836='Yahoo ADP'!$D$2:$D2766))"),"-")</f>
        <v>-</v>
      </c>
      <c r="G1836" s="27">
        <v>1833.0</v>
      </c>
      <c r="H1836" s="8">
        <f t="shared" si="1"/>
        <v>-2</v>
      </c>
    </row>
    <row r="1837">
      <c r="A1837" s="10">
        <v>1836.0</v>
      </c>
      <c r="B1837" s="11" t="s">
        <v>4681</v>
      </c>
      <c r="C1837" s="10" t="s">
        <v>753</v>
      </c>
      <c r="D1837" s="10" t="s">
        <v>23</v>
      </c>
      <c r="E1837" s="13" t="str">
        <f>IFERROR(__xludf.DUMMYFUNCTION("ifna(filter('Yahoo ADP'!$A$2:$A2766,'Yahoo ADP'!$B$2:$B2766=$B1837,$C1837='Yahoo ADP'!$C$2:$C2766,$D1837='Yahoo ADP'!$D$2:$D2766))"),"")</f>
        <v/>
      </c>
      <c r="F1837" s="13" t="str">
        <f>IFERROR(__xludf.DUMMYFUNCTION("ifna(filter('Yahoo ADP'!$E$2:$E2766,'Yahoo ADP'!$B$2:$B2766=$B1837,$C1837='Yahoo ADP'!$C$2:$C2766,$D1837='Yahoo ADP'!$D$2:$D2766))"),"-")</f>
        <v>-</v>
      </c>
      <c r="G1837" s="27">
        <v>1834.0</v>
      </c>
      <c r="H1837" s="8">
        <f t="shared" si="1"/>
        <v>-2</v>
      </c>
    </row>
    <row r="1838">
      <c r="A1838" s="10">
        <v>1837.0</v>
      </c>
      <c r="B1838" s="11" t="s">
        <v>4682</v>
      </c>
      <c r="C1838" s="10" t="s">
        <v>39</v>
      </c>
      <c r="D1838" s="10" t="s">
        <v>27</v>
      </c>
      <c r="E1838" s="13" t="str">
        <f>IFERROR(__xludf.DUMMYFUNCTION("ifna(filter('Yahoo ADP'!$A$2:$A2766,'Yahoo ADP'!$B$2:$B2766=$B1838,$C1838='Yahoo ADP'!$C$2:$C2766,$D1838='Yahoo ADP'!$D$2:$D2766))"),"")</f>
        <v/>
      </c>
      <c r="F1838" s="13" t="str">
        <f>IFERROR(__xludf.DUMMYFUNCTION("ifna(filter('Yahoo ADP'!$E$2:$E2766,'Yahoo ADP'!$B$2:$B2766=$B1838,$C1838='Yahoo ADP'!$C$2:$C2766,$D1838='Yahoo ADP'!$D$2:$D2766))"),"-")</f>
        <v>-</v>
      </c>
      <c r="G1838" s="27">
        <v>1835.0</v>
      </c>
      <c r="H1838" s="8">
        <f t="shared" si="1"/>
        <v>-2</v>
      </c>
    </row>
    <row r="1839">
      <c r="A1839" s="10">
        <v>1838.0</v>
      </c>
      <c r="B1839" s="11" t="s">
        <v>4683</v>
      </c>
      <c r="C1839" s="10" t="s">
        <v>33</v>
      </c>
      <c r="D1839" s="10" t="s">
        <v>73</v>
      </c>
      <c r="E1839" s="13" t="str">
        <f>IFERROR(__xludf.DUMMYFUNCTION("ifna(filter('Yahoo ADP'!$A$2:$A2766,'Yahoo ADP'!$B$2:$B2766=$B1839,$C1839='Yahoo ADP'!$C$2:$C2766,$D1839='Yahoo ADP'!$D$2:$D2766))"),"")</f>
        <v/>
      </c>
      <c r="F1839" s="13" t="str">
        <f>IFERROR(__xludf.DUMMYFUNCTION("ifna(filter('Yahoo ADP'!$E$2:$E2766,'Yahoo ADP'!$B$2:$B2766=$B1839,$C1839='Yahoo ADP'!$C$2:$C2766,$D1839='Yahoo ADP'!$D$2:$D2766))"),"-")</f>
        <v>-</v>
      </c>
      <c r="G1839" s="27">
        <v>1836.0</v>
      </c>
      <c r="H1839" s="8">
        <f t="shared" si="1"/>
        <v>-2</v>
      </c>
    </row>
    <row r="1840">
      <c r="A1840" s="10">
        <v>1839.0</v>
      </c>
      <c r="B1840" s="11" t="s">
        <v>4684</v>
      </c>
      <c r="C1840" s="10" t="s">
        <v>220</v>
      </c>
      <c r="D1840" s="10" t="s">
        <v>122</v>
      </c>
      <c r="E1840" s="13" t="str">
        <f>IFERROR(__xludf.DUMMYFUNCTION("ifna(filter('Yahoo ADP'!$A$2:$A2766,'Yahoo ADP'!$B$2:$B2766=$B1840,$C1840='Yahoo ADP'!$C$2:$C2766,$D1840='Yahoo ADP'!$D$2:$D2766))"),"")</f>
        <v/>
      </c>
      <c r="F1840" s="13" t="str">
        <f>IFERROR(__xludf.DUMMYFUNCTION("ifna(filter('Yahoo ADP'!$E$2:$E2766,'Yahoo ADP'!$B$2:$B2766=$B1840,$C1840='Yahoo ADP'!$C$2:$C2766,$D1840='Yahoo ADP'!$D$2:$D2766))"),"-")</f>
        <v>-</v>
      </c>
      <c r="G1840" s="27">
        <v>1837.0</v>
      </c>
      <c r="H1840" s="8">
        <f t="shared" si="1"/>
        <v>-2</v>
      </c>
    </row>
    <row r="1841">
      <c r="A1841" s="10">
        <v>1840.0</v>
      </c>
      <c r="B1841" s="11" t="s">
        <v>4685</v>
      </c>
      <c r="C1841" s="10" t="s">
        <v>1938</v>
      </c>
      <c r="D1841" s="10" t="s">
        <v>137</v>
      </c>
      <c r="E1841" s="13" t="str">
        <f>IFERROR(__xludf.DUMMYFUNCTION("ifna(filter('Yahoo ADP'!$A$2:$A2766,'Yahoo ADP'!$B$2:$B2766=$B1841,$C1841='Yahoo ADP'!$C$2:$C2766,$D1841='Yahoo ADP'!$D$2:$D2766))"),"")</f>
        <v/>
      </c>
      <c r="F1841" s="13" t="str">
        <f>IFERROR(__xludf.DUMMYFUNCTION("ifna(filter('Yahoo ADP'!$E$2:$E2766,'Yahoo ADP'!$B$2:$B2766=$B1841,$C1841='Yahoo ADP'!$C$2:$C2766,$D1841='Yahoo ADP'!$D$2:$D2766))"),"-")</f>
        <v>-</v>
      </c>
      <c r="G1841" s="27">
        <v>1838.0</v>
      </c>
      <c r="H1841" s="8">
        <f t="shared" si="1"/>
        <v>-2</v>
      </c>
    </row>
    <row r="1842">
      <c r="A1842" s="10">
        <v>1841.0</v>
      </c>
      <c r="B1842" s="11" t="s">
        <v>4686</v>
      </c>
      <c r="C1842" s="10" t="s">
        <v>77</v>
      </c>
      <c r="D1842" s="10" t="s">
        <v>46</v>
      </c>
      <c r="E1842" s="13" t="str">
        <f>IFERROR(__xludf.DUMMYFUNCTION("ifna(filter('Yahoo ADP'!$A$2:$A2766,'Yahoo ADP'!$B$2:$B2766=$B1842,$C1842='Yahoo ADP'!$C$2:$C2766,$D1842='Yahoo ADP'!$D$2:$D2766))"),"")</f>
        <v/>
      </c>
      <c r="F1842" s="13" t="str">
        <f>IFERROR(__xludf.DUMMYFUNCTION("ifna(filter('Yahoo ADP'!$E$2:$E2766,'Yahoo ADP'!$B$2:$B2766=$B1842,$C1842='Yahoo ADP'!$C$2:$C2766,$D1842='Yahoo ADP'!$D$2:$D2766))"),"-")</f>
        <v>-</v>
      </c>
      <c r="G1842" s="27">
        <v>1839.0</v>
      </c>
      <c r="H1842" s="8">
        <f t="shared" si="1"/>
        <v>-2</v>
      </c>
    </row>
    <row r="1843">
      <c r="A1843" s="10">
        <v>1842.0</v>
      </c>
      <c r="B1843" s="11" t="s">
        <v>4687</v>
      </c>
      <c r="C1843" s="10" t="s">
        <v>240</v>
      </c>
      <c r="D1843" s="10" t="s">
        <v>206</v>
      </c>
      <c r="E1843" s="13" t="str">
        <f>IFERROR(__xludf.DUMMYFUNCTION("ifna(filter('Yahoo ADP'!$A$2:$A2766,'Yahoo ADP'!$B$2:$B2766=$B1843,$C1843='Yahoo ADP'!$C$2:$C2766,$D1843='Yahoo ADP'!$D$2:$D2766))"),"")</f>
        <v/>
      </c>
      <c r="F1843" s="13" t="str">
        <f>IFERROR(__xludf.DUMMYFUNCTION("ifna(filter('Yahoo ADP'!$E$2:$E2766,'Yahoo ADP'!$B$2:$B2766=$B1843,$C1843='Yahoo ADP'!$C$2:$C2766,$D1843='Yahoo ADP'!$D$2:$D2766))"),"-")</f>
        <v>-</v>
      </c>
      <c r="G1843" s="27">
        <v>1840.0</v>
      </c>
      <c r="H1843" s="8">
        <f t="shared" si="1"/>
        <v>-2</v>
      </c>
    </row>
    <row r="1844">
      <c r="A1844" s="10">
        <v>1843.0</v>
      </c>
      <c r="B1844" s="11" t="s">
        <v>4688</v>
      </c>
      <c r="C1844" s="10" t="s">
        <v>262</v>
      </c>
      <c r="D1844" s="10" t="s">
        <v>129</v>
      </c>
      <c r="E1844" s="13" t="str">
        <f>IFERROR(__xludf.DUMMYFUNCTION("ifna(filter('Yahoo ADP'!$A$2:$A2766,'Yahoo ADP'!$B$2:$B2766=$B1844,$C1844='Yahoo ADP'!$C$2:$C2766,$D1844='Yahoo ADP'!$D$2:$D2766))"),"")</f>
        <v/>
      </c>
      <c r="F1844" s="13" t="str">
        <f>IFERROR(__xludf.DUMMYFUNCTION("ifna(filter('Yahoo ADP'!$E$2:$E2766,'Yahoo ADP'!$B$2:$B2766=$B1844,$C1844='Yahoo ADP'!$C$2:$C2766,$D1844='Yahoo ADP'!$D$2:$D2766))"),"-")</f>
        <v>-</v>
      </c>
      <c r="G1844" s="27">
        <v>1841.0</v>
      </c>
      <c r="H1844" s="8">
        <f t="shared" si="1"/>
        <v>-2</v>
      </c>
    </row>
    <row r="1845">
      <c r="A1845" s="10">
        <v>1844.0</v>
      </c>
      <c r="B1845" s="11" t="s">
        <v>4689</v>
      </c>
      <c r="C1845" s="10" t="s">
        <v>55</v>
      </c>
      <c r="D1845" s="10" t="s">
        <v>95</v>
      </c>
      <c r="E1845" s="13" t="str">
        <f>IFERROR(__xludf.DUMMYFUNCTION("ifna(filter('Yahoo ADP'!$A$2:$A2766,'Yahoo ADP'!$B$2:$B2766=$B1845,$C1845='Yahoo ADP'!$C$2:$C2766,$D1845='Yahoo ADP'!$D$2:$D2766))"),"")</f>
        <v/>
      </c>
      <c r="F1845" s="13" t="str">
        <f>IFERROR(__xludf.DUMMYFUNCTION("ifna(filter('Yahoo ADP'!$E$2:$E2766,'Yahoo ADP'!$B$2:$B2766=$B1845,$C1845='Yahoo ADP'!$C$2:$C2766,$D1845='Yahoo ADP'!$D$2:$D2766))"),"-")</f>
        <v>-</v>
      </c>
      <c r="G1845" s="27">
        <v>1842.0</v>
      </c>
      <c r="H1845" s="8">
        <f t="shared" si="1"/>
        <v>-2</v>
      </c>
    </row>
    <row r="1846">
      <c r="A1846" s="10">
        <v>1845.0</v>
      </c>
      <c r="B1846" s="11" t="s">
        <v>4690</v>
      </c>
      <c r="C1846" s="10" t="s">
        <v>22</v>
      </c>
      <c r="D1846" s="10" t="s">
        <v>67</v>
      </c>
      <c r="E1846" s="13" t="str">
        <f>IFERROR(__xludf.DUMMYFUNCTION("ifna(filter('Yahoo ADP'!$A$2:$A2766,'Yahoo ADP'!$B$2:$B2766=$B1846,$C1846='Yahoo ADP'!$C$2:$C2766,$D1846='Yahoo ADP'!$D$2:$D2766))"),"")</f>
        <v/>
      </c>
      <c r="F1846" s="13" t="str">
        <f>IFERROR(__xludf.DUMMYFUNCTION("ifna(filter('Yahoo ADP'!$E$2:$E2766,'Yahoo ADP'!$B$2:$B2766=$B1846,$C1846='Yahoo ADP'!$C$2:$C2766,$D1846='Yahoo ADP'!$D$2:$D2766))"),"-")</f>
        <v>-</v>
      </c>
      <c r="G1846" s="27">
        <v>1843.0</v>
      </c>
      <c r="H1846" s="8">
        <f t="shared" si="1"/>
        <v>-2</v>
      </c>
    </row>
    <row r="1847">
      <c r="A1847" s="10">
        <v>1846.0</v>
      </c>
      <c r="B1847" s="11" t="s">
        <v>4691</v>
      </c>
      <c r="C1847" s="10" t="s">
        <v>8</v>
      </c>
      <c r="D1847" s="10" t="s">
        <v>31</v>
      </c>
      <c r="E1847" s="13" t="str">
        <f>IFERROR(__xludf.DUMMYFUNCTION("ifna(filter('Yahoo ADP'!$A$2:$A2766,'Yahoo ADP'!$B$2:$B2766=$B1847,$C1847='Yahoo ADP'!$C$2:$C2766,$D1847='Yahoo ADP'!$D$2:$D2766))"),"")</f>
        <v/>
      </c>
      <c r="F1847" s="13" t="str">
        <f>IFERROR(__xludf.DUMMYFUNCTION("ifna(filter('Yahoo ADP'!$E$2:$E2766,'Yahoo ADP'!$B$2:$B2766=$B1847,$C1847='Yahoo ADP'!$C$2:$C2766,$D1847='Yahoo ADP'!$D$2:$D2766))"),"-")</f>
        <v>-</v>
      </c>
      <c r="G1847" s="27">
        <v>1844.0</v>
      </c>
      <c r="H1847" s="8">
        <f t="shared" si="1"/>
        <v>-2</v>
      </c>
    </row>
    <row r="1848">
      <c r="A1848" s="10">
        <v>1847.0</v>
      </c>
      <c r="B1848" s="11" t="s">
        <v>4692</v>
      </c>
      <c r="C1848" s="10" t="s">
        <v>136</v>
      </c>
      <c r="D1848" s="10" t="s">
        <v>23</v>
      </c>
      <c r="E1848" s="13" t="str">
        <f>IFERROR(__xludf.DUMMYFUNCTION("ifna(filter('Yahoo ADP'!$A$2:$A2766,'Yahoo ADP'!$B$2:$B2766=$B1848,$C1848='Yahoo ADP'!$C$2:$C2766,$D1848='Yahoo ADP'!$D$2:$D2766))"),"")</f>
        <v/>
      </c>
      <c r="F1848" s="13" t="str">
        <f>IFERROR(__xludf.DUMMYFUNCTION("ifna(filter('Yahoo ADP'!$E$2:$E2766,'Yahoo ADP'!$B$2:$B2766=$B1848,$C1848='Yahoo ADP'!$C$2:$C2766,$D1848='Yahoo ADP'!$D$2:$D2766))"),"-")</f>
        <v>-</v>
      </c>
      <c r="G1848" s="27">
        <v>1845.0</v>
      </c>
      <c r="H1848" s="8">
        <f t="shared" si="1"/>
        <v>-2</v>
      </c>
    </row>
    <row r="1849">
      <c r="A1849" s="10">
        <v>1848.0</v>
      </c>
      <c r="B1849" s="11" t="s">
        <v>4693</v>
      </c>
      <c r="C1849" s="10" t="s">
        <v>1947</v>
      </c>
      <c r="D1849" s="10" t="s">
        <v>34</v>
      </c>
      <c r="E1849" s="13" t="str">
        <f>IFERROR(__xludf.DUMMYFUNCTION("ifna(filter('Yahoo ADP'!$A$2:$A2766,'Yahoo ADP'!$B$2:$B2766=$B1849,$C1849='Yahoo ADP'!$C$2:$C2766,$D1849='Yahoo ADP'!$D$2:$D2766))"),"")</f>
        <v/>
      </c>
      <c r="F1849" s="13" t="str">
        <f>IFERROR(__xludf.DUMMYFUNCTION("ifna(filter('Yahoo ADP'!$E$2:$E2766,'Yahoo ADP'!$B$2:$B2766=$B1849,$C1849='Yahoo ADP'!$C$2:$C2766,$D1849='Yahoo ADP'!$D$2:$D2766))"),"-")</f>
        <v>-</v>
      </c>
      <c r="G1849" s="27">
        <v>1846.0</v>
      </c>
      <c r="H1849" s="8">
        <f t="shared" si="1"/>
        <v>-2</v>
      </c>
    </row>
    <row r="1850">
      <c r="A1850" s="10">
        <v>1849.0</v>
      </c>
      <c r="B1850" s="11" t="s">
        <v>4694</v>
      </c>
      <c r="C1850" s="10" t="s">
        <v>55</v>
      </c>
      <c r="D1850" s="10" t="s">
        <v>25</v>
      </c>
      <c r="E1850" s="13" t="str">
        <f>IFERROR(__xludf.DUMMYFUNCTION("ifna(filter('Yahoo ADP'!$A$2:$A2766,'Yahoo ADP'!$B$2:$B2766=$B1850,$C1850='Yahoo ADP'!$C$2:$C2766,$D1850='Yahoo ADP'!$D$2:$D2766))"),"")</f>
        <v/>
      </c>
      <c r="F1850" s="13" t="str">
        <f>IFERROR(__xludf.DUMMYFUNCTION("ifna(filter('Yahoo ADP'!$E$2:$E2766,'Yahoo ADP'!$B$2:$B2766=$B1850,$C1850='Yahoo ADP'!$C$2:$C2766,$D1850='Yahoo ADP'!$D$2:$D2766))"),"-")</f>
        <v>-</v>
      </c>
      <c r="G1850" s="27">
        <v>1847.0</v>
      </c>
      <c r="H1850" s="8">
        <f t="shared" si="1"/>
        <v>-2</v>
      </c>
    </row>
    <row r="1851">
      <c r="A1851" s="10">
        <v>1850.0</v>
      </c>
      <c r="B1851" s="11" t="s">
        <v>4695</v>
      </c>
      <c r="C1851" s="10" t="s">
        <v>39</v>
      </c>
      <c r="D1851" s="10" t="s">
        <v>85</v>
      </c>
      <c r="E1851" s="13" t="str">
        <f>IFERROR(__xludf.DUMMYFUNCTION("ifna(filter('Yahoo ADP'!$A$2:$A2766,'Yahoo ADP'!$B$2:$B2766=$B1851,$C1851='Yahoo ADP'!$C$2:$C2766,$D1851='Yahoo ADP'!$D$2:$D2766))"),"")</f>
        <v/>
      </c>
      <c r="F1851" s="13" t="str">
        <f>IFERROR(__xludf.DUMMYFUNCTION("ifna(filter('Yahoo ADP'!$E$2:$E2766,'Yahoo ADP'!$B$2:$B2766=$B1851,$C1851='Yahoo ADP'!$C$2:$C2766,$D1851='Yahoo ADP'!$D$2:$D2766))"),"-")</f>
        <v>-</v>
      </c>
      <c r="G1851" s="27">
        <v>1848.0</v>
      </c>
      <c r="H1851" s="8">
        <f t="shared" si="1"/>
        <v>-2</v>
      </c>
    </row>
    <row r="1852">
      <c r="A1852" s="10">
        <v>1851.0</v>
      </c>
      <c r="B1852" s="11" t="s">
        <v>4696</v>
      </c>
      <c r="C1852" s="10" t="s">
        <v>218</v>
      </c>
      <c r="D1852" s="10" t="s">
        <v>42</v>
      </c>
      <c r="E1852" s="13" t="str">
        <f>IFERROR(__xludf.DUMMYFUNCTION("ifna(filter('Yahoo ADP'!$A$2:$A2766,'Yahoo ADP'!$B$2:$B2766=$B1852,$C1852='Yahoo ADP'!$C$2:$C2766,$D1852='Yahoo ADP'!$D$2:$D2766))"),"")</f>
        <v/>
      </c>
      <c r="F1852" s="13" t="str">
        <f>IFERROR(__xludf.DUMMYFUNCTION("ifna(filter('Yahoo ADP'!$E$2:$E2766,'Yahoo ADP'!$B$2:$B2766=$B1852,$C1852='Yahoo ADP'!$C$2:$C2766,$D1852='Yahoo ADP'!$D$2:$D2766))"),"-")</f>
        <v>-</v>
      </c>
      <c r="G1852" s="27">
        <v>1849.0</v>
      </c>
      <c r="H1852" s="8">
        <f t="shared" si="1"/>
        <v>-2</v>
      </c>
    </row>
    <row r="1853">
      <c r="A1853" s="10">
        <v>1852.0</v>
      </c>
      <c r="B1853" s="11" t="s">
        <v>4697</v>
      </c>
      <c r="C1853" s="10" t="s">
        <v>240</v>
      </c>
      <c r="D1853" s="10" t="s">
        <v>71</v>
      </c>
      <c r="E1853" s="13" t="str">
        <f>IFERROR(__xludf.DUMMYFUNCTION("ifna(filter('Yahoo ADP'!$A$2:$A2766,'Yahoo ADP'!$B$2:$B2766=$B1853,$C1853='Yahoo ADP'!$C$2:$C2766,$D1853='Yahoo ADP'!$D$2:$D2766))"),"")</f>
        <v/>
      </c>
      <c r="F1853" s="13" t="str">
        <f>IFERROR(__xludf.DUMMYFUNCTION("ifna(filter('Yahoo ADP'!$E$2:$E2766,'Yahoo ADP'!$B$2:$B2766=$B1853,$C1853='Yahoo ADP'!$C$2:$C2766,$D1853='Yahoo ADP'!$D$2:$D2766))"),"-")</f>
        <v>-</v>
      </c>
      <c r="G1853" s="27">
        <v>1850.0</v>
      </c>
      <c r="H1853" s="8">
        <f t="shared" si="1"/>
        <v>-2</v>
      </c>
    </row>
    <row r="1854">
      <c r="A1854" s="10">
        <v>1853.0</v>
      </c>
      <c r="B1854" s="11" t="s">
        <v>4698</v>
      </c>
      <c r="C1854" s="10" t="s">
        <v>77</v>
      </c>
      <c r="D1854" s="10" t="s">
        <v>120</v>
      </c>
      <c r="E1854" s="13" t="str">
        <f>IFERROR(__xludf.DUMMYFUNCTION("ifna(filter('Yahoo ADP'!$A$2:$A2766,'Yahoo ADP'!$B$2:$B2766=$B1854,$C1854='Yahoo ADP'!$C$2:$C2766,$D1854='Yahoo ADP'!$D$2:$D2766))"),"")</f>
        <v/>
      </c>
      <c r="F1854" s="13" t="str">
        <f>IFERROR(__xludf.DUMMYFUNCTION("ifna(filter('Yahoo ADP'!$E$2:$E2766,'Yahoo ADP'!$B$2:$B2766=$B1854,$C1854='Yahoo ADP'!$C$2:$C2766,$D1854='Yahoo ADP'!$D$2:$D2766))"),"-")</f>
        <v>-</v>
      </c>
      <c r="G1854" s="27">
        <v>1851.0</v>
      </c>
      <c r="H1854" s="8">
        <f t="shared" si="1"/>
        <v>-2</v>
      </c>
    </row>
    <row r="1855">
      <c r="A1855" s="10">
        <v>1854.0</v>
      </c>
      <c r="B1855" s="11" t="s">
        <v>4699</v>
      </c>
      <c r="C1855" s="10" t="s">
        <v>1954</v>
      </c>
      <c r="D1855" s="10" t="s">
        <v>31</v>
      </c>
      <c r="E1855" s="13" t="str">
        <f>IFERROR(__xludf.DUMMYFUNCTION("ifna(filter('Yahoo ADP'!$A$2:$A2766,'Yahoo ADP'!$B$2:$B2766=$B1855,$C1855='Yahoo ADP'!$C$2:$C2766,$D1855='Yahoo ADP'!$D$2:$D2766))"),"")</f>
        <v/>
      </c>
      <c r="F1855" s="13" t="str">
        <f>IFERROR(__xludf.DUMMYFUNCTION("ifna(filter('Yahoo ADP'!$E$2:$E2766,'Yahoo ADP'!$B$2:$B2766=$B1855,$C1855='Yahoo ADP'!$C$2:$C2766,$D1855='Yahoo ADP'!$D$2:$D2766))"),"-")</f>
        <v>-</v>
      </c>
      <c r="G1855" s="27">
        <v>1852.0</v>
      </c>
      <c r="H1855" s="8">
        <f t="shared" si="1"/>
        <v>-2</v>
      </c>
    </row>
    <row r="1856">
      <c r="A1856" s="10">
        <v>1855.0</v>
      </c>
      <c r="B1856" s="11" t="s">
        <v>4700</v>
      </c>
      <c r="C1856" s="10" t="s">
        <v>22</v>
      </c>
      <c r="D1856" s="10" t="s">
        <v>73</v>
      </c>
      <c r="E1856" s="13" t="str">
        <f>IFERROR(__xludf.DUMMYFUNCTION("ifna(filter('Yahoo ADP'!$A$2:$A2766,'Yahoo ADP'!$B$2:$B2766=$B1856,$C1856='Yahoo ADP'!$C$2:$C2766,$D1856='Yahoo ADP'!$D$2:$D2766))"),"")</f>
        <v/>
      </c>
      <c r="F1856" s="13" t="str">
        <f>IFERROR(__xludf.DUMMYFUNCTION("ifna(filter('Yahoo ADP'!$E$2:$E2766,'Yahoo ADP'!$B$2:$B2766=$B1856,$C1856='Yahoo ADP'!$C$2:$C2766,$D1856='Yahoo ADP'!$D$2:$D2766))"),"-")</f>
        <v>-</v>
      </c>
      <c r="G1856" s="27" t="s">
        <v>2897</v>
      </c>
      <c r="H1856" s="8" t="str">
        <f t="shared" si="1"/>
        <v/>
      </c>
    </row>
    <row r="1857">
      <c r="A1857" s="10">
        <v>1856.0</v>
      </c>
      <c r="B1857" s="11" t="s">
        <v>4701</v>
      </c>
      <c r="C1857" s="10" t="s">
        <v>1954</v>
      </c>
      <c r="D1857" s="10" t="s">
        <v>42</v>
      </c>
      <c r="E1857" s="13" t="str">
        <f>IFERROR(__xludf.DUMMYFUNCTION("ifna(filter('Yahoo ADP'!$A$2:$A2766,'Yahoo ADP'!$B$2:$B2766=$B1857,$C1857='Yahoo ADP'!$C$2:$C2766,$D1857='Yahoo ADP'!$D$2:$D2766))"),"")</f>
        <v/>
      </c>
      <c r="F1857" s="13" t="str">
        <f>IFERROR(__xludf.DUMMYFUNCTION("ifna(filter('Yahoo ADP'!$E$2:$E2766,'Yahoo ADP'!$B$2:$B2766=$B1857,$C1857='Yahoo ADP'!$C$2:$C2766,$D1857='Yahoo ADP'!$D$2:$D2766))"),"-")</f>
        <v>-</v>
      </c>
      <c r="G1857" s="27">
        <v>1854.0</v>
      </c>
      <c r="H1857" s="8">
        <f t="shared" si="1"/>
        <v>-2</v>
      </c>
    </row>
    <row r="1858">
      <c r="A1858" s="10">
        <v>1857.0</v>
      </c>
      <c r="B1858" s="11" t="s">
        <v>4702</v>
      </c>
      <c r="C1858" s="10" t="s">
        <v>220</v>
      </c>
      <c r="D1858" s="10" t="s">
        <v>12</v>
      </c>
      <c r="E1858" s="13" t="str">
        <f>IFERROR(__xludf.DUMMYFUNCTION("ifna(filter('Yahoo ADP'!$A$2:$A2766,'Yahoo ADP'!$B$2:$B2766=$B1858,$C1858='Yahoo ADP'!$C$2:$C2766,$D1858='Yahoo ADP'!$D$2:$D2766))"),"")</f>
        <v/>
      </c>
      <c r="F1858" s="13" t="str">
        <f>IFERROR(__xludf.DUMMYFUNCTION("ifna(filter('Yahoo ADP'!$E$2:$E2766,'Yahoo ADP'!$B$2:$B2766=$B1858,$C1858='Yahoo ADP'!$C$2:$C2766,$D1858='Yahoo ADP'!$D$2:$D2766))"),"-")</f>
        <v>-</v>
      </c>
      <c r="G1858" s="27">
        <v>1855.0</v>
      </c>
      <c r="H1858" s="8">
        <f t="shared" si="1"/>
        <v>-2</v>
      </c>
    </row>
    <row r="1859">
      <c r="A1859" s="10">
        <v>1858.0</v>
      </c>
      <c r="B1859" s="11" t="s">
        <v>4703</v>
      </c>
      <c r="C1859" s="10" t="s">
        <v>346</v>
      </c>
      <c r="D1859" s="10" t="s">
        <v>73</v>
      </c>
      <c r="E1859" s="13" t="str">
        <f>IFERROR(__xludf.DUMMYFUNCTION("ifna(filter('Yahoo ADP'!$A$2:$A2766,'Yahoo ADP'!$B$2:$B2766=$B1859,$C1859='Yahoo ADP'!$C$2:$C2766,$D1859='Yahoo ADP'!$D$2:$D2766))"),"")</f>
        <v/>
      </c>
      <c r="F1859" s="13" t="str">
        <f>IFERROR(__xludf.DUMMYFUNCTION("ifna(filter('Yahoo ADP'!$E$2:$E2766,'Yahoo ADP'!$B$2:$B2766=$B1859,$C1859='Yahoo ADP'!$C$2:$C2766,$D1859='Yahoo ADP'!$D$2:$D2766))"),"-")</f>
        <v>-</v>
      </c>
      <c r="G1859" s="27">
        <v>1856.0</v>
      </c>
      <c r="H1859" s="8">
        <f t="shared" si="1"/>
        <v>-2</v>
      </c>
    </row>
    <row r="1860">
      <c r="A1860" s="10">
        <v>1859.0</v>
      </c>
      <c r="B1860" s="11" t="s">
        <v>4704</v>
      </c>
      <c r="C1860" s="10" t="s">
        <v>283</v>
      </c>
      <c r="D1860" s="10" t="s">
        <v>36</v>
      </c>
      <c r="E1860" s="13" t="str">
        <f>IFERROR(__xludf.DUMMYFUNCTION("ifna(filter('Yahoo ADP'!$A$2:$A2766,'Yahoo ADP'!$B$2:$B2766=$B1860,$C1860='Yahoo ADP'!$C$2:$C2766,$D1860='Yahoo ADP'!$D$2:$D2766))"),"")</f>
        <v/>
      </c>
      <c r="F1860" s="13" t="str">
        <f>IFERROR(__xludf.DUMMYFUNCTION("ifna(filter('Yahoo ADP'!$E$2:$E2766,'Yahoo ADP'!$B$2:$B2766=$B1860,$C1860='Yahoo ADP'!$C$2:$C2766,$D1860='Yahoo ADP'!$D$2:$D2766))"),"-")</f>
        <v>-</v>
      </c>
      <c r="G1860" s="27">
        <v>1857.0</v>
      </c>
      <c r="H1860" s="8">
        <f t="shared" si="1"/>
        <v>-2</v>
      </c>
    </row>
    <row r="1861">
      <c r="A1861" s="10">
        <v>1860.0</v>
      </c>
      <c r="B1861" s="11" t="s">
        <v>4705</v>
      </c>
      <c r="C1861" s="10" t="s">
        <v>39</v>
      </c>
      <c r="D1861" s="10" t="s">
        <v>67</v>
      </c>
      <c r="E1861" s="13" t="str">
        <f>IFERROR(__xludf.DUMMYFUNCTION("ifna(filter('Yahoo ADP'!$A$2:$A2766,'Yahoo ADP'!$B$2:$B2766=$B1861,$C1861='Yahoo ADP'!$C$2:$C2766,$D1861='Yahoo ADP'!$D$2:$D2766))"),"")</f>
        <v/>
      </c>
      <c r="F1861" s="13" t="str">
        <f>IFERROR(__xludf.DUMMYFUNCTION("ifna(filter('Yahoo ADP'!$E$2:$E2766,'Yahoo ADP'!$B$2:$B2766=$B1861,$C1861='Yahoo ADP'!$C$2:$C2766,$D1861='Yahoo ADP'!$D$2:$D2766))"),"-")</f>
        <v>-</v>
      </c>
      <c r="G1861" s="27">
        <v>1858.0</v>
      </c>
      <c r="H1861" s="8">
        <f t="shared" si="1"/>
        <v>-2</v>
      </c>
    </row>
    <row r="1862">
      <c r="A1862" s="10">
        <v>1861.0</v>
      </c>
      <c r="B1862" s="11" t="s">
        <v>4706</v>
      </c>
      <c r="C1862" s="10" t="s">
        <v>17</v>
      </c>
      <c r="D1862" s="10" t="s">
        <v>82</v>
      </c>
      <c r="E1862" s="13" t="str">
        <f>IFERROR(__xludf.DUMMYFUNCTION("ifna(filter('Yahoo ADP'!$A$2:$A2766,'Yahoo ADP'!$B$2:$B2766=$B1862,$C1862='Yahoo ADP'!$C$2:$C2766,$D1862='Yahoo ADP'!$D$2:$D2766))"),"")</f>
        <v/>
      </c>
      <c r="F1862" s="13" t="str">
        <f>IFERROR(__xludf.DUMMYFUNCTION("ifna(filter('Yahoo ADP'!$E$2:$E2766,'Yahoo ADP'!$B$2:$B2766=$B1862,$C1862='Yahoo ADP'!$C$2:$C2766,$D1862='Yahoo ADP'!$D$2:$D2766))"),"-")</f>
        <v>-</v>
      </c>
      <c r="G1862" s="27">
        <v>1859.0</v>
      </c>
      <c r="H1862" s="8">
        <f t="shared" si="1"/>
        <v>-2</v>
      </c>
    </row>
    <row r="1863">
      <c r="A1863" s="10">
        <v>1862.0</v>
      </c>
      <c r="B1863" s="11" t="s">
        <v>4707</v>
      </c>
      <c r="C1863" s="10" t="s">
        <v>48</v>
      </c>
      <c r="D1863" s="10" t="s">
        <v>18</v>
      </c>
      <c r="E1863" s="13" t="str">
        <f>IFERROR(__xludf.DUMMYFUNCTION("ifna(filter('Yahoo ADP'!$A$2:$A2766,'Yahoo ADP'!$B$2:$B2766=$B1863,$C1863='Yahoo ADP'!$C$2:$C2766,$D1863='Yahoo ADP'!$D$2:$D2766))"),"")</f>
        <v/>
      </c>
      <c r="F1863" s="13" t="str">
        <f>IFERROR(__xludf.DUMMYFUNCTION("ifna(filter('Yahoo ADP'!$E$2:$E2766,'Yahoo ADP'!$B$2:$B2766=$B1863,$C1863='Yahoo ADP'!$C$2:$C2766,$D1863='Yahoo ADP'!$D$2:$D2766))"),"-")</f>
        <v>-</v>
      </c>
      <c r="G1863" s="27">
        <v>1860.0</v>
      </c>
      <c r="H1863" s="8">
        <f t="shared" si="1"/>
        <v>-2</v>
      </c>
    </row>
    <row r="1864">
      <c r="A1864" s="10">
        <v>1863.0</v>
      </c>
      <c r="B1864" s="11" t="s">
        <v>4708</v>
      </c>
      <c r="C1864" s="10" t="s">
        <v>39</v>
      </c>
      <c r="D1864" s="10" t="s">
        <v>23</v>
      </c>
      <c r="E1864" s="13" t="str">
        <f>IFERROR(__xludf.DUMMYFUNCTION("ifna(filter('Yahoo ADP'!$A$2:$A2766,'Yahoo ADP'!$B$2:$B2766=$B1864,$C1864='Yahoo ADP'!$C$2:$C2766,$D1864='Yahoo ADP'!$D$2:$D2766))"),"")</f>
        <v/>
      </c>
      <c r="F1864" s="13" t="str">
        <f>IFERROR(__xludf.DUMMYFUNCTION("ifna(filter('Yahoo ADP'!$E$2:$E2766,'Yahoo ADP'!$B$2:$B2766=$B1864,$C1864='Yahoo ADP'!$C$2:$C2766,$D1864='Yahoo ADP'!$D$2:$D2766))"),"-")</f>
        <v>-</v>
      </c>
      <c r="G1864" s="27">
        <v>1861.0</v>
      </c>
      <c r="H1864" s="8">
        <f t="shared" si="1"/>
        <v>-2</v>
      </c>
    </row>
    <row r="1865">
      <c r="A1865" s="10">
        <v>1864.0</v>
      </c>
      <c r="B1865" s="11" t="s">
        <v>4709</v>
      </c>
      <c r="C1865" s="10" t="s">
        <v>55</v>
      </c>
      <c r="D1865" s="10" t="s">
        <v>9</v>
      </c>
      <c r="E1865" s="13" t="str">
        <f>IFERROR(__xludf.DUMMYFUNCTION("ifna(filter('Yahoo ADP'!$A$2:$A2766,'Yahoo ADP'!$B$2:$B2766=$B1865,$C1865='Yahoo ADP'!$C$2:$C2766,$D1865='Yahoo ADP'!$D$2:$D2766))"),"")</f>
        <v/>
      </c>
      <c r="F1865" s="13" t="str">
        <f>IFERROR(__xludf.DUMMYFUNCTION("ifna(filter('Yahoo ADP'!$E$2:$E2766,'Yahoo ADP'!$B$2:$B2766=$B1865,$C1865='Yahoo ADP'!$C$2:$C2766,$D1865='Yahoo ADP'!$D$2:$D2766))"),"-")</f>
        <v>-</v>
      </c>
      <c r="G1865" s="27">
        <v>1862.0</v>
      </c>
      <c r="H1865" s="8">
        <f t="shared" si="1"/>
        <v>-2</v>
      </c>
    </row>
    <row r="1866">
      <c r="A1866" s="10">
        <v>1865.0</v>
      </c>
      <c r="B1866" s="11" t="s">
        <v>4710</v>
      </c>
      <c r="C1866" s="10" t="s">
        <v>39</v>
      </c>
      <c r="D1866" s="10" t="s">
        <v>129</v>
      </c>
      <c r="E1866" s="13" t="str">
        <f>IFERROR(__xludf.DUMMYFUNCTION("ifna(filter('Yahoo ADP'!$A$2:$A2766,'Yahoo ADP'!$B$2:$B2766=$B1866,$C1866='Yahoo ADP'!$C$2:$C2766,$D1866='Yahoo ADP'!$D$2:$D2766))"),"")</f>
        <v/>
      </c>
      <c r="F1866" s="13" t="str">
        <f>IFERROR(__xludf.DUMMYFUNCTION("ifna(filter('Yahoo ADP'!$E$2:$E2766,'Yahoo ADP'!$B$2:$B2766=$B1866,$C1866='Yahoo ADP'!$C$2:$C2766,$D1866='Yahoo ADP'!$D$2:$D2766))"),"-")</f>
        <v>-</v>
      </c>
      <c r="G1866" s="27">
        <v>1863.0</v>
      </c>
      <c r="H1866" s="8">
        <f t="shared" si="1"/>
        <v>-2</v>
      </c>
    </row>
    <row r="1867">
      <c r="A1867" s="10">
        <v>1866.0</v>
      </c>
      <c r="B1867" s="11" t="s">
        <v>4711</v>
      </c>
      <c r="C1867" s="10" t="s">
        <v>1938</v>
      </c>
      <c r="D1867" s="10" t="s">
        <v>46</v>
      </c>
      <c r="E1867" s="13" t="str">
        <f>IFERROR(__xludf.DUMMYFUNCTION("ifna(filter('Yahoo ADP'!$A$2:$A2766,'Yahoo ADP'!$B$2:$B2766=$B1867,$C1867='Yahoo ADP'!$C$2:$C2766,$D1867='Yahoo ADP'!$D$2:$D2766))"),"")</f>
        <v/>
      </c>
      <c r="F1867" s="13" t="str">
        <f>IFERROR(__xludf.DUMMYFUNCTION("ifna(filter('Yahoo ADP'!$E$2:$E2766,'Yahoo ADP'!$B$2:$B2766=$B1867,$C1867='Yahoo ADP'!$C$2:$C2766,$D1867='Yahoo ADP'!$D$2:$D2766))"),"-")</f>
        <v>-</v>
      </c>
      <c r="G1867" s="27">
        <v>1864.0</v>
      </c>
      <c r="H1867" s="8">
        <f t="shared" si="1"/>
        <v>-2</v>
      </c>
    </row>
    <row r="1868">
      <c r="A1868" s="10">
        <v>1867.0</v>
      </c>
      <c r="B1868" s="11" t="s">
        <v>4712</v>
      </c>
      <c r="C1868" s="10" t="s">
        <v>77</v>
      </c>
      <c r="D1868" s="10" t="s">
        <v>36</v>
      </c>
      <c r="E1868" s="13" t="str">
        <f>IFERROR(__xludf.DUMMYFUNCTION("ifna(filter('Yahoo ADP'!$A$2:$A2766,'Yahoo ADP'!$B$2:$B2766=$B1868,$C1868='Yahoo ADP'!$C$2:$C2766,$D1868='Yahoo ADP'!$D$2:$D2766))"),"")</f>
        <v/>
      </c>
      <c r="F1868" s="13" t="str">
        <f>IFERROR(__xludf.DUMMYFUNCTION("ifna(filter('Yahoo ADP'!$E$2:$E2766,'Yahoo ADP'!$B$2:$B2766=$B1868,$C1868='Yahoo ADP'!$C$2:$C2766,$D1868='Yahoo ADP'!$D$2:$D2766))"),"-")</f>
        <v>-</v>
      </c>
      <c r="G1868" s="27">
        <v>1865.0</v>
      </c>
      <c r="H1868" s="8">
        <f t="shared" si="1"/>
        <v>-2</v>
      </c>
    </row>
    <row r="1869">
      <c r="A1869" s="10">
        <v>1868.0</v>
      </c>
      <c r="B1869" s="11" t="s">
        <v>4713</v>
      </c>
      <c r="C1869" s="10" t="s">
        <v>63</v>
      </c>
      <c r="D1869" s="10" t="s">
        <v>67</v>
      </c>
      <c r="E1869" s="13" t="str">
        <f>IFERROR(__xludf.DUMMYFUNCTION("ifna(filter('Yahoo ADP'!$A$2:$A2766,'Yahoo ADP'!$B$2:$B2766=$B1869,$C1869='Yahoo ADP'!$C$2:$C2766,$D1869='Yahoo ADP'!$D$2:$D2766))"),"")</f>
        <v/>
      </c>
      <c r="F1869" s="13" t="str">
        <f>IFERROR(__xludf.DUMMYFUNCTION("ifna(filter('Yahoo ADP'!$E$2:$E2766,'Yahoo ADP'!$B$2:$B2766=$B1869,$C1869='Yahoo ADP'!$C$2:$C2766,$D1869='Yahoo ADP'!$D$2:$D2766))"),"-")</f>
        <v>-</v>
      </c>
      <c r="G1869" s="27">
        <v>1866.0</v>
      </c>
      <c r="H1869" s="8">
        <f t="shared" si="1"/>
        <v>-2</v>
      </c>
    </row>
    <row r="1870">
      <c r="A1870" s="10">
        <v>1869.0</v>
      </c>
      <c r="B1870" s="11" t="s">
        <v>4714</v>
      </c>
      <c r="C1870" s="10" t="s">
        <v>69</v>
      </c>
      <c r="D1870" s="10" t="s">
        <v>99</v>
      </c>
      <c r="E1870" s="13" t="str">
        <f>IFERROR(__xludf.DUMMYFUNCTION("ifna(filter('Yahoo ADP'!$A$2:$A2766,'Yahoo ADP'!$B$2:$B2766=$B1870,$C1870='Yahoo ADP'!$C$2:$C2766,$D1870='Yahoo ADP'!$D$2:$D2766))"),"")</f>
        <v/>
      </c>
      <c r="F1870" s="13" t="str">
        <f>IFERROR(__xludf.DUMMYFUNCTION("ifna(filter('Yahoo ADP'!$E$2:$E2766,'Yahoo ADP'!$B$2:$B2766=$B1870,$C1870='Yahoo ADP'!$C$2:$C2766,$D1870='Yahoo ADP'!$D$2:$D2766))"),"-")</f>
        <v>-</v>
      </c>
      <c r="G1870" s="27">
        <v>1867.0</v>
      </c>
      <c r="H1870" s="8">
        <f t="shared" si="1"/>
        <v>-2</v>
      </c>
    </row>
    <row r="1871">
      <c r="A1871" s="10">
        <v>1870.0</v>
      </c>
      <c r="B1871" s="11" t="s">
        <v>4715</v>
      </c>
      <c r="C1871" s="10" t="s">
        <v>218</v>
      </c>
      <c r="D1871" s="10" t="s">
        <v>71</v>
      </c>
      <c r="E1871" s="13" t="str">
        <f>IFERROR(__xludf.DUMMYFUNCTION("ifna(filter('Yahoo ADP'!$A$2:$A2766,'Yahoo ADP'!$B$2:$B2766=$B1871,$C1871='Yahoo ADP'!$C$2:$C2766,$D1871='Yahoo ADP'!$D$2:$D2766))"),"")</f>
        <v/>
      </c>
      <c r="F1871" s="13" t="str">
        <f>IFERROR(__xludf.DUMMYFUNCTION("ifna(filter('Yahoo ADP'!$E$2:$E2766,'Yahoo ADP'!$B$2:$B2766=$B1871,$C1871='Yahoo ADP'!$C$2:$C2766,$D1871='Yahoo ADP'!$D$2:$D2766))"),"-")</f>
        <v>-</v>
      </c>
      <c r="G1871" s="27">
        <v>1868.0</v>
      </c>
      <c r="H1871" s="8">
        <f t="shared" si="1"/>
        <v>-2</v>
      </c>
    </row>
    <row r="1872">
      <c r="A1872" s="10">
        <v>1871.0</v>
      </c>
      <c r="B1872" s="11" t="s">
        <v>4716</v>
      </c>
      <c r="C1872" s="10" t="s">
        <v>14</v>
      </c>
      <c r="D1872" s="10" t="s">
        <v>34</v>
      </c>
      <c r="E1872" s="13" t="str">
        <f>IFERROR(__xludf.DUMMYFUNCTION("ifna(filter('Yahoo ADP'!$A$2:$A2766,'Yahoo ADP'!$B$2:$B2766=$B1872,$C1872='Yahoo ADP'!$C$2:$C2766,$D1872='Yahoo ADP'!$D$2:$D2766))"),"")</f>
        <v/>
      </c>
      <c r="F1872" s="13" t="str">
        <f>IFERROR(__xludf.DUMMYFUNCTION("ifna(filter('Yahoo ADP'!$E$2:$E2766,'Yahoo ADP'!$B$2:$B2766=$B1872,$C1872='Yahoo ADP'!$C$2:$C2766,$D1872='Yahoo ADP'!$D$2:$D2766))"),"-")</f>
        <v>-</v>
      </c>
      <c r="G1872" s="27">
        <v>1869.0</v>
      </c>
      <c r="H1872" s="8">
        <f t="shared" si="1"/>
        <v>-2</v>
      </c>
    </row>
    <row r="1873">
      <c r="A1873" s="10">
        <v>1872.0</v>
      </c>
      <c r="B1873" s="11" t="s">
        <v>4717</v>
      </c>
      <c r="C1873" s="10" t="s">
        <v>69</v>
      </c>
      <c r="D1873" s="10" t="s">
        <v>25</v>
      </c>
      <c r="E1873" s="13" t="str">
        <f>IFERROR(__xludf.DUMMYFUNCTION("ifna(filter('Yahoo ADP'!$A$2:$A2766,'Yahoo ADP'!$B$2:$B2766=$B1873,$C1873='Yahoo ADP'!$C$2:$C2766,$D1873='Yahoo ADP'!$D$2:$D2766))"),"")</f>
        <v/>
      </c>
      <c r="F1873" s="13" t="str">
        <f>IFERROR(__xludf.DUMMYFUNCTION("ifna(filter('Yahoo ADP'!$E$2:$E2766,'Yahoo ADP'!$B$2:$B2766=$B1873,$C1873='Yahoo ADP'!$C$2:$C2766,$D1873='Yahoo ADP'!$D$2:$D2766))"),"-")</f>
        <v>-</v>
      </c>
      <c r="G1873" s="27">
        <v>1870.0</v>
      </c>
      <c r="H1873" s="8">
        <f t="shared" si="1"/>
        <v>-2</v>
      </c>
    </row>
    <row r="1874">
      <c r="A1874" s="10">
        <v>1873.0</v>
      </c>
      <c r="B1874" s="11" t="s">
        <v>4718</v>
      </c>
      <c r="C1874" s="10" t="s">
        <v>77</v>
      </c>
      <c r="D1874" s="10" t="s">
        <v>73</v>
      </c>
      <c r="E1874" s="13" t="str">
        <f>IFERROR(__xludf.DUMMYFUNCTION("ifna(filter('Yahoo ADP'!$A$2:$A2766,'Yahoo ADP'!$B$2:$B2766=$B1874,$C1874='Yahoo ADP'!$C$2:$C2766,$D1874='Yahoo ADP'!$D$2:$D2766))"),"")</f>
        <v/>
      </c>
      <c r="F1874" s="13" t="str">
        <f>IFERROR(__xludf.DUMMYFUNCTION("ifna(filter('Yahoo ADP'!$E$2:$E2766,'Yahoo ADP'!$B$2:$B2766=$B1874,$C1874='Yahoo ADP'!$C$2:$C2766,$D1874='Yahoo ADP'!$D$2:$D2766))"),"-")</f>
        <v>-</v>
      </c>
      <c r="G1874" s="27">
        <v>1871.0</v>
      </c>
      <c r="H1874" s="8">
        <f t="shared" si="1"/>
        <v>-2</v>
      </c>
    </row>
    <row r="1875">
      <c r="A1875" s="10">
        <v>1874.0</v>
      </c>
      <c r="B1875" s="11" t="s">
        <v>4719</v>
      </c>
      <c r="C1875" s="10" t="s">
        <v>17</v>
      </c>
      <c r="D1875" s="10" t="s">
        <v>137</v>
      </c>
      <c r="E1875" s="13" t="str">
        <f>IFERROR(__xludf.DUMMYFUNCTION("ifna(filter('Yahoo ADP'!$A$2:$A2766,'Yahoo ADP'!$B$2:$B2766=$B1875,$C1875='Yahoo ADP'!$C$2:$C2766,$D1875='Yahoo ADP'!$D$2:$D2766))"),"")</f>
        <v/>
      </c>
      <c r="F1875" s="13" t="str">
        <f>IFERROR(__xludf.DUMMYFUNCTION("ifna(filter('Yahoo ADP'!$E$2:$E2766,'Yahoo ADP'!$B$2:$B2766=$B1875,$C1875='Yahoo ADP'!$C$2:$C2766,$D1875='Yahoo ADP'!$D$2:$D2766))"),"-")</f>
        <v>-</v>
      </c>
      <c r="G1875" s="27">
        <v>1872.0</v>
      </c>
      <c r="H1875" s="8">
        <f t="shared" si="1"/>
        <v>-2</v>
      </c>
    </row>
    <row r="1876">
      <c r="A1876" s="10">
        <v>1875.0</v>
      </c>
      <c r="B1876" s="11" t="s">
        <v>4720</v>
      </c>
      <c r="C1876" s="10" t="s">
        <v>22</v>
      </c>
      <c r="D1876" s="10" t="s">
        <v>137</v>
      </c>
      <c r="E1876" s="13" t="str">
        <f>IFERROR(__xludf.DUMMYFUNCTION("ifna(filter('Yahoo ADP'!$A$2:$A2766,'Yahoo ADP'!$B$2:$B2766=$B1876,$C1876='Yahoo ADP'!$C$2:$C2766,$D1876='Yahoo ADP'!$D$2:$D2766))"),"")</f>
        <v/>
      </c>
      <c r="F1876" s="13" t="str">
        <f>IFERROR(__xludf.DUMMYFUNCTION("ifna(filter('Yahoo ADP'!$E$2:$E2766,'Yahoo ADP'!$B$2:$B2766=$B1876,$C1876='Yahoo ADP'!$C$2:$C2766,$D1876='Yahoo ADP'!$D$2:$D2766))"),"-")</f>
        <v>-</v>
      </c>
      <c r="G1876" s="27">
        <v>1873.0</v>
      </c>
      <c r="H1876" s="8">
        <f t="shared" si="1"/>
        <v>-2</v>
      </c>
    </row>
    <row r="1877">
      <c r="A1877" s="10">
        <v>1876.0</v>
      </c>
      <c r="B1877" s="11" t="s">
        <v>4721</v>
      </c>
      <c r="C1877" s="10" t="s">
        <v>136</v>
      </c>
      <c r="D1877" s="10" t="s">
        <v>95</v>
      </c>
      <c r="E1877" s="13" t="str">
        <f>IFERROR(__xludf.DUMMYFUNCTION("ifna(filter('Yahoo ADP'!$A$2:$A2766,'Yahoo ADP'!$B$2:$B2766=$B1877,$C1877='Yahoo ADP'!$C$2:$C2766,$D1877='Yahoo ADP'!$D$2:$D2766))"),"")</f>
        <v/>
      </c>
      <c r="F1877" s="13" t="str">
        <f>IFERROR(__xludf.DUMMYFUNCTION("ifna(filter('Yahoo ADP'!$E$2:$E2766,'Yahoo ADP'!$B$2:$B2766=$B1877,$C1877='Yahoo ADP'!$C$2:$C2766,$D1877='Yahoo ADP'!$D$2:$D2766))"),"-")</f>
        <v>-</v>
      </c>
      <c r="G1877" s="27">
        <v>1874.0</v>
      </c>
      <c r="H1877" s="8">
        <f t="shared" si="1"/>
        <v>-2</v>
      </c>
    </row>
    <row r="1878">
      <c r="A1878" s="10">
        <v>1877.0</v>
      </c>
      <c r="B1878" s="11" t="s">
        <v>4722</v>
      </c>
      <c r="C1878" s="10" t="s">
        <v>17</v>
      </c>
      <c r="D1878" s="10" t="s">
        <v>52</v>
      </c>
      <c r="E1878" s="13" t="str">
        <f>IFERROR(__xludf.DUMMYFUNCTION("ifna(filter('Yahoo ADP'!$A$2:$A2766,'Yahoo ADP'!$B$2:$B2766=$B1878,$C1878='Yahoo ADP'!$C$2:$C2766,$D1878='Yahoo ADP'!$D$2:$D2766))"),"")</f>
        <v/>
      </c>
      <c r="F1878" s="13" t="str">
        <f>IFERROR(__xludf.DUMMYFUNCTION("ifna(filter('Yahoo ADP'!$E$2:$E2766,'Yahoo ADP'!$B$2:$B2766=$B1878,$C1878='Yahoo ADP'!$C$2:$C2766,$D1878='Yahoo ADP'!$D$2:$D2766))"),"-")</f>
        <v>-</v>
      </c>
      <c r="G1878" s="27">
        <v>1875.0</v>
      </c>
      <c r="H1878" s="8">
        <f t="shared" si="1"/>
        <v>-2</v>
      </c>
    </row>
    <row r="1879">
      <c r="A1879" s="10">
        <v>1878.0</v>
      </c>
      <c r="B1879" s="11" t="s">
        <v>4723</v>
      </c>
      <c r="C1879" s="10" t="s">
        <v>150</v>
      </c>
      <c r="D1879" s="10" t="s">
        <v>27</v>
      </c>
      <c r="E1879" s="13" t="str">
        <f>IFERROR(__xludf.DUMMYFUNCTION("ifna(filter('Yahoo ADP'!$A$2:$A2766,'Yahoo ADP'!$B$2:$B2766=$B1879,$C1879='Yahoo ADP'!$C$2:$C2766,$D1879='Yahoo ADP'!$D$2:$D2766))"),"")</f>
        <v/>
      </c>
      <c r="F1879" s="13" t="str">
        <f>IFERROR(__xludf.DUMMYFUNCTION("ifna(filter('Yahoo ADP'!$E$2:$E2766,'Yahoo ADP'!$B$2:$B2766=$B1879,$C1879='Yahoo ADP'!$C$2:$C2766,$D1879='Yahoo ADP'!$D$2:$D2766))"),"-")</f>
        <v>-</v>
      </c>
      <c r="G1879" s="27">
        <v>1876.0</v>
      </c>
      <c r="H1879" s="8">
        <f t="shared" si="1"/>
        <v>-2</v>
      </c>
    </row>
    <row r="1880">
      <c r="A1880" s="10">
        <v>1879.0</v>
      </c>
      <c r="B1880" s="11" t="s">
        <v>4724</v>
      </c>
      <c r="C1880" s="10" t="s">
        <v>20</v>
      </c>
      <c r="D1880" s="10" t="s">
        <v>85</v>
      </c>
      <c r="E1880" s="13" t="str">
        <f>IFERROR(__xludf.DUMMYFUNCTION("ifna(filter('Yahoo ADP'!$A$2:$A2766,'Yahoo ADP'!$B$2:$B2766=$B1880,$C1880='Yahoo ADP'!$C$2:$C2766,$D1880='Yahoo ADP'!$D$2:$D2766))"),"")</f>
        <v/>
      </c>
      <c r="F1880" s="13" t="str">
        <f>IFERROR(__xludf.DUMMYFUNCTION("ifna(filter('Yahoo ADP'!$E$2:$E2766,'Yahoo ADP'!$B$2:$B2766=$B1880,$C1880='Yahoo ADP'!$C$2:$C2766,$D1880='Yahoo ADP'!$D$2:$D2766))"),"-")</f>
        <v>-</v>
      </c>
      <c r="G1880" s="27">
        <v>1877.0</v>
      </c>
      <c r="H1880" s="8">
        <f t="shared" si="1"/>
        <v>-2</v>
      </c>
    </row>
    <row r="1881">
      <c r="A1881" s="10">
        <v>1880.0</v>
      </c>
      <c r="B1881" s="11" t="s">
        <v>4725</v>
      </c>
      <c r="C1881" s="10" t="s">
        <v>176</v>
      </c>
      <c r="D1881" s="10" t="s">
        <v>71</v>
      </c>
      <c r="E1881" s="13" t="str">
        <f>IFERROR(__xludf.DUMMYFUNCTION("ifna(filter('Yahoo ADP'!$A$2:$A2766,'Yahoo ADP'!$B$2:$B2766=$B1881,$C1881='Yahoo ADP'!$C$2:$C2766,$D1881='Yahoo ADP'!$D$2:$D2766))"),"")</f>
        <v/>
      </c>
      <c r="F1881" s="13" t="str">
        <f>IFERROR(__xludf.DUMMYFUNCTION("ifna(filter('Yahoo ADP'!$E$2:$E2766,'Yahoo ADP'!$B$2:$B2766=$B1881,$C1881='Yahoo ADP'!$C$2:$C2766,$D1881='Yahoo ADP'!$D$2:$D2766))"),"-")</f>
        <v>-</v>
      </c>
      <c r="G1881" s="27">
        <v>1878.0</v>
      </c>
      <c r="H1881" s="8">
        <f t="shared" si="1"/>
        <v>-2</v>
      </c>
    </row>
    <row r="1882">
      <c r="A1882" s="10">
        <v>1881.0</v>
      </c>
      <c r="B1882" s="11" t="s">
        <v>4726</v>
      </c>
      <c r="C1882" s="10" t="s">
        <v>11</v>
      </c>
      <c r="D1882" s="10" t="s">
        <v>73</v>
      </c>
      <c r="E1882" s="13" t="str">
        <f>IFERROR(__xludf.DUMMYFUNCTION("ifna(filter('Yahoo ADP'!$A$2:$A2766,'Yahoo ADP'!$B$2:$B2766=$B1882,$C1882='Yahoo ADP'!$C$2:$C2766,$D1882='Yahoo ADP'!$D$2:$D2766))"),"")</f>
        <v/>
      </c>
      <c r="F1882" s="13" t="str">
        <f>IFERROR(__xludf.DUMMYFUNCTION("ifna(filter('Yahoo ADP'!$E$2:$E2766,'Yahoo ADP'!$B$2:$B2766=$B1882,$C1882='Yahoo ADP'!$C$2:$C2766,$D1882='Yahoo ADP'!$D$2:$D2766))"),"-")</f>
        <v>-</v>
      </c>
      <c r="G1882" s="27">
        <v>1879.0</v>
      </c>
      <c r="H1882" s="8">
        <f t="shared" si="1"/>
        <v>-2</v>
      </c>
    </row>
    <row r="1883">
      <c r="A1883" s="10">
        <v>1882.0</v>
      </c>
      <c r="B1883" s="11" t="s">
        <v>4727</v>
      </c>
      <c r="C1883" s="10" t="s">
        <v>189</v>
      </c>
      <c r="D1883" s="10" t="s">
        <v>85</v>
      </c>
      <c r="E1883" s="13" t="str">
        <f>IFERROR(__xludf.DUMMYFUNCTION("ifna(filter('Yahoo ADP'!$A$2:$A2766,'Yahoo ADP'!$B$2:$B2766=$B1883,$C1883='Yahoo ADP'!$C$2:$C2766,$D1883='Yahoo ADP'!$D$2:$D2766))"),"")</f>
        <v/>
      </c>
      <c r="F1883" s="13" t="str">
        <f>IFERROR(__xludf.DUMMYFUNCTION("ifna(filter('Yahoo ADP'!$E$2:$E2766,'Yahoo ADP'!$B$2:$B2766=$B1883,$C1883='Yahoo ADP'!$C$2:$C2766,$D1883='Yahoo ADP'!$D$2:$D2766))"),"-")</f>
        <v>-</v>
      </c>
      <c r="G1883" s="27">
        <v>1880.0</v>
      </c>
      <c r="H1883" s="8">
        <f t="shared" si="1"/>
        <v>-2</v>
      </c>
    </row>
    <row r="1884">
      <c r="A1884" s="10">
        <v>1883.0</v>
      </c>
      <c r="B1884" s="11" t="s">
        <v>4728</v>
      </c>
      <c r="C1884" s="10" t="s">
        <v>218</v>
      </c>
      <c r="D1884" s="10" t="s">
        <v>99</v>
      </c>
      <c r="E1884" s="13" t="str">
        <f>IFERROR(__xludf.DUMMYFUNCTION("ifna(filter('Yahoo ADP'!$A$2:$A2766,'Yahoo ADP'!$B$2:$B2766=$B1884,$C1884='Yahoo ADP'!$C$2:$C2766,$D1884='Yahoo ADP'!$D$2:$D2766))"),"")</f>
        <v/>
      </c>
      <c r="F1884" s="13" t="str">
        <f>IFERROR(__xludf.DUMMYFUNCTION("ifna(filter('Yahoo ADP'!$E$2:$E2766,'Yahoo ADP'!$B$2:$B2766=$B1884,$C1884='Yahoo ADP'!$C$2:$C2766,$D1884='Yahoo ADP'!$D$2:$D2766))"),"-")</f>
        <v>-</v>
      </c>
      <c r="G1884" s="27">
        <v>1881.0</v>
      </c>
      <c r="H1884" s="8">
        <f t="shared" si="1"/>
        <v>-2</v>
      </c>
    </row>
    <row r="1885">
      <c r="A1885" s="10">
        <v>1884.0</v>
      </c>
      <c r="B1885" s="11" t="s">
        <v>4729</v>
      </c>
      <c r="C1885" s="10" t="s">
        <v>39</v>
      </c>
      <c r="D1885" s="10" t="s">
        <v>85</v>
      </c>
      <c r="E1885" s="13" t="str">
        <f>IFERROR(__xludf.DUMMYFUNCTION("ifna(filter('Yahoo ADP'!$A$2:$A2766,'Yahoo ADP'!$B$2:$B2766=$B1885,$C1885='Yahoo ADP'!$C$2:$C2766,$D1885='Yahoo ADP'!$D$2:$D2766))"),"")</f>
        <v/>
      </c>
      <c r="F1885" s="13" t="str">
        <f>IFERROR(__xludf.DUMMYFUNCTION("ifna(filter('Yahoo ADP'!$E$2:$E2766,'Yahoo ADP'!$B$2:$B2766=$B1885,$C1885='Yahoo ADP'!$C$2:$C2766,$D1885='Yahoo ADP'!$D$2:$D2766))"),"-")</f>
        <v>-</v>
      </c>
      <c r="G1885" s="27">
        <v>1882.0</v>
      </c>
      <c r="H1885" s="8">
        <f t="shared" si="1"/>
        <v>-2</v>
      </c>
    </row>
    <row r="1886">
      <c r="A1886" s="10">
        <v>1885.0</v>
      </c>
      <c r="B1886" s="11" t="s">
        <v>4730</v>
      </c>
      <c r="C1886" s="10" t="s">
        <v>17</v>
      </c>
      <c r="D1886" s="10" t="s">
        <v>52</v>
      </c>
      <c r="E1886" s="13" t="str">
        <f>IFERROR(__xludf.DUMMYFUNCTION("ifna(filter('Yahoo ADP'!$A$2:$A2766,'Yahoo ADP'!$B$2:$B2766=$B1886,$C1886='Yahoo ADP'!$C$2:$C2766,$D1886='Yahoo ADP'!$D$2:$D2766))"),"")</f>
        <v/>
      </c>
      <c r="F1886" s="13" t="str">
        <f>IFERROR(__xludf.DUMMYFUNCTION("ifna(filter('Yahoo ADP'!$E$2:$E2766,'Yahoo ADP'!$B$2:$B2766=$B1886,$C1886='Yahoo ADP'!$C$2:$C2766,$D1886='Yahoo ADP'!$D$2:$D2766))"),"-")</f>
        <v>-</v>
      </c>
      <c r="G1886" s="27">
        <v>1883.0</v>
      </c>
      <c r="H1886" s="8">
        <f t="shared" si="1"/>
        <v>-2</v>
      </c>
    </row>
    <row r="1887">
      <c r="A1887" s="10">
        <v>1886.0</v>
      </c>
      <c r="B1887" s="11" t="s">
        <v>4731</v>
      </c>
      <c r="C1887" s="10" t="s">
        <v>355</v>
      </c>
      <c r="D1887" s="10" t="s">
        <v>129</v>
      </c>
      <c r="E1887" s="13" t="str">
        <f>IFERROR(__xludf.DUMMYFUNCTION("ifna(filter('Yahoo ADP'!$A$2:$A2766,'Yahoo ADP'!$B$2:$B2766=$B1887,$C1887='Yahoo ADP'!$C$2:$C2766,$D1887='Yahoo ADP'!$D$2:$D2766))"),"")</f>
        <v/>
      </c>
      <c r="F1887" s="13" t="str">
        <f>IFERROR(__xludf.DUMMYFUNCTION("ifna(filter('Yahoo ADP'!$E$2:$E2766,'Yahoo ADP'!$B$2:$B2766=$B1887,$C1887='Yahoo ADP'!$C$2:$C2766,$D1887='Yahoo ADP'!$D$2:$D2766))"),"-")</f>
        <v>-</v>
      </c>
      <c r="G1887" s="27">
        <v>1884.0</v>
      </c>
      <c r="H1887" s="8">
        <f t="shared" si="1"/>
        <v>-2</v>
      </c>
    </row>
    <row r="1888">
      <c r="A1888" s="10">
        <v>1887.0</v>
      </c>
      <c r="B1888" s="11" t="s">
        <v>4732</v>
      </c>
      <c r="C1888" s="10" t="s">
        <v>240</v>
      </c>
      <c r="D1888" s="10" t="s">
        <v>15</v>
      </c>
      <c r="E1888" s="13" t="str">
        <f>IFERROR(__xludf.DUMMYFUNCTION("ifna(filter('Yahoo ADP'!$A$2:$A2766,'Yahoo ADP'!$B$2:$B2766=$B1888,$C1888='Yahoo ADP'!$C$2:$C2766,$D1888='Yahoo ADP'!$D$2:$D2766))"),"")</f>
        <v/>
      </c>
      <c r="F1888" s="13" t="str">
        <f>IFERROR(__xludf.DUMMYFUNCTION("ifna(filter('Yahoo ADP'!$E$2:$E2766,'Yahoo ADP'!$B$2:$B2766=$B1888,$C1888='Yahoo ADP'!$C$2:$C2766,$D1888='Yahoo ADP'!$D$2:$D2766))"),"-")</f>
        <v>-</v>
      </c>
      <c r="G1888" s="27">
        <v>1885.0</v>
      </c>
      <c r="H1888" s="8">
        <f t="shared" si="1"/>
        <v>-2</v>
      </c>
    </row>
    <row r="1889">
      <c r="A1889" s="10">
        <v>1888.0</v>
      </c>
      <c r="B1889" s="11" t="s">
        <v>4733</v>
      </c>
      <c r="C1889" s="10" t="s">
        <v>77</v>
      </c>
      <c r="D1889" s="10" t="s">
        <v>113</v>
      </c>
      <c r="E1889" s="13" t="str">
        <f>IFERROR(__xludf.DUMMYFUNCTION("ifna(filter('Yahoo ADP'!$A$2:$A2766,'Yahoo ADP'!$B$2:$B2766=$B1889,$C1889='Yahoo ADP'!$C$2:$C2766,$D1889='Yahoo ADP'!$D$2:$D2766))"),"")</f>
        <v/>
      </c>
      <c r="F1889" s="13" t="str">
        <f>IFERROR(__xludf.DUMMYFUNCTION("ifna(filter('Yahoo ADP'!$E$2:$E2766,'Yahoo ADP'!$B$2:$B2766=$B1889,$C1889='Yahoo ADP'!$C$2:$C2766,$D1889='Yahoo ADP'!$D$2:$D2766))"),"-")</f>
        <v>-</v>
      </c>
      <c r="G1889" s="27">
        <v>1886.0</v>
      </c>
      <c r="H1889" s="8">
        <f t="shared" si="1"/>
        <v>-2</v>
      </c>
    </row>
    <row r="1890">
      <c r="A1890" s="10">
        <v>1889.0</v>
      </c>
      <c r="B1890" s="11" t="s">
        <v>4734</v>
      </c>
      <c r="C1890" s="10" t="s">
        <v>220</v>
      </c>
      <c r="D1890" s="10" t="s">
        <v>113</v>
      </c>
      <c r="E1890" s="13" t="str">
        <f>IFERROR(__xludf.DUMMYFUNCTION("ifna(filter('Yahoo ADP'!$A$2:$A2766,'Yahoo ADP'!$B$2:$B2766=$B1890,$C1890='Yahoo ADP'!$C$2:$C2766,$D1890='Yahoo ADP'!$D$2:$D2766))"),"")</f>
        <v/>
      </c>
      <c r="F1890" s="13" t="str">
        <f>IFERROR(__xludf.DUMMYFUNCTION("ifna(filter('Yahoo ADP'!$E$2:$E2766,'Yahoo ADP'!$B$2:$B2766=$B1890,$C1890='Yahoo ADP'!$C$2:$C2766,$D1890='Yahoo ADP'!$D$2:$D2766))"),"-")</f>
        <v>-</v>
      </c>
      <c r="G1890" s="27">
        <v>1887.0</v>
      </c>
      <c r="H1890" s="8">
        <f t="shared" si="1"/>
        <v>-2</v>
      </c>
    </row>
    <row r="1891">
      <c r="A1891" s="10">
        <v>1890.0</v>
      </c>
      <c r="B1891" s="11" t="s">
        <v>4735</v>
      </c>
      <c r="C1891" s="10" t="s">
        <v>63</v>
      </c>
      <c r="D1891" s="10" t="s">
        <v>105</v>
      </c>
      <c r="E1891" s="13" t="str">
        <f>IFERROR(__xludf.DUMMYFUNCTION("ifna(filter('Yahoo ADP'!$A$2:$A2766,'Yahoo ADP'!$B$2:$B2766=$B1891,$C1891='Yahoo ADP'!$C$2:$C2766,$D1891='Yahoo ADP'!$D$2:$D2766))"),"")</f>
        <v/>
      </c>
      <c r="F1891" s="13" t="str">
        <f>IFERROR(__xludf.DUMMYFUNCTION("ifna(filter('Yahoo ADP'!$E$2:$E2766,'Yahoo ADP'!$B$2:$B2766=$B1891,$C1891='Yahoo ADP'!$C$2:$C2766,$D1891='Yahoo ADP'!$D$2:$D2766))"),"-")</f>
        <v>-</v>
      </c>
      <c r="G1891" s="27">
        <v>1888.0</v>
      </c>
      <c r="H1891" s="8">
        <f t="shared" si="1"/>
        <v>-2</v>
      </c>
    </row>
    <row r="1892">
      <c r="A1892" s="10">
        <v>1891.0</v>
      </c>
      <c r="B1892" s="11" t="s">
        <v>4736</v>
      </c>
      <c r="C1892" s="10" t="s">
        <v>11</v>
      </c>
      <c r="D1892" s="10" t="s">
        <v>25</v>
      </c>
      <c r="E1892" s="13" t="str">
        <f>IFERROR(__xludf.DUMMYFUNCTION("ifna(filter('Yahoo ADP'!$A$2:$A2766,'Yahoo ADP'!$B$2:$B2766=$B1892,$C1892='Yahoo ADP'!$C$2:$C2766,$D1892='Yahoo ADP'!$D$2:$D2766))"),"")</f>
        <v/>
      </c>
      <c r="F1892" s="13" t="str">
        <f>IFERROR(__xludf.DUMMYFUNCTION("ifna(filter('Yahoo ADP'!$E$2:$E2766,'Yahoo ADP'!$B$2:$B2766=$B1892,$C1892='Yahoo ADP'!$C$2:$C2766,$D1892='Yahoo ADP'!$D$2:$D2766))"),"-")</f>
        <v>-</v>
      </c>
      <c r="G1892" s="27">
        <v>1889.0</v>
      </c>
      <c r="H1892" s="8">
        <f t="shared" si="1"/>
        <v>-2</v>
      </c>
    </row>
    <row r="1893">
      <c r="A1893" s="10">
        <v>1892.0</v>
      </c>
      <c r="B1893" s="11" t="s">
        <v>4737</v>
      </c>
      <c r="C1893" s="10" t="s">
        <v>14</v>
      </c>
      <c r="D1893" s="10" t="s">
        <v>90</v>
      </c>
      <c r="E1893" s="13" t="str">
        <f>IFERROR(__xludf.DUMMYFUNCTION("ifna(filter('Yahoo ADP'!$A$2:$A2766,'Yahoo ADP'!$B$2:$B2766=$B1893,$C1893='Yahoo ADP'!$C$2:$C2766,$D1893='Yahoo ADP'!$D$2:$D2766))"),"")</f>
        <v/>
      </c>
      <c r="F1893" s="13" t="str">
        <f>IFERROR(__xludf.DUMMYFUNCTION("ifna(filter('Yahoo ADP'!$E$2:$E2766,'Yahoo ADP'!$B$2:$B2766=$B1893,$C1893='Yahoo ADP'!$C$2:$C2766,$D1893='Yahoo ADP'!$D$2:$D2766))"),"-")</f>
        <v>-</v>
      </c>
      <c r="G1893" s="27">
        <v>1890.0</v>
      </c>
      <c r="H1893" s="8">
        <f t="shared" si="1"/>
        <v>-2</v>
      </c>
    </row>
    <row r="1894">
      <c r="A1894" s="10">
        <v>1893.0</v>
      </c>
      <c r="B1894" s="11" t="s">
        <v>4738</v>
      </c>
      <c r="C1894" s="10" t="s">
        <v>77</v>
      </c>
      <c r="D1894" s="10" t="s">
        <v>85</v>
      </c>
      <c r="E1894" s="13" t="str">
        <f>IFERROR(__xludf.DUMMYFUNCTION("ifna(filter('Yahoo ADP'!$A$2:$A2766,'Yahoo ADP'!$B$2:$B2766=$B1894,$C1894='Yahoo ADP'!$C$2:$C2766,$D1894='Yahoo ADP'!$D$2:$D2766))"),"")</f>
        <v/>
      </c>
      <c r="F1894" s="13" t="str">
        <f>IFERROR(__xludf.DUMMYFUNCTION("ifna(filter('Yahoo ADP'!$E$2:$E2766,'Yahoo ADP'!$B$2:$B2766=$B1894,$C1894='Yahoo ADP'!$C$2:$C2766,$D1894='Yahoo ADP'!$D$2:$D2766))"),"-")</f>
        <v>-</v>
      </c>
      <c r="G1894" s="27">
        <v>1891.0</v>
      </c>
      <c r="H1894" s="8">
        <f t="shared" si="1"/>
        <v>-2</v>
      </c>
    </row>
    <row r="1895">
      <c r="A1895" s="10">
        <v>1894.0</v>
      </c>
      <c r="B1895" s="11" t="s">
        <v>4739</v>
      </c>
      <c r="C1895" s="10" t="s">
        <v>17</v>
      </c>
      <c r="D1895" s="10" t="s">
        <v>34</v>
      </c>
      <c r="E1895" s="13" t="str">
        <f>IFERROR(__xludf.DUMMYFUNCTION("ifna(filter('Yahoo ADP'!$A$2:$A2766,'Yahoo ADP'!$B$2:$B2766=$B1895,$C1895='Yahoo ADP'!$C$2:$C2766,$D1895='Yahoo ADP'!$D$2:$D2766))"),"")</f>
        <v/>
      </c>
      <c r="F1895" s="13" t="str">
        <f>IFERROR(__xludf.DUMMYFUNCTION("ifna(filter('Yahoo ADP'!$E$2:$E2766,'Yahoo ADP'!$B$2:$B2766=$B1895,$C1895='Yahoo ADP'!$C$2:$C2766,$D1895='Yahoo ADP'!$D$2:$D2766))"),"-")</f>
        <v>-</v>
      </c>
      <c r="G1895" s="27">
        <v>1892.0</v>
      </c>
      <c r="H1895" s="8">
        <f t="shared" si="1"/>
        <v>-2</v>
      </c>
    </row>
    <row r="1896">
      <c r="A1896" s="10">
        <v>1895.0</v>
      </c>
      <c r="B1896" s="11" t="s">
        <v>4740</v>
      </c>
      <c r="C1896" s="10" t="s">
        <v>77</v>
      </c>
      <c r="D1896" s="10" t="s">
        <v>46</v>
      </c>
      <c r="E1896" s="13" t="str">
        <f>IFERROR(__xludf.DUMMYFUNCTION("ifna(filter('Yahoo ADP'!$A$2:$A2766,'Yahoo ADP'!$B$2:$B2766=$B1896,$C1896='Yahoo ADP'!$C$2:$C2766,$D1896='Yahoo ADP'!$D$2:$D2766))"),"")</f>
        <v/>
      </c>
      <c r="F1896" s="13" t="str">
        <f>IFERROR(__xludf.DUMMYFUNCTION("ifna(filter('Yahoo ADP'!$E$2:$E2766,'Yahoo ADP'!$B$2:$B2766=$B1896,$C1896='Yahoo ADP'!$C$2:$C2766,$D1896='Yahoo ADP'!$D$2:$D2766))"),"-")</f>
        <v>-</v>
      </c>
      <c r="G1896" s="27">
        <v>1893.0</v>
      </c>
      <c r="H1896" s="8">
        <f t="shared" si="1"/>
        <v>-2</v>
      </c>
    </row>
    <row r="1897">
      <c r="A1897" s="10">
        <v>1896.0</v>
      </c>
      <c r="B1897" s="11" t="s">
        <v>4741</v>
      </c>
      <c r="C1897" s="10" t="s">
        <v>77</v>
      </c>
      <c r="D1897" s="10" t="s">
        <v>15</v>
      </c>
      <c r="E1897" s="13" t="str">
        <f>IFERROR(__xludf.DUMMYFUNCTION("ifna(filter('Yahoo ADP'!$A$2:$A2766,'Yahoo ADP'!$B$2:$B2766=$B1897,$C1897='Yahoo ADP'!$C$2:$C2766,$D1897='Yahoo ADP'!$D$2:$D2766))"),"")</f>
        <v/>
      </c>
      <c r="F1897" s="13" t="str">
        <f>IFERROR(__xludf.DUMMYFUNCTION("ifna(filter('Yahoo ADP'!$E$2:$E2766,'Yahoo ADP'!$B$2:$B2766=$B1897,$C1897='Yahoo ADP'!$C$2:$C2766,$D1897='Yahoo ADP'!$D$2:$D2766))"),"-")</f>
        <v>-</v>
      </c>
      <c r="G1897" s="27">
        <v>1894.0</v>
      </c>
      <c r="H1897" s="8">
        <f t="shared" si="1"/>
        <v>-2</v>
      </c>
    </row>
    <row r="1898">
      <c r="A1898" s="10">
        <v>1897.0</v>
      </c>
      <c r="B1898" s="11" t="s">
        <v>4742</v>
      </c>
      <c r="C1898" s="10" t="s">
        <v>55</v>
      </c>
      <c r="D1898" s="10" t="s">
        <v>18</v>
      </c>
      <c r="E1898" s="13" t="str">
        <f>IFERROR(__xludf.DUMMYFUNCTION("ifna(filter('Yahoo ADP'!$A$2:$A2766,'Yahoo ADP'!$B$2:$B2766=$B1898,$C1898='Yahoo ADP'!$C$2:$C2766,$D1898='Yahoo ADP'!$D$2:$D2766))"),"")</f>
        <v/>
      </c>
      <c r="F1898" s="13" t="str">
        <f>IFERROR(__xludf.DUMMYFUNCTION("ifna(filter('Yahoo ADP'!$E$2:$E2766,'Yahoo ADP'!$B$2:$B2766=$B1898,$C1898='Yahoo ADP'!$C$2:$C2766,$D1898='Yahoo ADP'!$D$2:$D2766))"),"-")</f>
        <v>-</v>
      </c>
      <c r="G1898" s="27">
        <v>1895.0</v>
      </c>
      <c r="H1898" s="8">
        <f t="shared" si="1"/>
        <v>-2</v>
      </c>
    </row>
    <row r="1899">
      <c r="A1899" s="10">
        <v>1898.0</v>
      </c>
      <c r="B1899" s="11" t="s">
        <v>4743</v>
      </c>
      <c r="C1899" s="10" t="s">
        <v>176</v>
      </c>
      <c r="D1899" s="10" t="s">
        <v>12</v>
      </c>
      <c r="E1899" s="13" t="str">
        <f>IFERROR(__xludf.DUMMYFUNCTION("ifna(filter('Yahoo ADP'!$A$2:$A2766,'Yahoo ADP'!$B$2:$B2766=$B1899,$C1899='Yahoo ADP'!$C$2:$C2766,$D1899='Yahoo ADP'!$D$2:$D2766))"),"")</f>
        <v/>
      </c>
      <c r="F1899" s="13" t="str">
        <f>IFERROR(__xludf.DUMMYFUNCTION("ifna(filter('Yahoo ADP'!$E$2:$E2766,'Yahoo ADP'!$B$2:$B2766=$B1899,$C1899='Yahoo ADP'!$C$2:$C2766,$D1899='Yahoo ADP'!$D$2:$D2766))"),"-")</f>
        <v>-</v>
      </c>
      <c r="G1899" s="27">
        <v>1896.0</v>
      </c>
      <c r="H1899" s="8">
        <f t="shared" si="1"/>
        <v>-2</v>
      </c>
    </row>
    <row r="1900">
      <c r="A1900" s="10">
        <v>1899.0</v>
      </c>
      <c r="B1900" s="11" t="s">
        <v>4744</v>
      </c>
      <c r="C1900" s="10" t="s">
        <v>11</v>
      </c>
      <c r="D1900" s="10" t="s">
        <v>67</v>
      </c>
      <c r="E1900" s="13" t="str">
        <f>IFERROR(__xludf.DUMMYFUNCTION("ifna(filter('Yahoo ADP'!$A$2:$A2766,'Yahoo ADP'!$B$2:$B2766=$B1900,$C1900='Yahoo ADP'!$C$2:$C2766,$D1900='Yahoo ADP'!$D$2:$D2766))"),"")</f>
        <v/>
      </c>
      <c r="F1900" s="13" t="str">
        <f>IFERROR(__xludf.DUMMYFUNCTION("ifna(filter('Yahoo ADP'!$E$2:$E2766,'Yahoo ADP'!$B$2:$B2766=$B1900,$C1900='Yahoo ADP'!$C$2:$C2766,$D1900='Yahoo ADP'!$D$2:$D2766))"),"-")</f>
        <v>-</v>
      </c>
      <c r="G1900" s="27">
        <v>1897.0</v>
      </c>
      <c r="H1900" s="8">
        <f t="shared" si="1"/>
        <v>-2</v>
      </c>
    </row>
    <row r="1901">
      <c r="A1901" s="10">
        <v>1900.0</v>
      </c>
      <c r="B1901" s="11" t="s">
        <v>4745</v>
      </c>
      <c r="C1901" s="10" t="s">
        <v>77</v>
      </c>
      <c r="D1901" s="10" t="s">
        <v>67</v>
      </c>
      <c r="E1901" s="13" t="str">
        <f>IFERROR(__xludf.DUMMYFUNCTION("ifna(filter('Yahoo ADP'!$A$2:$A2766,'Yahoo ADP'!$B$2:$B2766=$B1901,$C1901='Yahoo ADP'!$C$2:$C2766,$D1901='Yahoo ADP'!$D$2:$D2766))"),"")</f>
        <v/>
      </c>
      <c r="F1901" s="13" t="str">
        <f>IFERROR(__xludf.DUMMYFUNCTION("ifna(filter('Yahoo ADP'!$E$2:$E2766,'Yahoo ADP'!$B$2:$B2766=$B1901,$C1901='Yahoo ADP'!$C$2:$C2766,$D1901='Yahoo ADP'!$D$2:$D2766))"),"-")</f>
        <v>-</v>
      </c>
      <c r="G1901" s="27">
        <v>1898.0</v>
      </c>
      <c r="H1901" s="8">
        <f t="shared" si="1"/>
        <v>-2</v>
      </c>
    </row>
    <row r="1902">
      <c r="A1902" s="10">
        <v>1901.0</v>
      </c>
      <c r="B1902" s="11" t="s">
        <v>4746</v>
      </c>
      <c r="C1902" s="10" t="s">
        <v>240</v>
      </c>
      <c r="D1902" s="10" t="s">
        <v>18</v>
      </c>
      <c r="E1902" s="13" t="str">
        <f>IFERROR(__xludf.DUMMYFUNCTION("ifna(filter('Yahoo ADP'!$A$2:$A2766,'Yahoo ADP'!$B$2:$B2766=$B1902,$C1902='Yahoo ADP'!$C$2:$C2766,$D1902='Yahoo ADP'!$D$2:$D2766))"),"")</f>
        <v/>
      </c>
      <c r="F1902" s="13" t="str">
        <f>IFERROR(__xludf.DUMMYFUNCTION("ifna(filter('Yahoo ADP'!$E$2:$E2766,'Yahoo ADP'!$B$2:$B2766=$B1902,$C1902='Yahoo ADP'!$C$2:$C2766,$D1902='Yahoo ADP'!$D$2:$D2766))"),"-")</f>
        <v>-</v>
      </c>
      <c r="G1902" s="27">
        <v>1899.0</v>
      </c>
      <c r="H1902" s="8">
        <f t="shared" si="1"/>
        <v>-2</v>
      </c>
    </row>
    <row r="1903">
      <c r="A1903" s="10">
        <v>1902.0</v>
      </c>
      <c r="B1903" s="11" t="s">
        <v>4747</v>
      </c>
      <c r="C1903" s="10" t="s">
        <v>240</v>
      </c>
      <c r="D1903" s="10" t="s">
        <v>12</v>
      </c>
      <c r="E1903" s="13" t="str">
        <f>IFERROR(__xludf.DUMMYFUNCTION("ifna(filter('Yahoo ADP'!$A$2:$A2766,'Yahoo ADP'!$B$2:$B2766=$B1903,$C1903='Yahoo ADP'!$C$2:$C2766,$D1903='Yahoo ADP'!$D$2:$D2766))"),"")</f>
        <v/>
      </c>
      <c r="F1903" s="13" t="str">
        <f>IFERROR(__xludf.DUMMYFUNCTION("ifna(filter('Yahoo ADP'!$E$2:$E2766,'Yahoo ADP'!$B$2:$B2766=$B1903,$C1903='Yahoo ADP'!$C$2:$C2766,$D1903='Yahoo ADP'!$D$2:$D2766))"),"-")</f>
        <v>-</v>
      </c>
      <c r="G1903" s="27">
        <v>1900.0</v>
      </c>
      <c r="H1903" s="8">
        <f t="shared" si="1"/>
        <v>-2</v>
      </c>
    </row>
    <row r="1904">
      <c r="A1904" s="10">
        <v>1903.0</v>
      </c>
      <c r="B1904" s="11" t="s">
        <v>4748</v>
      </c>
      <c r="C1904" s="10" t="s">
        <v>33</v>
      </c>
      <c r="D1904" s="10" t="s">
        <v>120</v>
      </c>
      <c r="E1904" s="13" t="str">
        <f>IFERROR(__xludf.DUMMYFUNCTION("ifna(filter('Yahoo ADP'!$A$2:$A2766,'Yahoo ADP'!$B$2:$B2766=$B1904,$C1904='Yahoo ADP'!$C$2:$C2766,$D1904='Yahoo ADP'!$D$2:$D2766))"),"")</f>
        <v/>
      </c>
      <c r="F1904" s="13" t="str">
        <f>IFERROR(__xludf.DUMMYFUNCTION("ifna(filter('Yahoo ADP'!$E$2:$E2766,'Yahoo ADP'!$B$2:$B2766=$B1904,$C1904='Yahoo ADP'!$C$2:$C2766,$D1904='Yahoo ADP'!$D$2:$D2766))"),"-")</f>
        <v>-</v>
      </c>
      <c r="G1904" s="27">
        <v>1901.0</v>
      </c>
      <c r="H1904" s="8">
        <f t="shared" si="1"/>
        <v>-2</v>
      </c>
    </row>
    <row r="1905">
      <c r="A1905" s="10">
        <v>1904.0</v>
      </c>
      <c r="B1905" s="11" t="s">
        <v>4749</v>
      </c>
      <c r="C1905" s="10" t="s">
        <v>220</v>
      </c>
      <c r="D1905" s="10" t="s">
        <v>73</v>
      </c>
      <c r="E1905" s="13" t="str">
        <f>IFERROR(__xludf.DUMMYFUNCTION("ifna(filter('Yahoo ADP'!$A$2:$A2766,'Yahoo ADP'!$B$2:$B2766=$B1905,$C1905='Yahoo ADP'!$C$2:$C2766,$D1905='Yahoo ADP'!$D$2:$D2766))"),"")</f>
        <v/>
      </c>
      <c r="F1905" s="13" t="str">
        <f>IFERROR(__xludf.DUMMYFUNCTION("ifna(filter('Yahoo ADP'!$E$2:$E2766,'Yahoo ADP'!$B$2:$B2766=$B1905,$C1905='Yahoo ADP'!$C$2:$C2766,$D1905='Yahoo ADP'!$D$2:$D2766))"),"-")</f>
        <v>-</v>
      </c>
      <c r="G1905" s="27">
        <v>1902.0</v>
      </c>
      <c r="H1905" s="8">
        <f t="shared" si="1"/>
        <v>-2</v>
      </c>
    </row>
    <row r="1906">
      <c r="A1906" s="10">
        <v>1905.0</v>
      </c>
      <c r="B1906" s="11" t="s">
        <v>4750</v>
      </c>
      <c r="C1906" s="10" t="s">
        <v>8</v>
      </c>
      <c r="D1906" s="10" t="s">
        <v>42</v>
      </c>
      <c r="E1906" s="13" t="str">
        <f>IFERROR(__xludf.DUMMYFUNCTION("ifna(filter('Yahoo ADP'!$A$2:$A2766,'Yahoo ADP'!$B$2:$B2766=$B1906,$C1906='Yahoo ADP'!$C$2:$C2766,$D1906='Yahoo ADP'!$D$2:$D2766))"),"")</f>
        <v/>
      </c>
      <c r="F1906" s="13" t="str">
        <f>IFERROR(__xludf.DUMMYFUNCTION("ifna(filter('Yahoo ADP'!$E$2:$E2766,'Yahoo ADP'!$B$2:$B2766=$B1906,$C1906='Yahoo ADP'!$C$2:$C2766,$D1906='Yahoo ADP'!$D$2:$D2766))"),"-")</f>
        <v>-</v>
      </c>
      <c r="G1906" s="27">
        <v>1903.0</v>
      </c>
      <c r="H1906" s="8">
        <f t="shared" si="1"/>
        <v>-2</v>
      </c>
    </row>
    <row r="1907">
      <c r="A1907" s="10">
        <v>1906.0</v>
      </c>
      <c r="B1907" s="11" t="s">
        <v>4751</v>
      </c>
      <c r="C1907" s="10" t="s">
        <v>63</v>
      </c>
      <c r="D1907" s="10" t="s">
        <v>140</v>
      </c>
      <c r="E1907" s="13" t="str">
        <f>IFERROR(__xludf.DUMMYFUNCTION("ifna(filter('Yahoo ADP'!$A$2:$A2766,'Yahoo ADP'!$B$2:$B2766=$B1907,$C1907='Yahoo ADP'!$C$2:$C2766,$D1907='Yahoo ADP'!$D$2:$D2766))"),"")</f>
        <v/>
      </c>
      <c r="F1907" s="13" t="str">
        <f>IFERROR(__xludf.DUMMYFUNCTION("ifna(filter('Yahoo ADP'!$E$2:$E2766,'Yahoo ADP'!$B$2:$B2766=$B1907,$C1907='Yahoo ADP'!$C$2:$C2766,$D1907='Yahoo ADP'!$D$2:$D2766))"),"-")</f>
        <v>-</v>
      </c>
      <c r="G1907" s="27">
        <v>1904.0</v>
      </c>
      <c r="H1907" s="8">
        <f t="shared" si="1"/>
        <v>-2</v>
      </c>
    </row>
    <row r="1908">
      <c r="A1908" s="10">
        <v>1907.0</v>
      </c>
      <c r="B1908" s="11" t="s">
        <v>4752</v>
      </c>
      <c r="C1908" s="10" t="s">
        <v>33</v>
      </c>
      <c r="D1908" s="10" t="s">
        <v>71</v>
      </c>
      <c r="E1908" s="13" t="str">
        <f>IFERROR(__xludf.DUMMYFUNCTION("ifna(filter('Yahoo ADP'!$A$2:$A2766,'Yahoo ADP'!$B$2:$B2766=$B1908,$C1908='Yahoo ADP'!$C$2:$C2766,$D1908='Yahoo ADP'!$D$2:$D2766))"),"")</f>
        <v/>
      </c>
      <c r="F1908" s="13" t="str">
        <f>IFERROR(__xludf.DUMMYFUNCTION("ifna(filter('Yahoo ADP'!$E$2:$E2766,'Yahoo ADP'!$B$2:$B2766=$B1908,$C1908='Yahoo ADP'!$C$2:$C2766,$D1908='Yahoo ADP'!$D$2:$D2766))"),"-")</f>
        <v>-</v>
      </c>
      <c r="G1908" s="27">
        <v>1905.0</v>
      </c>
      <c r="H1908" s="8">
        <f t="shared" si="1"/>
        <v>-2</v>
      </c>
    </row>
    <row r="1909">
      <c r="A1909" s="10">
        <v>1908.0</v>
      </c>
      <c r="B1909" s="11" t="s">
        <v>4753</v>
      </c>
      <c r="C1909" s="10" t="s">
        <v>77</v>
      </c>
      <c r="D1909" s="10" t="s">
        <v>18</v>
      </c>
      <c r="E1909" s="13" t="str">
        <f>IFERROR(__xludf.DUMMYFUNCTION("ifna(filter('Yahoo ADP'!$A$2:$A2766,'Yahoo ADP'!$B$2:$B2766=$B1909,$C1909='Yahoo ADP'!$C$2:$C2766,$D1909='Yahoo ADP'!$D$2:$D2766))"),"")</f>
        <v/>
      </c>
      <c r="F1909" s="13" t="str">
        <f>IFERROR(__xludf.DUMMYFUNCTION("ifna(filter('Yahoo ADP'!$E$2:$E2766,'Yahoo ADP'!$B$2:$B2766=$B1909,$C1909='Yahoo ADP'!$C$2:$C2766,$D1909='Yahoo ADP'!$D$2:$D2766))"),"-")</f>
        <v>-</v>
      </c>
      <c r="G1909" s="27">
        <v>1906.0</v>
      </c>
      <c r="H1909" s="8">
        <f t="shared" si="1"/>
        <v>-2</v>
      </c>
    </row>
    <row r="1910">
      <c r="A1910" s="10">
        <v>1909.0</v>
      </c>
      <c r="B1910" s="11" t="s">
        <v>4754</v>
      </c>
      <c r="C1910" s="10" t="s">
        <v>20</v>
      </c>
      <c r="D1910" s="10" t="s">
        <v>49</v>
      </c>
      <c r="E1910" s="13" t="str">
        <f>IFERROR(__xludf.DUMMYFUNCTION("ifna(filter('Yahoo ADP'!$A$2:$A2766,'Yahoo ADP'!$B$2:$B2766=$B1910,$C1910='Yahoo ADP'!$C$2:$C2766,$D1910='Yahoo ADP'!$D$2:$D2766))"),"")</f>
        <v/>
      </c>
      <c r="F1910" s="13" t="str">
        <f>IFERROR(__xludf.DUMMYFUNCTION("ifna(filter('Yahoo ADP'!$E$2:$E2766,'Yahoo ADP'!$B$2:$B2766=$B1910,$C1910='Yahoo ADP'!$C$2:$C2766,$D1910='Yahoo ADP'!$D$2:$D2766))"),"-")</f>
        <v>-</v>
      </c>
      <c r="G1910" s="27">
        <v>1907.0</v>
      </c>
      <c r="H1910" s="8">
        <f t="shared" si="1"/>
        <v>-2</v>
      </c>
    </row>
    <row r="1911">
      <c r="A1911" s="10">
        <v>1910.0</v>
      </c>
      <c r="B1911" s="11" t="s">
        <v>4755</v>
      </c>
      <c r="C1911" s="10" t="s">
        <v>39</v>
      </c>
      <c r="D1911" s="10" t="s">
        <v>25</v>
      </c>
      <c r="E1911" s="13" t="str">
        <f>IFERROR(__xludf.DUMMYFUNCTION("ifna(filter('Yahoo ADP'!$A$2:$A2766,'Yahoo ADP'!$B$2:$B2766=$B1911,$C1911='Yahoo ADP'!$C$2:$C2766,$D1911='Yahoo ADP'!$D$2:$D2766))"),"")</f>
        <v/>
      </c>
      <c r="F1911" s="13" t="str">
        <f>IFERROR(__xludf.DUMMYFUNCTION("ifna(filter('Yahoo ADP'!$E$2:$E2766,'Yahoo ADP'!$B$2:$B2766=$B1911,$C1911='Yahoo ADP'!$C$2:$C2766,$D1911='Yahoo ADP'!$D$2:$D2766))"),"-")</f>
        <v>-</v>
      </c>
      <c r="G1911" s="27">
        <v>1908.0</v>
      </c>
      <c r="H1911" s="8">
        <f t="shared" si="1"/>
        <v>-2</v>
      </c>
    </row>
    <row r="1912">
      <c r="A1912" s="10">
        <v>1911.0</v>
      </c>
      <c r="B1912" s="11" t="s">
        <v>4756</v>
      </c>
      <c r="C1912" s="10" t="s">
        <v>77</v>
      </c>
      <c r="D1912" s="10" t="s">
        <v>206</v>
      </c>
      <c r="E1912" s="13" t="str">
        <f>IFERROR(__xludf.DUMMYFUNCTION("ifna(filter('Yahoo ADP'!$A$2:$A2766,'Yahoo ADP'!$B$2:$B2766=$B1912,$C1912='Yahoo ADP'!$C$2:$C2766,$D1912='Yahoo ADP'!$D$2:$D2766))"),"")</f>
        <v/>
      </c>
      <c r="F1912" s="13" t="str">
        <f>IFERROR(__xludf.DUMMYFUNCTION("ifna(filter('Yahoo ADP'!$E$2:$E2766,'Yahoo ADP'!$B$2:$B2766=$B1912,$C1912='Yahoo ADP'!$C$2:$C2766,$D1912='Yahoo ADP'!$D$2:$D2766))"),"-")</f>
        <v>-</v>
      </c>
      <c r="G1912" s="27">
        <v>1909.0</v>
      </c>
      <c r="H1912" s="8">
        <f t="shared" si="1"/>
        <v>-2</v>
      </c>
    </row>
    <row r="1913">
      <c r="A1913" s="10">
        <v>1912.0</v>
      </c>
      <c r="B1913" s="11" t="s">
        <v>4757</v>
      </c>
      <c r="C1913" s="10" t="s">
        <v>283</v>
      </c>
      <c r="D1913" s="10" t="s">
        <v>137</v>
      </c>
      <c r="E1913" s="13" t="str">
        <f>IFERROR(__xludf.DUMMYFUNCTION("ifna(filter('Yahoo ADP'!$A$2:$A2766,'Yahoo ADP'!$B$2:$B2766=$B1913,$C1913='Yahoo ADP'!$C$2:$C2766,$D1913='Yahoo ADP'!$D$2:$D2766))"),"")</f>
        <v/>
      </c>
      <c r="F1913" s="13" t="str">
        <f>IFERROR(__xludf.DUMMYFUNCTION("ifna(filter('Yahoo ADP'!$E$2:$E2766,'Yahoo ADP'!$B$2:$B2766=$B1913,$C1913='Yahoo ADP'!$C$2:$C2766,$D1913='Yahoo ADP'!$D$2:$D2766))"),"-")</f>
        <v>-</v>
      </c>
      <c r="G1913" s="27">
        <v>1910.0</v>
      </c>
      <c r="H1913" s="8">
        <f t="shared" si="1"/>
        <v>-2</v>
      </c>
    </row>
    <row r="1914">
      <c r="A1914" s="10">
        <v>1913.0</v>
      </c>
      <c r="B1914" s="11" t="s">
        <v>4758</v>
      </c>
      <c r="C1914" s="10" t="s">
        <v>33</v>
      </c>
      <c r="D1914" s="10" t="s">
        <v>73</v>
      </c>
      <c r="E1914" s="13" t="str">
        <f>IFERROR(__xludf.DUMMYFUNCTION("ifna(filter('Yahoo ADP'!$A$2:$A2766,'Yahoo ADP'!$B$2:$B2766=$B1914,$C1914='Yahoo ADP'!$C$2:$C2766,$D1914='Yahoo ADP'!$D$2:$D2766))"),"")</f>
        <v/>
      </c>
      <c r="F1914" s="13" t="str">
        <f>IFERROR(__xludf.DUMMYFUNCTION("ifna(filter('Yahoo ADP'!$E$2:$E2766,'Yahoo ADP'!$B$2:$B2766=$B1914,$C1914='Yahoo ADP'!$C$2:$C2766,$D1914='Yahoo ADP'!$D$2:$D2766))"),"-")</f>
        <v>-</v>
      </c>
      <c r="G1914" s="27">
        <v>1911.0</v>
      </c>
      <c r="H1914" s="8">
        <f t="shared" si="1"/>
        <v>-2</v>
      </c>
    </row>
    <row r="1915">
      <c r="A1915" s="10">
        <v>1914.0</v>
      </c>
      <c r="B1915" s="11" t="s">
        <v>4759</v>
      </c>
      <c r="C1915" s="10" t="s">
        <v>22</v>
      </c>
      <c r="D1915" s="10" t="s">
        <v>137</v>
      </c>
      <c r="E1915" s="13" t="str">
        <f>IFERROR(__xludf.DUMMYFUNCTION("ifna(filter('Yahoo ADP'!$A$2:$A2766,'Yahoo ADP'!$B$2:$B2766=$B1915,$C1915='Yahoo ADP'!$C$2:$C2766,$D1915='Yahoo ADP'!$D$2:$D2766))"),"")</f>
        <v/>
      </c>
      <c r="F1915" s="13" t="str">
        <f>IFERROR(__xludf.DUMMYFUNCTION("ifna(filter('Yahoo ADP'!$E$2:$E2766,'Yahoo ADP'!$B$2:$B2766=$B1915,$C1915='Yahoo ADP'!$C$2:$C2766,$D1915='Yahoo ADP'!$D$2:$D2766))"),"-")</f>
        <v>-</v>
      </c>
      <c r="G1915" s="27">
        <v>1912.0</v>
      </c>
      <c r="H1915" s="8">
        <f t="shared" si="1"/>
        <v>-2</v>
      </c>
    </row>
    <row r="1916">
      <c r="A1916" s="10">
        <v>1915.0</v>
      </c>
      <c r="B1916" s="11" t="s">
        <v>4760</v>
      </c>
      <c r="C1916" s="10" t="s">
        <v>77</v>
      </c>
      <c r="D1916" s="10" t="s">
        <v>34</v>
      </c>
      <c r="E1916" s="13" t="str">
        <f>IFERROR(__xludf.DUMMYFUNCTION("ifna(filter('Yahoo ADP'!$A$2:$A2766,'Yahoo ADP'!$B$2:$B2766=$B1916,$C1916='Yahoo ADP'!$C$2:$C2766,$D1916='Yahoo ADP'!$D$2:$D2766))"),"")</f>
        <v/>
      </c>
      <c r="F1916" s="13" t="str">
        <f>IFERROR(__xludf.DUMMYFUNCTION("ifna(filter('Yahoo ADP'!$E$2:$E2766,'Yahoo ADP'!$B$2:$B2766=$B1916,$C1916='Yahoo ADP'!$C$2:$C2766,$D1916='Yahoo ADP'!$D$2:$D2766))"),"-")</f>
        <v>-</v>
      </c>
      <c r="G1916" s="27">
        <v>1913.0</v>
      </c>
      <c r="H1916" s="8">
        <f t="shared" si="1"/>
        <v>-2</v>
      </c>
    </row>
    <row r="1917">
      <c r="A1917" s="10">
        <v>1916.0</v>
      </c>
      <c r="B1917" s="11" t="s">
        <v>4761</v>
      </c>
      <c r="C1917" s="10" t="s">
        <v>33</v>
      </c>
      <c r="D1917" s="10" t="s">
        <v>12</v>
      </c>
      <c r="E1917" s="13" t="str">
        <f>IFERROR(__xludf.DUMMYFUNCTION("ifna(filter('Yahoo ADP'!$A$2:$A2766,'Yahoo ADP'!$B$2:$B2766=$B1917,$C1917='Yahoo ADP'!$C$2:$C2766,$D1917='Yahoo ADP'!$D$2:$D2766))"),"")</f>
        <v/>
      </c>
      <c r="F1917" s="13" t="str">
        <f>IFERROR(__xludf.DUMMYFUNCTION("ifna(filter('Yahoo ADP'!$E$2:$E2766,'Yahoo ADP'!$B$2:$B2766=$B1917,$C1917='Yahoo ADP'!$C$2:$C2766,$D1917='Yahoo ADP'!$D$2:$D2766))"),"-")</f>
        <v>-</v>
      </c>
      <c r="G1917" s="27">
        <v>1914.0</v>
      </c>
      <c r="H1917" s="8">
        <f t="shared" si="1"/>
        <v>-2</v>
      </c>
    </row>
    <row r="1918">
      <c r="A1918" s="10">
        <v>1917.0</v>
      </c>
      <c r="B1918" s="11" t="s">
        <v>4762</v>
      </c>
      <c r="C1918" s="10" t="s">
        <v>11</v>
      </c>
      <c r="D1918" s="10" t="s">
        <v>122</v>
      </c>
      <c r="E1918" s="13" t="str">
        <f>IFERROR(__xludf.DUMMYFUNCTION("ifna(filter('Yahoo ADP'!$A$2:$A2766,'Yahoo ADP'!$B$2:$B2766=$B1918,$C1918='Yahoo ADP'!$C$2:$C2766,$D1918='Yahoo ADP'!$D$2:$D2766))"),"")</f>
        <v/>
      </c>
      <c r="F1918" s="13" t="str">
        <f>IFERROR(__xludf.DUMMYFUNCTION("ifna(filter('Yahoo ADP'!$E$2:$E2766,'Yahoo ADP'!$B$2:$B2766=$B1918,$C1918='Yahoo ADP'!$C$2:$C2766,$D1918='Yahoo ADP'!$D$2:$D2766))"),"-")</f>
        <v>-</v>
      </c>
      <c r="G1918" s="27">
        <v>1915.0</v>
      </c>
      <c r="H1918" s="8">
        <f t="shared" si="1"/>
        <v>-2</v>
      </c>
    </row>
    <row r="1919">
      <c r="A1919" s="10">
        <v>1918.0</v>
      </c>
      <c r="B1919" s="11" t="s">
        <v>4763</v>
      </c>
      <c r="C1919" s="10" t="s">
        <v>48</v>
      </c>
      <c r="D1919" s="10" t="s">
        <v>105</v>
      </c>
      <c r="E1919" s="13" t="str">
        <f>IFERROR(__xludf.DUMMYFUNCTION("ifna(filter('Yahoo ADP'!$A$2:$A2766,'Yahoo ADP'!$B$2:$B2766=$B1919,$C1919='Yahoo ADP'!$C$2:$C2766,$D1919='Yahoo ADP'!$D$2:$D2766))"),"")</f>
        <v/>
      </c>
      <c r="F1919" s="13" t="str">
        <f>IFERROR(__xludf.DUMMYFUNCTION("ifna(filter('Yahoo ADP'!$E$2:$E2766,'Yahoo ADP'!$B$2:$B2766=$B1919,$C1919='Yahoo ADP'!$C$2:$C2766,$D1919='Yahoo ADP'!$D$2:$D2766))"),"-")</f>
        <v>-</v>
      </c>
      <c r="G1919" s="27">
        <v>1916.0</v>
      </c>
      <c r="H1919" s="8">
        <f t="shared" si="1"/>
        <v>-2</v>
      </c>
    </row>
    <row r="1920">
      <c r="A1920" s="10">
        <v>1919.0</v>
      </c>
      <c r="B1920" s="11" t="s">
        <v>4764</v>
      </c>
      <c r="C1920" s="10" t="s">
        <v>14</v>
      </c>
      <c r="D1920" s="10" t="s">
        <v>113</v>
      </c>
      <c r="E1920" s="13" t="str">
        <f>IFERROR(__xludf.DUMMYFUNCTION("ifna(filter('Yahoo ADP'!$A$2:$A2766,'Yahoo ADP'!$B$2:$B2766=$B1920,$C1920='Yahoo ADP'!$C$2:$C2766,$D1920='Yahoo ADP'!$D$2:$D2766))"),"")</f>
        <v/>
      </c>
      <c r="F1920" s="13" t="str">
        <f>IFERROR(__xludf.DUMMYFUNCTION("ifna(filter('Yahoo ADP'!$E$2:$E2766,'Yahoo ADP'!$B$2:$B2766=$B1920,$C1920='Yahoo ADP'!$C$2:$C2766,$D1920='Yahoo ADP'!$D$2:$D2766))"),"-")</f>
        <v>-</v>
      </c>
      <c r="G1920" s="27">
        <v>1917.0</v>
      </c>
      <c r="H1920" s="8">
        <f t="shared" si="1"/>
        <v>-2</v>
      </c>
    </row>
    <row r="1921">
      <c r="A1921" s="10">
        <v>1920.0</v>
      </c>
      <c r="B1921" s="11" t="s">
        <v>4765</v>
      </c>
      <c r="C1921" s="10" t="s">
        <v>240</v>
      </c>
      <c r="D1921" s="10" t="s">
        <v>85</v>
      </c>
      <c r="E1921" s="13" t="str">
        <f>IFERROR(__xludf.DUMMYFUNCTION("ifna(filter('Yahoo ADP'!$A$2:$A2766,'Yahoo ADP'!$B$2:$B2766=$B1921,$C1921='Yahoo ADP'!$C$2:$C2766,$D1921='Yahoo ADP'!$D$2:$D2766))"),"")</f>
        <v/>
      </c>
      <c r="F1921" s="13" t="str">
        <f>IFERROR(__xludf.DUMMYFUNCTION("ifna(filter('Yahoo ADP'!$E$2:$E2766,'Yahoo ADP'!$B$2:$B2766=$B1921,$C1921='Yahoo ADP'!$C$2:$C2766,$D1921='Yahoo ADP'!$D$2:$D2766))"),"-")</f>
        <v>-</v>
      </c>
      <c r="G1921" s="27">
        <v>1918.0</v>
      </c>
      <c r="H1921" s="8">
        <f t="shared" si="1"/>
        <v>-2</v>
      </c>
    </row>
    <row r="1922">
      <c r="A1922" s="10">
        <v>1921.0</v>
      </c>
      <c r="B1922" s="11" t="s">
        <v>4766</v>
      </c>
      <c r="C1922" s="10" t="s">
        <v>77</v>
      </c>
      <c r="D1922" s="10" t="s">
        <v>18</v>
      </c>
      <c r="E1922" s="13" t="str">
        <f>IFERROR(__xludf.DUMMYFUNCTION("ifna(filter('Yahoo ADP'!$A$2:$A2766,'Yahoo ADP'!$B$2:$B2766=$B1922,$C1922='Yahoo ADP'!$C$2:$C2766,$D1922='Yahoo ADP'!$D$2:$D2766))"),"")</f>
        <v/>
      </c>
      <c r="F1922" s="13" t="str">
        <f>IFERROR(__xludf.DUMMYFUNCTION("ifna(filter('Yahoo ADP'!$E$2:$E2766,'Yahoo ADP'!$B$2:$B2766=$B1922,$C1922='Yahoo ADP'!$C$2:$C2766,$D1922='Yahoo ADP'!$D$2:$D2766))"),"-")</f>
        <v>-</v>
      </c>
      <c r="G1922" s="27">
        <v>1919.0</v>
      </c>
      <c r="H1922" s="8">
        <f t="shared" si="1"/>
        <v>-2</v>
      </c>
    </row>
    <row r="1923">
      <c r="A1923" s="10">
        <v>1922.0</v>
      </c>
      <c r="B1923" s="11" t="s">
        <v>4767</v>
      </c>
      <c r="C1923" s="10" t="s">
        <v>48</v>
      </c>
      <c r="D1923" s="10" t="s">
        <v>49</v>
      </c>
      <c r="E1923" s="13" t="str">
        <f>IFERROR(__xludf.DUMMYFUNCTION("ifna(filter('Yahoo ADP'!$A$2:$A2766,'Yahoo ADP'!$B$2:$B2766=$B1923,$C1923='Yahoo ADP'!$C$2:$C2766,$D1923='Yahoo ADP'!$D$2:$D2766))"),"")</f>
        <v/>
      </c>
      <c r="F1923" s="13" t="str">
        <f>IFERROR(__xludf.DUMMYFUNCTION("ifna(filter('Yahoo ADP'!$E$2:$E2766,'Yahoo ADP'!$B$2:$B2766=$B1923,$C1923='Yahoo ADP'!$C$2:$C2766,$D1923='Yahoo ADP'!$D$2:$D2766))"),"-")</f>
        <v>-</v>
      </c>
      <c r="G1923" s="27">
        <v>1920.0</v>
      </c>
      <c r="H1923" s="8">
        <f t="shared" si="1"/>
        <v>-2</v>
      </c>
    </row>
    <row r="1924">
      <c r="A1924" s="10">
        <v>1923.0</v>
      </c>
      <c r="B1924" s="11" t="s">
        <v>4768</v>
      </c>
      <c r="C1924" s="10" t="s">
        <v>20</v>
      </c>
      <c r="D1924" s="10" t="s">
        <v>95</v>
      </c>
      <c r="E1924" s="13" t="str">
        <f>IFERROR(__xludf.DUMMYFUNCTION("ifna(filter('Yahoo ADP'!$A$2:$A2766,'Yahoo ADP'!$B$2:$B2766=$B1924,$C1924='Yahoo ADP'!$C$2:$C2766,$D1924='Yahoo ADP'!$D$2:$D2766))"),"")</f>
        <v/>
      </c>
      <c r="F1924" s="13" t="str">
        <f>IFERROR(__xludf.DUMMYFUNCTION("ifna(filter('Yahoo ADP'!$E$2:$E2766,'Yahoo ADP'!$B$2:$B2766=$B1924,$C1924='Yahoo ADP'!$C$2:$C2766,$D1924='Yahoo ADP'!$D$2:$D2766))"),"-")</f>
        <v>-</v>
      </c>
      <c r="G1924" s="27">
        <v>1921.0</v>
      </c>
      <c r="H1924" s="8">
        <f t="shared" si="1"/>
        <v>-2</v>
      </c>
    </row>
    <row r="1925">
      <c r="A1925" s="10">
        <v>1924.0</v>
      </c>
      <c r="B1925" s="11" t="s">
        <v>4769</v>
      </c>
      <c r="C1925" s="10" t="s">
        <v>77</v>
      </c>
      <c r="D1925" s="10" t="s">
        <v>140</v>
      </c>
      <c r="E1925" s="13" t="str">
        <f>IFERROR(__xludf.DUMMYFUNCTION("ifna(filter('Yahoo ADP'!$A$2:$A2766,'Yahoo ADP'!$B$2:$B2766=$B1925,$C1925='Yahoo ADP'!$C$2:$C2766,$D1925='Yahoo ADP'!$D$2:$D2766))"),"")</f>
        <v/>
      </c>
      <c r="F1925" s="13" t="str">
        <f>IFERROR(__xludf.DUMMYFUNCTION("ifna(filter('Yahoo ADP'!$E$2:$E2766,'Yahoo ADP'!$B$2:$B2766=$B1925,$C1925='Yahoo ADP'!$C$2:$C2766,$D1925='Yahoo ADP'!$D$2:$D2766))"),"-")</f>
        <v>-</v>
      </c>
      <c r="G1925" s="27">
        <v>1922.0</v>
      </c>
      <c r="H1925" s="8">
        <f t="shared" si="1"/>
        <v>-2</v>
      </c>
    </row>
    <row r="1926">
      <c r="A1926" s="10">
        <v>1925.0</v>
      </c>
      <c r="B1926" s="11" t="s">
        <v>4770</v>
      </c>
      <c r="C1926" s="10" t="s">
        <v>17</v>
      </c>
      <c r="D1926" s="10" t="s">
        <v>206</v>
      </c>
      <c r="E1926" s="13" t="str">
        <f>IFERROR(__xludf.DUMMYFUNCTION("ifna(filter('Yahoo ADP'!$A$2:$A2766,'Yahoo ADP'!$B$2:$B2766=$B1926,$C1926='Yahoo ADP'!$C$2:$C2766,$D1926='Yahoo ADP'!$D$2:$D2766))"),"")</f>
        <v/>
      </c>
      <c r="F1926" s="13" t="str">
        <f>IFERROR(__xludf.DUMMYFUNCTION("ifna(filter('Yahoo ADP'!$E$2:$E2766,'Yahoo ADP'!$B$2:$B2766=$B1926,$C1926='Yahoo ADP'!$C$2:$C2766,$D1926='Yahoo ADP'!$D$2:$D2766))"),"-")</f>
        <v>-</v>
      </c>
      <c r="G1926" s="27">
        <v>1923.0</v>
      </c>
      <c r="H1926" s="8">
        <f t="shared" si="1"/>
        <v>-2</v>
      </c>
    </row>
    <row r="1927">
      <c r="A1927" s="10">
        <v>1926.0</v>
      </c>
      <c r="B1927" s="11" t="s">
        <v>4771</v>
      </c>
      <c r="C1927" s="10" t="s">
        <v>139</v>
      </c>
      <c r="D1927" s="10" t="s">
        <v>31</v>
      </c>
      <c r="E1927" s="13" t="str">
        <f>IFERROR(__xludf.DUMMYFUNCTION("ifna(filter('Yahoo ADP'!$A$2:$A2766,'Yahoo ADP'!$B$2:$B2766=$B1927,$C1927='Yahoo ADP'!$C$2:$C2766,$D1927='Yahoo ADP'!$D$2:$D2766))"),"")</f>
        <v/>
      </c>
      <c r="F1927" s="13" t="str">
        <f>IFERROR(__xludf.DUMMYFUNCTION("ifna(filter('Yahoo ADP'!$E$2:$E2766,'Yahoo ADP'!$B$2:$B2766=$B1927,$C1927='Yahoo ADP'!$C$2:$C2766,$D1927='Yahoo ADP'!$D$2:$D2766))"),"-")</f>
        <v>-</v>
      </c>
      <c r="G1927" s="27">
        <v>1924.0</v>
      </c>
      <c r="H1927" s="8">
        <f t="shared" si="1"/>
        <v>-2</v>
      </c>
    </row>
    <row r="1928">
      <c r="A1928" s="10">
        <v>1927.0</v>
      </c>
      <c r="B1928" s="11" t="s">
        <v>4772</v>
      </c>
      <c r="C1928" s="10" t="s">
        <v>77</v>
      </c>
      <c r="D1928" s="10" t="s">
        <v>49</v>
      </c>
      <c r="E1928" s="13" t="str">
        <f>IFERROR(__xludf.DUMMYFUNCTION("ifna(filter('Yahoo ADP'!$A$2:$A2766,'Yahoo ADP'!$B$2:$B2766=$B1928,$C1928='Yahoo ADP'!$C$2:$C2766,$D1928='Yahoo ADP'!$D$2:$D2766))"),"")</f>
        <v/>
      </c>
      <c r="F1928" s="13" t="str">
        <f>IFERROR(__xludf.DUMMYFUNCTION("ifna(filter('Yahoo ADP'!$E$2:$E2766,'Yahoo ADP'!$B$2:$B2766=$B1928,$C1928='Yahoo ADP'!$C$2:$C2766,$D1928='Yahoo ADP'!$D$2:$D2766))"),"-")</f>
        <v>-</v>
      </c>
      <c r="G1928" s="27">
        <v>1925.0</v>
      </c>
      <c r="H1928" s="8">
        <f t="shared" si="1"/>
        <v>-2</v>
      </c>
    </row>
    <row r="1929">
      <c r="A1929" s="10">
        <v>1928.0</v>
      </c>
      <c r="B1929" s="11" t="s">
        <v>4773</v>
      </c>
      <c r="C1929" s="10" t="s">
        <v>20</v>
      </c>
      <c r="D1929" s="10" t="s">
        <v>46</v>
      </c>
      <c r="E1929" s="13" t="str">
        <f>IFERROR(__xludf.DUMMYFUNCTION("ifna(filter('Yahoo ADP'!$A$2:$A2766,'Yahoo ADP'!$B$2:$B2766=$B1929,$C1929='Yahoo ADP'!$C$2:$C2766,$D1929='Yahoo ADP'!$D$2:$D2766))"),"")</f>
        <v/>
      </c>
      <c r="F1929" s="13" t="str">
        <f>IFERROR(__xludf.DUMMYFUNCTION("ifna(filter('Yahoo ADP'!$E$2:$E2766,'Yahoo ADP'!$B$2:$B2766=$B1929,$C1929='Yahoo ADP'!$C$2:$C2766,$D1929='Yahoo ADP'!$D$2:$D2766))"),"-")</f>
        <v>-</v>
      </c>
      <c r="G1929" s="27">
        <v>1926.0</v>
      </c>
      <c r="H1929" s="8">
        <f t="shared" si="1"/>
        <v>-2</v>
      </c>
    </row>
    <row r="1930">
      <c r="A1930" s="10">
        <v>1929.0</v>
      </c>
      <c r="B1930" s="11" t="s">
        <v>4774</v>
      </c>
      <c r="C1930" s="10" t="s">
        <v>77</v>
      </c>
      <c r="D1930" s="10" t="s">
        <v>18</v>
      </c>
      <c r="E1930" s="13" t="str">
        <f>IFERROR(__xludf.DUMMYFUNCTION("ifna(filter('Yahoo ADP'!$A$2:$A2766,'Yahoo ADP'!$B$2:$B2766=$B1930,$C1930='Yahoo ADP'!$C$2:$C2766,$D1930='Yahoo ADP'!$D$2:$D2766))"),"")</f>
        <v/>
      </c>
      <c r="F1930" s="13" t="str">
        <f>IFERROR(__xludf.DUMMYFUNCTION("ifna(filter('Yahoo ADP'!$E$2:$E2766,'Yahoo ADP'!$B$2:$B2766=$B1930,$C1930='Yahoo ADP'!$C$2:$C2766,$D1930='Yahoo ADP'!$D$2:$D2766))"),"-")</f>
        <v>-</v>
      </c>
      <c r="G1930" s="27">
        <v>1927.0</v>
      </c>
      <c r="H1930" s="8">
        <f t="shared" si="1"/>
        <v>-2</v>
      </c>
    </row>
    <row r="1931">
      <c r="A1931" s="10">
        <v>1930.0</v>
      </c>
      <c r="B1931" s="11" t="s">
        <v>4775</v>
      </c>
      <c r="C1931" s="10" t="s">
        <v>17</v>
      </c>
      <c r="D1931" s="10" t="s">
        <v>31</v>
      </c>
      <c r="E1931" s="13" t="str">
        <f>IFERROR(__xludf.DUMMYFUNCTION("ifna(filter('Yahoo ADP'!$A$2:$A2766,'Yahoo ADP'!$B$2:$B2766=$B1931,$C1931='Yahoo ADP'!$C$2:$C2766,$D1931='Yahoo ADP'!$D$2:$D2766))"),"")</f>
        <v/>
      </c>
      <c r="F1931" s="13" t="str">
        <f>IFERROR(__xludf.DUMMYFUNCTION("ifna(filter('Yahoo ADP'!$E$2:$E2766,'Yahoo ADP'!$B$2:$B2766=$B1931,$C1931='Yahoo ADP'!$C$2:$C2766,$D1931='Yahoo ADP'!$D$2:$D2766))"),"-")</f>
        <v>-</v>
      </c>
      <c r="G1931" s="27">
        <v>1928.0</v>
      </c>
      <c r="H1931" s="8">
        <f t="shared" si="1"/>
        <v>-2</v>
      </c>
    </row>
    <row r="1932">
      <c r="A1932" s="10">
        <v>1931.0</v>
      </c>
      <c r="B1932" s="11" t="s">
        <v>4776</v>
      </c>
      <c r="C1932" s="10" t="s">
        <v>77</v>
      </c>
      <c r="D1932" s="10" t="s">
        <v>31</v>
      </c>
      <c r="E1932" s="13" t="str">
        <f>IFERROR(__xludf.DUMMYFUNCTION("ifna(filter('Yahoo ADP'!$A$2:$A2766,'Yahoo ADP'!$B$2:$B2766=$B1932,$C1932='Yahoo ADP'!$C$2:$C2766,$D1932='Yahoo ADP'!$D$2:$D2766))"),"")</f>
        <v/>
      </c>
      <c r="F1932" s="13" t="str">
        <f>IFERROR(__xludf.DUMMYFUNCTION("ifna(filter('Yahoo ADP'!$E$2:$E2766,'Yahoo ADP'!$B$2:$B2766=$B1932,$C1932='Yahoo ADP'!$C$2:$C2766,$D1932='Yahoo ADP'!$D$2:$D2766))"),"-")</f>
        <v>-</v>
      </c>
      <c r="G1932" s="27">
        <v>1929.0</v>
      </c>
      <c r="H1932" s="8">
        <f t="shared" si="1"/>
        <v>-2</v>
      </c>
    </row>
    <row r="1933">
      <c r="A1933" s="10">
        <v>1932.0</v>
      </c>
      <c r="B1933" s="11" t="s">
        <v>4777</v>
      </c>
      <c r="C1933" s="10" t="s">
        <v>69</v>
      </c>
      <c r="D1933" s="10" t="s">
        <v>12</v>
      </c>
      <c r="E1933" s="13" t="str">
        <f>IFERROR(__xludf.DUMMYFUNCTION("ifna(filter('Yahoo ADP'!$A$2:$A2766,'Yahoo ADP'!$B$2:$B2766=$B1933,$C1933='Yahoo ADP'!$C$2:$C2766,$D1933='Yahoo ADP'!$D$2:$D2766))"),"")</f>
        <v/>
      </c>
      <c r="F1933" s="13" t="str">
        <f>IFERROR(__xludf.DUMMYFUNCTION("ifna(filter('Yahoo ADP'!$E$2:$E2766,'Yahoo ADP'!$B$2:$B2766=$B1933,$C1933='Yahoo ADP'!$C$2:$C2766,$D1933='Yahoo ADP'!$D$2:$D2766))"),"-")</f>
        <v>-</v>
      </c>
      <c r="G1933" s="27">
        <v>1930.0</v>
      </c>
      <c r="H1933" s="8">
        <f t="shared" si="1"/>
        <v>-2</v>
      </c>
    </row>
    <row r="1934">
      <c r="A1934" s="10">
        <v>1933.0</v>
      </c>
      <c r="B1934" s="11" t="s">
        <v>4778</v>
      </c>
      <c r="C1934" s="10" t="s">
        <v>150</v>
      </c>
      <c r="D1934" s="10" t="s">
        <v>42</v>
      </c>
      <c r="E1934" s="13" t="str">
        <f>IFERROR(__xludf.DUMMYFUNCTION("ifna(filter('Yahoo ADP'!$A$2:$A2766,'Yahoo ADP'!$B$2:$B2766=$B1934,$C1934='Yahoo ADP'!$C$2:$C2766,$D1934='Yahoo ADP'!$D$2:$D2766))"),"")</f>
        <v/>
      </c>
      <c r="F1934" s="13" t="str">
        <f>IFERROR(__xludf.DUMMYFUNCTION("ifna(filter('Yahoo ADP'!$E$2:$E2766,'Yahoo ADP'!$B$2:$B2766=$B1934,$C1934='Yahoo ADP'!$C$2:$C2766,$D1934='Yahoo ADP'!$D$2:$D2766))"),"-")</f>
        <v>-</v>
      </c>
      <c r="G1934" s="27">
        <v>1931.0</v>
      </c>
      <c r="H1934" s="8">
        <f t="shared" si="1"/>
        <v>-2</v>
      </c>
    </row>
    <row r="1935">
      <c r="A1935" s="10">
        <v>1934.0</v>
      </c>
      <c r="B1935" s="11" t="s">
        <v>4779</v>
      </c>
      <c r="C1935" s="10" t="s">
        <v>48</v>
      </c>
      <c r="D1935" s="10" t="s">
        <v>137</v>
      </c>
      <c r="E1935" s="13" t="str">
        <f>IFERROR(__xludf.DUMMYFUNCTION("ifna(filter('Yahoo ADP'!$A$2:$A2766,'Yahoo ADP'!$B$2:$B2766=$B1935,$C1935='Yahoo ADP'!$C$2:$C2766,$D1935='Yahoo ADP'!$D$2:$D2766))"),"")</f>
        <v/>
      </c>
      <c r="F1935" s="13" t="str">
        <f>IFERROR(__xludf.DUMMYFUNCTION("ifna(filter('Yahoo ADP'!$E$2:$E2766,'Yahoo ADP'!$B$2:$B2766=$B1935,$C1935='Yahoo ADP'!$C$2:$C2766,$D1935='Yahoo ADP'!$D$2:$D2766))"),"-")</f>
        <v>-</v>
      </c>
      <c r="G1935" s="27">
        <v>1932.0</v>
      </c>
      <c r="H1935" s="8">
        <f t="shared" si="1"/>
        <v>-2</v>
      </c>
    </row>
    <row r="1936">
      <c r="A1936" s="10">
        <v>1935.0</v>
      </c>
      <c r="B1936" s="11" t="s">
        <v>4780</v>
      </c>
      <c r="C1936" s="10" t="s">
        <v>39</v>
      </c>
      <c r="D1936" s="10" t="s">
        <v>129</v>
      </c>
      <c r="E1936" s="13" t="str">
        <f>IFERROR(__xludf.DUMMYFUNCTION("ifna(filter('Yahoo ADP'!$A$2:$A2766,'Yahoo ADP'!$B$2:$B2766=$B1936,$C1936='Yahoo ADP'!$C$2:$C2766,$D1936='Yahoo ADP'!$D$2:$D2766))"),"")</f>
        <v/>
      </c>
      <c r="F1936" s="13" t="str">
        <f>IFERROR(__xludf.DUMMYFUNCTION("ifna(filter('Yahoo ADP'!$E$2:$E2766,'Yahoo ADP'!$B$2:$B2766=$B1936,$C1936='Yahoo ADP'!$C$2:$C2766,$D1936='Yahoo ADP'!$D$2:$D2766))"),"-")</f>
        <v>-</v>
      </c>
      <c r="G1936" s="27">
        <v>1933.0</v>
      </c>
      <c r="H1936" s="8">
        <f t="shared" si="1"/>
        <v>-2</v>
      </c>
    </row>
    <row r="1937">
      <c r="A1937" s="10">
        <v>1936.0</v>
      </c>
      <c r="B1937" s="11" t="s">
        <v>4781</v>
      </c>
      <c r="C1937" s="10" t="s">
        <v>33</v>
      </c>
      <c r="D1937" s="10" t="s">
        <v>206</v>
      </c>
      <c r="E1937" s="13" t="str">
        <f>IFERROR(__xludf.DUMMYFUNCTION("ifna(filter('Yahoo ADP'!$A$2:$A2766,'Yahoo ADP'!$B$2:$B2766=$B1937,$C1937='Yahoo ADP'!$C$2:$C2766,$D1937='Yahoo ADP'!$D$2:$D2766))"),"")</f>
        <v/>
      </c>
      <c r="F1937" s="13" t="str">
        <f>IFERROR(__xludf.DUMMYFUNCTION("ifna(filter('Yahoo ADP'!$E$2:$E2766,'Yahoo ADP'!$B$2:$B2766=$B1937,$C1937='Yahoo ADP'!$C$2:$C2766,$D1937='Yahoo ADP'!$D$2:$D2766))"),"-")</f>
        <v>-</v>
      </c>
      <c r="G1937" s="27">
        <v>1934.0</v>
      </c>
      <c r="H1937" s="8">
        <f t="shared" si="1"/>
        <v>-2</v>
      </c>
    </row>
    <row r="1938">
      <c r="A1938" s="10">
        <v>1937.0</v>
      </c>
      <c r="B1938" s="11" t="s">
        <v>4782</v>
      </c>
      <c r="C1938" s="10" t="s">
        <v>11</v>
      </c>
      <c r="D1938" s="10" t="s">
        <v>9</v>
      </c>
      <c r="E1938" s="13" t="str">
        <f>IFERROR(__xludf.DUMMYFUNCTION("ifna(filter('Yahoo ADP'!$A$2:$A2766,'Yahoo ADP'!$B$2:$B2766=$B1938,$C1938='Yahoo ADP'!$C$2:$C2766,$D1938='Yahoo ADP'!$D$2:$D2766))"),"")</f>
        <v/>
      </c>
      <c r="F1938" s="13" t="str">
        <f>IFERROR(__xludf.DUMMYFUNCTION("ifna(filter('Yahoo ADP'!$E$2:$E2766,'Yahoo ADP'!$B$2:$B2766=$B1938,$C1938='Yahoo ADP'!$C$2:$C2766,$D1938='Yahoo ADP'!$D$2:$D2766))"),"-")</f>
        <v>-</v>
      </c>
      <c r="G1938" s="27">
        <v>1935.0</v>
      </c>
      <c r="H1938" s="8">
        <f t="shared" si="1"/>
        <v>-2</v>
      </c>
    </row>
    <row r="1939">
      <c r="A1939" s="10">
        <v>1938.0</v>
      </c>
      <c r="B1939" s="11" t="s">
        <v>4783</v>
      </c>
      <c r="C1939" s="10" t="s">
        <v>11</v>
      </c>
      <c r="D1939" s="10" t="s">
        <v>82</v>
      </c>
      <c r="E1939" s="13" t="str">
        <f>IFERROR(__xludf.DUMMYFUNCTION("ifna(filter('Yahoo ADP'!$A$2:$A2766,'Yahoo ADP'!$B$2:$B2766=$B1939,$C1939='Yahoo ADP'!$C$2:$C2766,$D1939='Yahoo ADP'!$D$2:$D2766))"),"")</f>
        <v/>
      </c>
      <c r="F1939" s="13" t="str">
        <f>IFERROR(__xludf.DUMMYFUNCTION("ifna(filter('Yahoo ADP'!$E$2:$E2766,'Yahoo ADP'!$B$2:$B2766=$B1939,$C1939='Yahoo ADP'!$C$2:$C2766,$D1939='Yahoo ADP'!$D$2:$D2766))"),"-")</f>
        <v>-</v>
      </c>
      <c r="G1939" s="27">
        <v>1936.0</v>
      </c>
      <c r="H1939" s="8">
        <f t="shared" si="1"/>
        <v>-2</v>
      </c>
    </row>
    <row r="1940">
      <c r="A1940" s="10">
        <v>1939.0</v>
      </c>
      <c r="B1940" s="11" t="s">
        <v>4784</v>
      </c>
      <c r="C1940" s="10" t="s">
        <v>218</v>
      </c>
      <c r="D1940" s="10" t="s">
        <v>73</v>
      </c>
      <c r="E1940" s="13" t="str">
        <f>IFERROR(__xludf.DUMMYFUNCTION("ifna(filter('Yahoo ADP'!$A$2:$A2766,'Yahoo ADP'!$B$2:$B2766=$B1940,$C1940='Yahoo ADP'!$C$2:$C2766,$D1940='Yahoo ADP'!$D$2:$D2766))"),"")</f>
        <v/>
      </c>
      <c r="F1940" s="13" t="str">
        <f>IFERROR(__xludf.DUMMYFUNCTION("ifna(filter('Yahoo ADP'!$E$2:$E2766,'Yahoo ADP'!$B$2:$B2766=$B1940,$C1940='Yahoo ADP'!$C$2:$C2766,$D1940='Yahoo ADP'!$D$2:$D2766))"),"-")</f>
        <v>-</v>
      </c>
      <c r="G1940" s="27">
        <v>1937.0</v>
      </c>
      <c r="H1940" s="8">
        <f t="shared" si="1"/>
        <v>-2</v>
      </c>
    </row>
    <row r="1941">
      <c r="A1941" s="10">
        <v>1940.0</v>
      </c>
      <c r="B1941" s="11" t="s">
        <v>4785</v>
      </c>
      <c r="C1941" s="10" t="s">
        <v>14</v>
      </c>
      <c r="D1941" s="10" t="s">
        <v>73</v>
      </c>
      <c r="E1941" s="13" t="str">
        <f>IFERROR(__xludf.DUMMYFUNCTION("ifna(filter('Yahoo ADP'!$A$2:$A2766,'Yahoo ADP'!$B$2:$B2766=$B1941,$C1941='Yahoo ADP'!$C$2:$C2766,$D1941='Yahoo ADP'!$D$2:$D2766))"),"")</f>
        <v/>
      </c>
      <c r="F1941" s="13" t="str">
        <f>IFERROR(__xludf.DUMMYFUNCTION("ifna(filter('Yahoo ADP'!$E$2:$E2766,'Yahoo ADP'!$B$2:$B2766=$B1941,$C1941='Yahoo ADP'!$C$2:$C2766,$D1941='Yahoo ADP'!$D$2:$D2766))"),"-")</f>
        <v>-</v>
      </c>
      <c r="G1941" s="27">
        <v>1938.0</v>
      </c>
      <c r="H1941" s="8">
        <f t="shared" si="1"/>
        <v>-2</v>
      </c>
    </row>
    <row r="1942">
      <c r="A1942" s="10">
        <v>1941.0</v>
      </c>
      <c r="B1942" s="11" t="s">
        <v>4786</v>
      </c>
      <c r="C1942" s="10" t="s">
        <v>87</v>
      </c>
      <c r="D1942" s="10" t="s">
        <v>9</v>
      </c>
      <c r="E1942" s="13" t="str">
        <f>IFERROR(__xludf.DUMMYFUNCTION("ifna(filter('Yahoo ADP'!$A$2:$A2766,'Yahoo ADP'!$B$2:$B2766=$B1942,$C1942='Yahoo ADP'!$C$2:$C2766,$D1942='Yahoo ADP'!$D$2:$D2766))"),"")</f>
        <v/>
      </c>
      <c r="F1942" s="13" t="str">
        <f>IFERROR(__xludf.DUMMYFUNCTION("ifna(filter('Yahoo ADP'!$E$2:$E2766,'Yahoo ADP'!$B$2:$B2766=$B1942,$C1942='Yahoo ADP'!$C$2:$C2766,$D1942='Yahoo ADP'!$D$2:$D2766))"),"-")</f>
        <v>-</v>
      </c>
      <c r="G1942" s="27">
        <v>1939.0</v>
      </c>
      <c r="H1942" s="8">
        <f t="shared" si="1"/>
        <v>-2</v>
      </c>
    </row>
    <row r="1943">
      <c r="A1943" s="10">
        <v>1942.0</v>
      </c>
      <c r="B1943" s="11" t="s">
        <v>4787</v>
      </c>
      <c r="C1943" s="10" t="s">
        <v>346</v>
      </c>
      <c r="D1943" s="10" t="s">
        <v>23</v>
      </c>
      <c r="E1943" s="13" t="str">
        <f>IFERROR(__xludf.DUMMYFUNCTION("ifna(filter('Yahoo ADP'!$A$2:$A2766,'Yahoo ADP'!$B$2:$B2766=$B1943,$C1943='Yahoo ADP'!$C$2:$C2766,$D1943='Yahoo ADP'!$D$2:$D2766))"),"")</f>
        <v/>
      </c>
      <c r="F1943" s="13" t="str">
        <f>IFERROR(__xludf.DUMMYFUNCTION("ifna(filter('Yahoo ADP'!$E$2:$E2766,'Yahoo ADP'!$B$2:$B2766=$B1943,$C1943='Yahoo ADP'!$C$2:$C2766,$D1943='Yahoo ADP'!$D$2:$D2766))"),"-")</f>
        <v>-</v>
      </c>
      <c r="G1943" s="27">
        <v>1940.0</v>
      </c>
      <c r="H1943" s="8">
        <f t="shared" si="1"/>
        <v>-2</v>
      </c>
    </row>
    <row r="1944">
      <c r="A1944" s="10">
        <v>1943.0</v>
      </c>
      <c r="B1944" s="11" t="s">
        <v>4788</v>
      </c>
      <c r="C1944" s="10" t="s">
        <v>33</v>
      </c>
      <c r="D1944" s="10" t="s">
        <v>122</v>
      </c>
      <c r="E1944" s="13" t="str">
        <f>IFERROR(__xludf.DUMMYFUNCTION("ifna(filter('Yahoo ADP'!$A$2:$A2766,'Yahoo ADP'!$B$2:$B2766=$B1944,$C1944='Yahoo ADP'!$C$2:$C2766,$D1944='Yahoo ADP'!$D$2:$D2766))"),"")</f>
        <v/>
      </c>
      <c r="F1944" s="13" t="str">
        <f>IFERROR(__xludf.DUMMYFUNCTION("ifna(filter('Yahoo ADP'!$E$2:$E2766,'Yahoo ADP'!$B$2:$B2766=$B1944,$C1944='Yahoo ADP'!$C$2:$C2766,$D1944='Yahoo ADP'!$D$2:$D2766))"),"-")</f>
        <v>-</v>
      </c>
      <c r="G1944" s="27">
        <v>1941.0</v>
      </c>
      <c r="H1944" s="8">
        <f t="shared" si="1"/>
        <v>-2</v>
      </c>
    </row>
    <row r="1945">
      <c r="A1945" s="10">
        <v>1944.0</v>
      </c>
      <c r="B1945" s="11" t="s">
        <v>4789</v>
      </c>
      <c r="C1945" s="10" t="s">
        <v>20</v>
      </c>
      <c r="D1945" s="10" t="s">
        <v>23</v>
      </c>
      <c r="E1945" s="13" t="str">
        <f>IFERROR(__xludf.DUMMYFUNCTION("ifna(filter('Yahoo ADP'!$A$2:$A2766,'Yahoo ADP'!$B$2:$B2766=$B1945,$C1945='Yahoo ADP'!$C$2:$C2766,$D1945='Yahoo ADP'!$D$2:$D2766))"),"")</f>
        <v/>
      </c>
      <c r="F1945" s="13" t="str">
        <f>IFERROR(__xludf.DUMMYFUNCTION("ifna(filter('Yahoo ADP'!$E$2:$E2766,'Yahoo ADP'!$B$2:$B2766=$B1945,$C1945='Yahoo ADP'!$C$2:$C2766,$D1945='Yahoo ADP'!$D$2:$D2766))"),"-")</f>
        <v>-</v>
      </c>
      <c r="G1945" s="27">
        <v>1942.0</v>
      </c>
      <c r="H1945" s="8">
        <f t="shared" si="1"/>
        <v>-2</v>
      </c>
    </row>
    <row r="1946">
      <c r="A1946" s="10">
        <v>1945.0</v>
      </c>
      <c r="B1946" s="11" t="s">
        <v>4790</v>
      </c>
      <c r="C1946" s="10" t="s">
        <v>48</v>
      </c>
      <c r="D1946" s="10" t="s">
        <v>95</v>
      </c>
      <c r="E1946" s="13" t="str">
        <f>IFERROR(__xludf.DUMMYFUNCTION("ifna(filter('Yahoo ADP'!$A$2:$A2766,'Yahoo ADP'!$B$2:$B2766=$B1946,$C1946='Yahoo ADP'!$C$2:$C2766,$D1946='Yahoo ADP'!$D$2:$D2766))"),"")</f>
        <v/>
      </c>
      <c r="F1946" s="13" t="str">
        <f>IFERROR(__xludf.DUMMYFUNCTION("ifna(filter('Yahoo ADP'!$E$2:$E2766,'Yahoo ADP'!$B$2:$B2766=$B1946,$C1946='Yahoo ADP'!$C$2:$C2766,$D1946='Yahoo ADP'!$D$2:$D2766))"),"-")</f>
        <v>-</v>
      </c>
      <c r="G1946" s="27">
        <v>1943.0</v>
      </c>
      <c r="H1946" s="8">
        <f t="shared" si="1"/>
        <v>-2</v>
      </c>
    </row>
    <row r="1947">
      <c r="A1947" s="10">
        <v>1946.0</v>
      </c>
      <c r="B1947" s="11" t="s">
        <v>4791</v>
      </c>
      <c r="C1947" s="10" t="s">
        <v>20</v>
      </c>
      <c r="D1947" s="10" t="s">
        <v>122</v>
      </c>
      <c r="E1947" s="13" t="str">
        <f>IFERROR(__xludf.DUMMYFUNCTION("ifna(filter('Yahoo ADP'!$A$2:$A2766,'Yahoo ADP'!$B$2:$B2766=$B1947,$C1947='Yahoo ADP'!$C$2:$C2766,$D1947='Yahoo ADP'!$D$2:$D2766))"),"")</f>
        <v/>
      </c>
      <c r="F1947" s="13" t="str">
        <f>IFERROR(__xludf.DUMMYFUNCTION("ifna(filter('Yahoo ADP'!$E$2:$E2766,'Yahoo ADP'!$B$2:$B2766=$B1947,$C1947='Yahoo ADP'!$C$2:$C2766,$D1947='Yahoo ADP'!$D$2:$D2766))"),"-")</f>
        <v>-</v>
      </c>
      <c r="G1947" s="27">
        <v>1944.0</v>
      </c>
      <c r="H1947" s="8">
        <f t="shared" si="1"/>
        <v>-2</v>
      </c>
    </row>
    <row r="1948">
      <c r="A1948" s="10">
        <v>1947.0</v>
      </c>
      <c r="B1948" s="11" t="s">
        <v>4792</v>
      </c>
      <c r="C1948" s="10" t="s">
        <v>77</v>
      </c>
      <c r="D1948" s="10" t="s">
        <v>122</v>
      </c>
      <c r="E1948" s="13">
        <f>IFERROR(__xludf.DUMMYFUNCTION("ifna(filter('Yahoo ADP'!$A$2:$A2766,'Yahoo ADP'!$B$2:$B2766=$B1948,$C1948='Yahoo ADP'!$C$2:$C2766,$D1948='Yahoo ADP'!$D$2:$D2766))"),235.6)</f>
        <v>235.6</v>
      </c>
      <c r="F1948" s="13">
        <f>IFERROR(__xludf.DUMMYFUNCTION("ifna(filter('Yahoo ADP'!$E$2:$E2766,'Yahoo ADP'!$B$2:$B2766=$B1948,$C1948='Yahoo ADP'!$C$2:$C2766,$D1948='Yahoo ADP'!$D$2:$D2766))"),1.2)</f>
        <v>1.2</v>
      </c>
      <c r="G1948" s="27">
        <v>1945.0</v>
      </c>
      <c r="H1948" s="8">
        <f t="shared" si="1"/>
        <v>-2</v>
      </c>
    </row>
    <row r="1949">
      <c r="A1949" s="10">
        <v>1948.0</v>
      </c>
      <c r="B1949" s="11" t="s">
        <v>4793</v>
      </c>
      <c r="C1949" s="10" t="s">
        <v>77</v>
      </c>
      <c r="D1949" s="10" t="s">
        <v>12</v>
      </c>
      <c r="E1949" s="13" t="str">
        <f>IFERROR(__xludf.DUMMYFUNCTION("ifna(filter('Yahoo ADP'!$A$2:$A2766,'Yahoo ADP'!$B$2:$B2766=$B1949,$C1949='Yahoo ADP'!$C$2:$C2766,$D1949='Yahoo ADP'!$D$2:$D2766))"),"")</f>
        <v/>
      </c>
      <c r="F1949" s="13" t="str">
        <f>IFERROR(__xludf.DUMMYFUNCTION("ifna(filter('Yahoo ADP'!$E$2:$E2766,'Yahoo ADP'!$B$2:$B2766=$B1949,$C1949='Yahoo ADP'!$C$2:$C2766,$D1949='Yahoo ADP'!$D$2:$D2766))"),"-")</f>
        <v>-</v>
      </c>
      <c r="G1949" s="27">
        <v>1946.0</v>
      </c>
      <c r="H1949" s="8">
        <f t="shared" si="1"/>
        <v>-2</v>
      </c>
    </row>
    <row r="1950">
      <c r="A1950" s="10">
        <v>1949.0</v>
      </c>
      <c r="B1950" s="11" t="s">
        <v>4794</v>
      </c>
      <c r="C1950" s="10" t="s">
        <v>77</v>
      </c>
      <c r="D1950" s="10" t="s">
        <v>137</v>
      </c>
      <c r="E1950" s="13" t="str">
        <f>IFERROR(__xludf.DUMMYFUNCTION("ifna(filter('Yahoo ADP'!$A$2:$A2766,'Yahoo ADP'!$B$2:$B2766=$B1950,$C1950='Yahoo ADP'!$C$2:$C2766,$D1950='Yahoo ADP'!$D$2:$D2766))"),"")</f>
        <v/>
      </c>
      <c r="F1950" s="13" t="str">
        <f>IFERROR(__xludf.DUMMYFUNCTION("ifna(filter('Yahoo ADP'!$E$2:$E2766,'Yahoo ADP'!$B$2:$B2766=$B1950,$C1950='Yahoo ADP'!$C$2:$C2766,$D1950='Yahoo ADP'!$D$2:$D2766))"),"-")</f>
        <v>-</v>
      </c>
      <c r="G1950" s="27">
        <v>1947.0</v>
      </c>
      <c r="H1950" s="8">
        <f t="shared" si="1"/>
        <v>-2</v>
      </c>
    </row>
    <row r="1951">
      <c r="A1951" s="10">
        <v>1950.0</v>
      </c>
      <c r="B1951" s="11" t="s">
        <v>4795</v>
      </c>
      <c r="C1951" s="10" t="s">
        <v>39</v>
      </c>
      <c r="D1951" s="10" t="s">
        <v>23</v>
      </c>
      <c r="E1951" s="13" t="str">
        <f>IFERROR(__xludf.DUMMYFUNCTION("ifna(filter('Yahoo ADP'!$A$2:$A2766,'Yahoo ADP'!$B$2:$B2766=$B1951,$C1951='Yahoo ADP'!$C$2:$C2766,$D1951='Yahoo ADP'!$D$2:$D2766))"),"")</f>
        <v/>
      </c>
      <c r="F1951" s="13" t="str">
        <f>IFERROR(__xludf.DUMMYFUNCTION("ifna(filter('Yahoo ADP'!$E$2:$E2766,'Yahoo ADP'!$B$2:$B2766=$B1951,$C1951='Yahoo ADP'!$C$2:$C2766,$D1951='Yahoo ADP'!$D$2:$D2766))"),"-")</f>
        <v>-</v>
      </c>
      <c r="G1951" s="27">
        <v>1948.0</v>
      </c>
      <c r="H1951" s="8">
        <f t="shared" si="1"/>
        <v>-2</v>
      </c>
    </row>
    <row r="1952">
      <c r="A1952" s="10">
        <v>1951.0</v>
      </c>
      <c r="B1952" s="11" t="s">
        <v>4796</v>
      </c>
      <c r="C1952" s="10" t="s">
        <v>77</v>
      </c>
      <c r="D1952" s="10" t="s">
        <v>71</v>
      </c>
      <c r="E1952" s="13" t="str">
        <f>IFERROR(__xludf.DUMMYFUNCTION("ifna(filter('Yahoo ADP'!$A$2:$A2766,'Yahoo ADP'!$B$2:$B2766=$B1952,$C1952='Yahoo ADP'!$C$2:$C2766,$D1952='Yahoo ADP'!$D$2:$D2766))"),"")</f>
        <v/>
      </c>
      <c r="F1952" s="13" t="str">
        <f>IFERROR(__xludf.DUMMYFUNCTION("ifna(filter('Yahoo ADP'!$E$2:$E2766,'Yahoo ADP'!$B$2:$B2766=$B1952,$C1952='Yahoo ADP'!$C$2:$C2766,$D1952='Yahoo ADP'!$D$2:$D2766))"),"-")</f>
        <v>-</v>
      </c>
      <c r="G1952" s="27">
        <v>1949.0</v>
      </c>
      <c r="H1952" s="8">
        <f t="shared" si="1"/>
        <v>-2</v>
      </c>
    </row>
    <row r="1953">
      <c r="A1953" s="10">
        <v>1952.0</v>
      </c>
      <c r="B1953" s="11" t="s">
        <v>4797</v>
      </c>
      <c r="C1953" s="10" t="s">
        <v>77</v>
      </c>
      <c r="D1953" s="10" t="s">
        <v>129</v>
      </c>
      <c r="E1953" s="13" t="str">
        <f>IFERROR(__xludf.DUMMYFUNCTION("ifna(filter('Yahoo ADP'!$A$2:$A2766,'Yahoo ADP'!$B$2:$B2766=$B1953,$C1953='Yahoo ADP'!$C$2:$C2766,$D1953='Yahoo ADP'!$D$2:$D2766))"),"")</f>
        <v/>
      </c>
      <c r="F1953" s="13" t="str">
        <f>IFERROR(__xludf.DUMMYFUNCTION("ifna(filter('Yahoo ADP'!$E$2:$E2766,'Yahoo ADP'!$B$2:$B2766=$B1953,$C1953='Yahoo ADP'!$C$2:$C2766,$D1953='Yahoo ADP'!$D$2:$D2766))"),"-")</f>
        <v>-</v>
      </c>
      <c r="G1953" s="27">
        <v>1950.0</v>
      </c>
      <c r="H1953" s="8">
        <f t="shared" si="1"/>
        <v>-2</v>
      </c>
    </row>
    <row r="1954">
      <c r="A1954" s="10">
        <v>1953.0</v>
      </c>
      <c r="B1954" s="11" t="s">
        <v>4798</v>
      </c>
      <c r="C1954" s="10" t="s">
        <v>48</v>
      </c>
      <c r="D1954" s="10" t="s">
        <v>85</v>
      </c>
      <c r="E1954" s="13" t="str">
        <f>IFERROR(__xludf.DUMMYFUNCTION("ifna(filter('Yahoo ADP'!$A$2:$A2766,'Yahoo ADP'!$B$2:$B2766=$B1954,$C1954='Yahoo ADP'!$C$2:$C2766,$D1954='Yahoo ADP'!$D$2:$D2766))"),"")</f>
        <v/>
      </c>
      <c r="F1954" s="13" t="str">
        <f>IFERROR(__xludf.DUMMYFUNCTION("ifna(filter('Yahoo ADP'!$E$2:$E2766,'Yahoo ADP'!$B$2:$B2766=$B1954,$C1954='Yahoo ADP'!$C$2:$C2766,$D1954='Yahoo ADP'!$D$2:$D2766))"),"-")</f>
        <v>-</v>
      </c>
      <c r="G1954" s="27">
        <v>1951.0</v>
      </c>
      <c r="H1954" s="8">
        <f t="shared" si="1"/>
        <v>-2</v>
      </c>
    </row>
    <row r="1955">
      <c r="A1955" s="10">
        <v>1954.0</v>
      </c>
      <c r="B1955" s="11" t="s">
        <v>4799</v>
      </c>
      <c r="C1955" s="10" t="s">
        <v>33</v>
      </c>
      <c r="D1955" s="10" t="s">
        <v>23</v>
      </c>
      <c r="E1955" s="13" t="str">
        <f>IFERROR(__xludf.DUMMYFUNCTION("ifna(filter('Yahoo ADP'!$A$2:$A2766,'Yahoo ADP'!$B$2:$B2766=$B1955,$C1955='Yahoo ADP'!$C$2:$C2766,$D1955='Yahoo ADP'!$D$2:$D2766))"),"")</f>
        <v/>
      </c>
      <c r="F1955" s="13" t="str">
        <f>IFERROR(__xludf.DUMMYFUNCTION("ifna(filter('Yahoo ADP'!$E$2:$E2766,'Yahoo ADP'!$B$2:$B2766=$B1955,$C1955='Yahoo ADP'!$C$2:$C2766,$D1955='Yahoo ADP'!$D$2:$D2766))"),"-")</f>
        <v>-</v>
      </c>
      <c r="G1955" s="27">
        <v>1952.0</v>
      </c>
      <c r="H1955" s="8">
        <f t="shared" si="1"/>
        <v>-2</v>
      </c>
    </row>
    <row r="1956">
      <c r="A1956" s="10">
        <v>1955.0</v>
      </c>
      <c r="B1956" s="11" t="s">
        <v>4800</v>
      </c>
      <c r="C1956" s="10" t="s">
        <v>77</v>
      </c>
      <c r="D1956" s="10" t="s">
        <v>73</v>
      </c>
      <c r="E1956" s="13" t="str">
        <f>IFERROR(__xludf.DUMMYFUNCTION("ifna(filter('Yahoo ADP'!$A$2:$A2766,'Yahoo ADP'!$B$2:$B2766=$B1956,$C1956='Yahoo ADP'!$C$2:$C2766,$D1956='Yahoo ADP'!$D$2:$D2766))"),"")</f>
        <v/>
      </c>
      <c r="F1956" s="13" t="str">
        <f>IFERROR(__xludf.DUMMYFUNCTION("ifna(filter('Yahoo ADP'!$E$2:$E2766,'Yahoo ADP'!$B$2:$B2766=$B1956,$C1956='Yahoo ADP'!$C$2:$C2766,$D1956='Yahoo ADP'!$D$2:$D2766))"),"-")</f>
        <v>-</v>
      </c>
      <c r="G1956" s="27">
        <v>1953.0</v>
      </c>
      <c r="H1956" s="8">
        <f t="shared" si="1"/>
        <v>-2</v>
      </c>
    </row>
    <row r="1957">
      <c r="A1957" s="10">
        <v>1956.0</v>
      </c>
      <c r="B1957" s="11" t="s">
        <v>4801</v>
      </c>
      <c r="C1957" s="10" t="s">
        <v>77</v>
      </c>
      <c r="D1957" s="10" t="s">
        <v>129</v>
      </c>
      <c r="E1957" s="13" t="str">
        <f>IFERROR(__xludf.DUMMYFUNCTION("ifna(filter('Yahoo ADP'!$A$2:$A2766,'Yahoo ADP'!$B$2:$B2766=$B1957,$C1957='Yahoo ADP'!$C$2:$C2766,$D1957='Yahoo ADP'!$D$2:$D2766))"),"")</f>
        <v/>
      </c>
      <c r="F1957" s="13" t="str">
        <f>IFERROR(__xludf.DUMMYFUNCTION("ifna(filter('Yahoo ADP'!$E$2:$E2766,'Yahoo ADP'!$B$2:$B2766=$B1957,$C1957='Yahoo ADP'!$C$2:$C2766,$D1957='Yahoo ADP'!$D$2:$D2766))"),"-")</f>
        <v>-</v>
      </c>
      <c r="G1957" s="27">
        <v>1954.0</v>
      </c>
      <c r="H1957" s="8">
        <f t="shared" si="1"/>
        <v>-2</v>
      </c>
    </row>
    <row r="1958">
      <c r="A1958" s="10">
        <v>1957.0</v>
      </c>
      <c r="B1958" s="11" t="s">
        <v>4802</v>
      </c>
      <c r="C1958" s="10" t="s">
        <v>39</v>
      </c>
      <c r="D1958" s="10" t="s">
        <v>31</v>
      </c>
      <c r="E1958" s="13" t="str">
        <f>IFERROR(__xludf.DUMMYFUNCTION("ifna(filter('Yahoo ADP'!$A$2:$A2766,'Yahoo ADP'!$B$2:$B2766=$B1958,$C1958='Yahoo ADP'!$C$2:$C2766,$D1958='Yahoo ADP'!$D$2:$D2766))"),"")</f>
        <v/>
      </c>
      <c r="F1958" s="13" t="str">
        <f>IFERROR(__xludf.DUMMYFUNCTION("ifna(filter('Yahoo ADP'!$E$2:$E2766,'Yahoo ADP'!$B$2:$B2766=$B1958,$C1958='Yahoo ADP'!$C$2:$C2766,$D1958='Yahoo ADP'!$D$2:$D2766))"),"-")</f>
        <v>-</v>
      </c>
      <c r="G1958" s="27">
        <v>1955.0</v>
      </c>
      <c r="H1958" s="8">
        <f t="shared" si="1"/>
        <v>-2</v>
      </c>
    </row>
    <row r="1959">
      <c r="A1959" s="10">
        <v>1958.0</v>
      </c>
      <c r="B1959" s="11" t="s">
        <v>4803</v>
      </c>
      <c r="C1959" s="10" t="s">
        <v>77</v>
      </c>
      <c r="D1959" s="10" t="s">
        <v>52</v>
      </c>
      <c r="E1959" s="13" t="str">
        <f>IFERROR(__xludf.DUMMYFUNCTION("ifna(filter('Yahoo ADP'!$A$2:$A2766,'Yahoo ADP'!$B$2:$B2766=$B1959,$C1959='Yahoo ADP'!$C$2:$C2766,$D1959='Yahoo ADP'!$D$2:$D2766))"),"")</f>
        <v/>
      </c>
      <c r="F1959" s="13" t="str">
        <f>IFERROR(__xludf.DUMMYFUNCTION("ifna(filter('Yahoo ADP'!$E$2:$E2766,'Yahoo ADP'!$B$2:$B2766=$B1959,$C1959='Yahoo ADP'!$C$2:$C2766,$D1959='Yahoo ADP'!$D$2:$D2766))"),"-")</f>
        <v>-</v>
      </c>
      <c r="G1959" s="27">
        <v>1956.0</v>
      </c>
      <c r="H1959" s="8">
        <f t="shared" si="1"/>
        <v>-2</v>
      </c>
    </row>
    <row r="1960">
      <c r="A1960" s="10">
        <v>1959.0</v>
      </c>
      <c r="B1960" s="11" t="s">
        <v>4804</v>
      </c>
      <c r="C1960" s="10" t="s">
        <v>33</v>
      </c>
      <c r="D1960" s="10" t="s">
        <v>31</v>
      </c>
      <c r="E1960" s="13" t="str">
        <f>IFERROR(__xludf.DUMMYFUNCTION("ifna(filter('Yahoo ADP'!$A$2:$A2766,'Yahoo ADP'!$B$2:$B2766=$B1960,$C1960='Yahoo ADP'!$C$2:$C2766,$D1960='Yahoo ADP'!$D$2:$D2766))"),"")</f>
        <v/>
      </c>
      <c r="F1960" s="13" t="str">
        <f>IFERROR(__xludf.DUMMYFUNCTION("ifna(filter('Yahoo ADP'!$E$2:$E2766,'Yahoo ADP'!$B$2:$B2766=$B1960,$C1960='Yahoo ADP'!$C$2:$C2766,$D1960='Yahoo ADP'!$D$2:$D2766))"),"-")</f>
        <v>-</v>
      </c>
      <c r="G1960" s="27">
        <v>1957.0</v>
      </c>
      <c r="H1960" s="8">
        <f t="shared" si="1"/>
        <v>-2</v>
      </c>
    </row>
    <row r="1961">
      <c r="A1961" s="10">
        <v>1960.0</v>
      </c>
      <c r="B1961" s="11" t="s">
        <v>4805</v>
      </c>
      <c r="C1961" s="10" t="s">
        <v>11</v>
      </c>
      <c r="D1961" s="10" t="s">
        <v>46</v>
      </c>
      <c r="E1961" s="13" t="str">
        <f>IFERROR(__xludf.DUMMYFUNCTION("ifna(filter('Yahoo ADP'!$A$2:$A2766,'Yahoo ADP'!$B$2:$B2766=$B1961,$C1961='Yahoo ADP'!$C$2:$C2766,$D1961='Yahoo ADP'!$D$2:$D2766))"),"")</f>
        <v/>
      </c>
      <c r="F1961" s="13" t="str">
        <f>IFERROR(__xludf.DUMMYFUNCTION("ifna(filter('Yahoo ADP'!$E$2:$E2766,'Yahoo ADP'!$B$2:$B2766=$B1961,$C1961='Yahoo ADP'!$C$2:$C2766,$D1961='Yahoo ADP'!$D$2:$D2766))"),"-")</f>
        <v>-</v>
      </c>
      <c r="G1961" s="27">
        <v>1958.0</v>
      </c>
      <c r="H1961" s="8">
        <f t="shared" si="1"/>
        <v>-2</v>
      </c>
    </row>
    <row r="1962">
      <c r="A1962" s="10">
        <v>1961.0</v>
      </c>
      <c r="B1962" s="11" t="s">
        <v>4806</v>
      </c>
      <c r="C1962" s="10" t="s">
        <v>33</v>
      </c>
      <c r="D1962" s="10" t="s">
        <v>85</v>
      </c>
      <c r="E1962" s="13" t="str">
        <f>IFERROR(__xludf.DUMMYFUNCTION("ifna(filter('Yahoo ADP'!$A$2:$A2766,'Yahoo ADP'!$B$2:$B2766=$B1962,$C1962='Yahoo ADP'!$C$2:$C2766,$D1962='Yahoo ADP'!$D$2:$D2766))"),"")</f>
        <v/>
      </c>
      <c r="F1962" s="13" t="str">
        <f>IFERROR(__xludf.DUMMYFUNCTION("ifna(filter('Yahoo ADP'!$E$2:$E2766,'Yahoo ADP'!$B$2:$B2766=$B1962,$C1962='Yahoo ADP'!$C$2:$C2766,$D1962='Yahoo ADP'!$D$2:$D2766))"),"-")</f>
        <v>-</v>
      </c>
      <c r="G1962" s="27">
        <v>1959.0</v>
      </c>
      <c r="H1962" s="8">
        <f t="shared" si="1"/>
        <v>-2</v>
      </c>
    </row>
    <row r="1963">
      <c r="A1963" s="10">
        <v>1962.0</v>
      </c>
      <c r="B1963" s="11" t="s">
        <v>4807</v>
      </c>
      <c r="C1963" s="10" t="s">
        <v>39</v>
      </c>
      <c r="D1963" s="10" t="s">
        <v>36</v>
      </c>
      <c r="E1963" s="13" t="str">
        <f>IFERROR(__xludf.DUMMYFUNCTION("ifna(filter('Yahoo ADP'!$A$2:$A2766,'Yahoo ADP'!$B$2:$B2766=$B1963,$C1963='Yahoo ADP'!$C$2:$C2766,$D1963='Yahoo ADP'!$D$2:$D2766))"),"")</f>
        <v/>
      </c>
      <c r="F1963" s="13" t="str">
        <f>IFERROR(__xludf.DUMMYFUNCTION("ifna(filter('Yahoo ADP'!$E$2:$E2766,'Yahoo ADP'!$B$2:$B2766=$B1963,$C1963='Yahoo ADP'!$C$2:$C2766,$D1963='Yahoo ADP'!$D$2:$D2766))"),"-")</f>
        <v>-</v>
      </c>
      <c r="G1963" s="27">
        <v>1960.0</v>
      </c>
      <c r="H1963" s="8">
        <f t="shared" si="1"/>
        <v>-2</v>
      </c>
    </row>
    <row r="1964">
      <c r="A1964" s="10">
        <v>1963.0</v>
      </c>
      <c r="B1964" s="11" t="s">
        <v>4808</v>
      </c>
      <c r="C1964" s="10" t="s">
        <v>158</v>
      </c>
      <c r="D1964" s="10" t="s">
        <v>120</v>
      </c>
      <c r="E1964" s="13" t="str">
        <f>IFERROR(__xludf.DUMMYFUNCTION("ifna(filter('Yahoo ADP'!$A$2:$A2766,'Yahoo ADP'!$B$2:$B2766=$B1964,$C1964='Yahoo ADP'!$C$2:$C2766,$D1964='Yahoo ADP'!$D$2:$D2766))"),"")</f>
        <v/>
      </c>
      <c r="F1964" s="13" t="str">
        <f>IFERROR(__xludf.DUMMYFUNCTION("ifna(filter('Yahoo ADP'!$E$2:$E2766,'Yahoo ADP'!$B$2:$B2766=$B1964,$C1964='Yahoo ADP'!$C$2:$C2766,$D1964='Yahoo ADP'!$D$2:$D2766))"),"-")</f>
        <v>-</v>
      </c>
      <c r="G1964" s="27">
        <v>1961.0</v>
      </c>
      <c r="H1964" s="8">
        <f t="shared" si="1"/>
        <v>-2</v>
      </c>
    </row>
    <row r="1965">
      <c r="A1965" s="10">
        <v>1964.0</v>
      </c>
      <c r="B1965" s="11" t="s">
        <v>4809</v>
      </c>
      <c r="C1965" s="10" t="s">
        <v>240</v>
      </c>
      <c r="D1965" s="10" t="s">
        <v>113</v>
      </c>
      <c r="E1965" s="13" t="str">
        <f>IFERROR(__xludf.DUMMYFUNCTION("ifna(filter('Yahoo ADP'!$A$2:$A2766,'Yahoo ADP'!$B$2:$B2766=$B1965,$C1965='Yahoo ADP'!$C$2:$C2766,$D1965='Yahoo ADP'!$D$2:$D2766))"),"")</f>
        <v/>
      </c>
      <c r="F1965" s="13" t="str">
        <f>IFERROR(__xludf.DUMMYFUNCTION("ifna(filter('Yahoo ADP'!$E$2:$E2766,'Yahoo ADP'!$B$2:$B2766=$B1965,$C1965='Yahoo ADP'!$C$2:$C2766,$D1965='Yahoo ADP'!$D$2:$D2766))"),"-")</f>
        <v>-</v>
      </c>
      <c r="G1965" s="27">
        <v>1962.0</v>
      </c>
      <c r="H1965" s="8">
        <f t="shared" si="1"/>
        <v>-2</v>
      </c>
    </row>
    <row r="1966">
      <c r="A1966" s="10">
        <v>1965.0</v>
      </c>
      <c r="B1966" s="11" t="s">
        <v>4810</v>
      </c>
      <c r="C1966" s="10" t="s">
        <v>55</v>
      </c>
      <c r="D1966" s="10" t="s">
        <v>73</v>
      </c>
      <c r="E1966" s="13" t="str">
        <f>IFERROR(__xludf.DUMMYFUNCTION("ifna(filter('Yahoo ADP'!$A$2:$A2766,'Yahoo ADP'!$B$2:$B2766=$B1966,$C1966='Yahoo ADP'!$C$2:$C2766,$D1966='Yahoo ADP'!$D$2:$D2766))"),"")</f>
        <v/>
      </c>
      <c r="F1966" s="13" t="str">
        <f>IFERROR(__xludf.DUMMYFUNCTION("ifna(filter('Yahoo ADP'!$E$2:$E2766,'Yahoo ADP'!$B$2:$B2766=$B1966,$C1966='Yahoo ADP'!$C$2:$C2766,$D1966='Yahoo ADP'!$D$2:$D2766))"),"-")</f>
        <v>-</v>
      </c>
      <c r="G1966" s="27">
        <v>1963.0</v>
      </c>
      <c r="H1966" s="8">
        <f t="shared" si="1"/>
        <v>-2</v>
      </c>
    </row>
    <row r="1967">
      <c r="A1967" s="10">
        <v>1966.0</v>
      </c>
      <c r="B1967" s="11" t="s">
        <v>4811</v>
      </c>
      <c r="C1967" s="10" t="s">
        <v>33</v>
      </c>
      <c r="D1967" s="10" t="s">
        <v>99</v>
      </c>
      <c r="E1967" s="13" t="str">
        <f>IFERROR(__xludf.DUMMYFUNCTION("ifna(filter('Yahoo ADP'!$A$2:$A2766,'Yahoo ADP'!$B$2:$B2766=$B1967,$C1967='Yahoo ADP'!$C$2:$C2766,$D1967='Yahoo ADP'!$D$2:$D2766))"),"")</f>
        <v/>
      </c>
      <c r="F1967" s="13" t="str">
        <f>IFERROR(__xludf.DUMMYFUNCTION("ifna(filter('Yahoo ADP'!$E$2:$E2766,'Yahoo ADP'!$B$2:$B2766=$B1967,$C1967='Yahoo ADP'!$C$2:$C2766,$D1967='Yahoo ADP'!$D$2:$D2766))"),"-")</f>
        <v>-</v>
      </c>
      <c r="G1967" s="27">
        <v>1964.0</v>
      </c>
      <c r="H1967" s="8">
        <f t="shared" si="1"/>
        <v>-2</v>
      </c>
    </row>
    <row r="1968">
      <c r="A1968" s="10">
        <v>1967.0</v>
      </c>
      <c r="B1968" s="11" t="s">
        <v>4812</v>
      </c>
      <c r="C1968" s="10" t="s">
        <v>89</v>
      </c>
      <c r="D1968" s="10" t="s">
        <v>99</v>
      </c>
      <c r="E1968" s="13" t="str">
        <f>IFERROR(__xludf.DUMMYFUNCTION("ifna(filter('Yahoo ADP'!$A$2:$A2766,'Yahoo ADP'!$B$2:$B2766=$B1968,$C1968='Yahoo ADP'!$C$2:$C2766,$D1968='Yahoo ADP'!$D$2:$D2766))"),"")</f>
        <v/>
      </c>
      <c r="F1968" s="13" t="str">
        <f>IFERROR(__xludf.DUMMYFUNCTION("ifna(filter('Yahoo ADP'!$E$2:$E2766,'Yahoo ADP'!$B$2:$B2766=$B1968,$C1968='Yahoo ADP'!$C$2:$C2766,$D1968='Yahoo ADP'!$D$2:$D2766))"),"-")</f>
        <v>-</v>
      </c>
      <c r="G1968" s="27">
        <v>1966.0</v>
      </c>
      <c r="H1968" s="8">
        <f t="shared" si="1"/>
        <v>-1</v>
      </c>
    </row>
    <row r="1969">
      <c r="A1969" s="10">
        <v>1968.0</v>
      </c>
      <c r="B1969" s="11" t="s">
        <v>4813</v>
      </c>
      <c r="C1969" s="10" t="s">
        <v>48</v>
      </c>
      <c r="D1969" s="10" t="s">
        <v>31</v>
      </c>
      <c r="E1969" s="13" t="str">
        <f>IFERROR(__xludf.DUMMYFUNCTION("ifna(filter('Yahoo ADP'!$A$2:$A2766,'Yahoo ADP'!$B$2:$B2766=$B1969,$C1969='Yahoo ADP'!$C$2:$C2766,$D1969='Yahoo ADP'!$D$2:$D2766))"),"")</f>
        <v/>
      </c>
      <c r="F1969" s="13" t="str">
        <f>IFERROR(__xludf.DUMMYFUNCTION("ifna(filter('Yahoo ADP'!$E$2:$E2766,'Yahoo ADP'!$B$2:$B2766=$B1969,$C1969='Yahoo ADP'!$C$2:$C2766,$D1969='Yahoo ADP'!$D$2:$D2766))"),"-")</f>
        <v>-</v>
      </c>
      <c r="G1969" s="27">
        <v>1967.0</v>
      </c>
      <c r="H1969" s="8">
        <f t="shared" si="1"/>
        <v>-1</v>
      </c>
    </row>
    <row r="1970">
      <c r="A1970" s="10">
        <v>1969.0</v>
      </c>
      <c r="B1970" s="11" t="s">
        <v>4814</v>
      </c>
      <c r="C1970" s="10" t="s">
        <v>48</v>
      </c>
      <c r="D1970" s="10" t="s">
        <v>105</v>
      </c>
      <c r="E1970" s="13" t="str">
        <f>IFERROR(__xludf.DUMMYFUNCTION("ifna(filter('Yahoo ADP'!$A$2:$A2766,'Yahoo ADP'!$B$2:$B2766=$B1970,$C1970='Yahoo ADP'!$C$2:$C2766,$D1970='Yahoo ADP'!$D$2:$D2766))"),"")</f>
        <v/>
      </c>
      <c r="F1970" s="13" t="str">
        <f>IFERROR(__xludf.DUMMYFUNCTION("ifna(filter('Yahoo ADP'!$E$2:$E2766,'Yahoo ADP'!$B$2:$B2766=$B1970,$C1970='Yahoo ADP'!$C$2:$C2766,$D1970='Yahoo ADP'!$D$2:$D2766))"),"-")</f>
        <v>-</v>
      </c>
      <c r="G1970" s="27">
        <v>1968.0</v>
      </c>
      <c r="H1970" s="8">
        <f t="shared" si="1"/>
        <v>-1</v>
      </c>
    </row>
    <row r="1971">
      <c r="A1971" s="10">
        <v>1970.0</v>
      </c>
      <c r="B1971" s="11" t="s">
        <v>4815</v>
      </c>
      <c r="C1971" s="10" t="s">
        <v>346</v>
      </c>
      <c r="D1971" s="10" t="s">
        <v>18</v>
      </c>
      <c r="E1971" s="13" t="str">
        <f>IFERROR(__xludf.DUMMYFUNCTION("ifna(filter('Yahoo ADP'!$A$2:$A2766,'Yahoo ADP'!$B$2:$B2766=$B1971,$C1971='Yahoo ADP'!$C$2:$C2766,$D1971='Yahoo ADP'!$D$2:$D2766))"),"")</f>
        <v/>
      </c>
      <c r="F1971" s="13" t="str">
        <f>IFERROR(__xludf.DUMMYFUNCTION("ifna(filter('Yahoo ADP'!$E$2:$E2766,'Yahoo ADP'!$B$2:$B2766=$B1971,$C1971='Yahoo ADP'!$C$2:$C2766,$D1971='Yahoo ADP'!$D$2:$D2766))"),"-")</f>
        <v>-</v>
      </c>
      <c r="G1971" s="27">
        <v>1969.0</v>
      </c>
      <c r="H1971" s="8">
        <f t="shared" si="1"/>
        <v>-1</v>
      </c>
    </row>
    <row r="1972">
      <c r="A1972" s="10">
        <v>1971.0</v>
      </c>
      <c r="B1972" s="11" t="s">
        <v>4816</v>
      </c>
      <c r="C1972" s="10" t="s">
        <v>20</v>
      </c>
      <c r="D1972" s="10" t="s">
        <v>122</v>
      </c>
      <c r="E1972" s="13" t="str">
        <f>IFERROR(__xludf.DUMMYFUNCTION("ifna(filter('Yahoo ADP'!$A$2:$A2766,'Yahoo ADP'!$B$2:$B2766=$B1972,$C1972='Yahoo ADP'!$C$2:$C2766,$D1972='Yahoo ADP'!$D$2:$D2766))"),"")</f>
        <v/>
      </c>
      <c r="F1972" s="13" t="str">
        <f>IFERROR(__xludf.DUMMYFUNCTION("ifna(filter('Yahoo ADP'!$E$2:$E2766,'Yahoo ADP'!$B$2:$B2766=$B1972,$C1972='Yahoo ADP'!$C$2:$C2766,$D1972='Yahoo ADP'!$D$2:$D2766))"),"-")</f>
        <v>-</v>
      </c>
      <c r="G1972" s="27">
        <v>1970.0</v>
      </c>
      <c r="H1972" s="8">
        <f t="shared" si="1"/>
        <v>-1</v>
      </c>
    </row>
    <row r="1973">
      <c r="A1973" s="10">
        <v>1972.0</v>
      </c>
      <c r="B1973" s="11" t="s">
        <v>4817</v>
      </c>
      <c r="C1973" s="10" t="s">
        <v>220</v>
      </c>
      <c r="D1973" s="10" t="s">
        <v>99</v>
      </c>
      <c r="E1973" s="13" t="str">
        <f>IFERROR(__xludf.DUMMYFUNCTION("ifna(filter('Yahoo ADP'!$A$2:$A2766,'Yahoo ADP'!$B$2:$B2766=$B1973,$C1973='Yahoo ADP'!$C$2:$C2766,$D1973='Yahoo ADP'!$D$2:$D2766))"),"")</f>
        <v/>
      </c>
      <c r="F1973" s="13" t="str">
        <f>IFERROR(__xludf.DUMMYFUNCTION("ifna(filter('Yahoo ADP'!$E$2:$E2766,'Yahoo ADP'!$B$2:$B2766=$B1973,$C1973='Yahoo ADP'!$C$2:$C2766,$D1973='Yahoo ADP'!$D$2:$D2766))"),"-")</f>
        <v>-</v>
      </c>
      <c r="G1973" s="27">
        <v>1971.0</v>
      </c>
      <c r="H1973" s="8">
        <f t="shared" si="1"/>
        <v>-1</v>
      </c>
    </row>
    <row r="1974">
      <c r="A1974" s="10">
        <v>1973.0</v>
      </c>
      <c r="B1974" s="11" t="s">
        <v>4818</v>
      </c>
      <c r="C1974" s="10" t="s">
        <v>33</v>
      </c>
      <c r="D1974" s="10" t="s">
        <v>85</v>
      </c>
      <c r="E1974" s="13" t="str">
        <f>IFERROR(__xludf.DUMMYFUNCTION("ifna(filter('Yahoo ADP'!$A$2:$A2766,'Yahoo ADP'!$B$2:$B2766=$B1974,$C1974='Yahoo ADP'!$C$2:$C2766,$D1974='Yahoo ADP'!$D$2:$D2766))"),"")</f>
        <v/>
      </c>
      <c r="F1974" s="13" t="str">
        <f>IFERROR(__xludf.DUMMYFUNCTION("ifna(filter('Yahoo ADP'!$E$2:$E2766,'Yahoo ADP'!$B$2:$B2766=$B1974,$C1974='Yahoo ADP'!$C$2:$C2766,$D1974='Yahoo ADP'!$D$2:$D2766))"),"-")</f>
        <v>-</v>
      </c>
      <c r="G1974" s="27">
        <v>1972.0</v>
      </c>
      <c r="H1974" s="8">
        <f t="shared" si="1"/>
        <v>-1</v>
      </c>
    </row>
    <row r="1975">
      <c r="A1975" s="10">
        <v>1974.0</v>
      </c>
      <c r="B1975" s="11" t="s">
        <v>4819</v>
      </c>
      <c r="C1975" s="10" t="s">
        <v>22</v>
      </c>
      <c r="D1975" s="10" t="s">
        <v>18</v>
      </c>
      <c r="E1975" s="13">
        <f>IFERROR(__xludf.DUMMYFUNCTION("ifna(filter('Yahoo ADP'!$A$2:$A2766,'Yahoo ADP'!$B$2:$B2766=$B1975,$C1975='Yahoo ADP'!$C$2:$C2766,$D1975='Yahoo ADP'!$D$2:$D2766))"),244.6)</f>
        <v>244.6</v>
      </c>
      <c r="F1975" s="13">
        <f>IFERROR(__xludf.DUMMYFUNCTION("ifna(filter('Yahoo ADP'!$E$2:$E2766,'Yahoo ADP'!$B$2:$B2766=$B1975,$C1975='Yahoo ADP'!$C$2:$C2766,$D1975='Yahoo ADP'!$D$2:$D2766))"),1.0)</f>
        <v>1</v>
      </c>
      <c r="G1975" s="27">
        <v>324.0</v>
      </c>
      <c r="H1975" s="8">
        <f t="shared" si="1"/>
        <v>-1650</v>
      </c>
    </row>
    <row r="1976">
      <c r="A1976" s="10">
        <v>1975.0</v>
      </c>
      <c r="B1976" s="11" t="s">
        <v>4820</v>
      </c>
      <c r="C1976" s="10" t="s">
        <v>20</v>
      </c>
      <c r="D1976" s="10" t="s">
        <v>122</v>
      </c>
      <c r="E1976" s="13" t="str">
        <f>IFERROR(__xludf.DUMMYFUNCTION("ifna(filter('Yahoo ADP'!$A$2:$A2766,'Yahoo ADP'!$B$2:$B2766=$B1976,$C1976='Yahoo ADP'!$C$2:$C2766,$D1976='Yahoo ADP'!$D$2:$D2766))"),"")</f>
        <v/>
      </c>
      <c r="F1976" s="13" t="str">
        <f>IFERROR(__xludf.DUMMYFUNCTION("ifna(filter('Yahoo ADP'!$E$2:$E2766,'Yahoo ADP'!$B$2:$B2766=$B1976,$C1976='Yahoo ADP'!$C$2:$C2766,$D1976='Yahoo ADP'!$D$2:$D2766))"),"-")</f>
        <v>-</v>
      </c>
      <c r="G1976" s="27">
        <v>1973.0</v>
      </c>
      <c r="H1976" s="8">
        <f t="shared" si="1"/>
        <v>-2</v>
      </c>
    </row>
    <row r="1977">
      <c r="A1977" s="10">
        <v>1976.0</v>
      </c>
      <c r="B1977" s="11" t="s">
        <v>4821</v>
      </c>
      <c r="C1977" s="10" t="s">
        <v>87</v>
      </c>
      <c r="D1977" s="10" t="s">
        <v>140</v>
      </c>
      <c r="E1977" s="13" t="str">
        <f>IFERROR(__xludf.DUMMYFUNCTION("ifna(filter('Yahoo ADP'!$A$2:$A2766,'Yahoo ADP'!$B$2:$B2766=$B1977,$C1977='Yahoo ADP'!$C$2:$C2766,$D1977='Yahoo ADP'!$D$2:$D2766))"),"")</f>
        <v/>
      </c>
      <c r="F1977" s="13" t="str">
        <f>IFERROR(__xludf.DUMMYFUNCTION("ifna(filter('Yahoo ADP'!$E$2:$E2766,'Yahoo ADP'!$B$2:$B2766=$B1977,$C1977='Yahoo ADP'!$C$2:$C2766,$D1977='Yahoo ADP'!$D$2:$D2766))"),"-")</f>
        <v>-</v>
      </c>
      <c r="G1977" s="27">
        <v>1974.0</v>
      </c>
      <c r="H1977" s="8">
        <f t="shared" si="1"/>
        <v>-2</v>
      </c>
    </row>
    <row r="1978">
      <c r="A1978" s="10">
        <v>1977.0</v>
      </c>
      <c r="B1978" s="11" t="s">
        <v>4822</v>
      </c>
      <c r="C1978" s="10" t="s">
        <v>77</v>
      </c>
      <c r="D1978" s="10" t="s">
        <v>49</v>
      </c>
      <c r="E1978" s="13" t="str">
        <f>IFERROR(__xludf.DUMMYFUNCTION("ifna(filter('Yahoo ADP'!$A$2:$A2766,'Yahoo ADP'!$B$2:$B2766=$B1978,$C1978='Yahoo ADP'!$C$2:$C2766,$D1978='Yahoo ADP'!$D$2:$D2766))"),"")</f>
        <v/>
      </c>
      <c r="F1978" s="13" t="str">
        <f>IFERROR(__xludf.DUMMYFUNCTION("ifna(filter('Yahoo ADP'!$E$2:$E2766,'Yahoo ADP'!$B$2:$B2766=$B1978,$C1978='Yahoo ADP'!$C$2:$C2766,$D1978='Yahoo ADP'!$D$2:$D2766))"),"-")</f>
        <v>-</v>
      </c>
      <c r="G1978" s="27">
        <v>1975.0</v>
      </c>
      <c r="H1978" s="8">
        <f t="shared" si="1"/>
        <v>-2</v>
      </c>
    </row>
    <row r="1979">
      <c r="A1979" s="10">
        <v>1978.0</v>
      </c>
      <c r="B1979" s="11" t="s">
        <v>4823</v>
      </c>
      <c r="C1979" s="10" t="s">
        <v>17</v>
      </c>
      <c r="D1979" s="10" t="s">
        <v>15</v>
      </c>
      <c r="E1979" s="13" t="str">
        <f>IFERROR(__xludf.DUMMYFUNCTION("ifna(filter('Yahoo ADP'!$A$2:$A2766,'Yahoo ADP'!$B$2:$B2766=$B1979,$C1979='Yahoo ADP'!$C$2:$C2766,$D1979='Yahoo ADP'!$D$2:$D2766))"),"")</f>
        <v/>
      </c>
      <c r="F1979" s="13" t="str">
        <f>IFERROR(__xludf.DUMMYFUNCTION("ifna(filter('Yahoo ADP'!$E$2:$E2766,'Yahoo ADP'!$B$2:$B2766=$B1979,$C1979='Yahoo ADP'!$C$2:$C2766,$D1979='Yahoo ADP'!$D$2:$D2766))"),"-")</f>
        <v>-</v>
      </c>
      <c r="G1979" s="27">
        <v>1976.0</v>
      </c>
      <c r="H1979" s="8">
        <f t="shared" si="1"/>
        <v>-2</v>
      </c>
    </row>
    <row r="1980">
      <c r="A1980" s="10">
        <v>1979.0</v>
      </c>
      <c r="B1980" s="11" t="s">
        <v>4824</v>
      </c>
      <c r="C1980" s="10" t="s">
        <v>8</v>
      </c>
      <c r="D1980" s="10" t="s">
        <v>113</v>
      </c>
      <c r="E1980" s="13" t="str">
        <f>IFERROR(__xludf.DUMMYFUNCTION("ifna(filter('Yahoo ADP'!$A$2:$A2766,'Yahoo ADP'!$B$2:$B2766=$B1980,$C1980='Yahoo ADP'!$C$2:$C2766,$D1980='Yahoo ADP'!$D$2:$D2766))"),"")</f>
        <v/>
      </c>
      <c r="F1980" s="13" t="str">
        <f>IFERROR(__xludf.DUMMYFUNCTION("ifna(filter('Yahoo ADP'!$E$2:$E2766,'Yahoo ADP'!$B$2:$B2766=$B1980,$C1980='Yahoo ADP'!$C$2:$C2766,$D1980='Yahoo ADP'!$D$2:$D2766))"),"-")</f>
        <v>-</v>
      </c>
      <c r="G1980" s="27">
        <v>1977.0</v>
      </c>
      <c r="H1980" s="8">
        <f t="shared" si="1"/>
        <v>-2</v>
      </c>
    </row>
    <row r="1981">
      <c r="A1981" s="10">
        <v>1980.0</v>
      </c>
      <c r="B1981" s="11" t="s">
        <v>4825</v>
      </c>
      <c r="C1981" s="10" t="s">
        <v>55</v>
      </c>
      <c r="D1981" s="10" t="s">
        <v>34</v>
      </c>
      <c r="E1981" s="13" t="str">
        <f>IFERROR(__xludf.DUMMYFUNCTION("ifna(filter('Yahoo ADP'!$A$2:$A2766,'Yahoo ADP'!$B$2:$B2766=$B1981,$C1981='Yahoo ADP'!$C$2:$C2766,$D1981='Yahoo ADP'!$D$2:$D2766))"),"")</f>
        <v/>
      </c>
      <c r="F1981" s="13" t="str">
        <f>IFERROR(__xludf.DUMMYFUNCTION("ifna(filter('Yahoo ADP'!$E$2:$E2766,'Yahoo ADP'!$B$2:$B2766=$B1981,$C1981='Yahoo ADP'!$C$2:$C2766,$D1981='Yahoo ADP'!$D$2:$D2766))"),"-")</f>
        <v>-</v>
      </c>
      <c r="G1981" s="27">
        <v>1978.0</v>
      </c>
      <c r="H1981" s="8">
        <f t="shared" si="1"/>
        <v>-2</v>
      </c>
    </row>
    <row r="1982">
      <c r="A1982" s="10">
        <v>1981.0</v>
      </c>
      <c r="B1982" s="11" t="s">
        <v>4826</v>
      </c>
      <c r="C1982" s="10" t="s">
        <v>240</v>
      </c>
      <c r="D1982" s="10" t="s">
        <v>42</v>
      </c>
      <c r="E1982" s="13" t="str">
        <f>IFERROR(__xludf.DUMMYFUNCTION("ifna(filter('Yahoo ADP'!$A$2:$A2766,'Yahoo ADP'!$B$2:$B2766=$B1982,$C1982='Yahoo ADP'!$C$2:$C2766,$D1982='Yahoo ADP'!$D$2:$D2766))"),"")</f>
        <v/>
      </c>
      <c r="F1982" s="13" t="str">
        <f>IFERROR(__xludf.DUMMYFUNCTION("ifna(filter('Yahoo ADP'!$E$2:$E2766,'Yahoo ADP'!$B$2:$B2766=$B1982,$C1982='Yahoo ADP'!$C$2:$C2766,$D1982='Yahoo ADP'!$D$2:$D2766))"),"-")</f>
        <v>-</v>
      </c>
      <c r="G1982" s="27">
        <v>1979.0</v>
      </c>
      <c r="H1982" s="8">
        <f t="shared" si="1"/>
        <v>-2</v>
      </c>
    </row>
    <row r="1983">
      <c r="A1983" s="10">
        <v>1982.0</v>
      </c>
      <c r="B1983" s="11" t="s">
        <v>4827</v>
      </c>
      <c r="C1983" s="10" t="s">
        <v>77</v>
      </c>
      <c r="D1983" s="10" t="s">
        <v>137</v>
      </c>
      <c r="E1983" s="13" t="str">
        <f>IFERROR(__xludf.DUMMYFUNCTION("ifna(filter('Yahoo ADP'!$A$2:$A2766,'Yahoo ADP'!$B$2:$B2766=$B1983,$C1983='Yahoo ADP'!$C$2:$C2766,$D1983='Yahoo ADP'!$D$2:$D2766))"),"")</f>
        <v/>
      </c>
      <c r="F1983" s="13" t="str">
        <f>IFERROR(__xludf.DUMMYFUNCTION("ifna(filter('Yahoo ADP'!$E$2:$E2766,'Yahoo ADP'!$B$2:$B2766=$B1983,$C1983='Yahoo ADP'!$C$2:$C2766,$D1983='Yahoo ADP'!$D$2:$D2766))"),"-")</f>
        <v>-</v>
      </c>
      <c r="G1983" s="27">
        <v>1980.0</v>
      </c>
      <c r="H1983" s="8">
        <f t="shared" si="1"/>
        <v>-2</v>
      </c>
    </row>
    <row r="1984">
      <c r="A1984" s="10">
        <v>1983.0</v>
      </c>
      <c r="B1984" s="11" t="s">
        <v>4828</v>
      </c>
      <c r="C1984" s="10" t="s">
        <v>150</v>
      </c>
      <c r="D1984" s="10" t="s">
        <v>36</v>
      </c>
      <c r="E1984" s="13" t="str">
        <f>IFERROR(__xludf.DUMMYFUNCTION("ifna(filter('Yahoo ADP'!$A$2:$A2766,'Yahoo ADP'!$B$2:$B2766=$B1984,$C1984='Yahoo ADP'!$C$2:$C2766,$D1984='Yahoo ADP'!$D$2:$D2766))"),"")</f>
        <v/>
      </c>
      <c r="F1984" s="13" t="str">
        <f>IFERROR(__xludf.DUMMYFUNCTION("ifna(filter('Yahoo ADP'!$E$2:$E2766,'Yahoo ADP'!$B$2:$B2766=$B1984,$C1984='Yahoo ADP'!$C$2:$C2766,$D1984='Yahoo ADP'!$D$2:$D2766))"),"-")</f>
        <v>-</v>
      </c>
      <c r="G1984" s="27">
        <v>1981.0</v>
      </c>
      <c r="H1984" s="8">
        <f t="shared" si="1"/>
        <v>-2</v>
      </c>
    </row>
    <row r="1985">
      <c r="A1985" s="10">
        <v>1984.0</v>
      </c>
      <c r="B1985" s="11" t="s">
        <v>4829</v>
      </c>
      <c r="C1985" s="10" t="s">
        <v>48</v>
      </c>
      <c r="D1985" s="10" t="s">
        <v>120</v>
      </c>
      <c r="E1985" s="13" t="str">
        <f>IFERROR(__xludf.DUMMYFUNCTION("ifna(filter('Yahoo ADP'!$A$2:$A2766,'Yahoo ADP'!$B$2:$B2766=$B1985,$C1985='Yahoo ADP'!$C$2:$C2766,$D1985='Yahoo ADP'!$D$2:$D2766))"),"")</f>
        <v/>
      </c>
      <c r="F1985" s="13" t="str">
        <f>IFERROR(__xludf.DUMMYFUNCTION("ifna(filter('Yahoo ADP'!$E$2:$E2766,'Yahoo ADP'!$B$2:$B2766=$B1985,$C1985='Yahoo ADP'!$C$2:$C2766,$D1985='Yahoo ADP'!$D$2:$D2766))"),"-")</f>
        <v>-</v>
      </c>
      <c r="G1985" s="27">
        <v>1982.0</v>
      </c>
      <c r="H1985" s="8">
        <f t="shared" si="1"/>
        <v>-2</v>
      </c>
    </row>
    <row r="1986">
      <c r="A1986" s="10">
        <v>1985.0</v>
      </c>
      <c r="B1986" s="11" t="s">
        <v>4830</v>
      </c>
      <c r="C1986" s="10" t="s">
        <v>77</v>
      </c>
      <c r="D1986" s="10" t="s">
        <v>120</v>
      </c>
      <c r="E1986" s="13" t="str">
        <f>IFERROR(__xludf.DUMMYFUNCTION("ifna(filter('Yahoo ADP'!$A$2:$A2766,'Yahoo ADP'!$B$2:$B2766=$B1986,$C1986='Yahoo ADP'!$C$2:$C2766,$D1986='Yahoo ADP'!$D$2:$D2766))"),"")</f>
        <v/>
      </c>
      <c r="F1986" s="13" t="str">
        <f>IFERROR(__xludf.DUMMYFUNCTION("ifna(filter('Yahoo ADP'!$E$2:$E2766,'Yahoo ADP'!$B$2:$B2766=$B1986,$C1986='Yahoo ADP'!$C$2:$C2766,$D1986='Yahoo ADP'!$D$2:$D2766))"),"-")</f>
        <v>-</v>
      </c>
      <c r="G1986" s="27">
        <v>1983.0</v>
      </c>
      <c r="H1986" s="8">
        <f t="shared" si="1"/>
        <v>-2</v>
      </c>
    </row>
    <row r="1987">
      <c r="A1987" s="10">
        <v>1986.0</v>
      </c>
      <c r="B1987" s="11" t="s">
        <v>4831</v>
      </c>
      <c r="C1987" s="10" t="s">
        <v>14</v>
      </c>
      <c r="D1987" s="10" t="s">
        <v>140</v>
      </c>
      <c r="E1987" s="13" t="str">
        <f>IFERROR(__xludf.DUMMYFUNCTION("ifna(filter('Yahoo ADP'!$A$2:$A2766,'Yahoo ADP'!$B$2:$B2766=$B1987,$C1987='Yahoo ADP'!$C$2:$C2766,$D1987='Yahoo ADP'!$D$2:$D2766))"),"")</f>
        <v/>
      </c>
      <c r="F1987" s="13" t="str">
        <f>IFERROR(__xludf.DUMMYFUNCTION("ifna(filter('Yahoo ADP'!$E$2:$E2766,'Yahoo ADP'!$B$2:$B2766=$B1987,$C1987='Yahoo ADP'!$C$2:$C2766,$D1987='Yahoo ADP'!$D$2:$D2766))"),"-")</f>
        <v>-</v>
      </c>
      <c r="G1987" s="27">
        <v>1984.0</v>
      </c>
      <c r="H1987" s="8">
        <f t="shared" si="1"/>
        <v>-2</v>
      </c>
    </row>
    <row r="1988">
      <c r="A1988" s="10">
        <v>1987.0</v>
      </c>
      <c r="B1988" s="11" t="s">
        <v>4832</v>
      </c>
      <c r="C1988" s="10" t="s">
        <v>48</v>
      </c>
      <c r="D1988" s="10" t="s">
        <v>18</v>
      </c>
      <c r="E1988" s="13" t="str">
        <f>IFERROR(__xludf.DUMMYFUNCTION("ifna(filter('Yahoo ADP'!$A$2:$A2766,'Yahoo ADP'!$B$2:$B2766=$B1988,$C1988='Yahoo ADP'!$C$2:$C2766,$D1988='Yahoo ADP'!$D$2:$D2766))"),"")</f>
        <v/>
      </c>
      <c r="F1988" s="13" t="str">
        <f>IFERROR(__xludf.DUMMYFUNCTION("ifna(filter('Yahoo ADP'!$E$2:$E2766,'Yahoo ADP'!$B$2:$B2766=$B1988,$C1988='Yahoo ADP'!$C$2:$C2766,$D1988='Yahoo ADP'!$D$2:$D2766))"),"-")</f>
        <v>-</v>
      </c>
      <c r="G1988" s="27">
        <v>1985.0</v>
      </c>
      <c r="H1988" s="8">
        <f t="shared" si="1"/>
        <v>-2</v>
      </c>
    </row>
    <row r="1989">
      <c r="A1989" s="10">
        <v>1988.0</v>
      </c>
      <c r="B1989" s="11" t="s">
        <v>4833</v>
      </c>
      <c r="C1989" s="10" t="s">
        <v>14</v>
      </c>
      <c r="D1989" s="10" t="s">
        <v>129</v>
      </c>
      <c r="E1989" s="13" t="str">
        <f>IFERROR(__xludf.DUMMYFUNCTION("ifna(filter('Yahoo ADP'!$A$2:$A2766,'Yahoo ADP'!$B$2:$B2766=$B1989,$C1989='Yahoo ADP'!$C$2:$C2766,$D1989='Yahoo ADP'!$D$2:$D2766))"),"")</f>
        <v/>
      </c>
      <c r="F1989" s="13" t="str">
        <f>IFERROR(__xludf.DUMMYFUNCTION("ifna(filter('Yahoo ADP'!$E$2:$E2766,'Yahoo ADP'!$B$2:$B2766=$B1989,$C1989='Yahoo ADP'!$C$2:$C2766,$D1989='Yahoo ADP'!$D$2:$D2766))"),"-")</f>
        <v>-</v>
      </c>
      <c r="G1989" s="27">
        <v>1986.0</v>
      </c>
      <c r="H1989" s="8">
        <f t="shared" si="1"/>
        <v>-2</v>
      </c>
    </row>
    <row r="1990">
      <c r="A1990" s="10">
        <v>1989.0</v>
      </c>
      <c r="B1990" s="11" t="s">
        <v>4834</v>
      </c>
      <c r="C1990" s="10" t="s">
        <v>77</v>
      </c>
      <c r="D1990" s="10" t="s">
        <v>42</v>
      </c>
      <c r="E1990" s="13" t="str">
        <f>IFERROR(__xludf.DUMMYFUNCTION("ifna(filter('Yahoo ADP'!$A$2:$A2766,'Yahoo ADP'!$B$2:$B2766=$B1990,$C1990='Yahoo ADP'!$C$2:$C2766,$D1990='Yahoo ADP'!$D$2:$D2766))"),"")</f>
        <v/>
      </c>
      <c r="F1990" s="13" t="str">
        <f>IFERROR(__xludf.DUMMYFUNCTION("ifna(filter('Yahoo ADP'!$E$2:$E2766,'Yahoo ADP'!$B$2:$B2766=$B1990,$C1990='Yahoo ADP'!$C$2:$C2766,$D1990='Yahoo ADP'!$D$2:$D2766))"),"-")</f>
        <v>-</v>
      </c>
      <c r="G1990" s="27">
        <v>1987.0</v>
      </c>
      <c r="H1990" s="8">
        <f t="shared" si="1"/>
        <v>-2</v>
      </c>
    </row>
    <row r="1991">
      <c r="A1991" s="10">
        <v>1990.0</v>
      </c>
      <c r="B1991" s="11" t="s">
        <v>4835</v>
      </c>
      <c r="C1991" s="10" t="s">
        <v>17</v>
      </c>
      <c r="D1991" s="10" t="s">
        <v>46</v>
      </c>
      <c r="E1991" s="13" t="str">
        <f>IFERROR(__xludf.DUMMYFUNCTION("ifna(filter('Yahoo ADP'!$A$2:$A2766,'Yahoo ADP'!$B$2:$B2766=$B1991,$C1991='Yahoo ADP'!$C$2:$C2766,$D1991='Yahoo ADP'!$D$2:$D2766))"),"")</f>
        <v/>
      </c>
      <c r="F1991" s="13" t="str">
        <f>IFERROR(__xludf.DUMMYFUNCTION("ifna(filter('Yahoo ADP'!$E$2:$E2766,'Yahoo ADP'!$B$2:$B2766=$B1991,$C1991='Yahoo ADP'!$C$2:$C2766,$D1991='Yahoo ADP'!$D$2:$D2766))"),"-")</f>
        <v>-</v>
      </c>
      <c r="G1991" s="27">
        <v>1988.0</v>
      </c>
      <c r="H1991" s="8">
        <f t="shared" si="1"/>
        <v>-2</v>
      </c>
    </row>
    <row r="1992">
      <c r="A1992" s="10">
        <v>1991.0</v>
      </c>
      <c r="B1992" s="11" t="s">
        <v>4836</v>
      </c>
      <c r="C1992" s="10" t="s">
        <v>33</v>
      </c>
      <c r="D1992" s="10" t="s">
        <v>46</v>
      </c>
      <c r="E1992" s="13" t="str">
        <f>IFERROR(__xludf.DUMMYFUNCTION("ifna(filter('Yahoo ADP'!$A$2:$A2766,'Yahoo ADP'!$B$2:$B2766=$B1992,$C1992='Yahoo ADP'!$C$2:$C2766,$D1992='Yahoo ADP'!$D$2:$D2766))"),"")</f>
        <v/>
      </c>
      <c r="F1992" s="13" t="str">
        <f>IFERROR(__xludf.DUMMYFUNCTION("ifna(filter('Yahoo ADP'!$E$2:$E2766,'Yahoo ADP'!$B$2:$B2766=$B1992,$C1992='Yahoo ADP'!$C$2:$C2766,$D1992='Yahoo ADP'!$D$2:$D2766))"),"-")</f>
        <v>-</v>
      </c>
      <c r="G1992" s="27">
        <v>1989.0</v>
      </c>
      <c r="H1992" s="8">
        <f t="shared" si="1"/>
        <v>-2</v>
      </c>
    </row>
    <row r="1993">
      <c r="A1993" s="10">
        <v>1992.0</v>
      </c>
      <c r="B1993" s="11" t="s">
        <v>4837</v>
      </c>
      <c r="C1993" s="10" t="s">
        <v>48</v>
      </c>
      <c r="D1993" s="10" t="s">
        <v>36</v>
      </c>
      <c r="E1993" s="13" t="str">
        <f>IFERROR(__xludf.DUMMYFUNCTION("ifna(filter('Yahoo ADP'!$A$2:$A2766,'Yahoo ADP'!$B$2:$B2766=$B1993,$C1993='Yahoo ADP'!$C$2:$C2766,$D1993='Yahoo ADP'!$D$2:$D2766))"),"")</f>
        <v/>
      </c>
      <c r="F1993" s="13" t="str">
        <f>IFERROR(__xludf.DUMMYFUNCTION("ifna(filter('Yahoo ADP'!$E$2:$E2766,'Yahoo ADP'!$B$2:$B2766=$B1993,$C1993='Yahoo ADP'!$C$2:$C2766,$D1993='Yahoo ADP'!$D$2:$D2766))"),"-")</f>
        <v>-</v>
      </c>
      <c r="G1993" s="27">
        <v>1990.0</v>
      </c>
      <c r="H1993" s="8">
        <f t="shared" si="1"/>
        <v>-2</v>
      </c>
    </row>
    <row r="1994">
      <c r="A1994" s="10">
        <v>1993.0</v>
      </c>
      <c r="B1994" s="11" t="s">
        <v>4838</v>
      </c>
      <c r="C1994" s="10" t="s">
        <v>48</v>
      </c>
      <c r="D1994" s="10" t="s">
        <v>25</v>
      </c>
      <c r="E1994" s="13" t="str">
        <f>IFERROR(__xludf.DUMMYFUNCTION("ifna(filter('Yahoo ADP'!$A$2:$A2766,'Yahoo ADP'!$B$2:$B2766=$B1994,$C1994='Yahoo ADP'!$C$2:$C2766,$D1994='Yahoo ADP'!$D$2:$D2766))"),"")</f>
        <v/>
      </c>
      <c r="F1994" s="13" t="str">
        <f>IFERROR(__xludf.DUMMYFUNCTION("ifna(filter('Yahoo ADP'!$E$2:$E2766,'Yahoo ADP'!$B$2:$B2766=$B1994,$C1994='Yahoo ADP'!$C$2:$C2766,$D1994='Yahoo ADP'!$D$2:$D2766))"),"-")</f>
        <v>-</v>
      </c>
      <c r="G1994" s="27">
        <v>1991.0</v>
      </c>
      <c r="H1994" s="8">
        <f t="shared" si="1"/>
        <v>-2</v>
      </c>
    </row>
    <row r="1995">
      <c r="A1995" s="10">
        <v>1994.0</v>
      </c>
      <c r="B1995" s="11" t="s">
        <v>4839</v>
      </c>
      <c r="C1995" s="10" t="s">
        <v>39</v>
      </c>
      <c r="D1995" s="10" t="s">
        <v>46</v>
      </c>
      <c r="E1995" s="13" t="str">
        <f>IFERROR(__xludf.DUMMYFUNCTION("ifna(filter('Yahoo ADP'!$A$2:$A2766,'Yahoo ADP'!$B$2:$B2766=$B1995,$C1995='Yahoo ADP'!$C$2:$C2766,$D1995='Yahoo ADP'!$D$2:$D2766))"),"")</f>
        <v/>
      </c>
      <c r="F1995" s="13" t="str">
        <f>IFERROR(__xludf.DUMMYFUNCTION("ifna(filter('Yahoo ADP'!$E$2:$E2766,'Yahoo ADP'!$B$2:$B2766=$B1995,$C1995='Yahoo ADP'!$C$2:$C2766,$D1995='Yahoo ADP'!$D$2:$D2766))"),"-")</f>
        <v>-</v>
      </c>
      <c r="G1995" s="27">
        <v>1992.0</v>
      </c>
      <c r="H1995" s="8">
        <f t="shared" si="1"/>
        <v>-2</v>
      </c>
    </row>
    <row r="1996">
      <c r="A1996" s="10">
        <v>1995.0</v>
      </c>
      <c r="B1996" s="11" t="s">
        <v>4840</v>
      </c>
      <c r="C1996" s="10" t="s">
        <v>77</v>
      </c>
      <c r="D1996" s="10" t="s">
        <v>34</v>
      </c>
      <c r="E1996" s="13" t="str">
        <f>IFERROR(__xludf.DUMMYFUNCTION("ifna(filter('Yahoo ADP'!$A$2:$A2766,'Yahoo ADP'!$B$2:$B2766=$B1996,$C1996='Yahoo ADP'!$C$2:$C2766,$D1996='Yahoo ADP'!$D$2:$D2766))"),"")</f>
        <v/>
      </c>
      <c r="F1996" s="13" t="str">
        <f>IFERROR(__xludf.DUMMYFUNCTION("ifna(filter('Yahoo ADP'!$E$2:$E2766,'Yahoo ADP'!$B$2:$B2766=$B1996,$C1996='Yahoo ADP'!$C$2:$C2766,$D1996='Yahoo ADP'!$D$2:$D2766))"),"-")</f>
        <v>-</v>
      </c>
      <c r="G1996" s="27">
        <v>1993.0</v>
      </c>
      <c r="H1996" s="8">
        <f t="shared" si="1"/>
        <v>-2</v>
      </c>
    </row>
    <row r="1997">
      <c r="A1997" s="10">
        <v>1996.0</v>
      </c>
      <c r="B1997" s="11" t="s">
        <v>4841</v>
      </c>
      <c r="C1997" s="10" t="s">
        <v>17</v>
      </c>
      <c r="D1997" s="10" t="s">
        <v>137</v>
      </c>
      <c r="E1997" s="13" t="str">
        <f>IFERROR(__xludf.DUMMYFUNCTION("ifna(filter('Yahoo ADP'!$A$2:$A2766,'Yahoo ADP'!$B$2:$B2766=$B1997,$C1997='Yahoo ADP'!$C$2:$C2766,$D1997='Yahoo ADP'!$D$2:$D2766))"),"")</f>
        <v/>
      </c>
      <c r="F1997" s="13" t="str">
        <f>IFERROR(__xludf.DUMMYFUNCTION("ifna(filter('Yahoo ADP'!$E$2:$E2766,'Yahoo ADP'!$B$2:$B2766=$B1997,$C1997='Yahoo ADP'!$C$2:$C2766,$D1997='Yahoo ADP'!$D$2:$D2766))"),"-")</f>
        <v>-</v>
      </c>
      <c r="G1997" s="27">
        <v>1994.0</v>
      </c>
      <c r="H1997" s="8">
        <f t="shared" si="1"/>
        <v>-2</v>
      </c>
    </row>
    <row r="1998">
      <c r="A1998" s="10">
        <v>1997.0</v>
      </c>
      <c r="B1998" s="11" t="s">
        <v>4842</v>
      </c>
      <c r="C1998" s="10" t="s">
        <v>48</v>
      </c>
      <c r="D1998" s="10" t="s">
        <v>27</v>
      </c>
      <c r="E1998" s="13" t="str">
        <f>IFERROR(__xludf.DUMMYFUNCTION("ifna(filter('Yahoo ADP'!$A$2:$A2766,'Yahoo ADP'!$B$2:$B2766=$B1998,$C1998='Yahoo ADP'!$C$2:$C2766,$D1998='Yahoo ADP'!$D$2:$D2766))"),"")</f>
        <v/>
      </c>
      <c r="F1998" s="13" t="str">
        <f>IFERROR(__xludf.DUMMYFUNCTION("ifna(filter('Yahoo ADP'!$E$2:$E2766,'Yahoo ADP'!$B$2:$B2766=$B1998,$C1998='Yahoo ADP'!$C$2:$C2766,$D1998='Yahoo ADP'!$D$2:$D2766))"),"-")</f>
        <v>-</v>
      </c>
      <c r="G1998" s="27">
        <v>1995.0</v>
      </c>
      <c r="H1998" s="8">
        <f t="shared" si="1"/>
        <v>-2</v>
      </c>
    </row>
    <row r="1999">
      <c r="A1999" s="10">
        <v>1998.0</v>
      </c>
      <c r="B1999" s="11" t="s">
        <v>4843</v>
      </c>
      <c r="C1999" s="10" t="s">
        <v>55</v>
      </c>
      <c r="D1999" s="10" t="s">
        <v>52</v>
      </c>
      <c r="E1999" s="13" t="str">
        <f>IFERROR(__xludf.DUMMYFUNCTION("ifna(filter('Yahoo ADP'!$A$2:$A2766,'Yahoo ADP'!$B$2:$B2766=$B1999,$C1999='Yahoo ADP'!$C$2:$C2766,$D1999='Yahoo ADP'!$D$2:$D2766))"),"")</f>
        <v/>
      </c>
      <c r="F1999" s="13" t="str">
        <f>IFERROR(__xludf.DUMMYFUNCTION("ifna(filter('Yahoo ADP'!$E$2:$E2766,'Yahoo ADP'!$B$2:$B2766=$B1999,$C1999='Yahoo ADP'!$C$2:$C2766,$D1999='Yahoo ADP'!$D$2:$D2766))"),"-")</f>
        <v>-</v>
      </c>
      <c r="G1999" s="27">
        <v>1996.0</v>
      </c>
      <c r="H1999" s="8">
        <f t="shared" si="1"/>
        <v>-2</v>
      </c>
    </row>
    <row r="2000">
      <c r="A2000" s="10">
        <v>1999.0</v>
      </c>
      <c r="B2000" s="11" t="s">
        <v>4844</v>
      </c>
      <c r="C2000" s="10" t="s">
        <v>77</v>
      </c>
      <c r="D2000" s="10" t="s">
        <v>23</v>
      </c>
      <c r="E2000" s="13" t="str">
        <f>IFERROR(__xludf.DUMMYFUNCTION("ifna(filter('Yahoo ADP'!$A$2:$A2766,'Yahoo ADP'!$B$2:$B2766=$B2000,$C2000='Yahoo ADP'!$C$2:$C2766,$D2000='Yahoo ADP'!$D$2:$D2766))"),"")</f>
        <v/>
      </c>
      <c r="F2000" s="13" t="str">
        <f>IFERROR(__xludf.DUMMYFUNCTION("ifna(filter('Yahoo ADP'!$E$2:$E2766,'Yahoo ADP'!$B$2:$B2766=$B2000,$C2000='Yahoo ADP'!$C$2:$C2766,$D2000='Yahoo ADP'!$D$2:$D2766))"),"-")</f>
        <v>-</v>
      </c>
      <c r="G2000" s="27">
        <v>1997.0</v>
      </c>
      <c r="H2000" s="8">
        <f t="shared" si="1"/>
        <v>-2</v>
      </c>
    </row>
    <row r="2001">
      <c r="A2001" s="10">
        <v>2000.0</v>
      </c>
      <c r="B2001" s="11" t="s">
        <v>4845</v>
      </c>
      <c r="C2001" s="10" t="s">
        <v>11</v>
      </c>
      <c r="D2001" s="10" t="s">
        <v>105</v>
      </c>
      <c r="E2001" s="13" t="str">
        <f>IFERROR(__xludf.DUMMYFUNCTION("ifna(filter('Yahoo ADP'!$A$2:$A2766,'Yahoo ADP'!$B$2:$B2766=$B2001,$C2001='Yahoo ADP'!$C$2:$C2766,$D2001='Yahoo ADP'!$D$2:$D2766))"),"")</f>
        <v/>
      </c>
      <c r="F2001" s="13" t="str">
        <f>IFERROR(__xludf.DUMMYFUNCTION("ifna(filter('Yahoo ADP'!$E$2:$E2766,'Yahoo ADP'!$B$2:$B2766=$B2001,$C2001='Yahoo ADP'!$C$2:$C2766,$D2001='Yahoo ADP'!$D$2:$D2766))"),"-")</f>
        <v>-</v>
      </c>
      <c r="G2001" s="27">
        <v>1998.0</v>
      </c>
      <c r="H2001" s="8">
        <f t="shared" si="1"/>
        <v>-2</v>
      </c>
    </row>
    <row r="2002">
      <c r="A2002" s="10">
        <v>2001.0</v>
      </c>
      <c r="B2002" s="11" t="s">
        <v>4846</v>
      </c>
      <c r="C2002" s="10" t="s">
        <v>33</v>
      </c>
      <c r="D2002" s="10" t="s">
        <v>31</v>
      </c>
      <c r="E2002" s="13" t="str">
        <f>IFERROR(__xludf.DUMMYFUNCTION("ifna(filter('Yahoo ADP'!$A$2:$A2766,'Yahoo ADP'!$B$2:$B2766=$B2002,$C2002='Yahoo ADP'!$C$2:$C2766,$D2002='Yahoo ADP'!$D$2:$D2766))"),"")</f>
        <v/>
      </c>
      <c r="F2002" s="13" t="str">
        <f>IFERROR(__xludf.DUMMYFUNCTION("ifna(filter('Yahoo ADP'!$E$2:$E2766,'Yahoo ADP'!$B$2:$B2766=$B2002,$C2002='Yahoo ADP'!$C$2:$C2766,$D2002='Yahoo ADP'!$D$2:$D2766))"),"-")</f>
        <v>-</v>
      </c>
      <c r="G2002" s="27">
        <v>1999.0</v>
      </c>
      <c r="H2002" s="8">
        <f t="shared" si="1"/>
        <v>-2</v>
      </c>
    </row>
    <row r="2003">
      <c r="A2003" s="10">
        <v>2002.0</v>
      </c>
      <c r="B2003" s="11" t="s">
        <v>4847</v>
      </c>
      <c r="C2003" s="10" t="s">
        <v>20</v>
      </c>
      <c r="D2003" s="10" t="s">
        <v>105</v>
      </c>
      <c r="E2003" s="13" t="str">
        <f>IFERROR(__xludf.DUMMYFUNCTION("ifna(filter('Yahoo ADP'!$A$2:$A2766,'Yahoo ADP'!$B$2:$B2766=$B2003,$C2003='Yahoo ADP'!$C$2:$C2766,$D2003='Yahoo ADP'!$D$2:$D2766))"),"")</f>
        <v/>
      </c>
      <c r="F2003" s="13" t="str">
        <f>IFERROR(__xludf.DUMMYFUNCTION("ifna(filter('Yahoo ADP'!$E$2:$E2766,'Yahoo ADP'!$B$2:$B2766=$B2003,$C2003='Yahoo ADP'!$C$2:$C2766,$D2003='Yahoo ADP'!$D$2:$D2766))"),"-")</f>
        <v>-</v>
      </c>
      <c r="G2003" s="27">
        <v>2000.0</v>
      </c>
      <c r="H2003" s="8">
        <f t="shared" si="1"/>
        <v>-2</v>
      </c>
    </row>
    <row r="2004">
      <c r="A2004" s="10">
        <v>2003.0</v>
      </c>
      <c r="B2004" s="11" t="s">
        <v>4848</v>
      </c>
      <c r="C2004" s="10" t="s">
        <v>69</v>
      </c>
      <c r="D2004" s="10" t="s">
        <v>31</v>
      </c>
      <c r="E2004" s="13" t="str">
        <f>IFERROR(__xludf.DUMMYFUNCTION("ifna(filter('Yahoo ADP'!$A$2:$A2766,'Yahoo ADP'!$B$2:$B2766=$B2004,$C2004='Yahoo ADP'!$C$2:$C2766,$D2004='Yahoo ADP'!$D$2:$D2766))"),"")</f>
        <v/>
      </c>
      <c r="F2004" s="13" t="str">
        <f>IFERROR(__xludf.DUMMYFUNCTION("ifna(filter('Yahoo ADP'!$E$2:$E2766,'Yahoo ADP'!$B$2:$B2766=$B2004,$C2004='Yahoo ADP'!$C$2:$C2766,$D2004='Yahoo ADP'!$D$2:$D2766))"),"-")</f>
        <v>-</v>
      </c>
      <c r="G2004" s="27">
        <v>2001.0</v>
      </c>
      <c r="H2004" s="8">
        <f t="shared" si="1"/>
        <v>-2</v>
      </c>
    </row>
    <row r="2005">
      <c r="A2005" s="10">
        <v>2004.0</v>
      </c>
      <c r="B2005" s="11" t="s">
        <v>4849</v>
      </c>
      <c r="C2005" s="10" t="s">
        <v>17</v>
      </c>
      <c r="D2005" s="10" t="s">
        <v>95</v>
      </c>
      <c r="E2005" s="13" t="str">
        <f>IFERROR(__xludf.DUMMYFUNCTION("ifna(filter('Yahoo ADP'!$A$2:$A2766,'Yahoo ADP'!$B$2:$B2766=$B2005,$C2005='Yahoo ADP'!$C$2:$C2766,$D2005='Yahoo ADP'!$D$2:$D2766))"),"")</f>
        <v/>
      </c>
      <c r="F2005" s="13" t="str">
        <f>IFERROR(__xludf.DUMMYFUNCTION("ifna(filter('Yahoo ADP'!$E$2:$E2766,'Yahoo ADP'!$B$2:$B2766=$B2005,$C2005='Yahoo ADP'!$C$2:$C2766,$D2005='Yahoo ADP'!$D$2:$D2766))"),"-")</f>
        <v>-</v>
      </c>
      <c r="G2005" s="27">
        <v>2002.0</v>
      </c>
      <c r="H2005" s="8">
        <f t="shared" si="1"/>
        <v>-2</v>
      </c>
    </row>
    <row r="2006">
      <c r="A2006" s="10">
        <v>2005.0</v>
      </c>
      <c r="B2006" s="11" t="s">
        <v>4850</v>
      </c>
      <c r="C2006" s="10" t="s">
        <v>33</v>
      </c>
      <c r="D2006" s="10" t="s">
        <v>36</v>
      </c>
      <c r="E2006" s="13" t="str">
        <f>IFERROR(__xludf.DUMMYFUNCTION("ifna(filter('Yahoo ADP'!$A$2:$A2766,'Yahoo ADP'!$B$2:$B2766=$B2006,$C2006='Yahoo ADP'!$C$2:$C2766,$D2006='Yahoo ADP'!$D$2:$D2766))"),"")</f>
        <v/>
      </c>
      <c r="F2006" s="13" t="str">
        <f>IFERROR(__xludf.DUMMYFUNCTION("ifna(filter('Yahoo ADP'!$E$2:$E2766,'Yahoo ADP'!$B$2:$B2766=$B2006,$C2006='Yahoo ADP'!$C$2:$C2766,$D2006='Yahoo ADP'!$D$2:$D2766))"),"-")</f>
        <v>-</v>
      </c>
      <c r="G2006" s="27">
        <v>2003.0</v>
      </c>
      <c r="H2006" s="8">
        <f t="shared" si="1"/>
        <v>-2</v>
      </c>
    </row>
    <row r="2007">
      <c r="A2007" s="10">
        <v>2006.0</v>
      </c>
      <c r="B2007" s="11" t="s">
        <v>4851</v>
      </c>
      <c r="C2007" s="10" t="s">
        <v>136</v>
      </c>
      <c r="D2007" s="10" t="s">
        <v>36</v>
      </c>
      <c r="E2007" s="13" t="str">
        <f>IFERROR(__xludf.DUMMYFUNCTION("ifna(filter('Yahoo ADP'!$A$2:$A2766,'Yahoo ADP'!$B$2:$B2766=$B2007,$C2007='Yahoo ADP'!$C$2:$C2766,$D2007='Yahoo ADP'!$D$2:$D2766))"),"")</f>
        <v/>
      </c>
      <c r="F2007" s="13" t="str">
        <f>IFERROR(__xludf.DUMMYFUNCTION("ifna(filter('Yahoo ADP'!$E$2:$E2766,'Yahoo ADP'!$B$2:$B2766=$B2007,$C2007='Yahoo ADP'!$C$2:$C2766,$D2007='Yahoo ADP'!$D$2:$D2766))"),"-")</f>
        <v>-</v>
      </c>
      <c r="G2007" s="27">
        <v>2004.0</v>
      </c>
      <c r="H2007" s="8">
        <f t="shared" si="1"/>
        <v>-2</v>
      </c>
    </row>
    <row r="2008">
      <c r="A2008" s="10">
        <v>2007.0</v>
      </c>
      <c r="B2008" s="11" t="s">
        <v>4852</v>
      </c>
      <c r="C2008" s="10" t="s">
        <v>55</v>
      </c>
      <c r="D2008" s="10" t="s">
        <v>113</v>
      </c>
      <c r="E2008" s="13" t="str">
        <f>IFERROR(__xludf.DUMMYFUNCTION("ifna(filter('Yahoo ADP'!$A$2:$A2766,'Yahoo ADP'!$B$2:$B2766=$B2008,$C2008='Yahoo ADP'!$C$2:$C2766,$D2008='Yahoo ADP'!$D$2:$D2766))"),"")</f>
        <v/>
      </c>
      <c r="F2008" s="13" t="str">
        <f>IFERROR(__xludf.DUMMYFUNCTION("ifna(filter('Yahoo ADP'!$E$2:$E2766,'Yahoo ADP'!$B$2:$B2766=$B2008,$C2008='Yahoo ADP'!$C$2:$C2766,$D2008='Yahoo ADP'!$D$2:$D2766))"),"-")</f>
        <v>-</v>
      </c>
      <c r="G2008" s="27">
        <v>2005.0</v>
      </c>
      <c r="H2008" s="8">
        <f t="shared" si="1"/>
        <v>-2</v>
      </c>
    </row>
    <row r="2009">
      <c r="A2009" s="10">
        <v>2008.0</v>
      </c>
      <c r="B2009" s="11" t="s">
        <v>4853</v>
      </c>
      <c r="C2009" s="10" t="s">
        <v>20</v>
      </c>
      <c r="D2009" s="10" t="s">
        <v>95</v>
      </c>
      <c r="E2009" s="13" t="str">
        <f>IFERROR(__xludf.DUMMYFUNCTION("ifna(filter('Yahoo ADP'!$A$2:$A2766,'Yahoo ADP'!$B$2:$B2766=$B2009,$C2009='Yahoo ADP'!$C$2:$C2766,$D2009='Yahoo ADP'!$D$2:$D2766))"),"")</f>
        <v/>
      </c>
      <c r="F2009" s="13" t="str">
        <f>IFERROR(__xludf.DUMMYFUNCTION("ifna(filter('Yahoo ADP'!$E$2:$E2766,'Yahoo ADP'!$B$2:$B2766=$B2009,$C2009='Yahoo ADP'!$C$2:$C2766,$D2009='Yahoo ADP'!$D$2:$D2766))"),"-")</f>
        <v>-</v>
      </c>
      <c r="G2009" s="27">
        <v>2006.0</v>
      </c>
      <c r="H2009" s="8">
        <f t="shared" si="1"/>
        <v>-2</v>
      </c>
    </row>
    <row r="2010">
      <c r="A2010" s="10">
        <v>2009.0</v>
      </c>
      <c r="B2010" s="11" t="s">
        <v>4854</v>
      </c>
      <c r="C2010" s="10" t="s">
        <v>48</v>
      </c>
      <c r="D2010" s="10" t="s">
        <v>137</v>
      </c>
      <c r="E2010" s="13" t="str">
        <f>IFERROR(__xludf.DUMMYFUNCTION("ifna(filter('Yahoo ADP'!$A$2:$A2766,'Yahoo ADP'!$B$2:$B2766=$B2010,$C2010='Yahoo ADP'!$C$2:$C2766,$D2010='Yahoo ADP'!$D$2:$D2766))"),"")</f>
        <v/>
      </c>
      <c r="F2010" s="13" t="str">
        <f>IFERROR(__xludf.DUMMYFUNCTION("ifna(filter('Yahoo ADP'!$E$2:$E2766,'Yahoo ADP'!$B$2:$B2766=$B2010,$C2010='Yahoo ADP'!$C$2:$C2766,$D2010='Yahoo ADP'!$D$2:$D2766))"),"-")</f>
        <v>-</v>
      </c>
      <c r="G2010" s="27">
        <v>2007.0</v>
      </c>
      <c r="H2010" s="8">
        <f t="shared" si="1"/>
        <v>-2</v>
      </c>
    </row>
    <row r="2011">
      <c r="A2011" s="10">
        <v>2010.0</v>
      </c>
      <c r="B2011" s="11" t="s">
        <v>4855</v>
      </c>
      <c r="C2011" s="10" t="s">
        <v>33</v>
      </c>
      <c r="D2011" s="10" t="s">
        <v>129</v>
      </c>
      <c r="E2011" s="13" t="str">
        <f>IFERROR(__xludf.DUMMYFUNCTION("ifna(filter('Yahoo ADP'!$A$2:$A2766,'Yahoo ADP'!$B$2:$B2766=$B2011,$C2011='Yahoo ADP'!$C$2:$C2766,$D2011='Yahoo ADP'!$D$2:$D2766))"),"")</f>
        <v/>
      </c>
      <c r="F2011" s="13" t="str">
        <f>IFERROR(__xludf.DUMMYFUNCTION("ifna(filter('Yahoo ADP'!$E$2:$E2766,'Yahoo ADP'!$B$2:$B2766=$B2011,$C2011='Yahoo ADP'!$C$2:$C2766,$D2011='Yahoo ADP'!$D$2:$D2766))"),"-")</f>
        <v>-</v>
      </c>
      <c r="G2011" s="27">
        <v>2008.0</v>
      </c>
      <c r="H2011" s="8">
        <f t="shared" si="1"/>
        <v>-2</v>
      </c>
    </row>
    <row r="2012">
      <c r="A2012" s="10">
        <v>2011.0</v>
      </c>
      <c r="B2012" s="11" t="s">
        <v>4856</v>
      </c>
      <c r="C2012" s="10" t="s">
        <v>77</v>
      </c>
      <c r="D2012" s="10" t="s">
        <v>95</v>
      </c>
      <c r="E2012" s="13" t="str">
        <f>IFERROR(__xludf.DUMMYFUNCTION("ifna(filter('Yahoo ADP'!$A$2:$A2766,'Yahoo ADP'!$B$2:$B2766=$B2012,$C2012='Yahoo ADP'!$C$2:$C2766,$D2012='Yahoo ADP'!$D$2:$D2766))"),"")</f>
        <v/>
      </c>
      <c r="F2012" s="13" t="str">
        <f>IFERROR(__xludf.DUMMYFUNCTION("ifna(filter('Yahoo ADP'!$E$2:$E2766,'Yahoo ADP'!$B$2:$B2766=$B2012,$C2012='Yahoo ADP'!$C$2:$C2766,$D2012='Yahoo ADP'!$D$2:$D2766))"),"-")</f>
        <v>-</v>
      </c>
      <c r="G2012" s="27">
        <v>2009.0</v>
      </c>
      <c r="H2012" s="8">
        <f t="shared" si="1"/>
        <v>-2</v>
      </c>
    </row>
    <row r="2013">
      <c r="A2013" s="10">
        <v>2012.0</v>
      </c>
      <c r="B2013" s="11" t="s">
        <v>4857</v>
      </c>
      <c r="C2013" s="10" t="s">
        <v>286</v>
      </c>
      <c r="D2013" s="10" t="s">
        <v>129</v>
      </c>
      <c r="E2013" s="13">
        <f>IFERROR(__xludf.DUMMYFUNCTION("ifna(filter('Yahoo ADP'!$A$2:$A2766,'Yahoo ADP'!$B$2:$B2766=$B2013,$C2013='Yahoo ADP'!$C$2:$C2766,$D2013='Yahoo ADP'!$D$2:$D2766))"),248.9)</f>
        <v>248.9</v>
      </c>
      <c r="F2013" s="13">
        <f>IFERROR(__xludf.DUMMYFUNCTION("ifna(filter('Yahoo ADP'!$E$2:$E2766,'Yahoo ADP'!$B$2:$B2766=$B2013,$C2013='Yahoo ADP'!$C$2:$C2766,$D2013='Yahoo ADP'!$D$2:$D2766))"),1.3)</f>
        <v>1.3</v>
      </c>
      <c r="G2013" s="27">
        <v>2010.0</v>
      </c>
      <c r="H2013" s="8">
        <f t="shared" si="1"/>
        <v>-2</v>
      </c>
    </row>
    <row r="2014">
      <c r="A2014" s="10">
        <v>2013.0</v>
      </c>
      <c r="B2014" s="11" t="s">
        <v>4858</v>
      </c>
      <c r="C2014" s="10" t="s">
        <v>55</v>
      </c>
      <c r="D2014" s="10" t="s">
        <v>140</v>
      </c>
      <c r="E2014" s="13" t="str">
        <f>IFERROR(__xludf.DUMMYFUNCTION("ifna(filter('Yahoo ADP'!$A$2:$A2766,'Yahoo ADP'!$B$2:$B2766=$B2014,$C2014='Yahoo ADP'!$C$2:$C2766,$D2014='Yahoo ADP'!$D$2:$D2766))"),"")</f>
        <v/>
      </c>
      <c r="F2014" s="13" t="str">
        <f>IFERROR(__xludf.DUMMYFUNCTION("ifna(filter('Yahoo ADP'!$E$2:$E2766,'Yahoo ADP'!$B$2:$B2766=$B2014,$C2014='Yahoo ADP'!$C$2:$C2766,$D2014='Yahoo ADP'!$D$2:$D2766))"),"-")</f>
        <v>-</v>
      </c>
      <c r="G2014" s="27">
        <v>2011.0</v>
      </c>
      <c r="H2014" s="8">
        <f t="shared" si="1"/>
        <v>-2</v>
      </c>
    </row>
    <row r="2015">
      <c r="A2015" s="10">
        <v>2014.0</v>
      </c>
      <c r="B2015" s="11" t="s">
        <v>4859</v>
      </c>
      <c r="C2015" s="10" t="s">
        <v>77</v>
      </c>
      <c r="D2015" s="10" t="s">
        <v>9</v>
      </c>
      <c r="E2015" s="13" t="str">
        <f>IFERROR(__xludf.DUMMYFUNCTION("ifna(filter('Yahoo ADP'!$A$2:$A2766,'Yahoo ADP'!$B$2:$B2766=$B2015,$C2015='Yahoo ADP'!$C$2:$C2766,$D2015='Yahoo ADP'!$D$2:$D2766))"),"")</f>
        <v/>
      </c>
      <c r="F2015" s="13" t="str">
        <f>IFERROR(__xludf.DUMMYFUNCTION("ifna(filter('Yahoo ADP'!$E$2:$E2766,'Yahoo ADP'!$B$2:$B2766=$B2015,$C2015='Yahoo ADP'!$C$2:$C2766,$D2015='Yahoo ADP'!$D$2:$D2766))"),"-")</f>
        <v>-</v>
      </c>
      <c r="G2015" s="27">
        <v>2012.0</v>
      </c>
      <c r="H2015" s="8">
        <f t="shared" si="1"/>
        <v>-2</v>
      </c>
    </row>
    <row r="2016">
      <c r="A2016" s="10">
        <v>2015.0</v>
      </c>
      <c r="B2016" s="11" t="s">
        <v>4860</v>
      </c>
      <c r="C2016" s="10" t="s">
        <v>33</v>
      </c>
      <c r="D2016" s="10" t="s">
        <v>42</v>
      </c>
      <c r="E2016" s="13" t="str">
        <f>IFERROR(__xludf.DUMMYFUNCTION("ifna(filter('Yahoo ADP'!$A$2:$A2766,'Yahoo ADP'!$B$2:$B2766=$B2016,$C2016='Yahoo ADP'!$C$2:$C2766,$D2016='Yahoo ADP'!$D$2:$D2766))"),"")</f>
        <v/>
      </c>
      <c r="F2016" s="13" t="str">
        <f>IFERROR(__xludf.DUMMYFUNCTION("ifna(filter('Yahoo ADP'!$E$2:$E2766,'Yahoo ADP'!$B$2:$B2766=$B2016,$C2016='Yahoo ADP'!$C$2:$C2766,$D2016='Yahoo ADP'!$D$2:$D2766))"),"-")</f>
        <v>-</v>
      </c>
      <c r="G2016" s="27">
        <v>2013.0</v>
      </c>
      <c r="H2016" s="8">
        <f t="shared" si="1"/>
        <v>-2</v>
      </c>
    </row>
    <row r="2017">
      <c r="A2017" s="10">
        <v>2016.0</v>
      </c>
      <c r="B2017" s="11" t="s">
        <v>4861</v>
      </c>
      <c r="C2017" s="10" t="s">
        <v>8</v>
      </c>
      <c r="D2017" s="10" t="s">
        <v>49</v>
      </c>
      <c r="E2017" s="13" t="str">
        <f>IFERROR(__xludf.DUMMYFUNCTION("ifna(filter('Yahoo ADP'!$A$2:$A2766,'Yahoo ADP'!$B$2:$B2766=$B2017,$C2017='Yahoo ADP'!$C$2:$C2766,$D2017='Yahoo ADP'!$D$2:$D2766))"),"")</f>
        <v/>
      </c>
      <c r="F2017" s="13" t="str">
        <f>IFERROR(__xludf.DUMMYFUNCTION("ifna(filter('Yahoo ADP'!$E$2:$E2766,'Yahoo ADP'!$B$2:$B2766=$B2017,$C2017='Yahoo ADP'!$C$2:$C2766,$D2017='Yahoo ADP'!$D$2:$D2766))"),"-")</f>
        <v>-</v>
      </c>
      <c r="G2017" s="27">
        <v>2014.0</v>
      </c>
      <c r="H2017" s="8">
        <f t="shared" si="1"/>
        <v>-2</v>
      </c>
    </row>
    <row r="2018">
      <c r="A2018" s="10">
        <v>2017.0</v>
      </c>
      <c r="B2018" s="11" t="s">
        <v>4862</v>
      </c>
      <c r="C2018" s="10" t="s">
        <v>11</v>
      </c>
      <c r="D2018" s="10" t="s">
        <v>18</v>
      </c>
      <c r="E2018" s="13" t="str">
        <f>IFERROR(__xludf.DUMMYFUNCTION("ifna(filter('Yahoo ADP'!$A$2:$A2766,'Yahoo ADP'!$B$2:$B2766=$B2018,$C2018='Yahoo ADP'!$C$2:$C2766,$D2018='Yahoo ADP'!$D$2:$D2766))"),"")</f>
        <v/>
      </c>
      <c r="F2018" s="13" t="str">
        <f>IFERROR(__xludf.DUMMYFUNCTION("ifna(filter('Yahoo ADP'!$E$2:$E2766,'Yahoo ADP'!$B$2:$B2766=$B2018,$C2018='Yahoo ADP'!$C$2:$C2766,$D2018='Yahoo ADP'!$D$2:$D2766))"),"-")</f>
        <v>-</v>
      </c>
      <c r="G2018" s="27">
        <v>2015.0</v>
      </c>
      <c r="H2018" s="8">
        <f t="shared" si="1"/>
        <v>-2</v>
      </c>
    </row>
    <row r="2019">
      <c r="A2019" s="10">
        <v>2018.0</v>
      </c>
      <c r="B2019" s="11" t="s">
        <v>4863</v>
      </c>
      <c r="C2019" s="10" t="s">
        <v>77</v>
      </c>
      <c r="D2019" s="10" t="s">
        <v>36</v>
      </c>
      <c r="E2019" s="13" t="str">
        <f>IFERROR(__xludf.DUMMYFUNCTION("ifna(filter('Yahoo ADP'!$A$2:$A2766,'Yahoo ADP'!$B$2:$B2766=$B2019,$C2019='Yahoo ADP'!$C$2:$C2766,$D2019='Yahoo ADP'!$D$2:$D2766))"),"")</f>
        <v/>
      </c>
      <c r="F2019" s="13" t="str">
        <f>IFERROR(__xludf.DUMMYFUNCTION("ifna(filter('Yahoo ADP'!$E$2:$E2766,'Yahoo ADP'!$B$2:$B2766=$B2019,$C2019='Yahoo ADP'!$C$2:$C2766,$D2019='Yahoo ADP'!$D$2:$D2766))"),"-")</f>
        <v>-</v>
      </c>
      <c r="G2019" s="27">
        <v>2016.0</v>
      </c>
      <c r="H2019" s="8">
        <f t="shared" si="1"/>
        <v>-2</v>
      </c>
    </row>
    <row r="2020">
      <c r="A2020" s="10">
        <v>2019.0</v>
      </c>
      <c r="B2020" s="11" t="s">
        <v>4864</v>
      </c>
      <c r="C2020" s="10" t="s">
        <v>33</v>
      </c>
      <c r="D2020" s="10" t="s">
        <v>9</v>
      </c>
      <c r="E2020" s="13" t="str">
        <f>IFERROR(__xludf.DUMMYFUNCTION("ifna(filter('Yahoo ADP'!$A$2:$A2766,'Yahoo ADP'!$B$2:$B2766=$B2020,$C2020='Yahoo ADP'!$C$2:$C2766,$D2020='Yahoo ADP'!$D$2:$D2766))"),"")</f>
        <v/>
      </c>
      <c r="F2020" s="13" t="str">
        <f>IFERROR(__xludf.DUMMYFUNCTION("ifna(filter('Yahoo ADP'!$E$2:$E2766,'Yahoo ADP'!$B$2:$B2766=$B2020,$C2020='Yahoo ADP'!$C$2:$C2766,$D2020='Yahoo ADP'!$D$2:$D2766))"),"-")</f>
        <v>-</v>
      </c>
      <c r="G2020" s="27">
        <v>2017.0</v>
      </c>
      <c r="H2020" s="8">
        <f t="shared" si="1"/>
        <v>-2</v>
      </c>
    </row>
    <row r="2021">
      <c r="A2021" s="10">
        <v>2020.0</v>
      </c>
      <c r="B2021" s="11" t="s">
        <v>4865</v>
      </c>
      <c r="C2021" s="10" t="s">
        <v>240</v>
      </c>
      <c r="D2021" s="10" t="s">
        <v>206</v>
      </c>
      <c r="E2021" s="13" t="str">
        <f>IFERROR(__xludf.DUMMYFUNCTION("ifna(filter('Yahoo ADP'!$A$2:$A2766,'Yahoo ADP'!$B$2:$B2766=$B2021,$C2021='Yahoo ADP'!$C$2:$C2766,$D2021='Yahoo ADP'!$D$2:$D2766))"),"")</f>
        <v/>
      </c>
      <c r="F2021" s="13" t="str">
        <f>IFERROR(__xludf.DUMMYFUNCTION("ifna(filter('Yahoo ADP'!$E$2:$E2766,'Yahoo ADP'!$B$2:$B2766=$B2021,$C2021='Yahoo ADP'!$C$2:$C2766,$D2021='Yahoo ADP'!$D$2:$D2766))"),"-")</f>
        <v>-</v>
      </c>
      <c r="G2021" s="27">
        <v>2018.0</v>
      </c>
      <c r="H2021" s="8">
        <f t="shared" si="1"/>
        <v>-2</v>
      </c>
    </row>
    <row r="2022">
      <c r="A2022" s="10">
        <v>2021.0</v>
      </c>
      <c r="B2022" s="11" t="s">
        <v>4866</v>
      </c>
      <c r="C2022" s="10" t="s">
        <v>33</v>
      </c>
      <c r="D2022" s="10" t="s">
        <v>122</v>
      </c>
      <c r="E2022" s="13" t="str">
        <f>IFERROR(__xludf.DUMMYFUNCTION("ifna(filter('Yahoo ADP'!$A$2:$A2766,'Yahoo ADP'!$B$2:$B2766=$B2022,$C2022='Yahoo ADP'!$C$2:$C2766,$D2022='Yahoo ADP'!$D$2:$D2766))"),"")</f>
        <v/>
      </c>
      <c r="F2022" s="13" t="str">
        <f>IFERROR(__xludf.DUMMYFUNCTION("ifna(filter('Yahoo ADP'!$E$2:$E2766,'Yahoo ADP'!$B$2:$B2766=$B2022,$C2022='Yahoo ADP'!$C$2:$C2766,$D2022='Yahoo ADP'!$D$2:$D2766))"),"-")</f>
        <v>-</v>
      </c>
      <c r="G2022" s="27">
        <v>2019.0</v>
      </c>
      <c r="H2022" s="8">
        <f t="shared" si="1"/>
        <v>-2</v>
      </c>
    </row>
    <row r="2023">
      <c r="A2023" s="10">
        <v>2022.0</v>
      </c>
      <c r="B2023" s="11" t="s">
        <v>4867</v>
      </c>
      <c r="C2023" s="10" t="s">
        <v>77</v>
      </c>
      <c r="D2023" s="10" t="s">
        <v>82</v>
      </c>
      <c r="E2023" s="13" t="str">
        <f>IFERROR(__xludf.DUMMYFUNCTION("ifna(filter('Yahoo ADP'!$A$2:$A2766,'Yahoo ADP'!$B$2:$B2766=$B2023,$C2023='Yahoo ADP'!$C$2:$C2766,$D2023='Yahoo ADP'!$D$2:$D2766))"),"")</f>
        <v/>
      </c>
      <c r="F2023" s="13" t="str">
        <f>IFERROR(__xludf.DUMMYFUNCTION("ifna(filter('Yahoo ADP'!$E$2:$E2766,'Yahoo ADP'!$B$2:$B2766=$B2023,$C2023='Yahoo ADP'!$C$2:$C2766,$D2023='Yahoo ADP'!$D$2:$D2766))"),"-")</f>
        <v>-</v>
      </c>
      <c r="G2023" s="27">
        <v>2020.0</v>
      </c>
      <c r="H2023" s="8">
        <f t="shared" si="1"/>
        <v>-2</v>
      </c>
    </row>
    <row r="2024">
      <c r="A2024" s="10">
        <v>2023.0</v>
      </c>
      <c r="B2024" s="11" t="s">
        <v>4868</v>
      </c>
      <c r="C2024" s="10" t="s">
        <v>77</v>
      </c>
      <c r="D2024" s="10" t="s">
        <v>49</v>
      </c>
      <c r="E2024" s="13" t="str">
        <f>IFERROR(__xludf.DUMMYFUNCTION("ifna(filter('Yahoo ADP'!$A$2:$A2766,'Yahoo ADP'!$B$2:$B2766=$B2024,$C2024='Yahoo ADP'!$C$2:$C2766,$D2024='Yahoo ADP'!$D$2:$D2766))"),"")</f>
        <v/>
      </c>
      <c r="F2024" s="13" t="str">
        <f>IFERROR(__xludf.DUMMYFUNCTION("ifna(filter('Yahoo ADP'!$E$2:$E2766,'Yahoo ADP'!$B$2:$B2766=$B2024,$C2024='Yahoo ADP'!$C$2:$C2766,$D2024='Yahoo ADP'!$D$2:$D2766))"),"-")</f>
        <v>-</v>
      </c>
      <c r="G2024" s="27">
        <v>2021.0</v>
      </c>
      <c r="H2024" s="8">
        <f t="shared" si="1"/>
        <v>-2</v>
      </c>
    </row>
    <row r="2025">
      <c r="A2025" s="10">
        <v>2024.0</v>
      </c>
      <c r="B2025" s="11" t="s">
        <v>4869</v>
      </c>
      <c r="C2025" s="10" t="s">
        <v>14</v>
      </c>
      <c r="D2025" s="10" t="s">
        <v>129</v>
      </c>
      <c r="E2025" s="13" t="str">
        <f>IFERROR(__xludf.DUMMYFUNCTION("ifna(filter('Yahoo ADP'!$A$2:$A2766,'Yahoo ADP'!$B$2:$B2766=$B2025,$C2025='Yahoo ADP'!$C$2:$C2766,$D2025='Yahoo ADP'!$D$2:$D2766))"),"")</f>
        <v/>
      </c>
      <c r="F2025" s="13" t="str">
        <f>IFERROR(__xludf.DUMMYFUNCTION("ifna(filter('Yahoo ADP'!$E$2:$E2766,'Yahoo ADP'!$B$2:$B2766=$B2025,$C2025='Yahoo ADP'!$C$2:$C2766,$D2025='Yahoo ADP'!$D$2:$D2766))"),"-")</f>
        <v>-</v>
      </c>
      <c r="G2025" s="27">
        <v>2022.0</v>
      </c>
      <c r="H2025" s="8">
        <f t="shared" si="1"/>
        <v>-2</v>
      </c>
    </row>
    <row r="2026">
      <c r="A2026" s="10">
        <v>2025.0</v>
      </c>
      <c r="B2026" s="11" t="s">
        <v>4870</v>
      </c>
      <c r="C2026" s="10" t="s">
        <v>77</v>
      </c>
      <c r="D2026" s="10" t="s">
        <v>25</v>
      </c>
      <c r="E2026" s="13" t="str">
        <f>IFERROR(__xludf.DUMMYFUNCTION("ifna(filter('Yahoo ADP'!$A$2:$A2766,'Yahoo ADP'!$B$2:$B2766=$B2026,$C2026='Yahoo ADP'!$C$2:$C2766,$D2026='Yahoo ADP'!$D$2:$D2766))"),"")</f>
        <v/>
      </c>
      <c r="F2026" s="13" t="str">
        <f>IFERROR(__xludf.DUMMYFUNCTION("ifna(filter('Yahoo ADP'!$E$2:$E2766,'Yahoo ADP'!$B$2:$B2766=$B2026,$C2026='Yahoo ADP'!$C$2:$C2766,$D2026='Yahoo ADP'!$D$2:$D2766))"),"-")</f>
        <v>-</v>
      </c>
      <c r="G2026" s="27">
        <v>2023.0</v>
      </c>
      <c r="H2026" s="8">
        <f t="shared" si="1"/>
        <v>-2</v>
      </c>
    </row>
    <row r="2027">
      <c r="A2027" s="10">
        <v>2026.0</v>
      </c>
      <c r="B2027" s="11" t="s">
        <v>4871</v>
      </c>
      <c r="C2027" s="10" t="s">
        <v>77</v>
      </c>
      <c r="D2027" s="10" t="s">
        <v>113</v>
      </c>
      <c r="E2027" s="13" t="str">
        <f>IFERROR(__xludf.DUMMYFUNCTION("ifna(filter('Yahoo ADP'!$A$2:$A2766,'Yahoo ADP'!$B$2:$B2766=$B2027,$C2027='Yahoo ADP'!$C$2:$C2766,$D2027='Yahoo ADP'!$D$2:$D2766))"),"")</f>
        <v/>
      </c>
      <c r="F2027" s="13" t="str">
        <f>IFERROR(__xludf.DUMMYFUNCTION("ifna(filter('Yahoo ADP'!$E$2:$E2766,'Yahoo ADP'!$B$2:$B2766=$B2027,$C2027='Yahoo ADP'!$C$2:$C2766,$D2027='Yahoo ADP'!$D$2:$D2766))"),"-")</f>
        <v>-</v>
      </c>
      <c r="G2027" s="27">
        <v>2024.0</v>
      </c>
      <c r="H2027" s="8">
        <f t="shared" si="1"/>
        <v>-2</v>
      </c>
    </row>
    <row r="2028">
      <c r="A2028" s="10">
        <v>2027.0</v>
      </c>
      <c r="B2028" s="11" t="s">
        <v>4872</v>
      </c>
      <c r="C2028" s="10" t="s">
        <v>69</v>
      </c>
      <c r="D2028" s="10" t="s">
        <v>90</v>
      </c>
      <c r="E2028" s="13" t="str">
        <f>IFERROR(__xludf.DUMMYFUNCTION("ifna(filter('Yahoo ADP'!$A$2:$A2766,'Yahoo ADP'!$B$2:$B2766=$B2028,$C2028='Yahoo ADP'!$C$2:$C2766,$D2028='Yahoo ADP'!$D$2:$D2766))"),"")</f>
        <v/>
      </c>
      <c r="F2028" s="13" t="str">
        <f>IFERROR(__xludf.DUMMYFUNCTION("ifna(filter('Yahoo ADP'!$E$2:$E2766,'Yahoo ADP'!$B$2:$B2766=$B2028,$C2028='Yahoo ADP'!$C$2:$C2766,$D2028='Yahoo ADP'!$D$2:$D2766))"),"-")</f>
        <v>-</v>
      </c>
      <c r="G2028" s="27">
        <v>2025.0</v>
      </c>
      <c r="H2028" s="8">
        <f t="shared" si="1"/>
        <v>-2</v>
      </c>
    </row>
    <row r="2029">
      <c r="A2029" s="10">
        <v>2028.0</v>
      </c>
      <c r="B2029" s="11" t="s">
        <v>4873</v>
      </c>
      <c r="C2029" s="10" t="s">
        <v>77</v>
      </c>
      <c r="D2029" s="10" t="s">
        <v>36</v>
      </c>
      <c r="E2029" s="13" t="str">
        <f>IFERROR(__xludf.DUMMYFUNCTION("ifna(filter('Yahoo ADP'!$A$2:$A2766,'Yahoo ADP'!$B$2:$B2766=$B2029,$C2029='Yahoo ADP'!$C$2:$C2766,$D2029='Yahoo ADP'!$D$2:$D2766))"),"")</f>
        <v/>
      </c>
      <c r="F2029" s="13" t="str">
        <f>IFERROR(__xludf.DUMMYFUNCTION("ifna(filter('Yahoo ADP'!$E$2:$E2766,'Yahoo ADP'!$B$2:$B2766=$B2029,$C2029='Yahoo ADP'!$C$2:$C2766,$D2029='Yahoo ADP'!$D$2:$D2766))"),"-")</f>
        <v>-</v>
      </c>
      <c r="G2029" s="27">
        <v>2026.0</v>
      </c>
      <c r="H2029" s="8">
        <f t="shared" si="1"/>
        <v>-2</v>
      </c>
    </row>
    <row r="2030">
      <c r="A2030" s="10">
        <v>2029.0</v>
      </c>
      <c r="B2030" s="11" t="s">
        <v>4874</v>
      </c>
      <c r="C2030" s="10" t="s">
        <v>63</v>
      </c>
      <c r="D2030" s="10" t="s">
        <v>34</v>
      </c>
      <c r="E2030" s="13" t="str">
        <f>IFERROR(__xludf.DUMMYFUNCTION("ifna(filter('Yahoo ADP'!$A$2:$A2766,'Yahoo ADP'!$B$2:$B2766=$B2030,$C2030='Yahoo ADP'!$C$2:$C2766,$D2030='Yahoo ADP'!$D$2:$D2766))"),"")</f>
        <v/>
      </c>
      <c r="F2030" s="13" t="str">
        <f>IFERROR(__xludf.DUMMYFUNCTION("ifna(filter('Yahoo ADP'!$E$2:$E2766,'Yahoo ADP'!$B$2:$B2766=$B2030,$C2030='Yahoo ADP'!$C$2:$C2766,$D2030='Yahoo ADP'!$D$2:$D2766))"),"-")</f>
        <v>-</v>
      </c>
      <c r="G2030" s="27">
        <v>2027.0</v>
      </c>
      <c r="H2030" s="8">
        <f t="shared" si="1"/>
        <v>-2</v>
      </c>
    </row>
    <row r="2031">
      <c r="A2031" s="10">
        <v>2030.0</v>
      </c>
      <c r="B2031" s="11" t="s">
        <v>4875</v>
      </c>
      <c r="C2031" s="10" t="s">
        <v>89</v>
      </c>
      <c r="D2031" s="10" t="s">
        <v>36</v>
      </c>
      <c r="E2031" s="13" t="str">
        <f>IFERROR(__xludf.DUMMYFUNCTION("ifna(filter('Yahoo ADP'!$A$2:$A2766,'Yahoo ADP'!$B$2:$B2766=$B2031,$C2031='Yahoo ADP'!$C$2:$C2766,$D2031='Yahoo ADP'!$D$2:$D2766))"),"")</f>
        <v/>
      </c>
      <c r="F2031" s="13" t="str">
        <f>IFERROR(__xludf.DUMMYFUNCTION("ifna(filter('Yahoo ADP'!$E$2:$E2766,'Yahoo ADP'!$B$2:$B2766=$B2031,$C2031='Yahoo ADP'!$C$2:$C2766,$D2031='Yahoo ADP'!$D$2:$D2766))"),"-")</f>
        <v>-</v>
      </c>
      <c r="G2031" s="27">
        <v>2028.0</v>
      </c>
      <c r="H2031" s="8">
        <f t="shared" si="1"/>
        <v>-2</v>
      </c>
    </row>
    <row r="2032">
      <c r="A2032" s="10">
        <v>2031.0</v>
      </c>
      <c r="B2032" s="11" t="s">
        <v>4876</v>
      </c>
      <c r="C2032" s="10" t="s">
        <v>77</v>
      </c>
      <c r="D2032" s="10" t="s">
        <v>12</v>
      </c>
      <c r="E2032" s="13" t="str">
        <f>IFERROR(__xludf.DUMMYFUNCTION("ifna(filter('Yahoo ADP'!$A$2:$A2766,'Yahoo ADP'!$B$2:$B2766=$B2032,$C2032='Yahoo ADP'!$C$2:$C2766,$D2032='Yahoo ADP'!$D$2:$D2766))"),"")</f>
        <v/>
      </c>
      <c r="F2032" s="13" t="str">
        <f>IFERROR(__xludf.DUMMYFUNCTION("ifna(filter('Yahoo ADP'!$E$2:$E2766,'Yahoo ADP'!$B$2:$B2766=$B2032,$C2032='Yahoo ADP'!$C$2:$C2766,$D2032='Yahoo ADP'!$D$2:$D2766))"),"-")</f>
        <v>-</v>
      </c>
      <c r="G2032" s="27">
        <v>2029.0</v>
      </c>
      <c r="H2032" s="8">
        <f t="shared" si="1"/>
        <v>-2</v>
      </c>
    </row>
    <row r="2033">
      <c r="A2033" s="10">
        <v>2032.0</v>
      </c>
      <c r="B2033" s="11" t="s">
        <v>4877</v>
      </c>
      <c r="C2033" s="10" t="s">
        <v>77</v>
      </c>
      <c r="D2033" s="10" t="s">
        <v>82</v>
      </c>
      <c r="E2033" s="13" t="str">
        <f>IFERROR(__xludf.DUMMYFUNCTION("ifna(filter('Yahoo ADP'!$A$2:$A2766,'Yahoo ADP'!$B$2:$B2766=$B2033,$C2033='Yahoo ADP'!$C$2:$C2766,$D2033='Yahoo ADP'!$D$2:$D2766))"),"")</f>
        <v/>
      </c>
      <c r="F2033" s="13" t="str">
        <f>IFERROR(__xludf.DUMMYFUNCTION("ifna(filter('Yahoo ADP'!$E$2:$E2766,'Yahoo ADP'!$B$2:$B2766=$B2033,$C2033='Yahoo ADP'!$C$2:$C2766,$D2033='Yahoo ADP'!$D$2:$D2766))"),"-")</f>
        <v>-</v>
      </c>
      <c r="G2033" s="27">
        <v>2030.0</v>
      </c>
      <c r="H2033" s="8">
        <f t="shared" si="1"/>
        <v>-2</v>
      </c>
    </row>
    <row r="2034">
      <c r="A2034" s="10">
        <v>2033.0</v>
      </c>
      <c r="B2034" s="11" t="s">
        <v>4878</v>
      </c>
      <c r="C2034" s="10" t="s">
        <v>89</v>
      </c>
      <c r="D2034" s="10" t="s">
        <v>99</v>
      </c>
      <c r="E2034" s="13" t="str">
        <f>IFERROR(__xludf.DUMMYFUNCTION("ifna(filter('Yahoo ADP'!$A$2:$A2766,'Yahoo ADP'!$B$2:$B2766=$B2034,$C2034='Yahoo ADP'!$C$2:$C2766,$D2034='Yahoo ADP'!$D$2:$D2766))"),"")</f>
        <v/>
      </c>
      <c r="F2034" s="13" t="str">
        <f>IFERROR(__xludf.DUMMYFUNCTION("ifna(filter('Yahoo ADP'!$E$2:$E2766,'Yahoo ADP'!$B$2:$B2766=$B2034,$C2034='Yahoo ADP'!$C$2:$C2766,$D2034='Yahoo ADP'!$D$2:$D2766))"),"-")</f>
        <v>-</v>
      </c>
      <c r="G2034" s="27">
        <v>2031.0</v>
      </c>
      <c r="H2034" s="8">
        <f t="shared" si="1"/>
        <v>-2</v>
      </c>
    </row>
    <row r="2035">
      <c r="A2035" s="10">
        <v>2034.0</v>
      </c>
      <c r="B2035" s="11" t="s">
        <v>4879</v>
      </c>
      <c r="C2035" s="10" t="s">
        <v>33</v>
      </c>
      <c r="D2035" s="10" t="s">
        <v>129</v>
      </c>
      <c r="E2035" s="13" t="str">
        <f>IFERROR(__xludf.DUMMYFUNCTION("ifna(filter('Yahoo ADP'!$A$2:$A2766,'Yahoo ADP'!$B$2:$B2766=$B2035,$C2035='Yahoo ADP'!$C$2:$C2766,$D2035='Yahoo ADP'!$D$2:$D2766))"),"")</f>
        <v/>
      </c>
      <c r="F2035" s="13" t="str">
        <f>IFERROR(__xludf.DUMMYFUNCTION("ifna(filter('Yahoo ADP'!$E$2:$E2766,'Yahoo ADP'!$B$2:$B2766=$B2035,$C2035='Yahoo ADP'!$C$2:$C2766,$D2035='Yahoo ADP'!$D$2:$D2766))"),"-")</f>
        <v>-</v>
      </c>
      <c r="G2035" s="27">
        <v>2032.0</v>
      </c>
      <c r="H2035" s="8">
        <f t="shared" si="1"/>
        <v>-2</v>
      </c>
    </row>
    <row r="2036">
      <c r="A2036" s="10">
        <v>2035.0</v>
      </c>
      <c r="B2036" s="11" t="s">
        <v>4880</v>
      </c>
      <c r="C2036" s="10" t="s">
        <v>33</v>
      </c>
      <c r="D2036" s="10" t="s">
        <v>67</v>
      </c>
      <c r="E2036" s="13" t="str">
        <f>IFERROR(__xludf.DUMMYFUNCTION("ifna(filter('Yahoo ADP'!$A$2:$A2766,'Yahoo ADP'!$B$2:$B2766=$B2036,$C2036='Yahoo ADP'!$C$2:$C2766,$D2036='Yahoo ADP'!$D$2:$D2766))"),"")</f>
        <v/>
      </c>
      <c r="F2036" s="13" t="str">
        <f>IFERROR(__xludf.DUMMYFUNCTION("ifna(filter('Yahoo ADP'!$E$2:$E2766,'Yahoo ADP'!$B$2:$B2766=$B2036,$C2036='Yahoo ADP'!$C$2:$C2766,$D2036='Yahoo ADP'!$D$2:$D2766))"),"-")</f>
        <v>-</v>
      </c>
      <c r="G2036" s="27">
        <v>2033.0</v>
      </c>
      <c r="H2036" s="8">
        <f t="shared" si="1"/>
        <v>-2</v>
      </c>
    </row>
    <row r="2037">
      <c r="A2037" s="10">
        <v>2036.0</v>
      </c>
      <c r="B2037" s="11" t="s">
        <v>4881</v>
      </c>
      <c r="C2037" s="10" t="s">
        <v>69</v>
      </c>
      <c r="D2037" s="10" t="s">
        <v>42</v>
      </c>
      <c r="E2037" s="13" t="str">
        <f>IFERROR(__xludf.DUMMYFUNCTION("ifna(filter('Yahoo ADP'!$A$2:$A2766,'Yahoo ADP'!$B$2:$B2766=$B2037,$C2037='Yahoo ADP'!$C$2:$C2766,$D2037='Yahoo ADP'!$D$2:$D2766))"),"")</f>
        <v/>
      </c>
      <c r="F2037" s="13" t="str">
        <f>IFERROR(__xludf.DUMMYFUNCTION("ifna(filter('Yahoo ADP'!$E$2:$E2766,'Yahoo ADP'!$B$2:$B2766=$B2037,$C2037='Yahoo ADP'!$C$2:$C2766,$D2037='Yahoo ADP'!$D$2:$D2766))"),"-")</f>
        <v>-</v>
      </c>
      <c r="G2037" s="27">
        <v>2034.0</v>
      </c>
      <c r="H2037" s="8">
        <f t="shared" si="1"/>
        <v>-2</v>
      </c>
    </row>
    <row r="2038">
      <c r="A2038" s="10">
        <v>2037.0</v>
      </c>
      <c r="B2038" s="11" t="s">
        <v>4882</v>
      </c>
      <c r="C2038" s="10" t="s">
        <v>77</v>
      </c>
      <c r="D2038" s="10" t="s">
        <v>137</v>
      </c>
      <c r="E2038" s="13" t="str">
        <f>IFERROR(__xludf.DUMMYFUNCTION("ifna(filter('Yahoo ADP'!$A$2:$A2766,'Yahoo ADP'!$B$2:$B2766=$B2038,$C2038='Yahoo ADP'!$C$2:$C2766,$D2038='Yahoo ADP'!$D$2:$D2766))"),"")</f>
        <v/>
      </c>
      <c r="F2038" s="13" t="str">
        <f>IFERROR(__xludf.DUMMYFUNCTION("ifna(filter('Yahoo ADP'!$E$2:$E2766,'Yahoo ADP'!$B$2:$B2766=$B2038,$C2038='Yahoo ADP'!$C$2:$C2766,$D2038='Yahoo ADP'!$D$2:$D2766))"),"-")</f>
        <v>-</v>
      </c>
      <c r="G2038" s="27">
        <v>2035.0</v>
      </c>
      <c r="H2038" s="8">
        <f t="shared" si="1"/>
        <v>-2</v>
      </c>
    </row>
    <row r="2039">
      <c r="A2039" s="10">
        <v>2038.0</v>
      </c>
      <c r="B2039" s="11" t="s">
        <v>4883</v>
      </c>
      <c r="C2039" s="10" t="s">
        <v>33</v>
      </c>
      <c r="D2039" s="10" t="s">
        <v>34</v>
      </c>
      <c r="E2039" s="13" t="str">
        <f>IFERROR(__xludf.DUMMYFUNCTION("ifna(filter('Yahoo ADP'!$A$2:$A2766,'Yahoo ADP'!$B$2:$B2766=$B2039,$C2039='Yahoo ADP'!$C$2:$C2766,$D2039='Yahoo ADP'!$D$2:$D2766))"),"")</f>
        <v/>
      </c>
      <c r="F2039" s="13" t="str">
        <f>IFERROR(__xludf.DUMMYFUNCTION("ifna(filter('Yahoo ADP'!$E$2:$E2766,'Yahoo ADP'!$B$2:$B2766=$B2039,$C2039='Yahoo ADP'!$C$2:$C2766,$D2039='Yahoo ADP'!$D$2:$D2766))"),"-")</f>
        <v>-</v>
      </c>
      <c r="G2039" s="27">
        <v>2036.0</v>
      </c>
      <c r="H2039" s="8">
        <f t="shared" si="1"/>
        <v>-2</v>
      </c>
    </row>
    <row r="2040">
      <c r="A2040" s="10">
        <v>2039.0</v>
      </c>
      <c r="B2040" s="11" t="s">
        <v>4884</v>
      </c>
      <c r="C2040" s="10" t="s">
        <v>33</v>
      </c>
      <c r="D2040" s="10" t="s">
        <v>95</v>
      </c>
      <c r="E2040" s="13" t="str">
        <f>IFERROR(__xludf.DUMMYFUNCTION("ifna(filter('Yahoo ADP'!$A$2:$A2766,'Yahoo ADP'!$B$2:$B2766=$B2040,$C2040='Yahoo ADP'!$C$2:$C2766,$D2040='Yahoo ADP'!$D$2:$D2766))"),"")</f>
        <v/>
      </c>
      <c r="F2040" s="13" t="str">
        <f>IFERROR(__xludf.DUMMYFUNCTION("ifna(filter('Yahoo ADP'!$E$2:$E2766,'Yahoo ADP'!$B$2:$B2766=$B2040,$C2040='Yahoo ADP'!$C$2:$C2766,$D2040='Yahoo ADP'!$D$2:$D2766))"),"-")</f>
        <v>-</v>
      </c>
      <c r="G2040" s="27">
        <v>2037.0</v>
      </c>
      <c r="H2040" s="8">
        <f t="shared" si="1"/>
        <v>-2</v>
      </c>
    </row>
    <row r="2041">
      <c r="A2041" s="10">
        <v>2040.0</v>
      </c>
      <c r="B2041" s="11" t="s">
        <v>4885</v>
      </c>
      <c r="C2041" s="10" t="s">
        <v>33</v>
      </c>
      <c r="D2041" s="10" t="s">
        <v>85</v>
      </c>
      <c r="E2041" s="13" t="str">
        <f>IFERROR(__xludf.DUMMYFUNCTION("ifna(filter('Yahoo ADP'!$A$2:$A2766,'Yahoo ADP'!$B$2:$B2766=$B2041,$C2041='Yahoo ADP'!$C$2:$C2766,$D2041='Yahoo ADP'!$D$2:$D2766))"),"")</f>
        <v/>
      </c>
      <c r="F2041" s="13" t="str">
        <f>IFERROR(__xludf.DUMMYFUNCTION("ifna(filter('Yahoo ADP'!$E$2:$E2766,'Yahoo ADP'!$B$2:$B2766=$B2041,$C2041='Yahoo ADP'!$C$2:$C2766,$D2041='Yahoo ADP'!$D$2:$D2766))"),"-")</f>
        <v>-</v>
      </c>
      <c r="G2041" s="27">
        <v>2038.0</v>
      </c>
      <c r="H2041" s="8">
        <f t="shared" si="1"/>
        <v>-2</v>
      </c>
    </row>
    <row r="2042">
      <c r="A2042" s="10">
        <v>2041.0</v>
      </c>
      <c r="B2042" s="11" t="s">
        <v>4886</v>
      </c>
      <c r="C2042" s="10" t="s">
        <v>33</v>
      </c>
      <c r="D2042" s="10" t="s">
        <v>140</v>
      </c>
      <c r="E2042" s="13" t="str">
        <f>IFERROR(__xludf.DUMMYFUNCTION("ifna(filter('Yahoo ADP'!$A$2:$A2766,'Yahoo ADP'!$B$2:$B2766=$B2042,$C2042='Yahoo ADP'!$C$2:$C2766,$D2042='Yahoo ADP'!$D$2:$D2766))"),"")</f>
        <v/>
      </c>
      <c r="F2042" s="13" t="str">
        <f>IFERROR(__xludf.DUMMYFUNCTION("ifna(filter('Yahoo ADP'!$E$2:$E2766,'Yahoo ADP'!$B$2:$B2766=$B2042,$C2042='Yahoo ADP'!$C$2:$C2766,$D2042='Yahoo ADP'!$D$2:$D2766))"),"-")</f>
        <v>-</v>
      </c>
      <c r="G2042" s="27">
        <v>2039.0</v>
      </c>
      <c r="H2042" s="8">
        <f t="shared" si="1"/>
        <v>-2</v>
      </c>
    </row>
    <row r="2043">
      <c r="A2043" s="10">
        <v>2042.0</v>
      </c>
      <c r="B2043" s="11" t="s">
        <v>4887</v>
      </c>
      <c r="C2043" s="10" t="s">
        <v>77</v>
      </c>
      <c r="D2043" s="10" t="s">
        <v>25</v>
      </c>
      <c r="E2043" s="13" t="str">
        <f>IFERROR(__xludf.DUMMYFUNCTION("ifna(filter('Yahoo ADP'!$A$2:$A2766,'Yahoo ADP'!$B$2:$B2766=$B2043,$C2043='Yahoo ADP'!$C$2:$C2766,$D2043='Yahoo ADP'!$D$2:$D2766))"),"")</f>
        <v/>
      </c>
      <c r="F2043" s="13" t="str">
        <f>IFERROR(__xludf.DUMMYFUNCTION("ifna(filter('Yahoo ADP'!$E$2:$E2766,'Yahoo ADP'!$B$2:$B2766=$B2043,$C2043='Yahoo ADP'!$C$2:$C2766,$D2043='Yahoo ADP'!$D$2:$D2766))"),"-")</f>
        <v>-</v>
      </c>
      <c r="G2043" s="27">
        <v>2040.0</v>
      </c>
      <c r="H2043" s="8">
        <f t="shared" si="1"/>
        <v>-2</v>
      </c>
    </row>
    <row r="2044">
      <c r="A2044" s="10">
        <v>2043.0</v>
      </c>
      <c r="B2044" s="11" t="s">
        <v>4888</v>
      </c>
      <c r="C2044" s="10" t="s">
        <v>55</v>
      </c>
      <c r="D2044" s="10" t="s">
        <v>122</v>
      </c>
      <c r="E2044" s="13" t="str">
        <f>IFERROR(__xludf.DUMMYFUNCTION("ifna(filter('Yahoo ADP'!$A$2:$A2766,'Yahoo ADP'!$B$2:$B2766=$B2044,$C2044='Yahoo ADP'!$C$2:$C2766,$D2044='Yahoo ADP'!$D$2:$D2766))"),"")</f>
        <v/>
      </c>
      <c r="F2044" s="13" t="str">
        <f>IFERROR(__xludf.DUMMYFUNCTION("ifna(filter('Yahoo ADP'!$E$2:$E2766,'Yahoo ADP'!$B$2:$B2766=$B2044,$C2044='Yahoo ADP'!$C$2:$C2766,$D2044='Yahoo ADP'!$D$2:$D2766))"),"-")</f>
        <v>-</v>
      </c>
      <c r="G2044" s="27">
        <v>2041.0</v>
      </c>
      <c r="H2044" s="8">
        <f t="shared" si="1"/>
        <v>-2</v>
      </c>
    </row>
    <row r="2045">
      <c r="A2045" s="10">
        <v>2044.0</v>
      </c>
      <c r="B2045" s="11" t="s">
        <v>4889</v>
      </c>
      <c r="C2045" s="10" t="s">
        <v>69</v>
      </c>
      <c r="D2045" s="10" t="s">
        <v>49</v>
      </c>
      <c r="E2045" s="13" t="str">
        <f>IFERROR(__xludf.DUMMYFUNCTION("ifna(filter('Yahoo ADP'!$A$2:$A2766,'Yahoo ADP'!$B$2:$B2766=$B2045,$C2045='Yahoo ADP'!$C$2:$C2766,$D2045='Yahoo ADP'!$D$2:$D2766))"),"")</f>
        <v/>
      </c>
      <c r="F2045" s="13" t="str">
        <f>IFERROR(__xludf.DUMMYFUNCTION("ifna(filter('Yahoo ADP'!$E$2:$E2766,'Yahoo ADP'!$B$2:$B2766=$B2045,$C2045='Yahoo ADP'!$C$2:$C2766,$D2045='Yahoo ADP'!$D$2:$D2766))"),"-")</f>
        <v>-</v>
      </c>
      <c r="G2045" s="27">
        <v>2042.0</v>
      </c>
      <c r="H2045" s="8">
        <f t="shared" si="1"/>
        <v>-2</v>
      </c>
    </row>
    <row r="2046">
      <c r="A2046" s="10">
        <v>2045.0</v>
      </c>
      <c r="B2046" s="11" t="s">
        <v>4890</v>
      </c>
      <c r="C2046" s="10" t="s">
        <v>33</v>
      </c>
      <c r="D2046" s="10" t="s">
        <v>85</v>
      </c>
      <c r="E2046" s="13" t="str">
        <f>IFERROR(__xludf.DUMMYFUNCTION("ifna(filter('Yahoo ADP'!$A$2:$A2766,'Yahoo ADP'!$B$2:$B2766=$B2046,$C2046='Yahoo ADP'!$C$2:$C2766,$D2046='Yahoo ADP'!$D$2:$D2766))"),"")</f>
        <v/>
      </c>
      <c r="F2046" s="13" t="str">
        <f>IFERROR(__xludf.DUMMYFUNCTION("ifna(filter('Yahoo ADP'!$E$2:$E2766,'Yahoo ADP'!$B$2:$B2766=$B2046,$C2046='Yahoo ADP'!$C$2:$C2766,$D2046='Yahoo ADP'!$D$2:$D2766))"),"-")</f>
        <v>-</v>
      </c>
      <c r="G2046" s="27">
        <v>2043.0</v>
      </c>
      <c r="H2046" s="8">
        <f t="shared" si="1"/>
        <v>-2</v>
      </c>
    </row>
    <row r="2047">
      <c r="A2047" s="10">
        <v>2046.0</v>
      </c>
      <c r="B2047" s="11" t="s">
        <v>4891</v>
      </c>
      <c r="C2047" s="10" t="s">
        <v>33</v>
      </c>
      <c r="D2047" s="10" t="s">
        <v>31</v>
      </c>
      <c r="E2047" s="13" t="str">
        <f>IFERROR(__xludf.DUMMYFUNCTION("ifna(filter('Yahoo ADP'!$A$2:$A2766,'Yahoo ADP'!$B$2:$B2766=$B2047,$C2047='Yahoo ADP'!$C$2:$C2766,$D2047='Yahoo ADP'!$D$2:$D2766))"),"")</f>
        <v/>
      </c>
      <c r="F2047" s="13" t="str">
        <f>IFERROR(__xludf.DUMMYFUNCTION("ifna(filter('Yahoo ADP'!$E$2:$E2766,'Yahoo ADP'!$B$2:$B2766=$B2047,$C2047='Yahoo ADP'!$C$2:$C2766,$D2047='Yahoo ADP'!$D$2:$D2766))"),"-")</f>
        <v>-</v>
      </c>
      <c r="G2047" s="27">
        <v>2044.0</v>
      </c>
      <c r="H2047" s="8">
        <f t="shared" si="1"/>
        <v>-2</v>
      </c>
    </row>
    <row r="2048">
      <c r="A2048" s="10">
        <v>2047.0</v>
      </c>
      <c r="B2048" s="11" t="s">
        <v>4892</v>
      </c>
      <c r="C2048" s="10" t="s">
        <v>17</v>
      </c>
      <c r="D2048" s="10" t="s">
        <v>25</v>
      </c>
      <c r="E2048" s="13" t="str">
        <f>IFERROR(__xludf.DUMMYFUNCTION("ifna(filter('Yahoo ADP'!$A$2:$A2766,'Yahoo ADP'!$B$2:$B2766=$B2048,$C2048='Yahoo ADP'!$C$2:$C2766,$D2048='Yahoo ADP'!$D$2:$D2766))"),"")</f>
        <v/>
      </c>
      <c r="F2048" s="13" t="str">
        <f>IFERROR(__xludf.DUMMYFUNCTION("ifna(filter('Yahoo ADP'!$E$2:$E2766,'Yahoo ADP'!$B$2:$B2766=$B2048,$C2048='Yahoo ADP'!$C$2:$C2766,$D2048='Yahoo ADP'!$D$2:$D2766))"),"-")</f>
        <v>-</v>
      </c>
      <c r="G2048" s="27">
        <v>2045.0</v>
      </c>
      <c r="H2048" s="8">
        <f t="shared" si="1"/>
        <v>-2</v>
      </c>
    </row>
    <row r="2049">
      <c r="A2049" s="10">
        <v>2048.0</v>
      </c>
      <c r="B2049" s="11" t="s">
        <v>4893</v>
      </c>
      <c r="C2049" s="10" t="s">
        <v>33</v>
      </c>
      <c r="D2049" s="10" t="s">
        <v>120</v>
      </c>
      <c r="E2049" s="13" t="str">
        <f>IFERROR(__xludf.DUMMYFUNCTION("ifna(filter('Yahoo ADP'!$A$2:$A2766,'Yahoo ADP'!$B$2:$B2766=$B2049,$C2049='Yahoo ADP'!$C$2:$C2766,$D2049='Yahoo ADP'!$D$2:$D2766))"),"")</f>
        <v/>
      </c>
      <c r="F2049" s="13" t="str">
        <f>IFERROR(__xludf.DUMMYFUNCTION("ifna(filter('Yahoo ADP'!$E$2:$E2766,'Yahoo ADP'!$B$2:$B2766=$B2049,$C2049='Yahoo ADP'!$C$2:$C2766,$D2049='Yahoo ADP'!$D$2:$D2766))"),"-")</f>
        <v>-</v>
      </c>
      <c r="G2049" s="27">
        <v>2046.0</v>
      </c>
      <c r="H2049" s="8">
        <f t="shared" si="1"/>
        <v>-2</v>
      </c>
    </row>
    <row r="2050">
      <c r="A2050" s="10">
        <v>2049.0</v>
      </c>
      <c r="B2050" s="11" t="s">
        <v>4894</v>
      </c>
      <c r="C2050" s="10" t="s">
        <v>77</v>
      </c>
      <c r="D2050" s="10" t="s">
        <v>90</v>
      </c>
      <c r="E2050" s="13" t="str">
        <f>IFERROR(__xludf.DUMMYFUNCTION("ifna(filter('Yahoo ADP'!$A$2:$A2766,'Yahoo ADP'!$B$2:$B2766=$B2050,$C2050='Yahoo ADP'!$C$2:$C2766,$D2050='Yahoo ADP'!$D$2:$D2766))"),"")</f>
        <v/>
      </c>
      <c r="F2050" s="13" t="str">
        <f>IFERROR(__xludf.DUMMYFUNCTION("ifna(filter('Yahoo ADP'!$E$2:$E2766,'Yahoo ADP'!$B$2:$B2766=$B2050,$C2050='Yahoo ADP'!$C$2:$C2766,$D2050='Yahoo ADP'!$D$2:$D2766))"),"-")</f>
        <v>-</v>
      </c>
      <c r="G2050" s="27">
        <v>2047.0</v>
      </c>
      <c r="H2050" s="8">
        <f t="shared" si="1"/>
        <v>-2</v>
      </c>
    </row>
    <row r="2051">
      <c r="A2051" s="10">
        <v>2050.0</v>
      </c>
      <c r="B2051" s="11" t="s">
        <v>4895</v>
      </c>
      <c r="C2051" s="10" t="s">
        <v>77</v>
      </c>
      <c r="D2051" s="10" t="s">
        <v>85</v>
      </c>
      <c r="E2051" s="13" t="str">
        <f>IFERROR(__xludf.DUMMYFUNCTION("ifna(filter('Yahoo ADP'!$A$2:$A2766,'Yahoo ADP'!$B$2:$B2766=$B2051,$C2051='Yahoo ADP'!$C$2:$C2766,$D2051='Yahoo ADP'!$D$2:$D2766))"),"")</f>
        <v/>
      </c>
      <c r="F2051" s="13" t="str">
        <f>IFERROR(__xludf.DUMMYFUNCTION("ifna(filter('Yahoo ADP'!$E$2:$E2766,'Yahoo ADP'!$B$2:$B2766=$B2051,$C2051='Yahoo ADP'!$C$2:$C2766,$D2051='Yahoo ADP'!$D$2:$D2766))"),"-")</f>
        <v>-</v>
      </c>
      <c r="G2051" s="27">
        <v>2048.0</v>
      </c>
      <c r="H2051" s="8">
        <f t="shared" si="1"/>
        <v>-2</v>
      </c>
    </row>
    <row r="2052">
      <c r="A2052" s="10">
        <v>2051.0</v>
      </c>
      <c r="B2052" s="11" t="s">
        <v>4896</v>
      </c>
      <c r="C2052" s="10" t="s">
        <v>20</v>
      </c>
      <c r="D2052" s="10" t="s">
        <v>25</v>
      </c>
      <c r="E2052" s="13" t="str">
        <f>IFERROR(__xludf.DUMMYFUNCTION("ifna(filter('Yahoo ADP'!$A$2:$A2766,'Yahoo ADP'!$B$2:$B2766=$B2052,$C2052='Yahoo ADP'!$C$2:$C2766,$D2052='Yahoo ADP'!$D$2:$D2766))"),"")</f>
        <v/>
      </c>
      <c r="F2052" s="13" t="str">
        <f>IFERROR(__xludf.DUMMYFUNCTION("ifna(filter('Yahoo ADP'!$E$2:$E2766,'Yahoo ADP'!$B$2:$B2766=$B2052,$C2052='Yahoo ADP'!$C$2:$C2766,$D2052='Yahoo ADP'!$D$2:$D2766))"),"-")</f>
        <v>-</v>
      </c>
      <c r="G2052" s="27">
        <v>2049.0</v>
      </c>
      <c r="H2052" s="8">
        <f t="shared" si="1"/>
        <v>-2</v>
      </c>
    </row>
    <row r="2053">
      <c r="A2053" s="10">
        <v>2052.0</v>
      </c>
      <c r="B2053" s="11" t="s">
        <v>4897</v>
      </c>
      <c r="C2053" s="10" t="s">
        <v>8</v>
      </c>
      <c r="D2053" s="10" t="s">
        <v>27</v>
      </c>
      <c r="E2053" s="13" t="str">
        <f>IFERROR(__xludf.DUMMYFUNCTION("ifna(filter('Yahoo ADP'!$A$2:$A2766,'Yahoo ADP'!$B$2:$B2766=$B2053,$C2053='Yahoo ADP'!$C$2:$C2766,$D2053='Yahoo ADP'!$D$2:$D2766))"),"")</f>
        <v/>
      </c>
      <c r="F2053" s="13" t="str">
        <f>IFERROR(__xludf.DUMMYFUNCTION("ifna(filter('Yahoo ADP'!$E$2:$E2766,'Yahoo ADP'!$B$2:$B2766=$B2053,$C2053='Yahoo ADP'!$C$2:$C2766,$D2053='Yahoo ADP'!$D$2:$D2766))"),"-")</f>
        <v>-</v>
      </c>
      <c r="G2053" s="27">
        <v>2050.0</v>
      </c>
      <c r="H2053" s="8">
        <f t="shared" si="1"/>
        <v>-2</v>
      </c>
    </row>
    <row r="2054">
      <c r="A2054" s="10">
        <v>2053.0</v>
      </c>
      <c r="B2054" s="11" t="s">
        <v>4898</v>
      </c>
      <c r="C2054" s="10" t="s">
        <v>77</v>
      </c>
      <c r="D2054" s="10" t="s">
        <v>82</v>
      </c>
      <c r="E2054" s="13" t="str">
        <f>IFERROR(__xludf.DUMMYFUNCTION("ifna(filter('Yahoo ADP'!$A$2:$A2766,'Yahoo ADP'!$B$2:$B2766=$B2054,$C2054='Yahoo ADP'!$C$2:$C2766,$D2054='Yahoo ADP'!$D$2:$D2766))"),"")</f>
        <v/>
      </c>
      <c r="F2054" s="13" t="str">
        <f>IFERROR(__xludf.DUMMYFUNCTION("ifna(filter('Yahoo ADP'!$E$2:$E2766,'Yahoo ADP'!$B$2:$B2766=$B2054,$C2054='Yahoo ADP'!$C$2:$C2766,$D2054='Yahoo ADP'!$D$2:$D2766))"),"-")</f>
        <v>-</v>
      </c>
      <c r="G2054" s="27">
        <v>2051.0</v>
      </c>
      <c r="H2054" s="8">
        <f t="shared" si="1"/>
        <v>-2</v>
      </c>
    </row>
    <row r="2055">
      <c r="A2055" s="10">
        <v>2054.0</v>
      </c>
      <c r="B2055" s="11" t="s">
        <v>4899</v>
      </c>
      <c r="C2055" s="10" t="s">
        <v>77</v>
      </c>
      <c r="D2055" s="10" t="s">
        <v>15</v>
      </c>
      <c r="E2055" s="13" t="str">
        <f>IFERROR(__xludf.DUMMYFUNCTION("ifna(filter('Yahoo ADP'!$A$2:$A2766,'Yahoo ADP'!$B$2:$B2766=$B2055,$C2055='Yahoo ADP'!$C$2:$C2766,$D2055='Yahoo ADP'!$D$2:$D2766))"),"")</f>
        <v/>
      </c>
      <c r="F2055" s="13" t="str">
        <f>IFERROR(__xludf.DUMMYFUNCTION("ifna(filter('Yahoo ADP'!$E$2:$E2766,'Yahoo ADP'!$B$2:$B2766=$B2055,$C2055='Yahoo ADP'!$C$2:$C2766,$D2055='Yahoo ADP'!$D$2:$D2766))"),"-")</f>
        <v>-</v>
      </c>
      <c r="G2055" s="27">
        <v>2052.0</v>
      </c>
      <c r="H2055" s="8">
        <f t="shared" si="1"/>
        <v>-2</v>
      </c>
    </row>
    <row r="2056">
      <c r="A2056" s="10">
        <v>2055.0</v>
      </c>
      <c r="B2056" s="11" t="s">
        <v>4900</v>
      </c>
      <c r="C2056" s="10" t="s">
        <v>77</v>
      </c>
      <c r="D2056" s="10" t="s">
        <v>140</v>
      </c>
      <c r="E2056" s="13" t="str">
        <f>IFERROR(__xludf.DUMMYFUNCTION("ifna(filter('Yahoo ADP'!$A$2:$A2766,'Yahoo ADP'!$B$2:$B2766=$B2056,$C2056='Yahoo ADP'!$C$2:$C2766,$D2056='Yahoo ADP'!$D$2:$D2766))"),"")</f>
        <v/>
      </c>
      <c r="F2056" s="13" t="str">
        <f>IFERROR(__xludf.DUMMYFUNCTION("ifna(filter('Yahoo ADP'!$E$2:$E2766,'Yahoo ADP'!$B$2:$B2766=$B2056,$C2056='Yahoo ADP'!$C$2:$C2766,$D2056='Yahoo ADP'!$D$2:$D2766))"),"-")</f>
        <v>-</v>
      </c>
      <c r="G2056" s="27">
        <v>2053.0</v>
      </c>
      <c r="H2056" s="8">
        <f t="shared" si="1"/>
        <v>-2</v>
      </c>
    </row>
    <row r="2057">
      <c r="A2057" s="10">
        <v>2056.0</v>
      </c>
      <c r="B2057" s="11" t="s">
        <v>4901</v>
      </c>
      <c r="C2057" s="10" t="s">
        <v>20</v>
      </c>
      <c r="D2057" s="10" t="s">
        <v>34</v>
      </c>
      <c r="E2057" s="13" t="str">
        <f>IFERROR(__xludf.DUMMYFUNCTION("ifna(filter('Yahoo ADP'!$A$2:$A2766,'Yahoo ADP'!$B$2:$B2766=$B2057,$C2057='Yahoo ADP'!$C$2:$C2766,$D2057='Yahoo ADP'!$D$2:$D2766))"),"")</f>
        <v/>
      </c>
      <c r="F2057" s="13" t="str">
        <f>IFERROR(__xludf.DUMMYFUNCTION("ifna(filter('Yahoo ADP'!$E$2:$E2766,'Yahoo ADP'!$B$2:$B2766=$B2057,$C2057='Yahoo ADP'!$C$2:$C2766,$D2057='Yahoo ADP'!$D$2:$D2766))"),"-")</f>
        <v>-</v>
      </c>
      <c r="G2057" s="27">
        <v>2054.0</v>
      </c>
      <c r="H2057" s="8">
        <f t="shared" si="1"/>
        <v>-2</v>
      </c>
    </row>
    <row r="2058">
      <c r="A2058" s="10">
        <v>2057.0</v>
      </c>
      <c r="B2058" s="11" t="s">
        <v>4902</v>
      </c>
      <c r="C2058" s="10" t="s">
        <v>39</v>
      </c>
      <c r="D2058" s="10" t="s">
        <v>34</v>
      </c>
      <c r="E2058" s="13" t="str">
        <f>IFERROR(__xludf.DUMMYFUNCTION("ifna(filter('Yahoo ADP'!$A$2:$A2766,'Yahoo ADP'!$B$2:$B2766=$B2058,$C2058='Yahoo ADP'!$C$2:$C2766,$D2058='Yahoo ADP'!$D$2:$D2766))"),"")</f>
        <v/>
      </c>
      <c r="F2058" s="13" t="str">
        <f>IFERROR(__xludf.DUMMYFUNCTION("ifna(filter('Yahoo ADP'!$E$2:$E2766,'Yahoo ADP'!$B$2:$B2766=$B2058,$C2058='Yahoo ADP'!$C$2:$C2766,$D2058='Yahoo ADP'!$D$2:$D2766))"),"-")</f>
        <v>-</v>
      </c>
      <c r="G2058" s="27">
        <v>2055.0</v>
      </c>
      <c r="H2058" s="8">
        <f t="shared" si="1"/>
        <v>-2</v>
      </c>
    </row>
    <row r="2059">
      <c r="A2059" s="10">
        <v>2058.0</v>
      </c>
      <c r="B2059" s="11" t="s">
        <v>4903</v>
      </c>
      <c r="C2059" s="10" t="s">
        <v>8</v>
      </c>
      <c r="D2059" s="10" t="s">
        <v>49</v>
      </c>
      <c r="E2059" s="13" t="str">
        <f>IFERROR(__xludf.DUMMYFUNCTION("ifna(filter('Yahoo ADP'!$A$2:$A2766,'Yahoo ADP'!$B$2:$B2766=$B2059,$C2059='Yahoo ADP'!$C$2:$C2766,$D2059='Yahoo ADP'!$D$2:$D2766))"),"")</f>
        <v/>
      </c>
      <c r="F2059" s="13" t="str">
        <f>IFERROR(__xludf.DUMMYFUNCTION("ifna(filter('Yahoo ADP'!$E$2:$E2766,'Yahoo ADP'!$B$2:$B2766=$B2059,$C2059='Yahoo ADP'!$C$2:$C2766,$D2059='Yahoo ADP'!$D$2:$D2766))"),"-")</f>
        <v>-</v>
      </c>
      <c r="G2059" s="27">
        <v>2056.0</v>
      </c>
      <c r="H2059" s="8">
        <f t="shared" si="1"/>
        <v>-2</v>
      </c>
    </row>
    <row r="2060">
      <c r="A2060" s="10">
        <v>2059.0</v>
      </c>
      <c r="B2060" s="11" t="s">
        <v>4904</v>
      </c>
      <c r="C2060" s="10" t="s">
        <v>8</v>
      </c>
      <c r="D2060" s="10" t="s">
        <v>71</v>
      </c>
      <c r="E2060" s="13" t="str">
        <f>IFERROR(__xludf.DUMMYFUNCTION("ifna(filter('Yahoo ADP'!$A$2:$A2766,'Yahoo ADP'!$B$2:$B2766=$B2060,$C2060='Yahoo ADP'!$C$2:$C2766,$D2060='Yahoo ADP'!$D$2:$D2766))"),"")</f>
        <v/>
      </c>
      <c r="F2060" s="13" t="str">
        <f>IFERROR(__xludf.DUMMYFUNCTION("ifna(filter('Yahoo ADP'!$E$2:$E2766,'Yahoo ADP'!$B$2:$B2766=$B2060,$C2060='Yahoo ADP'!$C$2:$C2766,$D2060='Yahoo ADP'!$D$2:$D2766))"),"-")</f>
        <v>-</v>
      </c>
      <c r="G2060" s="27">
        <v>2057.0</v>
      </c>
      <c r="H2060" s="8">
        <f t="shared" si="1"/>
        <v>-2</v>
      </c>
    </row>
    <row r="2061">
      <c r="A2061" s="10">
        <v>2060.0</v>
      </c>
      <c r="B2061" s="11" t="s">
        <v>4905</v>
      </c>
      <c r="C2061" s="10" t="s">
        <v>17</v>
      </c>
      <c r="D2061" s="10" t="s">
        <v>25</v>
      </c>
      <c r="E2061" s="13" t="str">
        <f>IFERROR(__xludf.DUMMYFUNCTION("ifna(filter('Yahoo ADP'!$A$2:$A2766,'Yahoo ADP'!$B$2:$B2766=$B2061,$C2061='Yahoo ADP'!$C$2:$C2766,$D2061='Yahoo ADP'!$D$2:$D2766))"),"")</f>
        <v/>
      </c>
      <c r="F2061" s="13" t="str">
        <f>IFERROR(__xludf.DUMMYFUNCTION("ifna(filter('Yahoo ADP'!$E$2:$E2766,'Yahoo ADP'!$B$2:$B2766=$B2061,$C2061='Yahoo ADP'!$C$2:$C2766,$D2061='Yahoo ADP'!$D$2:$D2766))"),"-")</f>
        <v>-</v>
      </c>
      <c r="G2061" s="27">
        <v>2058.0</v>
      </c>
      <c r="H2061" s="8">
        <f t="shared" si="1"/>
        <v>-2</v>
      </c>
    </row>
    <row r="2062">
      <c r="A2062" s="10">
        <v>2061.0</v>
      </c>
      <c r="B2062" s="11" t="s">
        <v>4906</v>
      </c>
      <c r="C2062" s="10" t="s">
        <v>33</v>
      </c>
      <c r="D2062" s="10" t="s">
        <v>122</v>
      </c>
      <c r="E2062" s="13" t="str">
        <f>IFERROR(__xludf.DUMMYFUNCTION("ifna(filter('Yahoo ADP'!$A$2:$A2766,'Yahoo ADP'!$B$2:$B2766=$B2062,$C2062='Yahoo ADP'!$C$2:$C2766,$D2062='Yahoo ADP'!$D$2:$D2766))"),"")</f>
        <v/>
      </c>
      <c r="F2062" s="13" t="str">
        <f>IFERROR(__xludf.DUMMYFUNCTION("ifna(filter('Yahoo ADP'!$E$2:$E2766,'Yahoo ADP'!$B$2:$B2766=$B2062,$C2062='Yahoo ADP'!$C$2:$C2766,$D2062='Yahoo ADP'!$D$2:$D2766))"),"-")</f>
        <v>-</v>
      </c>
      <c r="G2062" s="27">
        <v>2059.0</v>
      </c>
      <c r="H2062" s="8">
        <f t="shared" si="1"/>
        <v>-2</v>
      </c>
    </row>
    <row r="2063">
      <c r="A2063" s="10">
        <v>2062.0</v>
      </c>
      <c r="B2063" s="11" t="s">
        <v>4907</v>
      </c>
      <c r="C2063" s="10" t="s">
        <v>77</v>
      </c>
      <c r="D2063" s="10" t="s">
        <v>12</v>
      </c>
      <c r="E2063" s="13" t="str">
        <f>IFERROR(__xludf.DUMMYFUNCTION("ifna(filter('Yahoo ADP'!$A$2:$A2766,'Yahoo ADP'!$B$2:$B2766=$B2063,$C2063='Yahoo ADP'!$C$2:$C2766,$D2063='Yahoo ADP'!$D$2:$D2766))"),"")</f>
        <v/>
      </c>
      <c r="F2063" s="13" t="str">
        <f>IFERROR(__xludf.DUMMYFUNCTION("ifna(filter('Yahoo ADP'!$E$2:$E2766,'Yahoo ADP'!$B$2:$B2766=$B2063,$C2063='Yahoo ADP'!$C$2:$C2766,$D2063='Yahoo ADP'!$D$2:$D2766))"),"-")</f>
        <v>-</v>
      </c>
      <c r="G2063" s="27">
        <v>2060.0</v>
      </c>
      <c r="H2063" s="8">
        <f t="shared" si="1"/>
        <v>-2</v>
      </c>
    </row>
    <row r="2064">
      <c r="A2064" s="10">
        <v>2063.0</v>
      </c>
      <c r="B2064" s="11" t="s">
        <v>4908</v>
      </c>
      <c r="C2064" s="10" t="s">
        <v>55</v>
      </c>
      <c r="D2064" s="10" t="s">
        <v>67</v>
      </c>
      <c r="E2064" s="13" t="str">
        <f>IFERROR(__xludf.DUMMYFUNCTION("ifna(filter('Yahoo ADP'!$A$2:$A2766,'Yahoo ADP'!$B$2:$B2766=$B2064,$C2064='Yahoo ADP'!$C$2:$C2766,$D2064='Yahoo ADP'!$D$2:$D2766))"),"")</f>
        <v/>
      </c>
      <c r="F2064" s="13" t="str">
        <f>IFERROR(__xludf.DUMMYFUNCTION("ifna(filter('Yahoo ADP'!$E$2:$E2766,'Yahoo ADP'!$B$2:$B2766=$B2064,$C2064='Yahoo ADP'!$C$2:$C2766,$D2064='Yahoo ADP'!$D$2:$D2766))"),"-")</f>
        <v>-</v>
      </c>
      <c r="G2064" s="27">
        <v>2061.0</v>
      </c>
      <c r="H2064" s="8">
        <f t="shared" si="1"/>
        <v>-2</v>
      </c>
    </row>
    <row r="2065">
      <c r="A2065" s="10">
        <v>2064.0</v>
      </c>
      <c r="B2065" s="11" t="s">
        <v>4909</v>
      </c>
      <c r="C2065" s="10" t="s">
        <v>17</v>
      </c>
      <c r="D2065" s="10" t="s">
        <v>18</v>
      </c>
      <c r="E2065" s="13" t="str">
        <f>IFERROR(__xludf.DUMMYFUNCTION("ifna(filter('Yahoo ADP'!$A$2:$A2766,'Yahoo ADP'!$B$2:$B2766=$B2065,$C2065='Yahoo ADP'!$C$2:$C2766,$D2065='Yahoo ADP'!$D$2:$D2766))"),"")</f>
        <v/>
      </c>
      <c r="F2065" s="13" t="str">
        <f>IFERROR(__xludf.DUMMYFUNCTION("ifna(filter('Yahoo ADP'!$E$2:$E2766,'Yahoo ADP'!$B$2:$B2766=$B2065,$C2065='Yahoo ADP'!$C$2:$C2766,$D2065='Yahoo ADP'!$D$2:$D2766))"),"-")</f>
        <v>-</v>
      </c>
      <c r="G2065" s="27">
        <v>2062.0</v>
      </c>
      <c r="H2065" s="8">
        <f t="shared" si="1"/>
        <v>-2</v>
      </c>
    </row>
    <row r="2066">
      <c r="A2066" s="10">
        <v>2065.0</v>
      </c>
      <c r="B2066" s="11" t="s">
        <v>4910</v>
      </c>
      <c r="C2066" s="10" t="s">
        <v>14</v>
      </c>
      <c r="D2066" s="10" t="s">
        <v>42</v>
      </c>
      <c r="E2066" s="13" t="str">
        <f>IFERROR(__xludf.DUMMYFUNCTION("ifna(filter('Yahoo ADP'!$A$2:$A2766,'Yahoo ADP'!$B$2:$B2766=$B2066,$C2066='Yahoo ADP'!$C$2:$C2766,$D2066='Yahoo ADP'!$D$2:$D2766))"),"")</f>
        <v/>
      </c>
      <c r="F2066" s="13" t="str">
        <f>IFERROR(__xludf.DUMMYFUNCTION("ifna(filter('Yahoo ADP'!$E$2:$E2766,'Yahoo ADP'!$B$2:$B2766=$B2066,$C2066='Yahoo ADP'!$C$2:$C2766,$D2066='Yahoo ADP'!$D$2:$D2766))"),"-")</f>
        <v>-</v>
      </c>
      <c r="G2066" s="27">
        <v>2063.0</v>
      </c>
      <c r="H2066" s="8">
        <f t="shared" si="1"/>
        <v>-2</v>
      </c>
    </row>
    <row r="2067">
      <c r="A2067" s="10">
        <v>2066.0</v>
      </c>
      <c r="B2067" s="11" t="s">
        <v>4911</v>
      </c>
      <c r="C2067" s="10" t="s">
        <v>14</v>
      </c>
      <c r="D2067" s="10" t="s">
        <v>36</v>
      </c>
      <c r="E2067" s="13" t="str">
        <f>IFERROR(__xludf.DUMMYFUNCTION("ifna(filter('Yahoo ADP'!$A$2:$A2766,'Yahoo ADP'!$B$2:$B2766=$B2067,$C2067='Yahoo ADP'!$C$2:$C2766,$D2067='Yahoo ADP'!$D$2:$D2766))"),"")</f>
        <v/>
      </c>
      <c r="F2067" s="13" t="str">
        <f>IFERROR(__xludf.DUMMYFUNCTION("ifna(filter('Yahoo ADP'!$E$2:$E2766,'Yahoo ADP'!$B$2:$B2766=$B2067,$C2067='Yahoo ADP'!$C$2:$C2766,$D2067='Yahoo ADP'!$D$2:$D2766))"),"-")</f>
        <v>-</v>
      </c>
      <c r="G2067" s="27">
        <v>2064.0</v>
      </c>
      <c r="H2067" s="8">
        <f t="shared" si="1"/>
        <v>-2</v>
      </c>
    </row>
    <row r="2068">
      <c r="A2068" s="10">
        <v>2067.0</v>
      </c>
      <c r="B2068" s="11" t="s">
        <v>4912</v>
      </c>
      <c r="C2068" s="10" t="s">
        <v>39</v>
      </c>
      <c r="D2068" s="10" t="s">
        <v>27</v>
      </c>
      <c r="E2068" s="13" t="str">
        <f>IFERROR(__xludf.DUMMYFUNCTION("ifna(filter('Yahoo ADP'!$A$2:$A2766,'Yahoo ADP'!$B$2:$B2766=$B2068,$C2068='Yahoo ADP'!$C$2:$C2766,$D2068='Yahoo ADP'!$D$2:$D2766))"),"")</f>
        <v/>
      </c>
      <c r="F2068" s="13" t="str">
        <f>IFERROR(__xludf.DUMMYFUNCTION("ifna(filter('Yahoo ADP'!$E$2:$E2766,'Yahoo ADP'!$B$2:$B2766=$B2068,$C2068='Yahoo ADP'!$C$2:$C2766,$D2068='Yahoo ADP'!$D$2:$D2766))"),"-")</f>
        <v>-</v>
      </c>
      <c r="G2068" s="27">
        <v>2065.0</v>
      </c>
      <c r="H2068" s="8">
        <f t="shared" si="1"/>
        <v>-2</v>
      </c>
    </row>
    <row r="2069">
      <c r="A2069" s="10">
        <v>2068.0</v>
      </c>
      <c r="B2069" s="11" t="s">
        <v>4913</v>
      </c>
      <c r="C2069" s="10" t="s">
        <v>346</v>
      </c>
      <c r="D2069" s="10" t="s">
        <v>36</v>
      </c>
      <c r="E2069" s="13" t="str">
        <f>IFERROR(__xludf.DUMMYFUNCTION("ifna(filter('Yahoo ADP'!$A$2:$A2766,'Yahoo ADP'!$B$2:$B2766=$B2069,$C2069='Yahoo ADP'!$C$2:$C2766,$D2069='Yahoo ADP'!$D$2:$D2766))"),"")</f>
        <v/>
      </c>
      <c r="F2069" s="13" t="str">
        <f>IFERROR(__xludf.DUMMYFUNCTION("ifna(filter('Yahoo ADP'!$E$2:$E2766,'Yahoo ADP'!$B$2:$B2766=$B2069,$C2069='Yahoo ADP'!$C$2:$C2766,$D2069='Yahoo ADP'!$D$2:$D2766))"),"-")</f>
        <v>-</v>
      </c>
      <c r="G2069" s="27">
        <v>2066.0</v>
      </c>
      <c r="H2069" s="8">
        <f t="shared" si="1"/>
        <v>-2</v>
      </c>
    </row>
    <row r="2070">
      <c r="A2070" s="10">
        <v>2069.0</v>
      </c>
      <c r="B2070" s="11" t="s">
        <v>4914</v>
      </c>
      <c r="C2070" s="10" t="s">
        <v>39</v>
      </c>
      <c r="D2070" s="10" t="s">
        <v>34</v>
      </c>
      <c r="E2070" s="13" t="str">
        <f>IFERROR(__xludf.DUMMYFUNCTION("ifna(filter('Yahoo ADP'!$A$2:$A2766,'Yahoo ADP'!$B$2:$B2766=$B2070,$C2070='Yahoo ADP'!$C$2:$C2766,$D2070='Yahoo ADP'!$D$2:$D2766))"),"")</f>
        <v/>
      </c>
      <c r="F2070" s="13" t="str">
        <f>IFERROR(__xludf.DUMMYFUNCTION("ifna(filter('Yahoo ADP'!$E$2:$E2766,'Yahoo ADP'!$B$2:$B2766=$B2070,$C2070='Yahoo ADP'!$C$2:$C2766,$D2070='Yahoo ADP'!$D$2:$D2766))"),"-")</f>
        <v>-</v>
      </c>
      <c r="G2070" s="27">
        <v>2067.0</v>
      </c>
      <c r="H2070" s="8">
        <f t="shared" si="1"/>
        <v>-2</v>
      </c>
    </row>
    <row r="2071">
      <c r="A2071" s="10">
        <v>2070.0</v>
      </c>
      <c r="B2071" s="11" t="s">
        <v>4915</v>
      </c>
      <c r="C2071" s="10" t="s">
        <v>20</v>
      </c>
      <c r="D2071" s="10" t="s">
        <v>15</v>
      </c>
      <c r="E2071" s="13" t="str">
        <f>IFERROR(__xludf.DUMMYFUNCTION("ifna(filter('Yahoo ADP'!$A$2:$A2766,'Yahoo ADP'!$B$2:$B2766=$B2071,$C2071='Yahoo ADP'!$C$2:$C2766,$D2071='Yahoo ADP'!$D$2:$D2766))"),"")</f>
        <v/>
      </c>
      <c r="F2071" s="13" t="str">
        <f>IFERROR(__xludf.DUMMYFUNCTION("ifna(filter('Yahoo ADP'!$E$2:$E2766,'Yahoo ADP'!$B$2:$B2766=$B2071,$C2071='Yahoo ADP'!$C$2:$C2766,$D2071='Yahoo ADP'!$D$2:$D2766))"),"-")</f>
        <v>-</v>
      </c>
      <c r="G2071" s="27">
        <v>2068.0</v>
      </c>
      <c r="H2071" s="8">
        <f t="shared" si="1"/>
        <v>-2</v>
      </c>
    </row>
    <row r="2072">
      <c r="A2072" s="10">
        <v>2071.0</v>
      </c>
      <c r="B2072" s="11" t="s">
        <v>4916</v>
      </c>
      <c r="C2072" s="10" t="s">
        <v>14</v>
      </c>
      <c r="D2072" s="10" t="s">
        <v>113</v>
      </c>
      <c r="E2072" s="13" t="str">
        <f>IFERROR(__xludf.DUMMYFUNCTION("ifna(filter('Yahoo ADP'!$A$2:$A2766,'Yahoo ADP'!$B$2:$B2766=$B2072,$C2072='Yahoo ADP'!$C$2:$C2766,$D2072='Yahoo ADP'!$D$2:$D2766))"),"")</f>
        <v/>
      </c>
      <c r="F2072" s="13" t="str">
        <f>IFERROR(__xludf.DUMMYFUNCTION("ifna(filter('Yahoo ADP'!$E$2:$E2766,'Yahoo ADP'!$B$2:$B2766=$B2072,$C2072='Yahoo ADP'!$C$2:$C2766,$D2072='Yahoo ADP'!$D$2:$D2766))"),"-")</f>
        <v>-</v>
      </c>
      <c r="G2072" s="27">
        <v>2069.0</v>
      </c>
      <c r="H2072" s="8">
        <f t="shared" si="1"/>
        <v>-2</v>
      </c>
    </row>
    <row r="2073">
      <c r="A2073" s="10">
        <v>2072.0</v>
      </c>
      <c r="B2073" s="11" t="s">
        <v>4917</v>
      </c>
      <c r="C2073" s="10" t="s">
        <v>77</v>
      </c>
      <c r="D2073" s="10" t="s">
        <v>137</v>
      </c>
      <c r="E2073" s="13" t="str">
        <f>IFERROR(__xludf.DUMMYFUNCTION("ifna(filter('Yahoo ADP'!$A$2:$A2766,'Yahoo ADP'!$B$2:$B2766=$B2073,$C2073='Yahoo ADP'!$C$2:$C2766,$D2073='Yahoo ADP'!$D$2:$D2766))"),"")</f>
        <v/>
      </c>
      <c r="F2073" s="13" t="str">
        <f>IFERROR(__xludf.DUMMYFUNCTION("ifna(filter('Yahoo ADP'!$E$2:$E2766,'Yahoo ADP'!$B$2:$B2766=$B2073,$C2073='Yahoo ADP'!$C$2:$C2766,$D2073='Yahoo ADP'!$D$2:$D2766))"),"-")</f>
        <v>-</v>
      </c>
      <c r="G2073" s="27">
        <v>2070.0</v>
      </c>
      <c r="H2073" s="8">
        <f t="shared" si="1"/>
        <v>-2</v>
      </c>
    </row>
    <row r="2074">
      <c r="A2074" s="10">
        <v>2073.0</v>
      </c>
      <c r="B2074" s="11" t="s">
        <v>4918</v>
      </c>
      <c r="C2074" s="10" t="s">
        <v>14</v>
      </c>
      <c r="D2074" s="10" t="s">
        <v>140</v>
      </c>
      <c r="E2074" s="13" t="str">
        <f>IFERROR(__xludf.DUMMYFUNCTION("ifna(filter('Yahoo ADP'!$A$2:$A2766,'Yahoo ADP'!$B$2:$B2766=$B2074,$C2074='Yahoo ADP'!$C$2:$C2766,$D2074='Yahoo ADP'!$D$2:$D2766))"),"")</f>
        <v/>
      </c>
      <c r="F2074" s="13" t="str">
        <f>IFERROR(__xludf.DUMMYFUNCTION("ifna(filter('Yahoo ADP'!$E$2:$E2766,'Yahoo ADP'!$B$2:$B2766=$B2074,$C2074='Yahoo ADP'!$C$2:$C2766,$D2074='Yahoo ADP'!$D$2:$D2766))"),"-")</f>
        <v>-</v>
      </c>
      <c r="G2074" s="27">
        <v>2071.0</v>
      </c>
      <c r="H2074" s="8">
        <f t="shared" si="1"/>
        <v>-2</v>
      </c>
    </row>
    <row r="2075">
      <c r="A2075" s="10">
        <v>2074.0</v>
      </c>
      <c r="B2075" s="11" t="s">
        <v>4919</v>
      </c>
      <c r="C2075" s="10" t="s">
        <v>14</v>
      </c>
      <c r="D2075" s="10" t="s">
        <v>99</v>
      </c>
      <c r="E2075" s="13" t="str">
        <f>IFERROR(__xludf.DUMMYFUNCTION("ifna(filter('Yahoo ADP'!$A$2:$A2766,'Yahoo ADP'!$B$2:$B2766=$B2075,$C2075='Yahoo ADP'!$C$2:$C2766,$D2075='Yahoo ADP'!$D$2:$D2766))"),"")</f>
        <v/>
      </c>
      <c r="F2075" s="13" t="str">
        <f>IFERROR(__xludf.DUMMYFUNCTION("ifna(filter('Yahoo ADP'!$E$2:$E2766,'Yahoo ADP'!$B$2:$B2766=$B2075,$C2075='Yahoo ADP'!$C$2:$C2766,$D2075='Yahoo ADP'!$D$2:$D2766))"),"-")</f>
        <v>-</v>
      </c>
      <c r="G2075" s="27">
        <v>2072.0</v>
      </c>
      <c r="H2075" s="8">
        <f t="shared" si="1"/>
        <v>-2</v>
      </c>
    </row>
    <row r="2076">
      <c r="A2076" s="10">
        <v>2075.0</v>
      </c>
      <c r="B2076" s="11" t="s">
        <v>4920</v>
      </c>
      <c r="C2076" s="10" t="s">
        <v>14</v>
      </c>
      <c r="D2076" s="10" t="s">
        <v>85</v>
      </c>
      <c r="E2076" s="13" t="str">
        <f>IFERROR(__xludf.DUMMYFUNCTION("ifna(filter('Yahoo ADP'!$A$2:$A2766,'Yahoo ADP'!$B$2:$B2766=$B2076,$C2076='Yahoo ADP'!$C$2:$C2766,$D2076='Yahoo ADP'!$D$2:$D2766))"),"")</f>
        <v/>
      </c>
      <c r="F2076" s="13" t="str">
        <f>IFERROR(__xludf.DUMMYFUNCTION("ifna(filter('Yahoo ADP'!$E$2:$E2766,'Yahoo ADP'!$B$2:$B2766=$B2076,$C2076='Yahoo ADP'!$C$2:$C2766,$D2076='Yahoo ADP'!$D$2:$D2766))"),"-")</f>
        <v>-</v>
      </c>
      <c r="G2076" s="27">
        <v>2073.0</v>
      </c>
      <c r="H2076" s="8">
        <f t="shared" si="1"/>
        <v>-2</v>
      </c>
    </row>
    <row r="2077">
      <c r="A2077" s="10">
        <v>2076.0</v>
      </c>
      <c r="B2077" s="11" t="s">
        <v>4921</v>
      </c>
      <c r="C2077" s="10" t="s">
        <v>8</v>
      </c>
      <c r="D2077" s="10" t="s">
        <v>129</v>
      </c>
      <c r="E2077" s="13" t="str">
        <f>IFERROR(__xludf.DUMMYFUNCTION("ifna(filter('Yahoo ADP'!$A$2:$A2766,'Yahoo ADP'!$B$2:$B2766=$B2077,$C2077='Yahoo ADP'!$C$2:$C2766,$D2077='Yahoo ADP'!$D$2:$D2766))"),"")</f>
        <v/>
      </c>
      <c r="F2077" s="13" t="str">
        <f>IFERROR(__xludf.DUMMYFUNCTION("ifna(filter('Yahoo ADP'!$E$2:$E2766,'Yahoo ADP'!$B$2:$B2766=$B2077,$C2077='Yahoo ADP'!$C$2:$C2766,$D2077='Yahoo ADP'!$D$2:$D2766))"),"-")</f>
        <v>-</v>
      </c>
      <c r="G2077" s="27">
        <v>2074.0</v>
      </c>
      <c r="H2077" s="8">
        <f t="shared" si="1"/>
        <v>-2</v>
      </c>
    </row>
    <row r="2078">
      <c r="A2078" s="10">
        <v>2077.0</v>
      </c>
      <c r="B2078" s="11" t="s">
        <v>4922</v>
      </c>
      <c r="C2078" s="10" t="s">
        <v>17</v>
      </c>
      <c r="D2078" s="10" t="s">
        <v>71</v>
      </c>
      <c r="E2078" s="13" t="str">
        <f>IFERROR(__xludf.DUMMYFUNCTION("ifna(filter('Yahoo ADP'!$A$2:$A2766,'Yahoo ADP'!$B$2:$B2766=$B2078,$C2078='Yahoo ADP'!$C$2:$C2766,$D2078='Yahoo ADP'!$D$2:$D2766))"),"")</f>
        <v/>
      </c>
      <c r="F2078" s="13" t="str">
        <f>IFERROR(__xludf.DUMMYFUNCTION("ifna(filter('Yahoo ADP'!$E$2:$E2766,'Yahoo ADP'!$B$2:$B2766=$B2078,$C2078='Yahoo ADP'!$C$2:$C2766,$D2078='Yahoo ADP'!$D$2:$D2766))"),"-")</f>
        <v>-</v>
      </c>
      <c r="G2078" s="27">
        <v>2075.0</v>
      </c>
      <c r="H2078" s="8">
        <f t="shared" si="1"/>
        <v>-2</v>
      </c>
    </row>
    <row r="2079">
      <c r="A2079" s="10">
        <v>2078.0</v>
      </c>
      <c r="B2079" s="11" t="s">
        <v>4923</v>
      </c>
      <c r="C2079" s="10" t="s">
        <v>17</v>
      </c>
      <c r="D2079" s="10" t="s">
        <v>120</v>
      </c>
      <c r="E2079" s="13" t="str">
        <f>IFERROR(__xludf.DUMMYFUNCTION("ifna(filter('Yahoo ADP'!$A$2:$A2766,'Yahoo ADP'!$B$2:$B2766=$B2079,$C2079='Yahoo ADP'!$C$2:$C2766,$D2079='Yahoo ADP'!$D$2:$D2766))"),"")</f>
        <v/>
      </c>
      <c r="F2079" s="13" t="str">
        <f>IFERROR(__xludf.DUMMYFUNCTION("ifna(filter('Yahoo ADP'!$E$2:$E2766,'Yahoo ADP'!$B$2:$B2766=$B2079,$C2079='Yahoo ADP'!$C$2:$C2766,$D2079='Yahoo ADP'!$D$2:$D2766))"),"-")</f>
        <v>-</v>
      </c>
      <c r="G2079" s="27">
        <v>2076.0</v>
      </c>
      <c r="H2079" s="8">
        <f t="shared" si="1"/>
        <v>-2</v>
      </c>
    </row>
    <row r="2080">
      <c r="A2080" s="10">
        <v>2079.0</v>
      </c>
      <c r="B2080" s="11" t="s">
        <v>4924</v>
      </c>
      <c r="C2080" s="10" t="s">
        <v>11</v>
      </c>
      <c r="D2080" s="10" t="s">
        <v>99</v>
      </c>
      <c r="E2080" s="13" t="str">
        <f>IFERROR(__xludf.DUMMYFUNCTION("ifna(filter('Yahoo ADP'!$A$2:$A2766,'Yahoo ADP'!$B$2:$B2766=$B2080,$C2080='Yahoo ADP'!$C$2:$C2766,$D2080='Yahoo ADP'!$D$2:$D2766))"),"")</f>
        <v/>
      </c>
      <c r="F2080" s="13" t="str">
        <f>IFERROR(__xludf.DUMMYFUNCTION("ifna(filter('Yahoo ADP'!$E$2:$E2766,'Yahoo ADP'!$B$2:$B2766=$B2080,$C2080='Yahoo ADP'!$C$2:$C2766,$D2080='Yahoo ADP'!$D$2:$D2766))"),"-")</f>
        <v>-</v>
      </c>
      <c r="G2080" s="27">
        <v>2077.0</v>
      </c>
      <c r="H2080" s="8">
        <f t="shared" si="1"/>
        <v>-2</v>
      </c>
    </row>
    <row r="2081">
      <c r="A2081" s="10">
        <v>2080.0</v>
      </c>
      <c r="B2081" s="11" t="s">
        <v>4925</v>
      </c>
      <c r="C2081" s="10" t="s">
        <v>14</v>
      </c>
      <c r="D2081" s="10" t="s">
        <v>46</v>
      </c>
      <c r="E2081" s="13" t="str">
        <f>IFERROR(__xludf.DUMMYFUNCTION("ifna(filter('Yahoo ADP'!$A$2:$A2766,'Yahoo ADP'!$B$2:$B2766=$B2081,$C2081='Yahoo ADP'!$C$2:$C2766,$D2081='Yahoo ADP'!$D$2:$D2766))"),"")</f>
        <v/>
      </c>
      <c r="F2081" s="13" t="str">
        <f>IFERROR(__xludf.DUMMYFUNCTION("ifna(filter('Yahoo ADP'!$E$2:$E2766,'Yahoo ADP'!$B$2:$B2766=$B2081,$C2081='Yahoo ADP'!$C$2:$C2766,$D2081='Yahoo ADP'!$D$2:$D2766))"),"-")</f>
        <v>-</v>
      </c>
      <c r="G2081" s="27">
        <v>2078.0</v>
      </c>
      <c r="H2081" s="8">
        <f t="shared" si="1"/>
        <v>-2</v>
      </c>
    </row>
    <row r="2082">
      <c r="A2082" s="10">
        <v>2081.0</v>
      </c>
      <c r="B2082" s="11" t="s">
        <v>4926</v>
      </c>
      <c r="C2082" s="10" t="s">
        <v>14</v>
      </c>
      <c r="D2082" s="10" t="s">
        <v>25</v>
      </c>
      <c r="E2082" s="13" t="str">
        <f>IFERROR(__xludf.DUMMYFUNCTION("ifna(filter('Yahoo ADP'!$A$2:$A2766,'Yahoo ADP'!$B$2:$B2766=$B2082,$C2082='Yahoo ADP'!$C$2:$C2766,$D2082='Yahoo ADP'!$D$2:$D2766))"),"")</f>
        <v/>
      </c>
      <c r="F2082" s="13" t="str">
        <f>IFERROR(__xludf.DUMMYFUNCTION("ifna(filter('Yahoo ADP'!$E$2:$E2766,'Yahoo ADP'!$B$2:$B2766=$B2082,$C2082='Yahoo ADP'!$C$2:$C2766,$D2082='Yahoo ADP'!$D$2:$D2766))"),"-")</f>
        <v>-</v>
      </c>
      <c r="G2082" s="27">
        <v>2079.0</v>
      </c>
      <c r="H2082" s="8">
        <f t="shared" si="1"/>
        <v>-2</v>
      </c>
    </row>
    <row r="2083">
      <c r="A2083" s="10">
        <v>2082.0</v>
      </c>
      <c r="B2083" s="11" t="s">
        <v>4927</v>
      </c>
      <c r="C2083" s="10" t="s">
        <v>39</v>
      </c>
      <c r="D2083" s="10" t="s">
        <v>129</v>
      </c>
      <c r="E2083" s="13" t="str">
        <f>IFERROR(__xludf.DUMMYFUNCTION("ifna(filter('Yahoo ADP'!$A$2:$A2766,'Yahoo ADP'!$B$2:$B2766=$B2083,$C2083='Yahoo ADP'!$C$2:$C2766,$D2083='Yahoo ADP'!$D$2:$D2766))"),"")</f>
        <v/>
      </c>
      <c r="F2083" s="13" t="str">
        <f>IFERROR(__xludf.DUMMYFUNCTION("ifna(filter('Yahoo ADP'!$E$2:$E2766,'Yahoo ADP'!$B$2:$B2766=$B2083,$C2083='Yahoo ADP'!$C$2:$C2766,$D2083='Yahoo ADP'!$D$2:$D2766))"),"-")</f>
        <v>-</v>
      </c>
      <c r="G2083" s="27">
        <v>2080.0</v>
      </c>
      <c r="H2083" s="8">
        <f t="shared" si="1"/>
        <v>-2</v>
      </c>
    </row>
    <row r="2084">
      <c r="A2084" s="10">
        <v>2083.0</v>
      </c>
      <c r="B2084" s="11" t="s">
        <v>4928</v>
      </c>
      <c r="C2084" s="10" t="s">
        <v>17</v>
      </c>
      <c r="D2084" s="10" t="s">
        <v>85</v>
      </c>
      <c r="E2084" s="13" t="str">
        <f>IFERROR(__xludf.DUMMYFUNCTION("ifna(filter('Yahoo ADP'!$A$2:$A2766,'Yahoo ADP'!$B$2:$B2766=$B2084,$C2084='Yahoo ADP'!$C$2:$C2766,$D2084='Yahoo ADP'!$D$2:$D2766))"),"")</f>
        <v/>
      </c>
      <c r="F2084" s="13" t="str">
        <f>IFERROR(__xludf.DUMMYFUNCTION("ifna(filter('Yahoo ADP'!$E$2:$E2766,'Yahoo ADP'!$B$2:$B2766=$B2084,$C2084='Yahoo ADP'!$C$2:$C2766,$D2084='Yahoo ADP'!$D$2:$D2766))"),"-")</f>
        <v>-</v>
      </c>
      <c r="G2084" s="27">
        <v>2081.0</v>
      </c>
      <c r="H2084" s="8">
        <f t="shared" si="1"/>
        <v>-2</v>
      </c>
    </row>
    <row r="2085">
      <c r="A2085" s="10">
        <v>2084.0</v>
      </c>
      <c r="B2085" s="11" t="s">
        <v>4929</v>
      </c>
      <c r="C2085" s="10" t="s">
        <v>14</v>
      </c>
      <c r="D2085" s="10" t="s">
        <v>120</v>
      </c>
      <c r="E2085" s="13" t="str">
        <f>IFERROR(__xludf.DUMMYFUNCTION("ifna(filter('Yahoo ADP'!$A$2:$A2766,'Yahoo ADP'!$B$2:$B2766=$B2085,$C2085='Yahoo ADP'!$C$2:$C2766,$D2085='Yahoo ADP'!$D$2:$D2766))"),"")</f>
        <v/>
      </c>
      <c r="F2085" s="13" t="str">
        <f>IFERROR(__xludf.DUMMYFUNCTION("ifna(filter('Yahoo ADP'!$E$2:$E2766,'Yahoo ADP'!$B$2:$B2766=$B2085,$C2085='Yahoo ADP'!$C$2:$C2766,$D2085='Yahoo ADP'!$D$2:$D2766))"),"-")</f>
        <v>-</v>
      </c>
      <c r="G2085" s="27">
        <v>2082.0</v>
      </c>
      <c r="H2085" s="8">
        <f t="shared" si="1"/>
        <v>-2</v>
      </c>
    </row>
    <row r="2086">
      <c r="A2086" s="10">
        <v>2085.0</v>
      </c>
      <c r="B2086" s="11" t="s">
        <v>4930</v>
      </c>
      <c r="C2086" s="10" t="s">
        <v>1857</v>
      </c>
      <c r="D2086" s="10" t="s">
        <v>25</v>
      </c>
      <c r="E2086" s="13" t="str">
        <f>IFERROR(__xludf.DUMMYFUNCTION("ifna(filter('Yahoo ADP'!$A$2:$A2766,'Yahoo ADP'!$B$2:$B2766=$B2086,$C2086='Yahoo ADP'!$C$2:$C2766,$D2086='Yahoo ADP'!$D$2:$D2766))"),"")</f>
        <v/>
      </c>
      <c r="F2086" s="13" t="str">
        <f>IFERROR(__xludf.DUMMYFUNCTION("ifna(filter('Yahoo ADP'!$E$2:$E2766,'Yahoo ADP'!$B$2:$B2766=$B2086,$C2086='Yahoo ADP'!$C$2:$C2766,$D2086='Yahoo ADP'!$D$2:$D2766))"),"-")</f>
        <v>-</v>
      </c>
      <c r="G2086" s="27">
        <v>2083.0</v>
      </c>
      <c r="H2086" s="8">
        <f t="shared" si="1"/>
        <v>-2</v>
      </c>
    </row>
    <row r="2087">
      <c r="A2087" s="10">
        <v>2086.0</v>
      </c>
      <c r="B2087" s="11" t="s">
        <v>4931</v>
      </c>
      <c r="C2087" s="10" t="s">
        <v>14</v>
      </c>
      <c r="D2087" s="10" t="s">
        <v>46</v>
      </c>
      <c r="E2087" s="13" t="str">
        <f>IFERROR(__xludf.DUMMYFUNCTION("ifna(filter('Yahoo ADP'!$A$2:$A2766,'Yahoo ADP'!$B$2:$B2766=$B2087,$C2087='Yahoo ADP'!$C$2:$C2766,$D2087='Yahoo ADP'!$D$2:$D2766))"),"")</f>
        <v/>
      </c>
      <c r="F2087" s="13" t="str">
        <f>IFERROR(__xludf.DUMMYFUNCTION("ifna(filter('Yahoo ADP'!$E$2:$E2766,'Yahoo ADP'!$B$2:$B2766=$B2087,$C2087='Yahoo ADP'!$C$2:$C2766,$D2087='Yahoo ADP'!$D$2:$D2766))"),"-")</f>
        <v>-</v>
      </c>
      <c r="G2087" s="27">
        <v>2084.0</v>
      </c>
      <c r="H2087" s="8">
        <f t="shared" si="1"/>
        <v>-2</v>
      </c>
    </row>
    <row r="2088">
      <c r="A2088" s="10">
        <v>2087.0</v>
      </c>
      <c r="B2088" s="11" t="s">
        <v>4932</v>
      </c>
      <c r="C2088" s="10" t="s">
        <v>14</v>
      </c>
      <c r="D2088" s="10" t="s">
        <v>90</v>
      </c>
      <c r="E2088" s="13" t="str">
        <f>IFERROR(__xludf.DUMMYFUNCTION("ifna(filter('Yahoo ADP'!$A$2:$A2766,'Yahoo ADP'!$B$2:$B2766=$B2088,$C2088='Yahoo ADP'!$C$2:$C2766,$D2088='Yahoo ADP'!$D$2:$D2766))"),"")</f>
        <v/>
      </c>
      <c r="F2088" s="13" t="str">
        <f>IFERROR(__xludf.DUMMYFUNCTION("ifna(filter('Yahoo ADP'!$E$2:$E2766,'Yahoo ADP'!$B$2:$B2766=$B2088,$C2088='Yahoo ADP'!$C$2:$C2766,$D2088='Yahoo ADP'!$D$2:$D2766))"),"-")</f>
        <v>-</v>
      </c>
      <c r="G2088" s="27">
        <v>2085.0</v>
      </c>
      <c r="H2088" s="8">
        <f t="shared" si="1"/>
        <v>-2</v>
      </c>
    </row>
    <row r="2089">
      <c r="A2089" s="10">
        <v>2088.0</v>
      </c>
      <c r="B2089" s="11" t="s">
        <v>4933</v>
      </c>
      <c r="C2089" s="10" t="s">
        <v>14</v>
      </c>
      <c r="D2089" s="10" t="s">
        <v>122</v>
      </c>
      <c r="E2089" s="13" t="str">
        <f>IFERROR(__xludf.DUMMYFUNCTION("ifna(filter('Yahoo ADP'!$A$2:$A2766,'Yahoo ADP'!$B$2:$B2766=$B2089,$C2089='Yahoo ADP'!$C$2:$C2766,$D2089='Yahoo ADP'!$D$2:$D2766))"),"")</f>
        <v/>
      </c>
      <c r="F2089" s="13" t="str">
        <f>IFERROR(__xludf.DUMMYFUNCTION("ifna(filter('Yahoo ADP'!$E$2:$E2766,'Yahoo ADP'!$B$2:$B2766=$B2089,$C2089='Yahoo ADP'!$C$2:$C2766,$D2089='Yahoo ADP'!$D$2:$D2766))"),"-")</f>
        <v>-</v>
      </c>
      <c r="G2089" s="27">
        <v>2086.0</v>
      </c>
      <c r="H2089" s="8">
        <f t="shared" si="1"/>
        <v>-2</v>
      </c>
    </row>
    <row r="2090">
      <c r="A2090" s="10">
        <v>2089.0</v>
      </c>
      <c r="B2090" s="11" t="s">
        <v>4934</v>
      </c>
      <c r="C2090" s="10" t="s">
        <v>17</v>
      </c>
      <c r="D2090" s="10" t="s">
        <v>122</v>
      </c>
      <c r="E2090" s="13" t="str">
        <f>IFERROR(__xludf.DUMMYFUNCTION("ifna(filter('Yahoo ADP'!$A$2:$A2766,'Yahoo ADP'!$B$2:$B2766=$B2090,$C2090='Yahoo ADP'!$C$2:$C2766,$D2090='Yahoo ADP'!$D$2:$D2766))"),"")</f>
        <v/>
      </c>
      <c r="F2090" s="13" t="str">
        <f>IFERROR(__xludf.DUMMYFUNCTION("ifna(filter('Yahoo ADP'!$E$2:$E2766,'Yahoo ADP'!$B$2:$B2766=$B2090,$C2090='Yahoo ADP'!$C$2:$C2766,$D2090='Yahoo ADP'!$D$2:$D2766))"),"-")</f>
        <v>-</v>
      </c>
      <c r="G2090" s="27">
        <v>2087.0</v>
      </c>
      <c r="H2090" s="8">
        <f t="shared" si="1"/>
        <v>-2</v>
      </c>
    </row>
    <row r="2091">
      <c r="A2091" s="10">
        <v>2090.0</v>
      </c>
      <c r="B2091" s="11" t="s">
        <v>4935</v>
      </c>
      <c r="C2091" s="10" t="s">
        <v>48</v>
      </c>
      <c r="D2091" s="10" t="s">
        <v>206</v>
      </c>
      <c r="E2091" s="13" t="str">
        <f>IFERROR(__xludf.DUMMYFUNCTION("ifna(filter('Yahoo ADP'!$A$2:$A2766,'Yahoo ADP'!$B$2:$B2766=$B2091,$C2091='Yahoo ADP'!$C$2:$C2766,$D2091='Yahoo ADP'!$D$2:$D2766))"),"")</f>
        <v/>
      </c>
      <c r="F2091" s="13" t="str">
        <f>IFERROR(__xludf.DUMMYFUNCTION("ifna(filter('Yahoo ADP'!$E$2:$E2766,'Yahoo ADP'!$B$2:$B2766=$B2091,$C2091='Yahoo ADP'!$C$2:$C2766,$D2091='Yahoo ADP'!$D$2:$D2766))"),"-")</f>
        <v>-</v>
      </c>
      <c r="G2091" s="27">
        <v>2088.0</v>
      </c>
      <c r="H2091" s="8">
        <f t="shared" si="1"/>
        <v>-2</v>
      </c>
    </row>
    <row r="2092">
      <c r="A2092" s="10">
        <v>2091.0</v>
      </c>
      <c r="B2092" s="11" t="s">
        <v>4936</v>
      </c>
      <c r="C2092" s="10" t="s">
        <v>39</v>
      </c>
      <c r="D2092" s="10" t="s">
        <v>25</v>
      </c>
      <c r="E2092" s="13" t="str">
        <f>IFERROR(__xludf.DUMMYFUNCTION("ifna(filter('Yahoo ADP'!$A$2:$A2766,'Yahoo ADP'!$B$2:$B2766=$B2092,$C2092='Yahoo ADP'!$C$2:$C2766,$D2092='Yahoo ADP'!$D$2:$D2766))"),"")</f>
        <v/>
      </c>
      <c r="F2092" s="13" t="str">
        <f>IFERROR(__xludf.DUMMYFUNCTION("ifna(filter('Yahoo ADP'!$E$2:$E2766,'Yahoo ADP'!$B$2:$B2766=$B2092,$C2092='Yahoo ADP'!$C$2:$C2766,$D2092='Yahoo ADP'!$D$2:$D2766))"),"-")</f>
        <v>-</v>
      </c>
      <c r="G2092" s="27">
        <v>2089.0</v>
      </c>
      <c r="H2092" s="8">
        <f t="shared" si="1"/>
        <v>-2</v>
      </c>
    </row>
    <row r="2093">
      <c r="A2093" s="10">
        <v>2092.0</v>
      </c>
      <c r="B2093" s="11" t="s">
        <v>4937</v>
      </c>
      <c r="C2093" s="10" t="s">
        <v>39</v>
      </c>
      <c r="D2093" s="10" t="s">
        <v>71</v>
      </c>
      <c r="E2093" s="13" t="str">
        <f>IFERROR(__xludf.DUMMYFUNCTION("ifna(filter('Yahoo ADP'!$A$2:$A2766,'Yahoo ADP'!$B$2:$B2766=$B2093,$C2093='Yahoo ADP'!$C$2:$C2766,$D2093='Yahoo ADP'!$D$2:$D2766))"),"")</f>
        <v/>
      </c>
      <c r="F2093" s="13" t="str">
        <f>IFERROR(__xludf.DUMMYFUNCTION("ifna(filter('Yahoo ADP'!$E$2:$E2766,'Yahoo ADP'!$B$2:$B2766=$B2093,$C2093='Yahoo ADP'!$C$2:$C2766,$D2093='Yahoo ADP'!$D$2:$D2766))"),"-")</f>
        <v>-</v>
      </c>
      <c r="G2093" s="27">
        <v>2090.0</v>
      </c>
      <c r="H2093" s="8">
        <f t="shared" si="1"/>
        <v>-2</v>
      </c>
    </row>
    <row r="2094">
      <c r="A2094" s="10">
        <v>2093.0</v>
      </c>
      <c r="B2094" s="11" t="s">
        <v>4938</v>
      </c>
      <c r="C2094" s="10" t="s">
        <v>11</v>
      </c>
      <c r="D2094" s="10" t="s">
        <v>206</v>
      </c>
      <c r="E2094" s="13" t="str">
        <f>IFERROR(__xludf.DUMMYFUNCTION("ifna(filter('Yahoo ADP'!$A$2:$A2766,'Yahoo ADP'!$B$2:$B2766=$B2094,$C2094='Yahoo ADP'!$C$2:$C2766,$D2094='Yahoo ADP'!$D$2:$D2766))"),"")</f>
        <v/>
      </c>
      <c r="F2094" s="13" t="str">
        <f>IFERROR(__xludf.DUMMYFUNCTION("ifna(filter('Yahoo ADP'!$E$2:$E2766,'Yahoo ADP'!$B$2:$B2766=$B2094,$C2094='Yahoo ADP'!$C$2:$C2766,$D2094='Yahoo ADP'!$D$2:$D2766))"),"-")</f>
        <v>-</v>
      </c>
      <c r="G2094" s="27">
        <v>2091.0</v>
      </c>
      <c r="H2094" s="8">
        <f t="shared" si="1"/>
        <v>-2</v>
      </c>
    </row>
    <row r="2095">
      <c r="A2095" s="10">
        <v>2094.0</v>
      </c>
      <c r="B2095" s="11" t="s">
        <v>4939</v>
      </c>
      <c r="C2095" s="10" t="s">
        <v>39</v>
      </c>
      <c r="D2095" s="10" t="s">
        <v>129</v>
      </c>
      <c r="E2095" s="13" t="str">
        <f>IFERROR(__xludf.DUMMYFUNCTION("ifna(filter('Yahoo ADP'!$A$2:$A2766,'Yahoo ADP'!$B$2:$B2766=$B2095,$C2095='Yahoo ADP'!$C$2:$C2766,$D2095='Yahoo ADP'!$D$2:$D2766))"),"")</f>
        <v/>
      </c>
      <c r="F2095" s="13" t="str">
        <f>IFERROR(__xludf.DUMMYFUNCTION("ifna(filter('Yahoo ADP'!$E$2:$E2766,'Yahoo ADP'!$B$2:$B2766=$B2095,$C2095='Yahoo ADP'!$C$2:$C2766,$D2095='Yahoo ADP'!$D$2:$D2766))"),"-")</f>
        <v>-</v>
      </c>
      <c r="G2095" s="27">
        <v>2092.0</v>
      </c>
      <c r="H2095" s="8">
        <f t="shared" si="1"/>
        <v>-2</v>
      </c>
    </row>
    <row r="2096">
      <c r="A2096" s="10">
        <v>2095.0</v>
      </c>
      <c r="B2096" s="11" t="s">
        <v>4940</v>
      </c>
      <c r="C2096" s="10" t="s">
        <v>77</v>
      </c>
      <c r="D2096" s="10" t="s">
        <v>23</v>
      </c>
      <c r="E2096" s="13" t="str">
        <f>IFERROR(__xludf.DUMMYFUNCTION("ifna(filter('Yahoo ADP'!$A$2:$A2766,'Yahoo ADP'!$B$2:$B2766=$B2096,$C2096='Yahoo ADP'!$C$2:$C2766,$D2096='Yahoo ADP'!$D$2:$D2766))"),"")</f>
        <v/>
      </c>
      <c r="F2096" s="13" t="str">
        <f>IFERROR(__xludf.DUMMYFUNCTION("ifna(filter('Yahoo ADP'!$E$2:$E2766,'Yahoo ADP'!$B$2:$B2766=$B2096,$C2096='Yahoo ADP'!$C$2:$C2766,$D2096='Yahoo ADP'!$D$2:$D2766))"),"-")</f>
        <v>-</v>
      </c>
      <c r="G2096" s="27">
        <v>2093.0</v>
      </c>
      <c r="H2096" s="8">
        <f t="shared" si="1"/>
        <v>-2</v>
      </c>
    </row>
    <row r="2097">
      <c r="A2097" s="10">
        <v>2096.0</v>
      </c>
      <c r="B2097" s="11" t="s">
        <v>4941</v>
      </c>
      <c r="C2097" s="10" t="s">
        <v>77</v>
      </c>
      <c r="D2097" s="10" t="s">
        <v>67</v>
      </c>
      <c r="E2097" s="13" t="str">
        <f>IFERROR(__xludf.DUMMYFUNCTION("ifna(filter('Yahoo ADP'!$A$2:$A2766,'Yahoo ADP'!$B$2:$B2766=$B2097,$C2097='Yahoo ADP'!$C$2:$C2766,$D2097='Yahoo ADP'!$D$2:$D2766))"),"")</f>
        <v/>
      </c>
      <c r="F2097" s="13" t="str">
        <f>IFERROR(__xludf.DUMMYFUNCTION("ifna(filter('Yahoo ADP'!$E$2:$E2766,'Yahoo ADP'!$B$2:$B2766=$B2097,$C2097='Yahoo ADP'!$C$2:$C2766,$D2097='Yahoo ADP'!$D$2:$D2766))"),"-")</f>
        <v>-</v>
      </c>
      <c r="G2097" s="27">
        <v>2094.0</v>
      </c>
      <c r="H2097" s="8">
        <f t="shared" si="1"/>
        <v>-2</v>
      </c>
    </row>
    <row r="2098">
      <c r="A2098" s="10">
        <v>2097.0</v>
      </c>
      <c r="B2098" s="11" t="s">
        <v>4942</v>
      </c>
      <c r="C2098" s="10" t="s">
        <v>20</v>
      </c>
      <c r="D2098" s="10" t="s">
        <v>99</v>
      </c>
      <c r="E2098" s="13" t="str">
        <f>IFERROR(__xludf.DUMMYFUNCTION("ifna(filter('Yahoo ADP'!$A$2:$A2766,'Yahoo ADP'!$B$2:$B2766=$B2098,$C2098='Yahoo ADP'!$C$2:$C2766,$D2098='Yahoo ADP'!$D$2:$D2766))"),"")</f>
        <v/>
      </c>
      <c r="F2098" s="13" t="str">
        <f>IFERROR(__xludf.DUMMYFUNCTION("ifna(filter('Yahoo ADP'!$E$2:$E2766,'Yahoo ADP'!$B$2:$B2766=$B2098,$C2098='Yahoo ADP'!$C$2:$C2766,$D2098='Yahoo ADP'!$D$2:$D2766))"),"-")</f>
        <v>-</v>
      </c>
      <c r="G2098" s="27">
        <v>2095.0</v>
      </c>
      <c r="H2098" s="8">
        <f t="shared" si="1"/>
        <v>-2</v>
      </c>
    </row>
    <row r="2099">
      <c r="A2099" s="10">
        <v>2098.0</v>
      </c>
      <c r="B2099" s="11" t="s">
        <v>4943</v>
      </c>
      <c r="C2099" s="10" t="s">
        <v>20</v>
      </c>
      <c r="D2099" s="10" t="s">
        <v>90</v>
      </c>
      <c r="E2099" s="13" t="str">
        <f>IFERROR(__xludf.DUMMYFUNCTION("ifna(filter('Yahoo ADP'!$A$2:$A2766,'Yahoo ADP'!$B$2:$B2766=$B2099,$C2099='Yahoo ADP'!$C$2:$C2766,$D2099='Yahoo ADP'!$D$2:$D2766))"),"")</f>
        <v/>
      </c>
      <c r="F2099" s="13" t="str">
        <f>IFERROR(__xludf.DUMMYFUNCTION("ifna(filter('Yahoo ADP'!$E$2:$E2766,'Yahoo ADP'!$B$2:$B2766=$B2099,$C2099='Yahoo ADP'!$C$2:$C2766,$D2099='Yahoo ADP'!$D$2:$D2766))"),"-")</f>
        <v>-</v>
      </c>
      <c r="G2099" s="27">
        <v>2096.0</v>
      </c>
      <c r="H2099" s="8">
        <f t="shared" si="1"/>
        <v>-2</v>
      </c>
    </row>
    <row r="2100">
      <c r="A2100" s="10">
        <v>2099.0</v>
      </c>
      <c r="B2100" s="11" t="s">
        <v>4944</v>
      </c>
      <c r="C2100" s="10" t="s">
        <v>11</v>
      </c>
      <c r="D2100" s="10" t="s">
        <v>113</v>
      </c>
      <c r="E2100" s="13" t="str">
        <f>IFERROR(__xludf.DUMMYFUNCTION("ifna(filter('Yahoo ADP'!$A$2:$A2766,'Yahoo ADP'!$B$2:$B2766=$B2100,$C2100='Yahoo ADP'!$C$2:$C2766,$D2100='Yahoo ADP'!$D$2:$D2766))"),"")</f>
        <v/>
      </c>
      <c r="F2100" s="13" t="str">
        <f>IFERROR(__xludf.DUMMYFUNCTION("ifna(filter('Yahoo ADP'!$E$2:$E2766,'Yahoo ADP'!$B$2:$B2766=$B2100,$C2100='Yahoo ADP'!$C$2:$C2766,$D2100='Yahoo ADP'!$D$2:$D2766))"),"-")</f>
        <v>-</v>
      </c>
      <c r="G2100" s="27">
        <v>2097.0</v>
      </c>
      <c r="H2100" s="8">
        <f t="shared" si="1"/>
        <v>-2</v>
      </c>
    </row>
    <row r="2101">
      <c r="A2101" s="10">
        <v>2100.0</v>
      </c>
      <c r="B2101" s="11" t="s">
        <v>4945</v>
      </c>
      <c r="C2101" s="10" t="s">
        <v>150</v>
      </c>
      <c r="D2101" s="10" t="s">
        <v>105</v>
      </c>
      <c r="E2101" s="13" t="str">
        <f>IFERROR(__xludf.DUMMYFUNCTION("ifna(filter('Yahoo ADP'!$A$2:$A2766,'Yahoo ADP'!$B$2:$B2766=$B2101,$C2101='Yahoo ADP'!$C$2:$C2766,$D2101='Yahoo ADP'!$D$2:$D2766))"),"")</f>
        <v/>
      </c>
      <c r="F2101" s="13" t="str">
        <f>IFERROR(__xludf.DUMMYFUNCTION("ifna(filter('Yahoo ADP'!$E$2:$E2766,'Yahoo ADP'!$B$2:$B2766=$B2101,$C2101='Yahoo ADP'!$C$2:$C2766,$D2101='Yahoo ADP'!$D$2:$D2766))"),"-")</f>
        <v>-</v>
      </c>
      <c r="G2101" s="27">
        <v>2098.0</v>
      </c>
      <c r="H2101" s="8">
        <f t="shared" si="1"/>
        <v>-2</v>
      </c>
    </row>
    <row r="2102">
      <c r="A2102" s="10">
        <v>2101.0</v>
      </c>
      <c r="B2102" s="11" t="s">
        <v>4946</v>
      </c>
      <c r="C2102" s="10" t="s">
        <v>77</v>
      </c>
      <c r="D2102" s="10" t="s">
        <v>137</v>
      </c>
      <c r="E2102" s="13" t="str">
        <f>IFERROR(__xludf.DUMMYFUNCTION("ifna(filter('Yahoo ADP'!$A$2:$A2766,'Yahoo ADP'!$B$2:$B2766=$B2102,$C2102='Yahoo ADP'!$C$2:$C2766,$D2102='Yahoo ADP'!$D$2:$D2766))"),"")</f>
        <v/>
      </c>
      <c r="F2102" s="13" t="str">
        <f>IFERROR(__xludf.DUMMYFUNCTION("ifna(filter('Yahoo ADP'!$E$2:$E2766,'Yahoo ADP'!$B$2:$B2766=$B2102,$C2102='Yahoo ADP'!$C$2:$C2766,$D2102='Yahoo ADP'!$D$2:$D2766))"),"-")</f>
        <v>-</v>
      </c>
      <c r="G2102" s="27">
        <v>2099.0</v>
      </c>
      <c r="H2102" s="8">
        <f t="shared" si="1"/>
        <v>-2</v>
      </c>
    </row>
    <row r="2103">
      <c r="A2103" s="10">
        <v>2102.0</v>
      </c>
      <c r="B2103" s="11" t="s">
        <v>4947</v>
      </c>
      <c r="C2103" s="10" t="s">
        <v>14</v>
      </c>
      <c r="D2103" s="10" t="s">
        <v>12</v>
      </c>
      <c r="E2103" s="13" t="str">
        <f>IFERROR(__xludf.DUMMYFUNCTION("ifna(filter('Yahoo ADP'!$A$2:$A2766,'Yahoo ADP'!$B$2:$B2766=$B2103,$C2103='Yahoo ADP'!$C$2:$C2766,$D2103='Yahoo ADP'!$D$2:$D2766))"),"")</f>
        <v/>
      </c>
      <c r="F2103" s="13" t="str">
        <f>IFERROR(__xludf.DUMMYFUNCTION("ifna(filter('Yahoo ADP'!$E$2:$E2766,'Yahoo ADP'!$B$2:$B2766=$B2103,$C2103='Yahoo ADP'!$C$2:$C2766,$D2103='Yahoo ADP'!$D$2:$D2766))"),"-")</f>
        <v>-</v>
      </c>
      <c r="G2103" s="27">
        <v>2100.0</v>
      </c>
      <c r="H2103" s="8">
        <f t="shared" si="1"/>
        <v>-2</v>
      </c>
    </row>
    <row r="2104">
      <c r="A2104" s="10">
        <v>2103.0</v>
      </c>
      <c r="B2104" s="11" t="s">
        <v>4948</v>
      </c>
      <c r="C2104" s="10" t="s">
        <v>14</v>
      </c>
      <c r="D2104" s="10" t="s">
        <v>85</v>
      </c>
      <c r="E2104" s="13" t="str">
        <f>IFERROR(__xludf.DUMMYFUNCTION("ifna(filter('Yahoo ADP'!$A$2:$A2766,'Yahoo ADP'!$B$2:$B2766=$B2104,$C2104='Yahoo ADP'!$C$2:$C2766,$D2104='Yahoo ADP'!$D$2:$D2766))"),"")</f>
        <v/>
      </c>
      <c r="F2104" s="13" t="str">
        <f>IFERROR(__xludf.DUMMYFUNCTION("ifna(filter('Yahoo ADP'!$E$2:$E2766,'Yahoo ADP'!$B$2:$B2766=$B2104,$C2104='Yahoo ADP'!$C$2:$C2766,$D2104='Yahoo ADP'!$D$2:$D2766))"),"-")</f>
        <v>-</v>
      </c>
      <c r="G2104" s="27">
        <v>2101.0</v>
      </c>
      <c r="H2104" s="8">
        <f t="shared" si="1"/>
        <v>-2</v>
      </c>
    </row>
    <row r="2105">
      <c r="A2105" s="10">
        <v>2104.0</v>
      </c>
      <c r="B2105" s="11" t="s">
        <v>4949</v>
      </c>
      <c r="C2105" s="10" t="s">
        <v>240</v>
      </c>
      <c r="D2105" s="10" t="s">
        <v>90</v>
      </c>
      <c r="E2105" s="13" t="str">
        <f>IFERROR(__xludf.DUMMYFUNCTION("ifna(filter('Yahoo ADP'!$A$2:$A2766,'Yahoo ADP'!$B$2:$B2766=$B2105,$C2105='Yahoo ADP'!$C$2:$C2766,$D2105='Yahoo ADP'!$D$2:$D2766))"),"")</f>
        <v/>
      </c>
      <c r="F2105" s="13" t="str">
        <f>IFERROR(__xludf.DUMMYFUNCTION("ifna(filter('Yahoo ADP'!$E$2:$E2766,'Yahoo ADP'!$B$2:$B2766=$B2105,$C2105='Yahoo ADP'!$C$2:$C2766,$D2105='Yahoo ADP'!$D$2:$D2766))"),"-")</f>
        <v>-</v>
      </c>
      <c r="G2105" s="27">
        <v>2102.0</v>
      </c>
      <c r="H2105" s="8">
        <f t="shared" si="1"/>
        <v>-2</v>
      </c>
    </row>
    <row r="2106">
      <c r="A2106" s="10">
        <v>2105.0</v>
      </c>
      <c r="B2106" s="11" t="s">
        <v>4950</v>
      </c>
      <c r="C2106" s="10" t="s">
        <v>39</v>
      </c>
      <c r="D2106" s="10" t="s">
        <v>18</v>
      </c>
      <c r="E2106" s="13" t="str">
        <f>IFERROR(__xludf.DUMMYFUNCTION("ifna(filter('Yahoo ADP'!$A$2:$A2766,'Yahoo ADP'!$B$2:$B2766=$B2106,$C2106='Yahoo ADP'!$C$2:$C2766,$D2106='Yahoo ADP'!$D$2:$D2766))"),"")</f>
        <v/>
      </c>
      <c r="F2106" s="13" t="str">
        <f>IFERROR(__xludf.DUMMYFUNCTION("ifna(filter('Yahoo ADP'!$E$2:$E2766,'Yahoo ADP'!$B$2:$B2766=$B2106,$C2106='Yahoo ADP'!$C$2:$C2766,$D2106='Yahoo ADP'!$D$2:$D2766))"),"-")</f>
        <v>-</v>
      </c>
      <c r="G2106" s="27">
        <v>2103.0</v>
      </c>
      <c r="H2106" s="8">
        <f t="shared" si="1"/>
        <v>-2</v>
      </c>
    </row>
    <row r="2107">
      <c r="A2107" s="10">
        <v>2106.0</v>
      </c>
      <c r="B2107" s="11" t="s">
        <v>4951</v>
      </c>
      <c r="C2107" s="10" t="s">
        <v>14</v>
      </c>
      <c r="D2107" s="10" t="s">
        <v>23</v>
      </c>
      <c r="E2107" s="13" t="str">
        <f>IFERROR(__xludf.DUMMYFUNCTION("ifna(filter('Yahoo ADP'!$A$2:$A2766,'Yahoo ADP'!$B$2:$B2766=$B2107,$C2107='Yahoo ADP'!$C$2:$C2766,$D2107='Yahoo ADP'!$D$2:$D2766))"),"")</f>
        <v/>
      </c>
      <c r="F2107" s="13" t="str">
        <f>IFERROR(__xludf.DUMMYFUNCTION("ifna(filter('Yahoo ADP'!$E$2:$E2766,'Yahoo ADP'!$B$2:$B2766=$B2107,$C2107='Yahoo ADP'!$C$2:$C2766,$D2107='Yahoo ADP'!$D$2:$D2766))"),"-")</f>
        <v>-</v>
      </c>
      <c r="G2107" s="27">
        <v>2104.0</v>
      </c>
      <c r="H2107" s="8">
        <f t="shared" si="1"/>
        <v>-2</v>
      </c>
    </row>
    <row r="2108">
      <c r="A2108" s="10">
        <v>2107.0</v>
      </c>
      <c r="B2108" s="11" t="s">
        <v>4952</v>
      </c>
      <c r="C2108" s="10" t="s">
        <v>14</v>
      </c>
      <c r="D2108" s="10" t="s">
        <v>95</v>
      </c>
      <c r="E2108" s="13" t="str">
        <f>IFERROR(__xludf.DUMMYFUNCTION("ifna(filter('Yahoo ADP'!$A$2:$A2766,'Yahoo ADP'!$B$2:$B2766=$B2108,$C2108='Yahoo ADP'!$C$2:$C2766,$D2108='Yahoo ADP'!$D$2:$D2766))"),"")</f>
        <v/>
      </c>
      <c r="F2108" s="13" t="str">
        <f>IFERROR(__xludf.DUMMYFUNCTION("ifna(filter('Yahoo ADP'!$E$2:$E2766,'Yahoo ADP'!$B$2:$B2766=$B2108,$C2108='Yahoo ADP'!$C$2:$C2766,$D2108='Yahoo ADP'!$D$2:$D2766))"),"-")</f>
        <v>-</v>
      </c>
      <c r="G2108" s="27">
        <v>2105.0</v>
      </c>
      <c r="H2108" s="8">
        <f t="shared" si="1"/>
        <v>-2</v>
      </c>
    </row>
    <row r="2109">
      <c r="A2109" s="10">
        <v>2108.0</v>
      </c>
      <c r="B2109" s="11" t="s">
        <v>4953</v>
      </c>
      <c r="C2109" s="10" t="s">
        <v>11</v>
      </c>
      <c r="D2109" s="10" t="s">
        <v>95</v>
      </c>
      <c r="E2109" s="13" t="str">
        <f>IFERROR(__xludf.DUMMYFUNCTION("ifna(filter('Yahoo ADP'!$A$2:$A2766,'Yahoo ADP'!$B$2:$B2766=$B2109,$C2109='Yahoo ADP'!$C$2:$C2766,$D2109='Yahoo ADP'!$D$2:$D2766))"),"")</f>
        <v/>
      </c>
      <c r="F2109" s="13" t="str">
        <f>IFERROR(__xludf.DUMMYFUNCTION("ifna(filter('Yahoo ADP'!$E$2:$E2766,'Yahoo ADP'!$B$2:$B2766=$B2109,$C2109='Yahoo ADP'!$C$2:$C2766,$D2109='Yahoo ADP'!$D$2:$D2766))"),"-")</f>
        <v>-</v>
      </c>
      <c r="G2109" s="27">
        <v>2106.0</v>
      </c>
      <c r="H2109" s="8">
        <f t="shared" si="1"/>
        <v>-2</v>
      </c>
    </row>
    <row r="2110">
      <c r="A2110" s="10">
        <v>2109.0</v>
      </c>
      <c r="B2110" s="11" t="s">
        <v>4954</v>
      </c>
      <c r="C2110" s="10" t="s">
        <v>14</v>
      </c>
      <c r="D2110" s="10" t="s">
        <v>12</v>
      </c>
      <c r="E2110" s="13" t="str">
        <f>IFERROR(__xludf.DUMMYFUNCTION("ifna(filter('Yahoo ADP'!$A$2:$A2766,'Yahoo ADP'!$B$2:$B2766=$B2110,$C2110='Yahoo ADP'!$C$2:$C2766,$D2110='Yahoo ADP'!$D$2:$D2766))"),"")</f>
        <v/>
      </c>
      <c r="F2110" s="13" t="str">
        <f>IFERROR(__xludf.DUMMYFUNCTION("ifna(filter('Yahoo ADP'!$E$2:$E2766,'Yahoo ADP'!$B$2:$B2766=$B2110,$C2110='Yahoo ADP'!$C$2:$C2766,$D2110='Yahoo ADP'!$D$2:$D2766))"),"-")</f>
        <v>-</v>
      </c>
      <c r="G2110" s="27">
        <v>2107.0</v>
      </c>
      <c r="H2110" s="8">
        <f t="shared" si="1"/>
        <v>-2</v>
      </c>
    </row>
    <row r="2111">
      <c r="A2111" s="10">
        <v>2110.0</v>
      </c>
      <c r="B2111" s="11" t="s">
        <v>4955</v>
      </c>
      <c r="C2111" s="10" t="s">
        <v>77</v>
      </c>
      <c r="D2111" s="10" t="s">
        <v>105</v>
      </c>
      <c r="E2111" s="13" t="str">
        <f>IFERROR(__xludf.DUMMYFUNCTION("ifna(filter('Yahoo ADP'!$A$2:$A2766,'Yahoo ADP'!$B$2:$B2766=$B2111,$C2111='Yahoo ADP'!$C$2:$C2766,$D2111='Yahoo ADP'!$D$2:$D2766))"),"")</f>
        <v/>
      </c>
      <c r="F2111" s="13" t="str">
        <f>IFERROR(__xludf.DUMMYFUNCTION("ifna(filter('Yahoo ADP'!$E$2:$E2766,'Yahoo ADP'!$B$2:$B2766=$B2111,$C2111='Yahoo ADP'!$C$2:$C2766,$D2111='Yahoo ADP'!$D$2:$D2766))"),"-")</f>
        <v>-</v>
      </c>
      <c r="G2111" s="27">
        <v>2108.0</v>
      </c>
      <c r="H2111" s="8">
        <f t="shared" si="1"/>
        <v>-2</v>
      </c>
    </row>
    <row r="2112">
      <c r="A2112" s="10">
        <v>2111.0</v>
      </c>
      <c r="B2112" s="11" t="s">
        <v>4956</v>
      </c>
      <c r="C2112" s="10" t="s">
        <v>14</v>
      </c>
      <c r="D2112" s="10" t="s">
        <v>18</v>
      </c>
      <c r="E2112" s="13" t="str">
        <f>IFERROR(__xludf.DUMMYFUNCTION("ifna(filter('Yahoo ADP'!$A$2:$A2766,'Yahoo ADP'!$B$2:$B2766=$B2112,$C2112='Yahoo ADP'!$C$2:$C2766,$D2112='Yahoo ADP'!$D$2:$D2766))"),"")</f>
        <v/>
      </c>
      <c r="F2112" s="13" t="str">
        <f>IFERROR(__xludf.DUMMYFUNCTION("ifna(filter('Yahoo ADP'!$E$2:$E2766,'Yahoo ADP'!$B$2:$B2766=$B2112,$C2112='Yahoo ADP'!$C$2:$C2766,$D2112='Yahoo ADP'!$D$2:$D2766))"),"-")</f>
        <v>-</v>
      </c>
      <c r="G2112" s="27">
        <v>2109.0</v>
      </c>
      <c r="H2112" s="8">
        <f t="shared" si="1"/>
        <v>-2</v>
      </c>
    </row>
    <row r="2113">
      <c r="A2113" s="10">
        <v>2112.0</v>
      </c>
      <c r="B2113" s="11" t="s">
        <v>4957</v>
      </c>
      <c r="C2113" s="10" t="s">
        <v>14</v>
      </c>
      <c r="D2113" s="10" t="s">
        <v>23</v>
      </c>
      <c r="E2113" s="13" t="str">
        <f>IFERROR(__xludf.DUMMYFUNCTION("ifna(filter('Yahoo ADP'!$A$2:$A2766,'Yahoo ADP'!$B$2:$B2766=$B2113,$C2113='Yahoo ADP'!$C$2:$C2766,$D2113='Yahoo ADP'!$D$2:$D2766))"),"")</f>
        <v/>
      </c>
      <c r="F2113" s="13" t="str">
        <f>IFERROR(__xludf.DUMMYFUNCTION("ifna(filter('Yahoo ADP'!$E$2:$E2766,'Yahoo ADP'!$B$2:$B2766=$B2113,$C2113='Yahoo ADP'!$C$2:$C2766,$D2113='Yahoo ADP'!$D$2:$D2766))"),"-")</f>
        <v>-</v>
      </c>
      <c r="G2113" s="27">
        <v>2110.0</v>
      </c>
      <c r="H2113" s="8">
        <f t="shared" si="1"/>
        <v>-2</v>
      </c>
    </row>
    <row r="2114">
      <c r="A2114" s="10">
        <v>2113.0</v>
      </c>
      <c r="B2114" s="11" t="s">
        <v>4958</v>
      </c>
      <c r="C2114" s="10" t="s">
        <v>17</v>
      </c>
      <c r="D2114" s="10" t="s">
        <v>31</v>
      </c>
      <c r="E2114" s="13" t="str">
        <f>IFERROR(__xludf.DUMMYFUNCTION("ifna(filter('Yahoo ADP'!$A$2:$A2766,'Yahoo ADP'!$B$2:$B2766=$B2114,$C2114='Yahoo ADP'!$C$2:$C2766,$D2114='Yahoo ADP'!$D$2:$D2766))"),"")</f>
        <v/>
      </c>
      <c r="F2114" s="13" t="str">
        <f>IFERROR(__xludf.DUMMYFUNCTION("ifna(filter('Yahoo ADP'!$E$2:$E2766,'Yahoo ADP'!$B$2:$B2766=$B2114,$C2114='Yahoo ADP'!$C$2:$C2766,$D2114='Yahoo ADP'!$D$2:$D2766))"),"-")</f>
        <v>-</v>
      </c>
      <c r="G2114" s="27">
        <v>2111.0</v>
      </c>
      <c r="H2114" s="8">
        <f t="shared" si="1"/>
        <v>-2</v>
      </c>
    </row>
    <row r="2115">
      <c r="A2115" s="10">
        <v>2114.0</v>
      </c>
      <c r="B2115" s="11" t="s">
        <v>4959</v>
      </c>
      <c r="C2115" s="10" t="s">
        <v>77</v>
      </c>
      <c r="D2115" s="10" t="s">
        <v>140</v>
      </c>
      <c r="E2115" s="13" t="str">
        <f>IFERROR(__xludf.DUMMYFUNCTION("ifna(filter('Yahoo ADP'!$A$2:$A2766,'Yahoo ADP'!$B$2:$B2766=$B2115,$C2115='Yahoo ADP'!$C$2:$C2766,$D2115='Yahoo ADP'!$D$2:$D2766))"),"")</f>
        <v/>
      </c>
      <c r="F2115" s="13" t="str">
        <f>IFERROR(__xludf.DUMMYFUNCTION("ifna(filter('Yahoo ADP'!$E$2:$E2766,'Yahoo ADP'!$B$2:$B2766=$B2115,$C2115='Yahoo ADP'!$C$2:$C2766,$D2115='Yahoo ADP'!$D$2:$D2766))"),"-")</f>
        <v>-</v>
      </c>
      <c r="G2115" s="27">
        <v>2112.0</v>
      </c>
      <c r="H2115" s="8">
        <f t="shared" si="1"/>
        <v>-2</v>
      </c>
    </row>
    <row r="2116">
      <c r="A2116" s="10">
        <v>2115.0</v>
      </c>
      <c r="B2116" s="11" t="s">
        <v>4960</v>
      </c>
      <c r="C2116" s="10" t="s">
        <v>39</v>
      </c>
      <c r="D2116" s="10" t="s">
        <v>31</v>
      </c>
      <c r="E2116" s="13" t="str">
        <f>IFERROR(__xludf.DUMMYFUNCTION("ifna(filter('Yahoo ADP'!$A$2:$A2766,'Yahoo ADP'!$B$2:$B2766=$B2116,$C2116='Yahoo ADP'!$C$2:$C2766,$D2116='Yahoo ADP'!$D$2:$D2766))"),"")</f>
        <v/>
      </c>
      <c r="F2116" s="13" t="str">
        <f>IFERROR(__xludf.DUMMYFUNCTION("ifna(filter('Yahoo ADP'!$E$2:$E2766,'Yahoo ADP'!$B$2:$B2766=$B2116,$C2116='Yahoo ADP'!$C$2:$C2766,$D2116='Yahoo ADP'!$D$2:$D2766))"),"-")</f>
        <v>-</v>
      </c>
      <c r="G2116" s="27">
        <v>2113.0</v>
      </c>
      <c r="H2116" s="8">
        <f t="shared" si="1"/>
        <v>-2</v>
      </c>
    </row>
    <row r="2117">
      <c r="A2117" s="10">
        <v>2116.0</v>
      </c>
      <c r="B2117" s="11" t="s">
        <v>4961</v>
      </c>
      <c r="C2117" s="10" t="s">
        <v>11</v>
      </c>
      <c r="D2117" s="10" t="s">
        <v>25</v>
      </c>
      <c r="E2117" s="13" t="str">
        <f>IFERROR(__xludf.DUMMYFUNCTION("ifna(filter('Yahoo ADP'!$A$2:$A2766,'Yahoo ADP'!$B$2:$B2766=$B2117,$C2117='Yahoo ADP'!$C$2:$C2766,$D2117='Yahoo ADP'!$D$2:$D2766))"),"")</f>
        <v/>
      </c>
      <c r="F2117" s="13" t="str">
        <f>IFERROR(__xludf.DUMMYFUNCTION("ifna(filter('Yahoo ADP'!$E$2:$E2766,'Yahoo ADP'!$B$2:$B2766=$B2117,$C2117='Yahoo ADP'!$C$2:$C2766,$D2117='Yahoo ADP'!$D$2:$D2766))"),"-")</f>
        <v>-</v>
      </c>
      <c r="G2117" s="27">
        <v>2114.0</v>
      </c>
      <c r="H2117" s="8">
        <f t="shared" si="1"/>
        <v>-2</v>
      </c>
    </row>
    <row r="2118">
      <c r="A2118" s="10">
        <v>2117.0</v>
      </c>
      <c r="B2118" s="11" t="s">
        <v>4962</v>
      </c>
      <c r="C2118" s="10" t="s">
        <v>136</v>
      </c>
      <c r="D2118" s="10" t="s">
        <v>36</v>
      </c>
      <c r="E2118" s="13" t="str">
        <f>IFERROR(__xludf.DUMMYFUNCTION("ifna(filter('Yahoo ADP'!$A$2:$A2766,'Yahoo ADP'!$B$2:$B2766=$B2118,$C2118='Yahoo ADP'!$C$2:$C2766,$D2118='Yahoo ADP'!$D$2:$D2766))"),"")</f>
        <v/>
      </c>
      <c r="F2118" s="13" t="str">
        <f>IFERROR(__xludf.DUMMYFUNCTION("ifna(filter('Yahoo ADP'!$E$2:$E2766,'Yahoo ADP'!$B$2:$B2766=$B2118,$C2118='Yahoo ADP'!$C$2:$C2766,$D2118='Yahoo ADP'!$D$2:$D2766))"),"-")</f>
        <v>-</v>
      </c>
      <c r="G2118" s="27">
        <v>2115.0</v>
      </c>
      <c r="H2118" s="8">
        <f t="shared" si="1"/>
        <v>-2</v>
      </c>
    </row>
    <row r="2119">
      <c r="A2119" s="10">
        <v>2118.0</v>
      </c>
      <c r="B2119" s="11" t="s">
        <v>4963</v>
      </c>
      <c r="C2119" s="10" t="s">
        <v>14</v>
      </c>
      <c r="D2119" s="10" t="s">
        <v>206</v>
      </c>
      <c r="E2119" s="13" t="str">
        <f>IFERROR(__xludf.DUMMYFUNCTION("ifna(filter('Yahoo ADP'!$A$2:$A2766,'Yahoo ADP'!$B$2:$B2766=$B2119,$C2119='Yahoo ADP'!$C$2:$C2766,$D2119='Yahoo ADP'!$D$2:$D2766))"),"")</f>
        <v/>
      </c>
      <c r="F2119" s="13" t="str">
        <f>IFERROR(__xludf.DUMMYFUNCTION("ifna(filter('Yahoo ADP'!$E$2:$E2766,'Yahoo ADP'!$B$2:$B2766=$B2119,$C2119='Yahoo ADP'!$C$2:$C2766,$D2119='Yahoo ADP'!$D$2:$D2766))"),"-")</f>
        <v>-</v>
      </c>
      <c r="G2119" s="27">
        <v>2116.0</v>
      </c>
      <c r="H2119" s="8">
        <f t="shared" si="1"/>
        <v>-2</v>
      </c>
    </row>
    <row r="2120">
      <c r="A2120" s="10">
        <v>2119.0</v>
      </c>
      <c r="B2120" s="11" t="s">
        <v>4964</v>
      </c>
      <c r="C2120" s="10" t="s">
        <v>77</v>
      </c>
      <c r="D2120" s="10" t="s">
        <v>23</v>
      </c>
      <c r="E2120" s="13" t="str">
        <f>IFERROR(__xludf.DUMMYFUNCTION("ifna(filter('Yahoo ADP'!$A$2:$A2766,'Yahoo ADP'!$B$2:$B2766=$B2120,$C2120='Yahoo ADP'!$C$2:$C2766,$D2120='Yahoo ADP'!$D$2:$D2766))"),"")</f>
        <v/>
      </c>
      <c r="F2120" s="13" t="str">
        <f>IFERROR(__xludf.DUMMYFUNCTION("ifna(filter('Yahoo ADP'!$E$2:$E2766,'Yahoo ADP'!$B$2:$B2766=$B2120,$C2120='Yahoo ADP'!$C$2:$C2766,$D2120='Yahoo ADP'!$D$2:$D2766))"),"-")</f>
        <v>-</v>
      </c>
      <c r="G2120" s="27">
        <v>2117.0</v>
      </c>
      <c r="H2120" s="8">
        <f t="shared" si="1"/>
        <v>-2</v>
      </c>
    </row>
    <row r="2121">
      <c r="A2121" s="10">
        <v>2120.0</v>
      </c>
      <c r="B2121" s="11" t="s">
        <v>4965</v>
      </c>
      <c r="C2121" s="10" t="s">
        <v>39</v>
      </c>
      <c r="D2121" s="10" t="s">
        <v>105</v>
      </c>
      <c r="E2121" s="13" t="str">
        <f>IFERROR(__xludf.DUMMYFUNCTION("ifna(filter('Yahoo ADP'!$A$2:$A2766,'Yahoo ADP'!$B$2:$B2766=$B2121,$C2121='Yahoo ADP'!$C$2:$C2766,$D2121='Yahoo ADP'!$D$2:$D2766))"),"")</f>
        <v/>
      </c>
      <c r="F2121" s="13" t="str">
        <f>IFERROR(__xludf.DUMMYFUNCTION("ifna(filter('Yahoo ADP'!$E$2:$E2766,'Yahoo ADP'!$B$2:$B2766=$B2121,$C2121='Yahoo ADP'!$C$2:$C2766,$D2121='Yahoo ADP'!$D$2:$D2766))"),"-")</f>
        <v>-</v>
      </c>
      <c r="G2121" s="27">
        <v>2118.0</v>
      </c>
      <c r="H2121" s="8">
        <f t="shared" si="1"/>
        <v>-2</v>
      </c>
    </row>
    <row r="2122">
      <c r="A2122" s="10">
        <v>2121.0</v>
      </c>
      <c r="B2122" s="11" t="s">
        <v>4966</v>
      </c>
      <c r="C2122" s="10" t="s">
        <v>11</v>
      </c>
      <c r="D2122" s="10" t="s">
        <v>25</v>
      </c>
      <c r="E2122" s="13" t="str">
        <f>IFERROR(__xludf.DUMMYFUNCTION("ifna(filter('Yahoo ADP'!$A$2:$A2766,'Yahoo ADP'!$B$2:$B2766=$B2122,$C2122='Yahoo ADP'!$C$2:$C2766,$D2122='Yahoo ADP'!$D$2:$D2766))"),"")</f>
        <v/>
      </c>
      <c r="F2122" s="13" t="str">
        <f>IFERROR(__xludf.DUMMYFUNCTION("ifna(filter('Yahoo ADP'!$E$2:$E2766,'Yahoo ADP'!$B$2:$B2766=$B2122,$C2122='Yahoo ADP'!$C$2:$C2766,$D2122='Yahoo ADP'!$D$2:$D2766))"),"-")</f>
        <v>-</v>
      </c>
      <c r="G2122" s="27">
        <v>2119.0</v>
      </c>
      <c r="H2122" s="8">
        <f t="shared" si="1"/>
        <v>-2</v>
      </c>
    </row>
    <row r="2123">
      <c r="A2123" s="10">
        <v>2122.0</v>
      </c>
      <c r="B2123" s="11" t="s">
        <v>4967</v>
      </c>
      <c r="C2123" s="10" t="s">
        <v>20</v>
      </c>
      <c r="D2123" s="10" t="s">
        <v>122</v>
      </c>
      <c r="E2123" s="13" t="str">
        <f>IFERROR(__xludf.DUMMYFUNCTION("ifna(filter('Yahoo ADP'!$A$2:$A2766,'Yahoo ADP'!$B$2:$B2766=$B2123,$C2123='Yahoo ADP'!$C$2:$C2766,$D2123='Yahoo ADP'!$D$2:$D2766))"),"")</f>
        <v/>
      </c>
      <c r="F2123" s="13" t="str">
        <f>IFERROR(__xludf.DUMMYFUNCTION("ifna(filter('Yahoo ADP'!$E$2:$E2766,'Yahoo ADP'!$B$2:$B2766=$B2123,$C2123='Yahoo ADP'!$C$2:$C2766,$D2123='Yahoo ADP'!$D$2:$D2766))"),"-")</f>
        <v>-</v>
      </c>
      <c r="G2123" s="27">
        <v>2120.0</v>
      </c>
      <c r="H2123" s="8">
        <f t="shared" si="1"/>
        <v>-2</v>
      </c>
    </row>
    <row r="2124">
      <c r="A2124" s="10">
        <v>2123.0</v>
      </c>
      <c r="B2124" s="11" t="s">
        <v>4968</v>
      </c>
      <c r="C2124" s="10" t="s">
        <v>136</v>
      </c>
      <c r="D2124" s="10" t="s">
        <v>95</v>
      </c>
      <c r="E2124" s="13" t="str">
        <f>IFERROR(__xludf.DUMMYFUNCTION("ifna(filter('Yahoo ADP'!$A$2:$A2766,'Yahoo ADP'!$B$2:$B2766=$B2124,$C2124='Yahoo ADP'!$C$2:$C2766,$D2124='Yahoo ADP'!$D$2:$D2766))"),"")</f>
        <v/>
      </c>
      <c r="F2124" s="13" t="str">
        <f>IFERROR(__xludf.DUMMYFUNCTION("ifna(filter('Yahoo ADP'!$E$2:$E2766,'Yahoo ADP'!$B$2:$B2766=$B2124,$C2124='Yahoo ADP'!$C$2:$C2766,$D2124='Yahoo ADP'!$D$2:$D2766))"),"-")</f>
        <v>-</v>
      </c>
      <c r="G2124" s="27">
        <v>2121.0</v>
      </c>
      <c r="H2124" s="8">
        <f t="shared" si="1"/>
        <v>-2</v>
      </c>
    </row>
    <row r="2125">
      <c r="A2125" s="10">
        <v>2124.0</v>
      </c>
      <c r="B2125" s="11" t="s">
        <v>4969</v>
      </c>
      <c r="C2125" s="10" t="s">
        <v>14</v>
      </c>
      <c r="D2125" s="10" t="s">
        <v>34</v>
      </c>
      <c r="E2125" s="13" t="str">
        <f>IFERROR(__xludf.DUMMYFUNCTION("ifna(filter('Yahoo ADP'!$A$2:$A2766,'Yahoo ADP'!$B$2:$B2766=$B2125,$C2125='Yahoo ADP'!$C$2:$C2766,$D2125='Yahoo ADP'!$D$2:$D2766))"),"")</f>
        <v/>
      </c>
      <c r="F2125" s="13" t="str">
        <f>IFERROR(__xludf.DUMMYFUNCTION("ifna(filter('Yahoo ADP'!$E$2:$E2766,'Yahoo ADP'!$B$2:$B2766=$B2125,$C2125='Yahoo ADP'!$C$2:$C2766,$D2125='Yahoo ADP'!$D$2:$D2766))"),"-")</f>
        <v>-</v>
      </c>
      <c r="G2125" s="27">
        <v>2122.0</v>
      </c>
      <c r="H2125" s="8">
        <f t="shared" si="1"/>
        <v>-2</v>
      </c>
    </row>
    <row r="2126">
      <c r="A2126" s="10">
        <v>2125.0</v>
      </c>
      <c r="B2126" s="11" t="s">
        <v>4970</v>
      </c>
      <c r="C2126" s="10" t="s">
        <v>14</v>
      </c>
      <c r="D2126" s="10" t="s">
        <v>129</v>
      </c>
      <c r="E2126" s="13" t="str">
        <f>IFERROR(__xludf.DUMMYFUNCTION("ifna(filter('Yahoo ADP'!$A$2:$A2766,'Yahoo ADP'!$B$2:$B2766=$B2126,$C2126='Yahoo ADP'!$C$2:$C2766,$D2126='Yahoo ADP'!$D$2:$D2766))"),"")</f>
        <v/>
      </c>
      <c r="F2126" s="13" t="str">
        <f>IFERROR(__xludf.DUMMYFUNCTION("ifna(filter('Yahoo ADP'!$E$2:$E2766,'Yahoo ADP'!$B$2:$B2766=$B2126,$C2126='Yahoo ADP'!$C$2:$C2766,$D2126='Yahoo ADP'!$D$2:$D2766))"),"-")</f>
        <v>-</v>
      </c>
      <c r="G2126" s="27">
        <v>2123.0</v>
      </c>
      <c r="H2126" s="8">
        <f t="shared" si="1"/>
        <v>-2</v>
      </c>
    </row>
    <row r="2127">
      <c r="A2127" s="10">
        <v>2126.0</v>
      </c>
      <c r="B2127" s="11" t="s">
        <v>4971</v>
      </c>
      <c r="C2127" s="10" t="s">
        <v>17</v>
      </c>
      <c r="D2127" s="10" t="s">
        <v>9</v>
      </c>
      <c r="E2127" s="13" t="str">
        <f>IFERROR(__xludf.DUMMYFUNCTION("ifna(filter('Yahoo ADP'!$A$2:$A2766,'Yahoo ADP'!$B$2:$B2766=$B2127,$C2127='Yahoo ADP'!$C$2:$C2766,$D2127='Yahoo ADP'!$D$2:$D2766))"),"")</f>
        <v/>
      </c>
      <c r="F2127" s="13" t="str">
        <f>IFERROR(__xludf.DUMMYFUNCTION("ifna(filter('Yahoo ADP'!$E$2:$E2766,'Yahoo ADP'!$B$2:$B2766=$B2127,$C2127='Yahoo ADP'!$C$2:$C2766,$D2127='Yahoo ADP'!$D$2:$D2766))"),"-")</f>
        <v>-</v>
      </c>
      <c r="G2127" s="27">
        <v>2124.0</v>
      </c>
      <c r="H2127" s="8">
        <f t="shared" si="1"/>
        <v>-2</v>
      </c>
    </row>
    <row r="2128">
      <c r="A2128" s="10">
        <v>2127.0</v>
      </c>
      <c r="B2128" s="11" t="s">
        <v>4972</v>
      </c>
      <c r="C2128" s="10" t="s">
        <v>17</v>
      </c>
      <c r="D2128" s="10" t="s">
        <v>49</v>
      </c>
      <c r="E2128" s="13" t="str">
        <f>IFERROR(__xludf.DUMMYFUNCTION("ifna(filter('Yahoo ADP'!$A$2:$A2766,'Yahoo ADP'!$B$2:$B2766=$B2128,$C2128='Yahoo ADP'!$C$2:$C2766,$D2128='Yahoo ADP'!$D$2:$D2766))"),"")</f>
        <v/>
      </c>
      <c r="F2128" s="13" t="str">
        <f>IFERROR(__xludf.DUMMYFUNCTION("ifna(filter('Yahoo ADP'!$E$2:$E2766,'Yahoo ADP'!$B$2:$B2766=$B2128,$C2128='Yahoo ADP'!$C$2:$C2766,$D2128='Yahoo ADP'!$D$2:$D2766))"),"-")</f>
        <v>-</v>
      </c>
      <c r="G2128" s="27">
        <v>2125.0</v>
      </c>
      <c r="H2128" s="8">
        <f t="shared" si="1"/>
        <v>-2</v>
      </c>
    </row>
    <row r="2129">
      <c r="A2129" s="10">
        <v>2128.0</v>
      </c>
      <c r="B2129" s="11" t="s">
        <v>4973</v>
      </c>
      <c r="C2129" s="10" t="s">
        <v>11</v>
      </c>
      <c r="D2129" s="10" t="s">
        <v>34</v>
      </c>
      <c r="E2129" s="13" t="str">
        <f>IFERROR(__xludf.DUMMYFUNCTION("ifna(filter('Yahoo ADP'!$A$2:$A2766,'Yahoo ADP'!$B$2:$B2766=$B2129,$C2129='Yahoo ADP'!$C$2:$C2766,$D2129='Yahoo ADP'!$D$2:$D2766))"),"")</f>
        <v/>
      </c>
      <c r="F2129" s="13" t="str">
        <f>IFERROR(__xludf.DUMMYFUNCTION("ifna(filter('Yahoo ADP'!$E$2:$E2766,'Yahoo ADP'!$B$2:$B2766=$B2129,$C2129='Yahoo ADP'!$C$2:$C2766,$D2129='Yahoo ADP'!$D$2:$D2766))"),"-")</f>
        <v>-</v>
      </c>
      <c r="G2129" s="27">
        <v>2126.0</v>
      </c>
      <c r="H2129" s="8">
        <f t="shared" si="1"/>
        <v>-2</v>
      </c>
    </row>
    <row r="2130">
      <c r="A2130" s="10">
        <v>2129.0</v>
      </c>
      <c r="B2130" s="11" t="s">
        <v>4974</v>
      </c>
      <c r="C2130" s="10" t="s">
        <v>11</v>
      </c>
      <c r="D2130" s="10" t="s">
        <v>82</v>
      </c>
      <c r="E2130" s="13" t="str">
        <f>IFERROR(__xludf.DUMMYFUNCTION("ifna(filter('Yahoo ADP'!$A$2:$A2766,'Yahoo ADP'!$B$2:$B2766=$B2130,$C2130='Yahoo ADP'!$C$2:$C2766,$D2130='Yahoo ADP'!$D$2:$D2766))"),"")</f>
        <v/>
      </c>
      <c r="F2130" s="13" t="str">
        <f>IFERROR(__xludf.DUMMYFUNCTION("ifna(filter('Yahoo ADP'!$E$2:$E2766,'Yahoo ADP'!$B$2:$B2766=$B2130,$C2130='Yahoo ADP'!$C$2:$C2766,$D2130='Yahoo ADP'!$D$2:$D2766))"),"-")</f>
        <v>-</v>
      </c>
      <c r="G2130" s="27">
        <v>2127.0</v>
      </c>
      <c r="H2130" s="8">
        <f t="shared" si="1"/>
        <v>-2</v>
      </c>
    </row>
    <row r="2131">
      <c r="A2131" s="10">
        <v>2130.0</v>
      </c>
      <c r="B2131" s="11" t="s">
        <v>4975</v>
      </c>
      <c r="C2131" s="10" t="s">
        <v>89</v>
      </c>
      <c r="D2131" s="10" t="s">
        <v>95</v>
      </c>
      <c r="E2131" s="13" t="str">
        <f>IFERROR(__xludf.DUMMYFUNCTION("ifna(filter('Yahoo ADP'!$A$2:$A2766,'Yahoo ADP'!$B$2:$B2766=$B2131,$C2131='Yahoo ADP'!$C$2:$C2766,$D2131='Yahoo ADP'!$D$2:$D2766))"),"")</f>
        <v/>
      </c>
      <c r="F2131" s="13" t="str">
        <f>IFERROR(__xludf.DUMMYFUNCTION("ifna(filter('Yahoo ADP'!$E$2:$E2766,'Yahoo ADP'!$B$2:$B2766=$B2131,$C2131='Yahoo ADP'!$C$2:$C2766,$D2131='Yahoo ADP'!$D$2:$D2766))"),"-")</f>
        <v>-</v>
      </c>
      <c r="G2131" s="27">
        <v>2128.0</v>
      </c>
      <c r="H2131" s="8">
        <f t="shared" si="1"/>
        <v>-2</v>
      </c>
    </row>
    <row r="2132">
      <c r="A2132" s="10">
        <v>2131.0</v>
      </c>
      <c r="B2132" s="11" t="s">
        <v>4976</v>
      </c>
      <c r="C2132" s="10" t="s">
        <v>39</v>
      </c>
      <c r="D2132" s="10" t="s">
        <v>105</v>
      </c>
      <c r="E2132" s="13" t="str">
        <f>IFERROR(__xludf.DUMMYFUNCTION("ifna(filter('Yahoo ADP'!$A$2:$A2766,'Yahoo ADP'!$B$2:$B2766=$B2132,$C2132='Yahoo ADP'!$C$2:$C2766,$D2132='Yahoo ADP'!$D$2:$D2766))"),"")</f>
        <v/>
      </c>
      <c r="F2132" s="13" t="str">
        <f>IFERROR(__xludf.DUMMYFUNCTION("ifna(filter('Yahoo ADP'!$E$2:$E2766,'Yahoo ADP'!$B$2:$B2766=$B2132,$C2132='Yahoo ADP'!$C$2:$C2766,$D2132='Yahoo ADP'!$D$2:$D2766))"),"-")</f>
        <v>-</v>
      </c>
      <c r="G2132" s="27">
        <v>2129.0</v>
      </c>
      <c r="H2132" s="8">
        <f t="shared" si="1"/>
        <v>-2</v>
      </c>
    </row>
    <row r="2133">
      <c r="A2133" s="10">
        <v>2132.0</v>
      </c>
      <c r="B2133" s="11" t="s">
        <v>4977</v>
      </c>
      <c r="C2133" s="10" t="s">
        <v>77</v>
      </c>
      <c r="D2133" s="10" t="s">
        <v>27</v>
      </c>
      <c r="E2133" s="13" t="str">
        <f>IFERROR(__xludf.DUMMYFUNCTION("ifna(filter('Yahoo ADP'!$A$2:$A2766,'Yahoo ADP'!$B$2:$B2766=$B2133,$C2133='Yahoo ADP'!$C$2:$C2766,$D2133='Yahoo ADP'!$D$2:$D2766))"),"")</f>
        <v/>
      </c>
      <c r="F2133" s="13" t="str">
        <f>IFERROR(__xludf.DUMMYFUNCTION("ifna(filter('Yahoo ADP'!$E$2:$E2766,'Yahoo ADP'!$B$2:$B2766=$B2133,$C2133='Yahoo ADP'!$C$2:$C2766,$D2133='Yahoo ADP'!$D$2:$D2766))"),"-")</f>
        <v>-</v>
      </c>
      <c r="G2133" s="27">
        <v>2130.0</v>
      </c>
      <c r="H2133" s="8">
        <f t="shared" si="1"/>
        <v>-2</v>
      </c>
    </row>
    <row r="2134">
      <c r="A2134" s="10">
        <v>2133.0</v>
      </c>
      <c r="B2134" s="11" t="s">
        <v>2961</v>
      </c>
      <c r="C2134" s="10" t="s">
        <v>14</v>
      </c>
      <c r="D2134" s="10" t="s">
        <v>120</v>
      </c>
      <c r="E2134" s="13" t="str">
        <f>IFERROR(__xludf.DUMMYFUNCTION("ifna(filter('Yahoo ADP'!$A$2:$A2766,'Yahoo ADP'!$B$2:$B2766=$B2134,$C2134='Yahoo ADP'!$C$2:$C2766,$D2134='Yahoo ADP'!$D$2:$D2766))"),"")</f>
        <v/>
      </c>
      <c r="F2134" s="13" t="str">
        <f>IFERROR(__xludf.DUMMYFUNCTION("ifna(filter('Yahoo ADP'!$E$2:$E2766,'Yahoo ADP'!$B$2:$B2766=$B2134,$C2134='Yahoo ADP'!$C$2:$C2766,$D2134='Yahoo ADP'!$D$2:$D2766))"),"-")</f>
        <v>-</v>
      </c>
      <c r="G2134" s="27">
        <v>2131.0</v>
      </c>
      <c r="H2134" s="8">
        <f t="shared" si="1"/>
        <v>-2</v>
      </c>
    </row>
    <row r="2135">
      <c r="A2135" s="10">
        <v>2134.0</v>
      </c>
      <c r="B2135" s="11" t="s">
        <v>4978</v>
      </c>
      <c r="C2135" s="10" t="s">
        <v>39</v>
      </c>
      <c r="D2135" s="10" t="s">
        <v>49</v>
      </c>
      <c r="E2135" s="13" t="str">
        <f>IFERROR(__xludf.DUMMYFUNCTION("ifna(filter('Yahoo ADP'!$A$2:$A2766,'Yahoo ADP'!$B$2:$B2766=$B2135,$C2135='Yahoo ADP'!$C$2:$C2766,$D2135='Yahoo ADP'!$D$2:$D2766))"),"")</f>
        <v/>
      </c>
      <c r="F2135" s="13" t="str">
        <f>IFERROR(__xludf.DUMMYFUNCTION("ifna(filter('Yahoo ADP'!$E$2:$E2766,'Yahoo ADP'!$B$2:$B2766=$B2135,$C2135='Yahoo ADP'!$C$2:$C2766,$D2135='Yahoo ADP'!$D$2:$D2766))"),"-")</f>
        <v>-</v>
      </c>
      <c r="G2135" s="27">
        <v>2132.0</v>
      </c>
      <c r="H2135" s="8">
        <f t="shared" si="1"/>
        <v>-2</v>
      </c>
    </row>
    <row r="2136">
      <c r="A2136" s="10">
        <v>2135.0</v>
      </c>
      <c r="B2136" s="11" t="s">
        <v>4979</v>
      </c>
      <c r="C2136" s="10" t="s">
        <v>39</v>
      </c>
      <c r="D2136" s="10" t="s">
        <v>46</v>
      </c>
      <c r="E2136" s="13" t="str">
        <f>IFERROR(__xludf.DUMMYFUNCTION("ifna(filter('Yahoo ADP'!$A$2:$A2766,'Yahoo ADP'!$B$2:$B2766=$B2136,$C2136='Yahoo ADP'!$C$2:$C2766,$D2136='Yahoo ADP'!$D$2:$D2766))"),"")</f>
        <v/>
      </c>
      <c r="F2136" s="13" t="str">
        <f>IFERROR(__xludf.DUMMYFUNCTION("ifna(filter('Yahoo ADP'!$E$2:$E2766,'Yahoo ADP'!$B$2:$B2766=$B2136,$C2136='Yahoo ADP'!$C$2:$C2766,$D2136='Yahoo ADP'!$D$2:$D2766))"),"-")</f>
        <v>-</v>
      </c>
      <c r="G2136" s="27">
        <v>2133.0</v>
      </c>
      <c r="H2136" s="8">
        <f t="shared" si="1"/>
        <v>-2</v>
      </c>
    </row>
    <row r="2137">
      <c r="A2137" s="10">
        <v>2136.0</v>
      </c>
      <c r="B2137" s="11" t="s">
        <v>4980</v>
      </c>
      <c r="C2137" s="10" t="s">
        <v>17</v>
      </c>
      <c r="D2137" s="10" t="s">
        <v>85</v>
      </c>
      <c r="E2137" s="13" t="str">
        <f>IFERROR(__xludf.DUMMYFUNCTION("ifna(filter('Yahoo ADP'!$A$2:$A2766,'Yahoo ADP'!$B$2:$B2766=$B2137,$C2137='Yahoo ADP'!$C$2:$C2766,$D2137='Yahoo ADP'!$D$2:$D2766))"),"")</f>
        <v/>
      </c>
      <c r="F2137" s="13" t="str">
        <f>IFERROR(__xludf.DUMMYFUNCTION("ifna(filter('Yahoo ADP'!$E$2:$E2766,'Yahoo ADP'!$B$2:$B2766=$B2137,$C2137='Yahoo ADP'!$C$2:$C2766,$D2137='Yahoo ADP'!$D$2:$D2766))"),"-")</f>
        <v>-</v>
      </c>
      <c r="G2137" s="27">
        <v>2134.0</v>
      </c>
      <c r="H2137" s="8">
        <f t="shared" si="1"/>
        <v>-2</v>
      </c>
    </row>
    <row r="2138">
      <c r="A2138" s="10">
        <v>2137.0</v>
      </c>
      <c r="B2138" s="11" t="s">
        <v>4981</v>
      </c>
      <c r="C2138" s="10" t="s">
        <v>14</v>
      </c>
      <c r="D2138" s="10" t="s">
        <v>73</v>
      </c>
      <c r="E2138" s="13" t="str">
        <f>IFERROR(__xludf.DUMMYFUNCTION("ifna(filter('Yahoo ADP'!$A$2:$A2766,'Yahoo ADP'!$B$2:$B2766=$B2138,$C2138='Yahoo ADP'!$C$2:$C2766,$D2138='Yahoo ADP'!$D$2:$D2766))"),"")</f>
        <v/>
      </c>
      <c r="F2138" s="13" t="str">
        <f>IFERROR(__xludf.DUMMYFUNCTION("ifna(filter('Yahoo ADP'!$E$2:$E2766,'Yahoo ADP'!$B$2:$B2766=$B2138,$C2138='Yahoo ADP'!$C$2:$C2766,$D2138='Yahoo ADP'!$D$2:$D2766))"),"-")</f>
        <v>-</v>
      </c>
      <c r="G2138" s="27">
        <v>2135.0</v>
      </c>
      <c r="H2138" s="8">
        <f t="shared" si="1"/>
        <v>-2</v>
      </c>
    </row>
    <row r="2139">
      <c r="A2139" s="10">
        <v>2138.0</v>
      </c>
      <c r="B2139" s="11" t="s">
        <v>4982</v>
      </c>
      <c r="C2139" s="10" t="s">
        <v>14</v>
      </c>
      <c r="D2139" s="10" t="s">
        <v>105</v>
      </c>
      <c r="E2139" s="13" t="str">
        <f>IFERROR(__xludf.DUMMYFUNCTION("ifna(filter('Yahoo ADP'!$A$2:$A2766,'Yahoo ADP'!$B$2:$B2766=$B2139,$C2139='Yahoo ADP'!$C$2:$C2766,$D2139='Yahoo ADP'!$D$2:$D2766))"),"")</f>
        <v/>
      </c>
      <c r="F2139" s="13" t="str">
        <f>IFERROR(__xludf.DUMMYFUNCTION("ifna(filter('Yahoo ADP'!$E$2:$E2766,'Yahoo ADP'!$B$2:$B2766=$B2139,$C2139='Yahoo ADP'!$C$2:$C2766,$D2139='Yahoo ADP'!$D$2:$D2766))"),"-")</f>
        <v>-</v>
      </c>
      <c r="G2139" s="27">
        <v>2136.0</v>
      </c>
      <c r="H2139" s="8">
        <f t="shared" si="1"/>
        <v>-2</v>
      </c>
    </row>
    <row r="2140">
      <c r="A2140" s="10">
        <v>2139.0</v>
      </c>
      <c r="B2140" s="11" t="s">
        <v>4983</v>
      </c>
      <c r="C2140" s="10" t="s">
        <v>11</v>
      </c>
      <c r="D2140" s="10" t="s">
        <v>42</v>
      </c>
      <c r="E2140" s="13" t="str">
        <f>IFERROR(__xludf.DUMMYFUNCTION("ifna(filter('Yahoo ADP'!$A$2:$A2766,'Yahoo ADP'!$B$2:$B2766=$B2140,$C2140='Yahoo ADP'!$C$2:$C2766,$D2140='Yahoo ADP'!$D$2:$D2766))"),"")</f>
        <v/>
      </c>
      <c r="F2140" s="13" t="str">
        <f>IFERROR(__xludf.DUMMYFUNCTION("ifna(filter('Yahoo ADP'!$E$2:$E2766,'Yahoo ADP'!$B$2:$B2766=$B2140,$C2140='Yahoo ADP'!$C$2:$C2766,$D2140='Yahoo ADP'!$D$2:$D2766))"),"-")</f>
        <v>-</v>
      </c>
      <c r="G2140" s="27">
        <v>2137.0</v>
      </c>
      <c r="H2140" s="8">
        <f t="shared" si="1"/>
        <v>-2</v>
      </c>
    </row>
    <row r="2141">
      <c r="A2141" s="10">
        <v>2140.0</v>
      </c>
      <c r="B2141" s="11" t="s">
        <v>4984</v>
      </c>
      <c r="C2141" s="10" t="s">
        <v>55</v>
      </c>
      <c r="D2141" s="10" t="s">
        <v>206</v>
      </c>
      <c r="E2141" s="13" t="str">
        <f>IFERROR(__xludf.DUMMYFUNCTION("ifna(filter('Yahoo ADP'!$A$2:$A2766,'Yahoo ADP'!$B$2:$B2766=$B2141,$C2141='Yahoo ADP'!$C$2:$C2766,$D2141='Yahoo ADP'!$D$2:$D2766))"),"")</f>
        <v/>
      </c>
      <c r="F2141" s="13" t="str">
        <f>IFERROR(__xludf.DUMMYFUNCTION("ifna(filter('Yahoo ADP'!$E$2:$E2766,'Yahoo ADP'!$B$2:$B2766=$B2141,$C2141='Yahoo ADP'!$C$2:$C2766,$D2141='Yahoo ADP'!$D$2:$D2766))"),"-")</f>
        <v>-</v>
      </c>
      <c r="G2141" s="27">
        <v>2138.0</v>
      </c>
      <c r="H2141" s="8">
        <f t="shared" si="1"/>
        <v>-2</v>
      </c>
    </row>
    <row r="2142">
      <c r="A2142" s="10">
        <v>2141.0</v>
      </c>
      <c r="B2142" s="11" t="s">
        <v>4985</v>
      </c>
      <c r="C2142" s="10" t="s">
        <v>39</v>
      </c>
      <c r="D2142" s="10" t="s">
        <v>12</v>
      </c>
      <c r="E2142" s="13" t="str">
        <f>IFERROR(__xludf.DUMMYFUNCTION("ifna(filter('Yahoo ADP'!$A$2:$A2766,'Yahoo ADP'!$B$2:$B2766=$B2142,$C2142='Yahoo ADP'!$C$2:$C2766,$D2142='Yahoo ADP'!$D$2:$D2766))"),"")</f>
        <v/>
      </c>
      <c r="F2142" s="13" t="str">
        <f>IFERROR(__xludf.DUMMYFUNCTION("ifna(filter('Yahoo ADP'!$E$2:$E2766,'Yahoo ADP'!$B$2:$B2766=$B2142,$C2142='Yahoo ADP'!$C$2:$C2766,$D2142='Yahoo ADP'!$D$2:$D2766))"),"-")</f>
        <v>-</v>
      </c>
      <c r="G2142" s="27">
        <v>2139.0</v>
      </c>
      <c r="H2142" s="8">
        <f t="shared" si="1"/>
        <v>-2</v>
      </c>
    </row>
    <row r="2143">
      <c r="A2143" s="10">
        <v>2142.0</v>
      </c>
      <c r="B2143" s="11" t="s">
        <v>4986</v>
      </c>
      <c r="C2143" s="10" t="s">
        <v>14</v>
      </c>
      <c r="D2143" s="10" t="s">
        <v>129</v>
      </c>
      <c r="E2143" s="13" t="str">
        <f>IFERROR(__xludf.DUMMYFUNCTION("ifna(filter('Yahoo ADP'!$A$2:$A2766,'Yahoo ADP'!$B$2:$B2766=$B2143,$C2143='Yahoo ADP'!$C$2:$C2766,$D2143='Yahoo ADP'!$D$2:$D2766))"),"")</f>
        <v/>
      </c>
      <c r="F2143" s="13" t="str">
        <f>IFERROR(__xludf.DUMMYFUNCTION("ifna(filter('Yahoo ADP'!$E$2:$E2766,'Yahoo ADP'!$B$2:$B2766=$B2143,$C2143='Yahoo ADP'!$C$2:$C2766,$D2143='Yahoo ADP'!$D$2:$D2766))"),"-")</f>
        <v>-</v>
      </c>
      <c r="G2143" s="27">
        <v>2140.0</v>
      </c>
      <c r="H2143" s="8">
        <f t="shared" si="1"/>
        <v>-2</v>
      </c>
    </row>
    <row r="2144">
      <c r="A2144" s="10">
        <v>2143.0</v>
      </c>
      <c r="B2144" s="11" t="s">
        <v>4987</v>
      </c>
      <c r="C2144" s="10" t="s">
        <v>17</v>
      </c>
      <c r="D2144" s="10" t="s">
        <v>82</v>
      </c>
      <c r="E2144" s="13" t="str">
        <f>IFERROR(__xludf.DUMMYFUNCTION("ifna(filter('Yahoo ADP'!$A$2:$A2766,'Yahoo ADP'!$B$2:$B2766=$B2144,$C2144='Yahoo ADP'!$C$2:$C2766,$D2144='Yahoo ADP'!$D$2:$D2766))"),"")</f>
        <v/>
      </c>
      <c r="F2144" s="13" t="str">
        <f>IFERROR(__xludf.DUMMYFUNCTION("ifna(filter('Yahoo ADP'!$E$2:$E2766,'Yahoo ADP'!$B$2:$B2766=$B2144,$C2144='Yahoo ADP'!$C$2:$C2766,$D2144='Yahoo ADP'!$D$2:$D2766))"),"-")</f>
        <v>-</v>
      </c>
      <c r="G2144" s="27">
        <v>2141.0</v>
      </c>
      <c r="H2144" s="8">
        <f t="shared" si="1"/>
        <v>-2</v>
      </c>
    </row>
    <row r="2145">
      <c r="A2145" s="10">
        <v>2144.0</v>
      </c>
      <c r="B2145" s="11" t="s">
        <v>4988</v>
      </c>
      <c r="C2145" s="10" t="s">
        <v>8</v>
      </c>
      <c r="D2145" s="10" t="s">
        <v>95</v>
      </c>
      <c r="E2145" s="13" t="str">
        <f>IFERROR(__xludf.DUMMYFUNCTION("ifna(filter('Yahoo ADP'!$A$2:$A2766,'Yahoo ADP'!$B$2:$B2766=$B2145,$C2145='Yahoo ADP'!$C$2:$C2766,$D2145='Yahoo ADP'!$D$2:$D2766))"),"")</f>
        <v/>
      </c>
      <c r="F2145" s="13" t="str">
        <f>IFERROR(__xludf.DUMMYFUNCTION("ifna(filter('Yahoo ADP'!$E$2:$E2766,'Yahoo ADP'!$B$2:$B2766=$B2145,$C2145='Yahoo ADP'!$C$2:$C2766,$D2145='Yahoo ADP'!$D$2:$D2766))"),"-")</f>
        <v>-</v>
      </c>
      <c r="G2145" s="27">
        <v>2142.0</v>
      </c>
      <c r="H2145" s="8">
        <f t="shared" si="1"/>
        <v>-2</v>
      </c>
    </row>
    <row r="2146">
      <c r="A2146" s="10">
        <v>2145.0</v>
      </c>
      <c r="B2146" s="11" t="s">
        <v>4989</v>
      </c>
      <c r="C2146" s="10" t="s">
        <v>77</v>
      </c>
      <c r="D2146" s="10" t="s">
        <v>42</v>
      </c>
      <c r="E2146" s="13" t="str">
        <f>IFERROR(__xludf.DUMMYFUNCTION("ifna(filter('Yahoo ADP'!$A$2:$A2766,'Yahoo ADP'!$B$2:$B2766=$B2146,$C2146='Yahoo ADP'!$C$2:$C2766,$D2146='Yahoo ADP'!$D$2:$D2766))"),"")</f>
        <v/>
      </c>
      <c r="F2146" s="13" t="str">
        <f>IFERROR(__xludf.DUMMYFUNCTION("ifna(filter('Yahoo ADP'!$E$2:$E2766,'Yahoo ADP'!$B$2:$B2766=$B2146,$C2146='Yahoo ADP'!$C$2:$C2766,$D2146='Yahoo ADP'!$D$2:$D2766))"),"-")</f>
        <v>-</v>
      </c>
      <c r="G2146" s="27">
        <v>2143.0</v>
      </c>
      <c r="H2146" s="8">
        <f t="shared" si="1"/>
        <v>-2</v>
      </c>
    </row>
    <row r="2147">
      <c r="A2147" s="10">
        <v>2146.0</v>
      </c>
      <c r="B2147" s="11" t="s">
        <v>4990</v>
      </c>
      <c r="C2147" s="10" t="s">
        <v>77</v>
      </c>
      <c r="D2147" s="10" t="s">
        <v>52</v>
      </c>
      <c r="E2147" s="13" t="str">
        <f>IFERROR(__xludf.DUMMYFUNCTION("ifna(filter('Yahoo ADP'!$A$2:$A2766,'Yahoo ADP'!$B$2:$B2766=$B2147,$C2147='Yahoo ADP'!$C$2:$C2766,$D2147='Yahoo ADP'!$D$2:$D2766))"),"")</f>
        <v/>
      </c>
      <c r="F2147" s="13" t="str">
        <f>IFERROR(__xludf.DUMMYFUNCTION("ifna(filter('Yahoo ADP'!$E$2:$E2766,'Yahoo ADP'!$B$2:$B2766=$B2147,$C2147='Yahoo ADP'!$C$2:$C2766,$D2147='Yahoo ADP'!$D$2:$D2766))"),"-")</f>
        <v>-</v>
      </c>
      <c r="G2147" s="27">
        <v>2144.0</v>
      </c>
      <c r="H2147" s="8">
        <f t="shared" si="1"/>
        <v>-2</v>
      </c>
    </row>
    <row r="2148">
      <c r="A2148" s="10">
        <v>2147.0</v>
      </c>
      <c r="B2148" s="11" t="s">
        <v>4991</v>
      </c>
      <c r="C2148" s="10" t="s">
        <v>39</v>
      </c>
      <c r="D2148" s="10" t="s">
        <v>25</v>
      </c>
      <c r="E2148" s="13" t="str">
        <f>IFERROR(__xludf.DUMMYFUNCTION("ifna(filter('Yahoo ADP'!$A$2:$A2766,'Yahoo ADP'!$B$2:$B2766=$B2148,$C2148='Yahoo ADP'!$C$2:$C2766,$D2148='Yahoo ADP'!$D$2:$D2766))"),"")</f>
        <v/>
      </c>
      <c r="F2148" s="13" t="str">
        <f>IFERROR(__xludf.DUMMYFUNCTION("ifna(filter('Yahoo ADP'!$E$2:$E2766,'Yahoo ADP'!$B$2:$B2766=$B2148,$C2148='Yahoo ADP'!$C$2:$C2766,$D2148='Yahoo ADP'!$D$2:$D2766))"),"-")</f>
        <v>-</v>
      </c>
      <c r="G2148" s="27">
        <v>2145.0</v>
      </c>
      <c r="H2148" s="8">
        <f t="shared" si="1"/>
        <v>-2</v>
      </c>
    </row>
    <row r="2149">
      <c r="A2149" s="10">
        <v>2148.0</v>
      </c>
      <c r="B2149" s="11" t="s">
        <v>4992</v>
      </c>
      <c r="C2149" s="10" t="s">
        <v>39</v>
      </c>
      <c r="D2149" s="10" t="s">
        <v>52</v>
      </c>
      <c r="E2149" s="13" t="str">
        <f>IFERROR(__xludf.DUMMYFUNCTION("ifna(filter('Yahoo ADP'!$A$2:$A2766,'Yahoo ADP'!$B$2:$B2766=$B2149,$C2149='Yahoo ADP'!$C$2:$C2766,$D2149='Yahoo ADP'!$D$2:$D2766))"),"")</f>
        <v/>
      </c>
      <c r="F2149" s="13" t="str">
        <f>IFERROR(__xludf.DUMMYFUNCTION("ifna(filter('Yahoo ADP'!$E$2:$E2766,'Yahoo ADP'!$B$2:$B2766=$B2149,$C2149='Yahoo ADP'!$C$2:$C2766,$D2149='Yahoo ADP'!$D$2:$D2766))"),"-")</f>
        <v>-</v>
      </c>
      <c r="G2149" s="27">
        <v>2146.0</v>
      </c>
      <c r="H2149" s="8">
        <f t="shared" si="1"/>
        <v>-2</v>
      </c>
    </row>
    <row r="2150">
      <c r="A2150" s="10">
        <v>2149.0</v>
      </c>
      <c r="B2150" s="11" t="s">
        <v>4993</v>
      </c>
      <c r="C2150" s="10" t="s">
        <v>20</v>
      </c>
      <c r="D2150" s="10" t="s">
        <v>105</v>
      </c>
      <c r="E2150" s="13" t="str">
        <f>IFERROR(__xludf.DUMMYFUNCTION("ifna(filter('Yahoo ADP'!$A$2:$A2766,'Yahoo ADP'!$B$2:$B2766=$B2150,$C2150='Yahoo ADP'!$C$2:$C2766,$D2150='Yahoo ADP'!$D$2:$D2766))"),"")</f>
        <v/>
      </c>
      <c r="F2150" s="13" t="str">
        <f>IFERROR(__xludf.DUMMYFUNCTION("ifna(filter('Yahoo ADP'!$E$2:$E2766,'Yahoo ADP'!$B$2:$B2766=$B2150,$C2150='Yahoo ADP'!$C$2:$C2766,$D2150='Yahoo ADP'!$D$2:$D2766))"),"-")</f>
        <v>-</v>
      </c>
      <c r="G2150" s="27">
        <v>2147.0</v>
      </c>
      <c r="H2150" s="8">
        <f t="shared" si="1"/>
        <v>-2</v>
      </c>
    </row>
    <row r="2151">
      <c r="A2151" s="10">
        <v>2150.0</v>
      </c>
      <c r="B2151" s="11" t="s">
        <v>4994</v>
      </c>
      <c r="C2151" s="10" t="s">
        <v>77</v>
      </c>
      <c r="D2151" s="10" t="s">
        <v>49</v>
      </c>
      <c r="E2151" s="13" t="str">
        <f>IFERROR(__xludf.DUMMYFUNCTION("ifna(filter('Yahoo ADP'!$A$2:$A2766,'Yahoo ADP'!$B$2:$B2766=$B2151,$C2151='Yahoo ADP'!$C$2:$C2766,$D2151='Yahoo ADP'!$D$2:$D2766))"),"")</f>
        <v/>
      </c>
      <c r="F2151" s="13" t="str">
        <f>IFERROR(__xludf.DUMMYFUNCTION("ifna(filter('Yahoo ADP'!$E$2:$E2766,'Yahoo ADP'!$B$2:$B2766=$B2151,$C2151='Yahoo ADP'!$C$2:$C2766,$D2151='Yahoo ADP'!$D$2:$D2766))"),"-")</f>
        <v>-</v>
      </c>
      <c r="G2151" s="27">
        <v>2148.0</v>
      </c>
      <c r="H2151" s="8">
        <f t="shared" si="1"/>
        <v>-2</v>
      </c>
    </row>
    <row r="2152">
      <c r="A2152" s="10">
        <v>2151.0</v>
      </c>
      <c r="B2152" s="11" t="s">
        <v>4995</v>
      </c>
      <c r="C2152" s="10" t="s">
        <v>39</v>
      </c>
      <c r="D2152" s="10" t="s">
        <v>27</v>
      </c>
      <c r="E2152" s="13" t="str">
        <f>IFERROR(__xludf.DUMMYFUNCTION("ifna(filter('Yahoo ADP'!$A$2:$A2766,'Yahoo ADP'!$B$2:$B2766=$B2152,$C2152='Yahoo ADP'!$C$2:$C2766,$D2152='Yahoo ADP'!$D$2:$D2766))"),"")</f>
        <v/>
      </c>
      <c r="F2152" s="13" t="str">
        <f>IFERROR(__xludf.DUMMYFUNCTION("ifna(filter('Yahoo ADP'!$E$2:$E2766,'Yahoo ADP'!$B$2:$B2766=$B2152,$C2152='Yahoo ADP'!$C$2:$C2766,$D2152='Yahoo ADP'!$D$2:$D2766))"),"-")</f>
        <v>-</v>
      </c>
      <c r="G2152" s="27">
        <v>2149.0</v>
      </c>
      <c r="H2152" s="8">
        <f t="shared" si="1"/>
        <v>-2</v>
      </c>
    </row>
    <row r="2153">
      <c r="A2153" s="10">
        <v>2152.0</v>
      </c>
      <c r="B2153" s="11" t="s">
        <v>4996</v>
      </c>
      <c r="C2153" s="10" t="s">
        <v>240</v>
      </c>
      <c r="D2153" s="10" t="s">
        <v>31</v>
      </c>
      <c r="E2153" s="13" t="str">
        <f>IFERROR(__xludf.DUMMYFUNCTION("ifna(filter('Yahoo ADP'!$A$2:$A2766,'Yahoo ADP'!$B$2:$B2766=$B2153,$C2153='Yahoo ADP'!$C$2:$C2766,$D2153='Yahoo ADP'!$D$2:$D2766))"),"")</f>
        <v/>
      </c>
      <c r="F2153" s="13" t="str">
        <f>IFERROR(__xludf.DUMMYFUNCTION("ifna(filter('Yahoo ADP'!$E$2:$E2766,'Yahoo ADP'!$B$2:$B2766=$B2153,$C2153='Yahoo ADP'!$C$2:$C2766,$D2153='Yahoo ADP'!$D$2:$D2766))"),"-")</f>
        <v>-</v>
      </c>
      <c r="G2153" s="27">
        <v>2150.0</v>
      </c>
      <c r="H2153" s="8">
        <f t="shared" si="1"/>
        <v>-2</v>
      </c>
    </row>
    <row r="2154">
      <c r="A2154" s="10">
        <v>2153.0</v>
      </c>
      <c r="B2154" s="11" t="s">
        <v>4997</v>
      </c>
      <c r="C2154" s="10" t="s">
        <v>63</v>
      </c>
      <c r="D2154" s="10" t="s">
        <v>36</v>
      </c>
      <c r="E2154" s="13" t="str">
        <f>IFERROR(__xludf.DUMMYFUNCTION("ifna(filter('Yahoo ADP'!$A$2:$A2766,'Yahoo ADP'!$B$2:$B2766=$B2154,$C2154='Yahoo ADP'!$C$2:$C2766,$D2154='Yahoo ADP'!$D$2:$D2766))"),"")</f>
        <v/>
      </c>
      <c r="F2154" s="13" t="str">
        <f>IFERROR(__xludf.DUMMYFUNCTION("ifna(filter('Yahoo ADP'!$E$2:$E2766,'Yahoo ADP'!$B$2:$B2766=$B2154,$C2154='Yahoo ADP'!$C$2:$C2766,$D2154='Yahoo ADP'!$D$2:$D2766))"),"-")</f>
        <v>-</v>
      </c>
      <c r="G2154" s="27">
        <v>2151.0</v>
      </c>
      <c r="H2154" s="8">
        <f t="shared" si="1"/>
        <v>-2</v>
      </c>
    </row>
    <row r="2155">
      <c r="A2155" s="10">
        <v>2154.0</v>
      </c>
      <c r="B2155" s="11" t="s">
        <v>4998</v>
      </c>
      <c r="C2155" s="10" t="s">
        <v>39</v>
      </c>
      <c r="D2155" s="10" t="s">
        <v>23</v>
      </c>
      <c r="E2155" s="13" t="str">
        <f>IFERROR(__xludf.DUMMYFUNCTION("ifna(filter('Yahoo ADP'!$A$2:$A2766,'Yahoo ADP'!$B$2:$B2766=$B2155,$C2155='Yahoo ADP'!$C$2:$C2766,$D2155='Yahoo ADP'!$D$2:$D2766))"),"")</f>
        <v/>
      </c>
      <c r="F2155" s="13" t="str">
        <f>IFERROR(__xludf.DUMMYFUNCTION("ifna(filter('Yahoo ADP'!$E$2:$E2766,'Yahoo ADP'!$B$2:$B2766=$B2155,$C2155='Yahoo ADP'!$C$2:$C2766,$D2155='Yahoo ADP'!$D$2:$D2766))"),"-")</f>
        <v>-</v>
      </c>
      <c r="G2155" s="27">
        <v>2152.0</v>
      </c>
      <c r="H2155" s="8">
        <f t="shared" si="1"/>
        <v>-2</v>
      </c>
    </row>
    <row r="2156">
      <c r="A2156" s="10">
        <v>2155.0</v>
      </c>
      <c r="B2156" s="11" t="s">
        <v>4999</v>
      </c>
      <c r="C2156" s="10" t="s">
        <v>39</v>
      </c>
      <c r="D2156" s="10" t="s">
        <v>34</v>
      </c>
      <c r="E2156" s="13" t="str">
        <f>IFERROR(__xludf.DUMMYFUNCTION("ifna(filter('Yahoo ADP'!$A$2:$A2766,'Yahoo ADP'!$B$2:$B2766=$B2156,$C2156='Yahoo ADP'!$C$2:$C2766,$D2156='Yahoo ADP'!$D$2:$D2766))"),"")</f>
        <v/>
      </c>
      <c r="F2156" s="13" t="str">
        <f>IFERROR(__xludf.DUMMYFUNCTION("ifna(filter('Yahoo ADP'!$E$2:$E2766,'Yahoo ADP'!$B$2:$B2766=$B2156,$C2156='Yahoo ADP'!$C$2:$C2766,$D2156='Yahoo ADP'!$D$2:$D2766))"),"-")</f>
        <v>-</v>
      </c>
      <c r="G2156" s="27">
        <v>2153.0</v>
      </c>
      <c r="H2156" s="8">
        <f t="shared" si="1"/>
        <v>-2</v>
      </c>
    </row>
    <row r="2157">
      <c r="A2157" s="10">
        <v>2156.0</v>
      </c>
      <c r="B2157" s="11" t="s">
        <v>5000</v>
      </c>
      <c r="C2157" s="10" t="s">
        <v>77</v>
      </c>
      <c r="D2157" s="10" t="s">
        <v>71</v>
      </c>
      <c r="E2157" s="13" t="str">
        <f>IFERROR(__xludf.DUMMYFUNCTION("ifna(filter('Yahoo ADP'!$A$2:$A2766,'Yahoo ADP'!$B$2:$B2766=$B2157,$C2157='Yahoo ADP'!$C$2:$C2766,$D2157='Yahoo ADP'!$D$2:$D2766))"),"")</f>
        <v/>
      </c>
      <c r="F2157" s="13" t="str">
        <f>IFERROR(__xludf.DUMMYFUNCTION("ifna(filter('Yahoo ADP'!$E$2:$E2766,'Yahoo ADP'!$B$2:$B2766=$B2157,$C2157='Yahoo ADP'!$C$2:$C2766,$D2157='Yahoo ADP'!$D$2:$D2766))"),"-")</f>
        <v>-</v>
      </c>
      <c r="G2157" s="27">
        <v>2154.0</v>
      </c>
      <c r="H2157" s="8">
        <f t="shared" si="1"/>
        <v>-2</v>
      </c>
    </row>
    <row r="2158">
      <c r="A2158" s="10">
        <v>2157.0</v>
      </c>
      <c r="B2158" s="11" t="s">
        <v>5001</v>
      </c>
      <c r="C2158" s="10" t="s">
        <v>39</v>
      </c>
      <c r="D2158" s="10" t="s">
        <v>206</v>
      </c>
      <c r="E2158" s="13" t="str">
        <f>IFERROR(__xludf.DUMMYFUNCTION("ifna(filter('Yahoo ADP'!$A$2:$A2766,'Yahoo ADP'!$B$2:$B2766=$B2158,$C2158='Yahoo ADP'!$C$2:$C2766,$D2158='Yahoo ADP'!$D$2:$D2766))"),"")</f>
        <v/>
      </c>
      <c r="F2158" s="13" t="str">
        <f>IFERROR(__xludf.DUMMYFUNCTION("ifna(filter('Yahoo ADP'!$E$2:$E2766,'Yahoo ADP'!$B$2:$B2766=$B2158,$C2158='Yahoo ADP'!$C$2:$C2766,$D2158='Yahoo ADP'!$D$2:$D2766))"),"-")</f>
        <v>-</v>
      </c>
      <c r="G2158" s="27">
        <v>2155.0</v>
      </c>
      <c r="H2158" s="8">
        <f t="shared" si="1"/>
        <v>-2</v>
      </c>
    </row>
    <row r="2159">
      <c r="A2159" s="10">
        <v>2158.0</v>
      </c>
      <c r="B2159" s="11" t="s">
        <v>5002</v>
      </c>
      <c r="C2159" s="10" t="s">
        <v>39</v>
      </c>
      <c r="D2159" s="10" t="s">
        <v>113</v>
      </c>
      <c r="E2159" s="13">
        <f>IFERROR(__xludf.DUMMYFUNCTION("ifna(filter('Yahoo ADP'!$A$2:$A2766,'Yahoo ADP'!$B$2:$B2766=$B2159,$C2159='Yahoo ADP'!$C$2:$C2766,$D2159='Yahoo ADP'!$D$2:$D2766))"),241.0)</f>
        <v>241</v>
      </c>
      <c r="F2159" s="13">
        <f>IFERROR(__xludf.DUMMYFUNCTION("ifna(filter('Yahoo ADP'!$E$2:$E2766,'Yahoo ADP'!$B$2:$B2766=$B2159,$C2159='Yahoo ADP'!$C$2:$C2766,$D2159='Yahoo ADP'!$D$2:$D2766))"),1.7)</f>
        <v>1.7</v>
      </c>
      <c r="G2159" s="27">
        <v>2156.0</v>
      </c>
      <c r="H2159" s="8">
        <f t="shared" si="1"/>
        <v>-2</v>
      </c>
    </row>
    <row r="2160">
      <c r="A2160" s="10">
        <v>2159.0</v>
      </c>
      <c r="B2160" s="11" t="s">
        <v>5003</v>
      </c>
      <c r="C2160" s="10" t="s">
        <v>55</v>
      </c>
      <c r="D2160" s="10" t="s">
        <v>105</v>
      </c>
      <c r="E2160" s="13" t="str">
        <f>IFERROR(__xludf.DUMMYFUNCTION("ifna(filter('Yahoo ADP'!$A$2:$A2766,'Yahoo ADP'!$B$2:$B2766=$B2160,$C2160='Yahoo ADP'!$C$2:$C2766,$D2160='Yahoo ADP'!$D$2:$D2766))"),"")</f>
        <v/>
      </c>
      <c r="F2160" s="13" t="str">
        <f>IFERROR(__xludf.DUMMYFUNCTION("ifna(filter('Yahoo ADP'!$E$2:$E2766,'Yahoo ADP'!$B$2:$B2766=$B2160,$C2160='Yahoo ADP'!$C$2:$C2766,$D2160='Yahoo ADP'!$D$2:$D2766))"),"-")</f>
        <v>-</v>
      </c>
      <c r="G2160" s="27">
        <v>2157.0</v>
      </c>
      <c r="H2160" s="8">
        <f t="shared" si="1"/>
        <v>-2</v>
      </c>
    </row>
    <row r="2161">
      <c r="A2161" s="10">
        <v>2160.0</v>
      </c>
      <c r="B2161" s="11" t="s">
        <v>5004</v>
      </c>
      <c r="C2161" s="10" t="s">
        <v>20</v>
      </c>
      <c r="D2161" s="10" t="s">
        <v>49</v>
      </c>
      <c r="E2161" s="13" t="str">
        <f>IFERROR(__xludf.DUMMYFUNCTION("ifna(filter('Yahoo ADP'!$A$2:$A2766,'Yahoo ADP'!$B$2:$B2766=$B2161,$C2161='Yahoo ADP'!$C$2:$C2766,$D2161='Yahoo ADP'!$D$2:$D2766))"),"")</f>
        <v/>
      </c>
      <c r="F2161" s="13" t="str">
        <f>IFERROR(__xludf.DUMMYFUNCTION("ifna(filter('Yahoo ADP'!$E$2:$E2766,'Yahoo ADP'!$B$2:$B2766=$B2161,$C2161='Yahoo ADP'!$C$2:$C2766,$D2161='Yahoo ADP'!$D$2:$D2766))"),"-")</f>
        <v>-</v>
      </c>
      <c r="G2161" s="27">
        <v>2158.0</v>
      </c>
      <c r="H2161" s="8">
        <f t="shared" si="1"/>
        <v>-2</v>
      </c>
    </row>
    <row r="2162">
      <c r="A2162" s="10">
        <v>2161.0</v>
      </c>
      <c r="B2162" s="11" t="s">
        <v>5005</v>
      </c>
      <c r="C2162" s="10" t="s">
        <v>14</v>
      </c>
      <c r="D2162" s="10" t="s">
        <v>52</v>
      </c>
      <c r="E2162" s="13" t="str">
        <f>IFERROR(__xludf.DUMMYFUNCTION("ifna(filter('Yahoo ADP'!$A$2:$A2766,'Yahoo ADP'!$B$2:$B2766=$B2162,$C2162='Yahoo ADP'!$C$2:$C2766,$D2162='Yahoo ADP'!$D$2:$D2766))"),"")</f>
        <v/>
      </c>
      <c r="F2162" s="13" t="str">
        <f>IFERROR(__xludf.DUMMYFUNCTION("ifna(filter('Yahoo ADP'!$E$2:$E2766,'Yahoo ADP'!$B$2:$B2766=$B2162,$C2162='Yahoo ADP'!$C$2:$C2766,$D2162='Yahoo ADP'!$D$2:$D2766))"),"-")</f>
        <v>-</v>
      </c>
      <c r="G2162" s="27">
        <v>2159.0</v>
      </c>
      <c r="H2162" s="8">
        <f t="shared" si="1"/>
        <v>-2</v>
      </c>
    </row>
    <row r="2163">
      <c r="A2163" s="10">
        <v>2162.0</v>
      </c>
      <c r="B2163" s="11" t="s">
        <v>5006</v>
      </c>
      <c r="C2163" s="10" t="s">
        <v>14</v>
      </c>
      <c r="D2163" s="10" t="s">
        <v>73</v>
      </c>
      <c r="E2163" s="13" t="str">
        <f>IFERROR(__xludf.DUMMYFUNCTION("ifna(filter('Yahoo ADP'!$A$2:$A2766,'Yahoo ADP'!$B$2:$B2766=$B2163,$C2163='Yahoo ADP'!$C$2:$C2766,$D2163='Yahoo ADP'!$D$2:$D2766))"),"")</f>
        <v/>
      </c>
      <c r="F2163" s="13" t="str">
        <f>IFERROR(__xludf.DUMMYFUNCTION("ifna(filter('Yahoo ADP'!$E$2:$E2766,'Yahoo ADP'!$B$2:$B2766=$B2163,$C2163='Yahoo ADP'!$C$2:$C2766,$D2163='Yahoo ADP'!$D$2:$D2766))"),"-")</f>
        <v>-</v>
      </c>
      <c r="G2163" s="27">
        <v>2160.0</v>
      </c>
      <c r="H2163" s="8">
        <f t="shared" si="1"/>
        <v>-2</v>
      </c>
    </row>
    <row r="2164">
      <c r="A2164" s="10">
        <v>2163.0</v>
      </c>
      <c r="B2164" s="11" t="s">
        <v>5007</v>
      </c>
      <c r="C2164" s="10" t="s">
        <v>55</v>
      </c>
      <c r="D2164" s="10" t="s">
        <v>120</v>
      </c>
      <c r="E2164" s="13" t="str">
        <f>IFERROR(__xludf.DUMMYFUNCTION("ifna(filter('Yahoo ADP'!$A$2:$A2766,'Yahoo ADP'!$B$2:$B2766=$B2164,$C2164='Yahoo ADP'!$C$2:$C2766,$D2164='Yahoo ADP'!$D$2:$D2766))"),"")</f>
        <v/>
      </c>
      <c r="F2164" s="13" t="str">
        <f>IFERROR(__xludf.DUMMYFUNCTION("ifna(filter('Yahoo ADP'!$E$2:$E2766,'Yahoo ADP'!$B$2:$B2766=$B2164,$C2164='Yahoo ADP'!$C$2:$C2766,$D2164='Yahoo ADP'!$D$2:$D2766))"),"-")</f>
        <v>-</v>
      </c>
      <c r="G2164" s="27">
        <v>2161.0</v>
      </c>
      <c r="H2164" s="8">
        <f t="shared" si="1"/>
        <v>-2</v>
      </c>
    </row>
    <row r="2165">
      <c r="A2165" s="10">
        <v>2164.0</v>
      </c>
      <c r="B2165" s="11" t="s">
        <v>5008</v>
      </c>
      <c r="C2165" s="10" t="s">
        <v>14</v>
      </c>
      <c r="D2165" s="10" t="s">
        <v>49</v>
      </c>
      <c r="E2165" s="13" t="str">
        <f>IFERROR(__xludf.DUMMYFUNCTION("ifna(filter('Yahoo ADP'!$A$2:$A2766,'Yahoo ADP'!$B$2:$B2766=$B2165,$C2165='Yahoo ADP'!$C$2:$C2766,$D2165='Yahoo ADP'!$D$2:$D2766))"),"")</f>
        <v/>
      </c>
      <c r="F2165" s="13" t="str">
        <f>IFERROR(__xludf.DUMMYFUNCTION("ifna(filter('Yahoo ADP'!$E$2:$E2766,'Yahoo ADP'!$B$2:$B2766=$B2165,$C2165='Yahoo ADP'!$C$2:$C2766,$D2165='Yahoo ADP'!$D$2:$D2766))"),"-")</f>
        <v>-</v>
      </c>
      <c r="G2165" s="27">
        <v>2162.0</v>
      </c>
      <c r="H2165" s="8">
        <f t="shared" si="1"/>
        <v>-2</v>
      </c>
    </row>
    <row r="2166">
      <c r="A2166" s="10">
        <v>2165.0</v>
      </c>
      <c r="B2166" s="11" t="s">
        <v>5009</v>
      </c>
      <c r="C2166" s="10" t="s">
        <v>77</v>
      </c>
      <c r="D2166" s="10" t="s">
        <v>27</v>
      </c>
      <c r="E2166" s="13" t="str">
        <f>IFERROR(__xludf.DUMMYFUNCTION("ifna(filter('Yahoo ADP'!$A$2:$A2766,'Yahoo ADP'!$B$2:$B2766=$B2166,$C2166='Yahoo ADP'!$C$2:$C2766,$D2166='Yahoo ADP'!$D$2:$D2766))"),"")</f>
        <v/>
      </c>
      <c r="F2166" s="13" t="str">
        <f>IFERROR(__xludf.DUMMYFUNCTION("ifna(filter('Yahoo ADP'!$E$2:$E2766,'Yahoo ADP'!$B$2:$B2766=$B2166,$C2166='Yahoo ADP'!$C$2:$C2766,$D2166='Yahoo ADP'!$D$2:$D2766))"),"-")</f>
        <v>-</v>
      </c>
      <c r="G2166" s="27">
        <v>2163.0</v>
      </c>
      <c r="H2166" s="8">
        <f t="shared" si="1"/>
        <v>-2</v>
      </c>
    </row>
    <row r="2167">
      <c r="A2167" s="10">
        <v>2166.0</v>
      </c>
      <c r="B2167" s="11" t="s">
        <v>5010</v>
      </c>
      <c r="C2167" s="10" t="s">
        <v>77</v>
      </c>
      <c r="D2167" s="10" t="s">
        <v>36</v>
      </c>
      <c r="E2167" s="13" t="str">
        <f>IFERROR(__xludf.DUMMYFUNCTION("ifna(filter('Yahoo ADP'!$A$2:$A2766,'Yahoo ADP'!$B$2:$B2766=$B2167,$C2167='Yahoo ADP'!$C$2:$C2766,$D2167='Yahoo ADP'!$D$2:$D2766))"),"")</f>
        <v/>
      </c>
      <c r="F2167" s="13" t="str">
        <f>IFERROR(__xludf.DUMMYFUNCTION("ifna(filter('Yahoo ADP'!$E$2:$E2766,'Yahoo ADP'!$B$2:$B2766=$B2167,$C2167='Yahoo ADP'!$C$2:$C2766,$D2167='Yahoo ADP'!$D$2:$D2766))"),"-")</f>
        <v>-</v>
      </c>
      <c r="G2167" s="27">
        <v>2164.0</v>
      </c>
      <c r="H2167" s="8">
        <f t="shared" si="1"/>
        <v>-2</v>
      </c>
    </row>
    <row r="2168">
      <c r="A2168" s="10">
        <v>2167.0</v>
      </c>
      <c r="B2168" s="11" t="s">
        <v>5011</v>
      </c>
      <c r="C2168" s="10" t="s">
        <v>55</v>
      </c>
      <c r="D2168" s="10" t="s">
        <v>120</v>
      </c>
      <c r="E2168" s="13" t="str">
        <f>IFERROR(__xludf.DUMMYFUNCTION("ifna(filter('Yahoo ADP'!$A$2:$A2766,'Yahoo ADP'!$B$2:$B2766=$B2168,$C2168='Yahoo ADP'!$C$2:$C2766,$D2168='Yahoo ADP'!$D$2:$D2766))"),"")</f>
        <v/>
      </c>
      <c r="F2168" s="13" t="str">
        <f>IFERROR(__xludf.DUMMYFUNCTION("ifna(filter('Yahoo ADP'!$E$2:$E2766,'Yahoo ADP'!$B$2:$B2766=$B2168,$C2168='Yahoo ADP'!$C$2:$C2766,$D2168='Yahoo ADP'!$D$2:$D2766))"),"-")</f>
        <v>-</v>
      </c>
      <c r="G2168" s="27">
        <v>2165.0</v>
      </c>
      <c r="H2168" s="8">
        <f t="shared" si="1"/>
        <v>-2</v>
      </c>
    </row>
    <row r="2169">
      <c r="A2169" s="10">
        <v>2168.0</v>
      </c>
      <c r="B2169" s="11" t="s">
        <v>5012</v>
      </c>
      <c r="C2169" s="10" t="s">
        <v>77</v>
      </c>
      <c r="D2169" s="10" t="s">
        <v>113</v>
      </c>
      <c r="E2169" s="13" t="str">
        <f>IFERROR(__xludf.DUMMYFUNCTION("ifna(filter('Yahoo ADP'!$A$2:$A2766,'Yahoo ADP'!$B$2:$B2766=$B2169,$C2169='Yahoo ADP'!$C$2:$C2766,$D2169='Yahoo ADP'!$D$2:$D2766))"),"")</f>
        <v/>
      </c>
      <c r="F2169" s="13" t="str">
        <f>IFERROR(__xludf.DUMMYFUNCTION("ifna(filter('Yahoo ADP'!$E$2:$E2766,'Yahoo ADP'!$B$2:$B2766=$B2169,$C2169='Yahoo ADP'!$C$2:$C2766,$D2169='Yahoo ADP'!$D$2:$D2766))"),"-")</f>
        <v>-</v>
      </c>
      <c r="G2169" s="27">
        <v>2166.0</v>
      </c>
      <c r="H2169" s="8">
        <f t="shared" si="1"/>
        <v>-2</v>
      </c>
    </row>
    <row r="2170">
      <c r="A2170" s="10">
        <v>2169.0</v>
      </c>
      <c r="B2170" s="11" t="s">
        <v>5013</v>
      </c>
      <c r="C2170" s="10" t="s">
        <v>14</v>
      </c>
      <c r="D2170" s="10" t="s">
        <v>73</v>
      </c>
      <c r="E2170" s="13" t="str">
        <f>IFERROR(__xludf.DUMMYFUNCTION("ifna(filter('Yahoo ADP'!$A$2:$A2766,'Yahoo ADP'!$B$2:$B2766=$B2170,$C2170='Yahoo ADP'!$C$2:$C2766,$D2170='Yahoo ADP'!$D$2:$D2766))"),"")</f>
        <v/>
      </c>
      <c r="F2170" s="13" t="str">
        <f>IFERROR(__xludf.DUMMYFUNCTION("ifna(filter('Yahoo ADP'!$E$2:$E2766,'Yahoo ADP'!$B$2:$B2766=$B2170,$C2170='Yahoo ADP'!$C$2:$C2766,$D2170='Yahoo ADP'!$D$2:$D2766))"),"-")</f>
        <v>-</v>
      </c>
      <c r="G2170" s="27">
        <v>2167.0</v>
      </c>
      <c r="H2170" s="8">
        <f t="shared" si="1"/>
        <v>-2</v>
      </c>
    </row>
    <row r="2171">
      <c r="A2171" s="10">
        <v>2170.0</v>
      </c>
      <c r="B2171" s="11" t="s">
        <v>5014</v>
      </c>
      <c r="C2171" s="10" t="s">
        <v>14</v>
      </c>
      <c r="D2171" s="10" t="s">
        <v>95</v>
      </c>
      <c r="E2171" s="13" t="str">
        <f>IFERROR(__xludf.DUMMYFUNCTION("ifna(filter('Yahoo ADP'!$A$2:$A2766,'Yahoo ADP'!$B$2:$B2766=$B2171,$C2171='Yahoo ADP'!$C$2:$C2766,$D2171='Yahoo ADP'!$D$2:$D2766))"),"")</f>
        <v/>
      </c>
      <c r="F2171" s="13" t="str">
        <f>IFERROR(__xludf.DUMMYFUNCTION("ifna(filter('Yahoo ADP'!$E$2:$E2766,'Yahoo ADP'!$B$2:$B2766=$B2171,$C2171='Yahoo ADP'!$C$2:$C2766,$D2171='Yahoo ADP'!$D$2:$D2766))"),"-")</f>
        <v>-</v>
      </c>
      <c r="G2171" s="27">
        <v>2168.0</v>
      </c>
      <c r="H2171" s="8">
        <f t="shared" si="1"/>
        <v>-2</v>
      </c>
    </row>
    <row r="2172">
      <c r="A2172" s="10">
        <v>2171.0</v>
      </c>
      <c r="B2172" s="11" t="s">
        <v>5015</v>
      </c>
      <c r="C2172" s="10" t="s">
        <v>14</v>
      </c>
      <c r="D2172" s="10" t="s">
        <v>122</v>
      </c>
      <c r="E2172" s="13" t="str">
        <f>IFERROR(__xludf.DUMMYFUNCTION("ifna(filter('Yahoo ADP'!$A$2:$A2766,'Yahoo ADP'!$B$2:$B2766=$B2172,$C2172='Yahoo ADP'!$C$2:$C2766,$D2172='Yahoo ADP'!$D$2:$D2766))"),"")</f>
        <v/>
      </c>
      <c r="F2172" s="13" t="str">
        <f>IFERROR(__xludf.DUMMYFUNCTION("ifna(filter('Yahoo ADP'!$E$2:$E2766,'Yahoo ADP'!$B$2:$B2766=$B2172,$C2172='Yahoo ADP'!$C$2:$C2766,$D2172='Yahoo ADP'!$D$2:$D2766))"),"-")</f>
        <v>-</v>
      </c>
      <c r="G2172" s="27">
        <v>2169.0</v>
      </c>
      <c r="H2172" s="8">
        <f t="shared" si="1"/>
        <v>-2</v>
      </c>
    </row>
    <row r="2173">
      <c r="A2173" s="10">
        <v>2172.0</v>
      </c>
      <c r="B2173" s="11" t="s">
        <v>5016</v>
      </c>
      <c r="C2173" s="10" t="s">
        <v>20</v>
      </c>
      <c r="D2173" s="10" t="s">
        <v>36</v>
      </c>
      <c r="E2173" s="13" t="str">
        <f>IFERROR(__xludf.DUMMYFUNCTION("ifna(filter('Yahoo ADP'!$A$2:$A2766,'Yahoo ADP'!$B$2:$B2766=$B2173,$C2173='Yahoo ADP'!$C$2:$C2766,$D2173='Yahoo ADP'!$D$2:$D2766))"),"")</f>
        <v/>
      </c>
      <c r="F2173" s="13" t="str">
        <f>IFERROR(__xludf.DUMMYFUNCTION("ifna(filter('Yahoo ADP'!$E$2:$E2766,'Yahoo ADP'!$B$2:$B2766=$B2173,$C2173='Yahoo ADP'!$C$2:$C2766,$D2173='Yahoo ADP'!$D$2:$D2766))"),"-")</f>
        <v>-</v>
      </c>
      <c r="G2173" s="27">
        <v>2170.0</v>
      </c>
      <c r="H2173" s="8">
        <f t="shared" si="1"/>
        <v>-2</v>
      </c>
    </row>
    <row r="2174">
      <c r="A2174" s="10">
        <v>2173.0</v>
      </c>
      <c r="B2174" s="11" t="s">
        <v>5017</v>
      </c>
      <c r="C2174" s="10" t="s">
        <v>11</v>
      </c>
      <c r="D2174" s="10" t="s">
        <v>105</v>
      </c>
      <c r="E2174" s="13" t="str">
        <f>IFERROR(__xludf.DUMMYFUNCTION("ifna(filter('Yahoo ADP'!$A$2:$A2766,'Yahoo ADP'!$B$2:$B2766=$B2174,$C2174='Yahoo ADP'!$C$2:$C2766,$D2174='Yahoo ADP'!$D$2:$D2766))"),"")</f>
        <v/>
      </c>
      <c r="F2174" s="13" t="str">
        <f>IFERROR(__xludf.DUMMYFUNCTION("ifna(filter('Yahoo ADP'!$E$2:$E2766,'Yahoo ADP'!$B$2:$B2766=$B2174,$C2174='Yahoo ADP'!$C$2:$C2766,$D2174='Yahoo ADP'!$D$2:$D2766))"),"-")</f>
        <v>-</v>
      </c>
      <c r="G2174" s="27">
        <v>2171.0</v>
      </c>
      <c r="H2174" s="8">
        <f t="shared" si="1"/>
        <v>-2</v>
      </c>
    </row>
    <row r="2175">
      <c r="A2175" s="10">
        <v>2174.0</v>
      </c>
      <c r="B2175" s="11" t="s">
        <v>5018</v>
      </c>
      <c r="C2175" s="10" t="s">
        <v>77</v>
      </c>
      <c r="D2175" s="10" t="s">
        <v>67</v>
      </c>
      <c r="E2175" s="13" t="str">
        <f>IFERROR(__xludf.DUMMYFUNCTION("ifna(filter('Yahoo ADP'!$A$2:$A2766,'Yahoo ADP'!$B$2:$B2766=$B2175,$C2175='Yahoo ADP'!$C$2:$C2766,$D2175='Yahoo ADP'!$D$2:$D2766))"),"")</f>
        <v/>
      </c>
      <c r="F2175" s="13" t="str">
        <f>IFERROR(__xludf.DUMMYFUNCTION("ifna(filter('Yahoo ADP'!$E$2:$E2766,'Yahoo ADP'!$B$2:$B2766=$B2175,$C2175='Yahoo ADP'!$C$2:$C2766,$D2175='Yahoo ADP'!$D$2:$D2766))"),"-")</f>
        <v>-</v>
      </c>
      <c r="G2175" s="27">
        <v>2172.0</v>
      </c>
      <c r="H2175" s="8">
        <f t="shared" si="1"/>
        <v>-2</v>
      </c>
    </row>
    <row r="2176">
      <c r="A2176" s="10">
        <v>2175.0</v>
      </c>
      <c r="B2176" s="11" t="s">
        <v>5019</v>
      </c>
      <c r="C2176" s="10" t="s">
        <v>14</v>
      </c>
      <c r="D2176" s="10" t="s">
        <v>120</v>
      </c>
      <c r="E2176" s="13" t="str">
        <f>IFERROR(__xludf.DUMMYFUNCTION("ifna(filter('Yahoo ADP'!$A$2:$A2766,'Yahoo ADP'!$B$2:$B2766=$B2176,$C2176='Yahoo ADP'!$C$2:$C2766,$D2176='Yahoo ADP'!$D$2:$D2766))"),"")</f>
        <v/>
      </c>
      <c r="F2176" s="13" t="str">
        <f>IFERROR(__xludf.DUMMYFUNCTION("ifna(filter('Yahoo ADP'!$E$2:$E2766,'Yahoo ADP'!$B$2:$B2766=$B2176,$C2176='Yahoo ADP'!$C$2:$C2766,$D2176='Yahoo ADP'!$D$2:$D2766))"),"-")</f>
        <v>-</v>
      </c>
      <c r="G2176" s="27">
        <v>2173.0</v>
      </c>
      <c r="H2176" s="8">
        <f t="shared" si="1"/>
        <v>-2</v>
      </c>
    </row>
    <row r="2177">
      <c r="A2177" s="10">
        <v>2176.0</v>
      </c>
      <c r="B2177" s="11" t="s">
        <v>5020</v>
      </c>
      <c r="C2177" s="10" t="s">
        <v>39</v>
      </c>
      <c r="D2177" s="10" t="s">
        <v>42</v>
      </c>
      <c r="E2177" s="13" t="str">
        <f>IFERROR(__xludf.DUMMYFUNCTION("ifna(filter('Yahoo ADP'!$A$2:$A2766,'Yahoo ADP'!$B$2:$B2766=$B2177,$C2177='Yahoo ADP'!$C$2:$C2766,$D2177='Yahoo ADP'!$D$2:$D2766))"),"")</f>
        <v/>
      </c>
      <c r="F2177" s="13" t="str">
        <f>IFERROR(__xludf.DUMMYFUNCTION("ifna(filter('Yahoo ADP'!$E$2:$E2766,'Yahoo ADP'!$B$2:$B2766=$B2177,$C2177='Yahoo ADP'!$C$2:$C2766,$D2177='Yahoo ADP'!$D$2:$D2766))"),"-")</f>
        <v>-</v>
      </c>
      <c r="G2177" s="27">
        <v>2174.0</v>
      </c>
      <c r="H2177" s="8">
        <f t="shared" si="1"/>
        <v>-2</v>
      </c>
    </row>
    <row r="2178">
      <c r="A2178" s="10">
        <v>2177.0</v>
      </c>
      <c r="B2178" s="11" t="s">
        <v>5021</v>
      </c>
      <c r="C2178" s="10" t="s">
        <v>39</v>
      </c>
      <c r="D2178" s="10" t="s">
        <v>129</v>
      </c>
      <c r="E2178" s="13" t="str">
        <f>IFERROR(__xludf.DUMMYFUNCTION("ifna(filter('Yahoo ADP'!$A$2:$A2766,'Yahoo ADP'!$B$2:$B2766=$B2178,$C2178='Yahoo ADP'!$C$2:$C2766,$D2178='Yahoo ADP'!$D$2:$D2766))"),"")</f>
        <v/>
      </c>
      <c r="F2178" s="13" t="str">
        <f>IFERROR(__xludf.DUMMYFUNCTION("ifna(filter('Yahoo ADP'!$E$2:$E2766,'Yahoo ADP'!$B$2:$B2766=$B2178,$C2178='Yahoo ADP'!$C$2:$C2766,$D2178='Yahoo ADP'!$D$2:$D2766))"),"-")</f>
        <v>-</v>
      </c>
      <c r="G2178" s="27">
        <v>2175.0</v>
      </c>
      <c r="H2178" s="8">
        <f t="shared" si="1"/>
        <v>-2</v>
      </c>
    </row>
    <row r="2179">
      <c r="A2179" s="10">
        <v>2178.0</v>
      </c>
      <c r="B2179" s="11" t="s">
        <v>5022</v>
      </c>
      <c r="C2179" s="10" t="s">
        <v>48</v>
      </c>
      <c r="D2179" s="10" t="s">
        <v>90</v>
      </c>
      <c r="E2179" s="13" t="str">
        <f>IFERROR(__xludf.DUMMYFUNCTION("ifna(filter('Yahoo ADP'!$A$2:$A2766,'Yahoo ADP'!$B$2:$B2766=$B2179,$C2179='Yahoo ADP'!$C$2:$C2766,$D2179='Yahoo ADP'!$D$2:$D2766))"),"")</f>
        <v/>
      </c>
      <c r="F2179" s="13" t="str">
        <f>IFERROR(__xludf.DUMMYFUNCTION("ifna(filter('Yahoo ADP'!$E$2:$E2766,'Yahoo ADP'!$B$2:$B2766=$B2179,$C2179='Yahoo ADP'!$C$2:$C2766,$D2179='Yahoo ADP'!$D$2:$D2766))"),"-")</f>
        <v>-</v>
      </c>
      <c r="G2179" s="27">
        <v>2176.0</v>
      </c>
      <c r="H2179" s="8">
        <f t="shared" si="1"/>
        <v>-2</v>
      </c>
    </row>
    <row r="2180">
      <c r="A2180" s="10">
        <v>2179.0</v>
      </c>
      <c r="B2180" s="11" t="s">
        <v>5023</v>
      </c>
      <c r="C2180" s="10" t="s">
        <v>14</v>
      </c>
      <c r="D2180" s="10" t="s">
        <v>140</v>
      </c>
      <c r="E2180" s="13" t="str">
        <f>IFERROR(__xludf.DUMMYFUNCTION("ifna(filter('Yahoo ADP'!$A$2:$A2766,'Yahoo ADP'!$B$2:$B2766=$B2180,$C2180='Yahoo ADP'!$C$2:$C2766,$D2180='Yahoo ADP'!$D$2:$D2766))"),"")</f>
        <v/>
      </c>
      <c r="F2180" s="13" t="str">
        <f>IFERROR(__xludf.DUMMYFUNCTION("ifna(filter('Yahoo ADP'!$E$2:$E2766,'Yahoo ADP'!$B$2:$B2766=$B2180,$C2180='Yahoo ADP'!$C$2:$C2766,$D2180='Yahoo ADP'!$D$2:$D2766))"),"-")</f>
        <v>-</v>
      </c>
      <c r="G2180" s="27">
        <v>2177.0</v>
      </c>
      <c r="H2180" s="8">
        <f t="shared" si="1"/>
        <v>-2</v>
      </c>
    </row>
    <row r="2181">
      <c r="A2181" s="10">
        <v>2180.0</v>
      </c>
      <c r="B2181" s="11" t="s">
        <v>5024</v>
      </c>
      <c r="C2181" s="10" t="s">
        <v>39</v>
      </c>
      <c r="D2181" s="10" t="s">
        <v>82</v>
      </c>
      <c r="E2181" s="13" t="str">
        <f>IFERROR(__xludf.DUMMYFUNCTION("ifna(filter('Yahoo ADP'!$A$2:$A2766,'Yahoo ADP'!$B$2:$B2766=$B2181,$C2181='Yahoo ADP'!$C$2:$C2766,$D2181='Yahoo ADP'!$D$2:$D2766))"),"")</f>
        <v/>
      </c>
      <c r="F2181" s="13" t="str">
        <f>IFERROR(__xludf.DUMMYFUNCTION("ifna(filter('Yahoo ADP'!$E$2:$E2766,'Yahoo ADP'!$B$2:$B2766=$B2181,$C2181='Yahoo ADP'!$C$2:$C2766,$D2181='Yahoo ADP'!$D$2:$D2766))"),"-")</f>
        <v>-</v>
      </c>
      <c r="G2181" s="27">
        <v>2178.0</v>
      </c>
      <c r="H2181" s="8">
        <f t="shared" si="1"/>
        <v>-2</v>
      </c>
    </row>
    <row r="2182">
      <c r="A2182" s="10">
        <v>2181.0</v>
      </c>
      <c r="B2182" s="11" t="s">
        <v>5025</v>
      </c>
      <c r="C2182" s="10" t="s">
        <v>17</v>
      </c>
      <c r="D2182" s="10" t="s">
        <v>52</v>
      </c>
      <c r="E2182" s="13" t="str">
        <f>IFERROR(__xludf.DUMMYFUNCTION("ifna(filter('Yahoo ADP'!$A$2:$A2766,'Yahoo ADP'!$B$2:$B2766=$B2182,$C2182='Yahoo ADP'!$C$2:$C2766,$D2182='Yahoo ADP'!$D$2:$D2766))"),"")</f>
        <v/>
      </c>
      <c r="F2182" s="13" t="str">
        <f>IFERROR(__xludf.DUMMYFUNCTION("ifna(filter('Yahoo ADP'!$E$2:$E2766,'Yahoo ADP'!$B$2:$B2766=$B2182,$C2182='Yahoo ADP'!$C$2:$C2766,$D2182='Yahoo ADP'!$D$2:$D2766))"),"-")</f>
        <v>-</v>
      </c>
      <c r="G2182" s="27">
        <v>2179.0</v>
      </c>
      <c r="H2182" s="8">
        <f t="shared" si="1"/>
        <v>-2</v>
      </c>
    </row>
    <row r="2183">
      <c r="A2183" s="10">
        <v>2182.0</v>
      </c>
      <c r="B2183" s="11" t="s">
        <v>5026</v>
      </c>
      <c r="C2183" s="10" t="s">
        <v>77</v>
      </c>
      <c r="D2183" s="10" t="s">
        <v>120</v>
      </c>
      <c r="E2183" s="13" t="str">
        <f>IFERROR(__xludf.DUMMYFUNCTION("ifna(filter('Yahoo ADP'!$A$2:$A2766,'Yahoo ADP'!$B$2:$B2766=$B2183,$C2183='Yahoo ADP'!$C$2:$C2766,$D2183='Yahoo ADP'!$D$2:$D2766))"),"")</f>
        <v/>
      </c>
      <c r="F2183" s="13" t="str">
        <f>IFERROR(__xludf.DUMMYFUNCTION("ifna(filter('Yahoo ADP'!$E$2:$E2766,'Yahoo ADP'!$B$2:$B2766=$B2183,$C2183='Yahoo ADP'!$C$2:$C2766,$D2183='Yahoo ADP'!$D$2:$D2766))"),"-")</f>
        <v>-</v>
      </c>
      <c r="G2183" s="27">
        <v>2180.0</v>
      </c>
      <c r="H2183" s="8">
        <f t="shared" si="1"/>
        <v>-2</v>
      </c>
    </row>
    <row r="2184">
      <c r="A2184" s="10">
        <v>2183.0</v>
      </c>
      <c r="B2184" s="11" t="s">
        <v>5027</v>
      </c>
      <c r="C2184" s="10" t="s">
        <v>14</v>
      </c>
      <c r="D2184" s="10" t="s">
        <v>71</v>
      </c>
      <c r="E2184" s="13" t="str">
        <f>IFERROR(__xludf.DUMMYFUNCTION("ifna(filter('Yahoo ADP'!$A$2:$A2766,'Yahoo ADP'!$B$2:$B2766=$B2184,$C2184='Yahoo ADP'!$C$2:$C2766,$D2184='Yahoo ADP'!$D$2:$D2766))"),"")</f>
        <v/>
      </c>
      <c r="F2184" s="13" t="str">
        <f>IFERROR(__xludf.DUMMYFUNCTION("ifna(filter('Yahoo ADP'!$E$2:$E2766,'Yahoo ADP'!$B$2:$B2766=$B2184,$C2184='Yahoo ADP'!$C$2:$C2766,$D2184='Yahoo ADP'!$D$2:$D2766))"),"-")</f>
        <v>-</v>
      </c>
      <c r="G2184" s="27">
        <v>2181.0</v>
      </c>
      <c r="H2184" s="8">
        <f t="shared" si="1"/>
        <v>-2</v>
      </c>
    </row>
    <row r="2185">
      <c r="A2185" s="10">
        <v>2184.0</v>
      </c>
      <c r="B2185" s="11" t="s">
        <v>5028</v>
      </c>
      <c r="C2185" s="10" t="s">
        <v>77</v>
      </c>
      <c r="D2185" s="10" t="s">
        <v>18</v>
      </c>
      <c r="E2185" s="13" t="str">
        <f>IFERROR(__xludf.DUMMYFUNCTION("ifna(filter('Yahoo ADP'!$A$2:$A2766,'Yahoo ADP'!$B$2:$B2766=$B2185,$C2185='Yahoo ADP'!$C$2:$C2766,$D2185='Yahoo ADP'!$D$2:$D2766))"),"")</f>
        <v/>
      </c>
      <c r="F2185" s="13" t="str">
        <f>IFERROR(__xludf.DUMMYFUNCTION("ifna(filter('Yahoo ADP'!$E$2:$E2766,'Yahoo ADP'!$B$2:$B2766=$B2185,$C2185='Yahoo ADP'!$C$2:$C2766,$D2185='Yahoo ADP'!$D$2:$D2766))"),"-")</f>
        <v>-</v>
      </c>
      <c r="G2185" s="27">
        <v>2182.0</v>
      </c>
      <c r="H2185" s="8">
        <f t="shared" si="1"/>
        <v>-2</v>
      </c>
    </row>
    <row r="2186">
      <c r="A2186" s="10">
        <v>2185.0</v>
      </c>
      <c r="B2186" s="11" t="s">
        <v>5029</v>
      </c>
      <c r="C2186" s="10" t="s">
        <v>39</v>
      </c>
      <c r="D2186" s="10" t="s">
        <v>73</v>
      </c>
      <c r="E2186" s="13" t="str">
        <f>IFERROR(__xludf.DUMMYFUNCTION("ifna(filter('Yahoo ADP'!$A$2:$A2766,'Yahoo ADP'!$B$2:$B2766=$B2186,$C2186='Yahoo ADP'!$C$2:$C2766,$D2186='Yahoo ADP'!$D$2:$D2766))"),"")</f>
        <v/>
      </c>
      <c r="F2186" s="13" t="str">
        <f>IFERROR(__xludf.DUMMYFUNCTION("ifna(filter('Yahoo ADP'!$E$2:$E2766,'Yahoo ADP'!$B$2:$B2766=$B2186,$C2186='Yahoo ADP'!$C$2:$C2766,$D2186='Yahoo ADP'!$D$2:$D2766))"),"-")</f>
        <v>-</v>
      </c>
      <c r="G2186" s="27">
        <v>2183.0</v>
      </c>
      <c r="H2186" s="8">
        <f t="shared" si="1"/>
        <v>-2</v>
      </c>
    </row>
    <row r="2187">
      <c r="A2187" s="10">
        <v>2186.0</v>
      </c>
      <c r="B2187" s="11" t="s">
        <v>5030</v>
      </c>
      <c r="C2187" s="10" t="s">
        <v>39</v>
      </c>
      <c r="D2187" s="10" t="s">
        <v>120</v>
      </c>
      <c r="E2187" s="13" t="str">
        <f>IFERROR(__xludf.DUMMYFUNCTION("ifna(filter('Yahoo ADP'!$A$2:$A2766,'Yahoo ADP'!$B$2:$B2766=$B2187,$C2187='Yahoo ADP'!$C$2:$C2766,$D2187='Yahoo ADP'!$D$2:$D2766))"),"")</f>
        <v/>
      </c>
      <c r="F2187" s="13" t="str">
        <f>IFERROR(__xludf.DUMMYFUNCTION("ifna(filter('Yahoo ADP'!$E$2:$E2766,'Yahoo ADP'!$B$2:$B2766=$B2187,$C2187='Yahoo ADP'!$C$2:$C2766,$D2187='Yahoo ADP'!$D$2:$D2766))"),"-")</f>
        <v>-</v>
      </c>
      <c r="G2187" s="27">
        <v>2184.0</v>
      </c>
      <c r="H2187" s="8">
        <f t="shared" si="1"/>
        <v>-2</v>
      </c>
    </row>
    <row r="2188">
      <c r="A2188" s="10">
        <v>2187.0</v>
      </c>
      <c r="B2188" s="11" t="s">
        <v>5031</v>
      </c>
      <c r="C2188" s="10" t="s">
        <v>14</v>
      </c>
      <c r="D2188" s="10" t="s">
        <v>27</v>
      </c>
      <c r="E2188" s="13" t="str">
        <f>IFERROR(__xludf.DUMMYFUNCTION("ifna(filter('Yahoo ADP'!$A$2:$A2766,'Yahoo ADP'!$B$2:$B2766=$B2188,$C2188='Yahoo ADP'!$C$2:$C2766,$D2188='Yahoo ADP'!$D$2:$D2766))"),"")</f>
        <v/>
      </c>
      <c r="F2188" s="13" t="str">
        <f>IFERROR(__xludf.DUMMYFUNCTION("ifna(filter('Yahoo ADP'!$E$2:$E2766,'Yahoo ADP'!$B$2:$B2766=$B2188,$C2188='Yahoo ADP'!$C$2:$C2766,$D2188='Yahoo ADP'!$D$2:$D2766))"),"-")</f>
        <v>-</v>
      </c>
      <c r="G2188" s="27">
        <v>2185.0</v>
      </c>
      <c r="H2188" s="8">
        <f t="shared" si="1"/>
        <v>-2</v>
      </c>
    </row>
    <row r="2189">
      <c r="A2189" s="10">
        <v>2188.0</v>
      </c>
      <c r="B2189" s="11" t="s">
        <v>5032</v>
      </c>
      <c r="C2189" s="10" t="s">
        <v>14</v>
      </c>
      <c r="D2189" s="10" t="s">
        <v>122</v>
      </c>
      <c r="E2189" s="13" t="str">
        <f>IFERROR(__xludf.DUMMYFUNCTION("ifna(filter('Yahoo ADP'!$A$2:$A2766,'Yahoo ADP'!$B$2:$B2766=$B2189,$C2189='Yahoo ADP'!$C$2:$C2766,$D2189='Yahoo ADP'!$D$2:$D2766))"),"")</f>
        <v/>
      </c>
      <c r="F2189" s="13" t="str">
        <f>IFERROR(__xludf.DUMMYFUNCTION("ifna(filter('Yahoo ADP'!$E$2:$E2766,'Yahoo ADP'!$B$2:$B2766=$B2189,$C2189='Yahoo ADP'!$C$2:$C2766,$D2189='Yahoo ADP'!$D$2:$D2766))"),"-")</f>
        <v>-</v>
      </c>
      <c r="G2189" s="27">
        <v>2186.0</v>
      </c>
      <c r="H2189" s="8">
        <f t="shared" si="1"/>
        <v>-2</v>
      </c>
    </row>
    <row r="2190">
      <c r="A2190" s="10">
        <v>2189.0</v>
      </c>
      <c r="B2190" s="11" t="s">
        <v>5033</v>
      </c>
      <c r="C2190" s="10" t="s">
        <v>14</v>
      </c>
      <c r="D2190" s="10" t="s">
        <v>99</v>
      </c>
      <c r="E2190" s="13" t="str">
        <f>IFERROR(__xludf.DUMMYFUNCTION("ifna(filter('Yahoo ADP'!$A$2:$A2766,'Yahoo ADP'!$B$2:$B2766=$B2190,$C2190='Yahoo ADP'!$C$2:$C2766,$D2190='Yahoo ADP'!$D$2:$D2766))"),"")</f>
        <v/>
      </c>
      <c r="F2190" s="13" t="str">
        <f>IFERROR(__xludf.DUMMYFUNCTION("ifna(filter('Yahoo ADP'!$E$2:$E2766,'Yahoo ADP'!$B$2:$B2766=$B2190,$C2190='Yahoo ADP'!$C$2:$C2766,$D2190='Yahoo ADP'!$D$2:$D2766))"),"-")</f>
        <v>-</v>
      </c>
      <c r="G2190" s="27">
        <v>2187.0</v>
      </c>
      <c r="H2190" s="8">
        <f t="shared" si="1"/>
        <v>-2</v>
      </c>
    </row>
    <row r="2191">
      <c r="A2191" s="10">
        <v>2190.0</v>
      </c>
      <c r="B2191" s="11" t="s">
        <v>5034</v>
      </c>
      <c r="C2191" s="10" t="s">
        <v>139</v>
      </c>
      <c r="D2191" s="10" t="s">
        <v>42</v>
      </c>
      <c r="E2191" s="13" t="str">
        <f>IFERROR(__xludf.DUMMYFUNCTION("ifna(filter('Yahoo ADP'!$A$2:$A2766,'Yahoo ADP'!$B$2:$B2766=$B2191,$C2191='Yahoo ADP'!$C$2:$C2766,$D2191='Yahoo ADP'!$D$2:$D2766))"),"")</f>
        <v/>
      </c>
      <c r="F2191" s="13" t="str">
        <f>IFERROR(__xludf.DUMMYFUNCTION("ifna(filter('Yahoo ADP'!$E$2:$E2766,'Yahoo ADP'!$B$2:$B2766=$B2191,$C2191='Yahoo ADP'!$C$2:$C2766,$D2191='Yahoo ADP'!$D$2:$D2766))"),"-")</f>
        <v>-</v>
      </c>
      <c r="G2191" s="27">
        <v>2188.0</v>
      </c>
      <c r="H2191" s="8">
        <f t="shared" si="1"/>
        <v>-2</v>
      </c>
    </row>
    <row r="2192">
      <c r="A2192" s="10">
        <v>2191.0</v>
      </c>
      <c r="B2192" s="11" t="s">
        <v>5035</v>
      </c>
      <c r="C2192" s="10" t="s">
        <v>14</v>
      </c>
      <c r="D2192" s="10" t="s">
        <v>122</v>
      </c>
      <c r="E2192" s="13" t="str">
        <f>IFERROR(__xludf.DUMMYFUNCTION("ifna(filter('Yahoo ADP'!$A$2:$A2766,'Yahoo ADP'!$B$2:$B2766=$B2192,$C2192='Yahoo ADP'!$C$2:$C2766,$D2192='Yahoo ADP'!$D$2:$D2766))"),"")</f>
        <v/>
      </c>
      <c r="F2192" s="13" t="str">
        <f>IFERROR(__xludf.DUMMYFUNCTION("ifna(filter('Yahoo ADP'!$E$2:$E2766,'Yahoo ADP'!$B$2:$B2766=$B2192,$C2192='Yahoo ADP'!$C$2:$C2766,$D2192='Yahoo ADP'!$D$2:$D2766))"),"-")</f>
        <v>-</v>
      </c>
      <c r="G2192" s="27">
        <v>2189.0</v>
      </c>
      <c r="H2192" s="8">
        <f t="shared" si="1"/>
        <v>-2</v>
      </c>
    </row>
    <row r="2193">
      <c r="A2193" s="10">
        <v>2192.0</v>
      </c>
      <c r="B2193" s="11" t="s">
        <v>5036</v>
      </c>
      <c r="C2193" s="10" t="s">
        <v>48</v>
      </c>
      <c r="D2193" s="10" t="s">
        <v>52</v>
      </c>
      <c r="E2193" s="13" t="str">
        <f>IFERROR(__xludf.DUMMYFUNCTION("ifna(filter('Yahoo ADP'!$A$2:$A2766,'Yahoo ADP'!$B$2:$B2766=$B2193,$C2193='Yahoo ADP'!$C$2:$C2766,$D2193='Yahoo ADP'!$D$2:$D2766))"),"")</f>
        <v/>
      </c>
      <c r="F2193" s="13" t="str">
        <f>IFERROR(__xludf.DUMMYFUNCTION("ifna(filter('Yahoo ADP'!$E$2:$E2766,'Yahoo ADP'!$B$2:$B2766=$B2193,$C2193='Yahoo ADP'!$C$2:$C2766,$D2193='Yahoo ADP'!$D$2:$D2766))"),"-")</f>
        <v>-</v>
      </c>
      <c r="G2193" s="27">
        <v>2190.0</v>
      </c>
      <c r="H2193" s="8">
        <f t="shared" si="1"/>
        <v>-2</v>
      </c>
    </row>
    <row r="2194">
      <c r="A2194" s="10">
        <v>2193.0</v>
      </c>
      <c r="B2194" s="11" t="s">
        <v>5037</v>
      </c>
      <c r="C2194" s="10" t="s">
        <v>39</v>
      </c>
      <c r="D2194" s="10" t="s">
        <v>25</v>
      </c>
      <c r="E2194" s="13" t="str">
        <f>IFERROR(__xludf.DUMMYFUNCTION("ifna(filter('Yahoo ADP'!$A$2:$A2766,'Yahoo ADP'!$B$2:$B2766=$B2194,$C2194='Yahoo ADP'!$C$2:$C2766,$D2194='Yahoo ADP'!$D$2:$D2766))"),"")</f>
        <v/>
      </c>
      <c r="F2194" s="13" t="str">
        <f>IFERROR(__xludf.DUMMYFUNCTION("ifna(filter('Yahoo ADP'!$E$2:$E2766,'Yahoo ADP'!$B$2:$B2766=$B2194,$C2194='Yahoo ADP'!$C$2:$C2766,$D2194='Yahoo ADP'!$D$2:$D2766))"),"")</f>
        <v/>
      </c>
      <c r="G2194" s="27">
        <v>2191.0</v>
      </c>
      <c r="H2194" s="8">
        <f t="shared" si="1"/>
        <v>-2</v>
      </c>
    </row>
    <row r="2195">
      <c r="A2195" s="10">
        <v>2194.0</v>
      </c>
      <c r="B2195" s="11" t="s">
        <v>5038</v>
      </c>
      <c r="C2195" s="10" t="s">
        <v>14</v>
      </c>
      <c r="D2195" s="10" t="s">
        <v>71</v>
      </c>
      <c r="E2195" s="13" t="str">
        <f>IFERROR(__xludf.DUMMYFUNCTION("ifna(filter('Yahoo ADP'!$A$2:$A2766,'Yahoo ADP'!$B$2:$B2766=$B2195,$C2195='Yahoo ADP'!$C$2:$C2766,$D2195='Yahoo ADP'!$D$2:$D2766))"),"")</f>
        <v/>
      </c>
      <c r="F2195" s="13" t="str">
        <f>IFERROR(__xludf.DUMMYFUNCTION("ifna(filter('Yahoo ADP'!$E$2:$E2766,'Yahoo ADP'!$B$2:$B2766=$B2195,$C2195='Yahoo ADP'!$C$2:$C2766,$D2195='Yahoo ADP'!$D$2:$D2766))"),"-")</f>
        <v>-</v>
      </c>
      <c r="G2195" s="27">
        <v>2192.0</v>
      </c>
      <c r="H2195" s="8">
        <f t="shared" si="1"/>
        <v>-2</v>
      </c>
    </row>
    <row r="2196">
      <c r="A2196" s="10">
        <v>2195.0</v>
      </c>
      <c r="B2196" s="11" t="s">
        <v>5039</v>
      </c>
      <c r="C2196" s="10" t="s">
        <v>63</v>
      </c>
      <c r="D2196" s="10" t="s">
        <v>18</v>
      </c>
      <c r="E2196" s="13" t="str">
        <f>IFERROR(__xludf.DUMMYFUNCTION("ifna(filter('Yahoo ADP'!$A$2:$A2766,'Yahoo ADP'!$B$2:$B2766=$B2196,$C2196='Yahoo ADP'!$C$2:$C2766,$D2196='Yahoo ADP'!$D$2:$D2766))"),"")</f>
        <v/>
      </c>
      <c r="F2196" s="13" t="str">
        <f>IFERROR(__xludf.DUMMYFUNCTION("ifna(filter('Yahoo ADP'!$E$2:$E2766,'Yahoo ADP'!$B$2:$B2766=$B2196,$C2196='Yahoo ADP'!$C$2:$C2766,$D2196='Yahoo ADP'!$D$2:$D2766))"),"-")</f>
        <v>-</v>
      </c>
      <c r="G2196" s="27">
        <v>2193.0</v>
      </c>
      <c r="H2196" s="8">
        <f t="shared" si="1"/>
        <v>-2</v>
      </c>
    </row>
    <row r="2197">
      <c r="A2197" s="10">
        <v>2196.0</v>
      </c>
      <c r="B2197" s="11" t="s">
        <v>5040</v>
      </c>
      <c r="C2197" s="10" t="s">
        <v>14</v>
      </c>
      <c r="D2197" s="10" t="s">
        <v>15</v>
      </c>
      <c r="E2197" s="13" t="str">
        <f>IFERROR(__xludf.DUMMYFUNCTION("ifna(filter('Yahoo ADP'!$A$2:$A2766,'Yahoo ADP'!$B$2:$B2766=$B2197,$C2197='Yahoo ADP'!$C$2:$C2766,$D2197='Yahoo ADP'!$D$2:$D2766))"),"")</f>
        <v/>
      </c>
      <c r="F2197" s="13" t="str">
        <f>IFERROR(__xludf.DUMMYFUNCTION("ifna(filter('Yahoo ADP'!$E$2:$E2766,'Yahoo ADP'!$B$2:$B2766=$B2197,$C2197='Yahoo ADP'!$C$2:$C2766,$D2197='Yahoo ADP'!$D$2:$D2766))"),"-")</f>
        <v>-</v>
      </c>
      <c r="G2197" s="27">
        <v>2194.0</v>
      </c>
      <c r="H2197" s="8">
        <f t="shared" si="1"/>
        <v>-2</v>
      </c>
    </row>
    <row r="2198">
      <c r="A2198" s="10">
        <v>2197.0</v>
      </c>
      <c r="B2198" s="11" t="s">
        <v>5041</v>
      </c>
      <c r="C2198" s="10" t="s">
        <v>55</v>
      </c>
      <c r="D2198" s="10" t="s">
        <v>18</v>
      </c>
      <c r="E2198" s="13" t="str">
        <f>IFERROR(__xludf.DUMMYFUNCTION("ifna(filter('Yahoo ADP'!$A$2:$A2766,'Yahoo ADP'!$B$2:$B2766=$B2198,$C2198='Yahoo ADP'!$C$2:$C2766,$D2198='Yahoo ADP'!$D$2:$D2766))"),"")</f>
        <v/>
      </c>
      <c r="F2198" s="13" t="str">
        <f>IFERROR(__xludf.DUMMYFUNCTION("ifna(filter('Yahoo ADP'!$E$2:$E2766,'Yahoo ADP'!$B$2:$B2766=$B2198,$C2198='Yahoo ADP'!$C$2:$C2766,$D2198='Yahoo ADP'!$D$2:$D2766))"),"-")</f>
        <v>-</v>
      </c>
      <c r="G2198" s="27">
        <v>2195.0</v>
      </c>
      <c r="H2198" s="8">
        <f t="shared" si="1"/>
        <v>-2</v>
      </c>
    </row>
    <row r="2199">
      <c r="A2199" s="10">
        <v>2198.0</v>
      </c>
      <c r="B2199" s="11" t="s">
        <v>5042</v>
      </c>
      <c r="C2199" s="10" t="s">
        <v>55</v>
      </c>
      <c r="D2199" s="10" t="s">
        <v>9</v>
      </c>
      <c r="E2199" s="13" t="str">
        <f>IFERROR(__xludf.DUMMYFUNCTION("ifna(filter('Yahoo ADP'!$A$2:$A2766,'Yahoo ADP'!$B$2:$B2766=$B2199,$C2199='Yahoo ADP'!$C$2:$C2766,$D2199='Yahoo ADP'!$D$2:$D2766))"),"")</f>
        <v/>
      </c>
      <c r="F2199" s="13" t="str">
        <f>IFERROR(__xludf.DUMMYFUNCTION("ifna(filter('Yahoo ADP'!$E$2:$E2766,'Yahoo ADP'!$B$2:$B2766=$B2199,$C2199='Yahoo ADP'!$C$2:$C2766,$D2199='Yahoo ADP'!$D$2:$D2766))"),"-")</f>
        <v>-</v>
      </c>
      <c r="G2199" s="27">
        <v>2196.0</v>
      </c>
      <c r="H2199" s="8">
        <f t="shared" si="1"/>
        <v>-2</v>
      </c>
    </row>
    <row r="2200">
      <c r="A2200" s="10">
        <v>2199.0</v>
      </c>
      <c r="B2200" s="11" t="s">
        <v>5043</v>
      </c>
      <c r="C2200" s="10" t="s">
        <v>11</v>
      </c>
      <c r="D2200" s="10" t="s">
        <v>105</v>
      </c>
      <c r="E2200" s="13" t="str">
        <f>IFERROR(__xludf.DUMMYFUNCTION("ifna(filter('Yahoo ADP'!$A$2:$A2766,'Yahoo ADP'!$B$2:$B2766=$B2200,$C2200='Yahoo ADP'!$C$2:$C2766,$D2200='Yahoo ADP'!$D$2:$D2766))"),"")</f>
        <v/>
      </c>
      <c r="F2200" s="13" t="str">
        <f>IFERROR(__xludf.DUMMYFUNCTION("ifna(filter('Yahoo ADP'!$E$2:$E2766,'Yahoo ADP'!$B$2:$B2766=$B2200,$C2200='Yahoo ADP'!$C$2:$C2766,$D2200='Yahoo ADP'!$D$2:$D2766))"),"-")</f>
        <v>-</v>
      </c>
      <c r="G2200" s="27">
        <v>2197.0</v>
      </c>
      <c r="H2200" s="8">
        <f t="shared" si="1"/>
        <v>-2</v>
      </c>
    </row>
    <row r="2201">
      <c r="A2201" s="10">
        <v>2200.0</v>
      </c>
      <c r="B2201" s="11" t="s">
        <v>5044</v>
      </c>
      <c r="C2201" s="10" t="s">
        <v>14</v>
      </c>
      <c r="D2201" s="10" t="s">
        <v>90</v>
      </c>
      <c r="E2201" s="13" t="str">
        <f>IFERROR(__xludf.DUMMYFUNCTION("ifna(filter('Yahoo ADP'!$A$2:$A2766,'Yahoo ADP'!$B$2:$B2766=$B2201,$C2201='Yahoo ADP'!$C$2:$C2766,$D2201='Yahoo ADP'!$D$2:$D2766))"),"")</f>
        <v/>
      </c>
      <c r="F2201" s="13" t="str">
        <f>IFERROR(__xludf.DUMMYFUNCTION("ifna(filter('Yahoo ADP'!$E$2:$E2766,'Yahoo ADP'!$B$2:$B2766=$B2201,$C2201='Yahoo ADP'!$C$2:$C2766,$D2201='Yahoo ADP'!$D$2:$D2766))"),"-")</f>
        <v>-</v>
      </c>
      <c r="G2201" s="27">
        <v>2198.0</v>
      </c>
      <c r="H2201" s="8">
        <f t="shared" si="1"/>
        <v>-2</v>
      </c>
    </row>
    <row r="2202">
      <c r="A2202" s="10">
        <v>2201.0</v>
      </c>
      <c r="B2202" s="11" t="s">
        <v>4565</v>
      </c>
      <c r="C2202" s="10" t="s">
        <v>14</v>
      </c>
      <c r="D2202" s="10" t="s">
        <v>31</v>
      </c>
      <c r="E2202" s="13" t="str">
        <f>IFERROR(__xludf.DUMMYFUNCTION("ifna(filter('Yahoo ADP'!$A$2:$A2766,'Yahoo ADP'!$B$2:$B2766=$B2202,$C2202='Yahoo ADP'!$C$2:$C2766,$D2202='Yahoo ADP'!$D$2:$D2766))"),"")</f>
        <v/>
      </c>
      <c r="F2202" s="13" t="str">
        <f>IFERROR(__xludf.DUMMYFUNCTION("ifna(filter('Yahoo ADP'!$E$2:$E2766,'Yahoo ADP'!$B$2:$B2766=$B2202,$C2202='Yahoo ADP'!$C$2:$C2766,$D2202='Yahoo ADP'!$D$2:$D2766))"),"-")</f>
        <v>-</v>
      </c>
      <c r="G2202" s="27">
        <v>2199.0</v>
      </c>
      <c r="H2202" s="8">
        <f t="shared" si="1"/>
        <v>-2</v>
      </c>
    </row>
    <row r="2203">
      <c r="A2203" s="10">
        <v>2202.0</v>
      </c>
      <c r="B2203" s="11" t="s">
        <v>5045</v>
      </c>
      <c r="C2203" s="10" t="s">
        <v>89</v>
      </c>
      <c r="D2203" s="10" t="s">
        <v>129</v>
      </c>
      <c r="E2203" s="13" t="str">
        <f>IFERROR(__xludf.DUMMYFUNCTION("ifna(filter('Yahoo ADP'!$A$2:$A2766,'Yahoo ADP'!$B$2:$B2766=$B2203,$C2203='Yahoo ADP'!$C$2:$C2766,$D2203='Yahoo ADP'!$D$2:$D2766))"),"")</f>
        <v/>
      </c>
      <c r="F2203" s="13" t="str">
        <f>IFERROR(__xludf.DUMMYFUNCTION("ifna(filter('Yahoo ADP'!$E$2:$E2766,'Yahoo ADP'!$B$2:$B2766=$B2203,$C2203='Yahoo ADP'!$C$2:$C2766,$D2203='Yahoo ADP'!$D$2:$D2766))"),"-")</f>
        <v>-</v>
      </c>
      <c r="G2203" s="27">
        <v>2200.0</v>
      </c>
      <c r="H2203" s="8">
        <f t="shared" si="1"/>
        <v>-2</v>
      </c>
    </row>
    <row r="2204">
      <c r="A2204" s="10">
        <v>2203.0</v>
      </c>
      <c r="B2204" s="11" t="s">
        <v>5046</v>
      </c>
      <c r="C2204" s="10" t="s">
        <v>39</v>
      </c>
      <c r="D2204" s="10" t="s">
        <v>85</v>
      </c>
      <c r="E2204" s="13" t="str">
        <f>IFERROR(__xludf.DUMMYFUNCTION("ifna(filter('Yahoo ADP'!$A$2:$A2766,'Yahoo ADP'!$B$2:$B2766=$B2204,$C2204='Yahoo ADP'!$C$2:$C2766,$D2204='Yahoo ADP'!$D$2:$D2766))"),"")</f>
        <v/>
      </c>
      <c r="F2204" s="13" t="str">
        <f>IFERROR(__xludf.DUMMYFUNCTION("ifna(filter('Yahoo ADP'!$E$2:$E2766,'Yahoo ADP'!$B$2:$B2766=$B2204,$C2204='Yahoo ADP'!$C$2:$C2766,$D2204='Yahoo ADP'!$D$2:$D2766))"),"-")</f>
        <v>-</v>
      </c>
      <c r="G2204" s="27">
        <v>2201.0</v>
      </c>
      <c r="H2204" s="8">
        <f t="shared" si="1"/>
        <v>-2</v>
      </c>
    </row>
    <row r="2205">
      <c r="A2205" s="10">
        <v>2204.0</v>
      </c>
      <c r="B2205" s="11" t="s">
        <v>5047</v>
      </c>
      <c r="C2205" s="10" t="s">
        <v>11</v>
      </c>
      <c r="D2205" s="10" t="s">
        <v>42</v>
      </c>
      <c r="E2205" s="13" t="str">
        <f>IFERROR(__xludf.DUMMYFUNCTION("ifna(filter('Yahoo ADP'!$A$2:$A2766,'Yahoo ADP'!$B$2:$B2766=$B2205,$C2205='Yahoo ADP'!$C$2:$C2766,$D2205='Yahoo ADP'!$D$2:$D2766))"),"")</f>
        <v/>
      </c>
      <c r="F2205" s="13" t="str">
        <f>IFERROR(__xludf.DUMMYFUNCTION("ifna(filter('Yahoo ADP'!$E$2:$E2766,'Yahoo ADP'!$B$2:$B2766=$B2205,$C2205='Yahoo ADP'!$C$2:$C2766,$D2205='Yahoo ADP'!$D$2:$D2766))"),"-")</f>
        <v>-</v>
      </c>
      <c r="G2205" s="27">
        <v>2202.0</v>
      </c>
      <c r="H2205" s="8">
        <f t="shared" si="1"/>
        <v>-2</v>
      </c>
    </row>
    <row r="2206">
      <c r="A2206" s="10">
        <v>2205.0</v>
      </c>
      <c r="B2206" s="11" t="s">
        <v>5048</v>
      </c>
      <c r="C2206" s="10" t="s">
        <v>8</v>
      </c>
      <c r="D2206" s="10" t="s">
        <v>206</v>
      </c>
      <c r="E2206" s="13" t="str">
        <f>IFERROR(__xludf.DUMMYFUNCTION("ifna(filter('Yahoo ADP'!$A$2:$A2766,'Yahoo ADP'!$B$2:$B2766=$B2206,$C2206='Yahoo ADP'!$C$2:$C2766,$D2206='Yahoo ADP'!$D$2:$D2766))"),"")</f>
        <v/>
      </c>
      <c r="F2206" s="13" t="str">
        <f>IFERROR(__xludf.DUMMYFUNCTION("ifna(filter('Yahoo ADP'!$E$2:$E2766,'Yahoo ADP'!$B$2:$B2766=$B2206,$C2206='Yahoo ADP'!$C$2:$C2766,$D2206='Yahoo ADP'!$D$2:$D2766))"),"-")</f>
        <v>-</v>
      </c>
      <c r="G2206" s="27">
        <v>2203.0</v>
      </c>
      <c r="H2206" s="8">
        <f t="shared" si="1"/>
        <v>-2</v>
      </c>
    </row>
    <row r="2207">
      <c r="A2207" s="10">
        <v>2206.0</v>
      </c>
      <c r="B2207" s="11" t="s">
        <v>5049</v>
      </c>
      <c r="C2207" s="10" t="s">
        <v>11</v>
      </c>
      <c r="D2207" s="10" t="s">
        <v>120</v>
      </c>
      <c r="E2207" s="13" t="str">
        <f>IFERROR(__xludf.DUMMYFUNCTION("ifna(filter('Yahoo ADP'!$A$2:$A2766,'Yahoo ADP'!$B$2:$B2766=$B2207,$C2207='Yahoo ADP'!$C$2:$C2766,$D2207='Yahoo ADP'!$D$2:$D2766))"),"")</f>
        <v/>
      </c>
      <c r="F2207" s="13" t="str">
        <f>IFERROR(__xludf.DUMMYFUNCTION("ifna(filter('Yahoo ADP'!$E$2:$E2766,'Yahoo ADP'!$B$2:$B2766=$B2207,$C2207='Yahoo ADP'!$C$2:$C2766,$D2207='Yahoo ADP'!$D$2:$D2766))"),"-")</f>
        <v>-</v>
      </c>
      <c r="G2207" s="27">
        <v>2204.0</v>
      </c>
      <c r="H2207" s="8">
        <f t="shared" si="1"/>
        <v>-2</v>
      </c>
    </row>
    <row r="2208">
      <c r="A2208" s="10">
        <v>2207.0</v>
      </c>
      <c r="B2208" s="11" t="s">
        <v>5050</v>
      </c>
      <c r="C2208" s="10" t="s">
        <v>470</v>
      </c>
      <c r="D2208" s="10" t="s">
        <v>90</v>
      </c>
      <c r="E2208" s="13" t="str">
        <f>IFERROR(__xludf.DUMMYFUNCTION("ifna(filter('Yahoo ADP'!$A$2:$A2766,'Yahoo ADP'!$B$2:$B2766=$B2208,$C2208='Yahoo ADP'!$C$2:$C2766,$D2208='Yahoo ADP'!$D$2:$D2766))"),"")</f>
        <v/>
      </c>
      <c r="F2208" s="13" t="str">
        <f>IFERROR(__xludf.DUMMYFUNCTION("ifna(filter('Yahoo ADP'!$E$2:$E2766,'Yahoo ADP'!$B$2:$B2766=$B2208,$C2208='Yahoo ADP'!$C$2:$C2766,$D2208='Yahoo ADP'!$D$2:$D2766))"),"-")</f>
        <v>-</v>
      </c>
      <c r="G2208" s="27">
        <v>2205.0</v>
      </c>
      <c r="H2208" s="8">
        <f t="shared" si="1"/>
        <v>-2</v>
      </c>
    </row>
    <row r="2209">
      <c r="A2209" s="10">
        <v>2208.0</v>
      </c>
      <c r="B2209" s="11" t="s">
        <v>5051</v>
      </c>
      <c r="C2209" s="10" t="s">
        <v>87</v>
      </c>
      <c r="D2209" s="10" t="s">
        <v>71</v>
      </c>
      <c r="E2209" s="13" t="str">
        <f>IFERROR(__xludf.DUMMYFUNCTION("ifna(filter('Yahoo ADP'!$A$2:$A2766,'Yahoo ADP'!$B$2:$B2766=$B2209,$C2209='Yahoo ADP'!$C$2:$C2766,$D2209='Yahoo ADP'!$D$2:$D2766))"),"")</f>
        <v/>
      </c>
      <c r="F2209" s="13" t="str">
        <f>IFERROR(__xludf.DUMMYFUNCTION("ifna(filter('Yahoo ADP'!$E$2:$E2766,'Yahoo ADP'!$B$2:$B2766=$B2209,$C2209='Yahoo ADP'!$C$2:$C2766,$D2209='Yahoo ADP'!$D$2:$D2766))"),"-")</f>
        <v>-</v>
      </c>
      <c r="G2209" s="27">
        <v>2206.0</v>
      </c>
      <c r="H2209" s="8">
        <f t="shared" si="1"/>
        <v>-2</v>
      </c>
    </row>
    <row r="2210">
      <c r="A2210" s="10">
        <v>2209.0</v>
      </c>
      <c r="B2210" s="11" t="s">
        <v>5052</v>
      </c>
      <c r="C2210" s="10" t="s">
        <v>14</v>
      </c>
      <c r="D2210" s="10" t="s">
        <v>18</v>
      </c>
      <c r="E2210" s="13" t="str">
        <f>IFERROR(__xludf.DUMMYFUNCTION("ifna(filter('Yahoo ADP'!$A$2:$A2766,'Yahoo ADP'!$B$2:$B2766=$B2210,$C2210='Yahoo ADP'!$C$2:$C2766,$D2210='Yahoo ADP'!$D$2:$D2766))"),"")</f>
        <v/>
      </c>
      <c r="F2210" s="13" t="str">
        <f>IFERROR(__xludf.DUMMYFUNCTION("ifna(filter('Yahoo ADP'!$E$2:$E2766,'Yahoo ADP'!$B$2:$B2766=$B2210,$C2210='Yahoo ADP'!$C$2:$C2766,$D2210='Yahoo ADP'!$D$2:$D2766))"),"-")</f>
        <v>-</v>
      </c>
      <c r="G2210" s="27">
        <v>2207.0</v>
      </c>
      <c r="H2210" s="8">
        <f t="shared" si="1"/>
        <v>-2</v>
      </c>
    </row>
    <row r="2211">
      <c r="A2211" s="10">
        <v>2210.0</v>
      </c>
      <c r="B2211" s="11" t="s">
        <v>5053</v>
      </c>
      <c r="C2211" s="10" t="s">
        <v>55</v>
      </c>
      <c r="D2211" s="10" t="s">
        <v>46</v>
      </c>
      <c r="E2211" s="13" t="str">
        <f>IFERROR(__xludf.DUMMYFUNCTION("ifna(filter('Yahoo ADP'!$A$2:$A2766,'Yahoo ADP'!$B$2:$B2766=$B2211,$C2211='Yahoo ADP'!$C$2:$C2766,$D2211='Yahoo ADP'!$D$2:$D2766))"),"")</f>
        <v/>
      </c>
      <c r="F2211" s="13" t="str">
        <f>IFERROR(__xludf.DUMMYFUNCTION("ifna(filter('Yahoo ADP'!$E$2:$E2766,'Yahoo ADP'!$B$2:$B2766=$B2211,$C2211='Yahoo ADP'!$C$2:$C2766,$D2211='Yahoo ADP'!$D$2:$D2766))"),"-")</f>
        <v>-</v>
      </c>
      <c r="G2211" s="27">
        <v>2208.0</v>
      </c>
      <c r="H2211" s="8">
        <f t="shared" si="1"/>
        <v>-2</v>
      </c>
    </row>
    <row r="2212">
      <c r="A2212" s="10">
        <v>2211.0</v>
      </c>
      <c r="B2212" s="11" t="s">
        <v>5054</v>
      </c>
      <c r="C2212" s="10" t="s">
        <v>14</v>
      </c>
      <c r="D2212" s="10" t="s">
        <v>15</v>
      </c>
      <c r="E2212" s="13" t="str">
        <f>IFERROR(__xludf.DUMMYFUNCTION("ifna(filter('Yahoo ADP'!$A$2:$A2766,'Yahoo ADP'!$B$2:$B2766=$B2212,$C2212='Yahoo ADP'!$C$2:$C2766,$D2212='Yahoo ADP'!$D$2:$D2766))"),"")</f>
        <v/>
      </c>
      <c r="F2212" s="13" t="str">
        <f>IFERROR(__xludf.DUMMYFUNCTION("ifna(filter('Yahoo ADP'!$E$2:$E2766,'Yahoo ADP'!$B$2:$B2766=$B2212,$C2212='Yahoo ADP'!$C$2:$C2766,$D2212='Yahoo ADP'!$D$2:$D2766))"),"-")</f>
        <v>-</v>
      </c>
      <c r="G2212" s="27">
        <v>2209.0</v>
      </c>
      <c r="H2212" s="8">
        <f t="shared" si="1"/>
        <v>-2</v>
      </c>
    </row>
    <row r="2213">
      <c r="A2213" s="10">
        <v>2212.0</v>
      </c>
      <c r="B2213" s="11" t="s">
        <v>5055</v>
      </c>
      <c r="C2213" s="10" t="s">
        <v>14</v>
      </c>
      <c r="D2213" s="10" t="s">
        <v>95</v>
      </c>
      <c r="E2213" s="13" t="str">
        <f>IFERROR(__xludf.DUMMYFUNCTION("ifna(filter('Yahoo ADP'!$A$2:$A2766,'Yahoo ADP'!$B$2:$B2766=$B2213,$C2213='Yahoo ADP'!$C$2:$C2766,$D2213='Yahoo ADP'!$D$2:$D2766))"),"")</f>
        <v/>
      </c>
      <c r="F2213" s="13" t="str">
        <f>IFERROR(__xludf.DUMMYFUNCTION("ifna(filter('Yahoo ADP'!$E$2:$E2766,'Yahoo ADP'!$B$2:$B2766=$B2213,$C2213='Yahoo ADP'!$C$2:$C2766,$D2213='Yahoo ADP'!$D$2:$D2766))"),"-")</f>
        <v>-</v>
      </c>
      <c r="G2213" s="27">
        <v>2210.0</v>
      </c>
      <c r="H2213" s="8">
        <f t="shared" si="1"/>
        <v>-2</v>
      </c>
    </row>
    <row r="2214">
      <c r="A2214" s="10">
        <v>2213.0</v>
      </c>
      <c r="B2214" s="11" t="s">
        <v>5056</v>
      </c>
      <c r="C2214" s="10" t="s">
        <v>14</v>
      </c>
      <c r="D2214" s="10" t="s">
        <v>46</v>
      </c>
      <c r="E2214" s="13" t="str">
        <f>IFERROR(__xludf.DUMMYFUNCTION("ifna(filter('Yahoo ADP'!$A$2:$A2766,'Yahoo ADP'!$B$2:$B2766=$B2214,$C2214='Yahoo ADP'!$C$2:$C2766,$D2214='Yahoo ADP'!$D$2:$D2766))"),"")</f>
        <v/>
      </c>
      <c r="F2214" s="13" t="str">
        <f>IFERROR(__xludf.DUMMYFUNCTION("ifna(filter('Yahoo ADP'!$E$2:$E2766,'Yahoo ADP'!$B$2:$B2766=$B2214,$C2214='Yahoo ADP'!$C$2:$C2766,$D2214='Yahoo ADP'!$D$2:$D2766))"),"-")</f>
        <v>-</v>
      </c>
      <c r="G2214" s="27">
        <v>2211.0</v>
      </c>
      <c r="H2214" s="8">
        <f t="shared" si="1"/>
        <v>-2</v>
      </c>
    </row>
    <row r="2215">
      <c r="A2215" s="10">
        <v>2214.0</v>
      </c>
      <c r="B2215" s="11" t="s">
        <v>5057</v>
      </c>
      <c r="C2215" s="10" t="s">
        <v>55</v>
      </c>
      <c r="D2215" s="10" t="s">
        <v>23</v>
      </c>
      <c r="E2215" s="13" t="str">
        <f>IFERROR(__xludf.DUMMYFUNCTION("ifna(filter('Yahoo ADP'!$A$2:$A2766,'Yahoo ADP'!$B$2:$B2766=$B2215,$C2215='Yahoo ADP'!$C$2:$C2766,$D2215='Yahoo ADP'!$D$2:$D2766))"),"")</f>
        <v/>
      </c>
      <c r="F2215" s="13" t="str">
        <f>IFERROR(__xludf.DUMMYFUNCTION("ifna(filter('Yahoo ADP'!$E$2:$E2766,'Yahoo ADP'!$B$2:$B2766=$B2215,$C2215='Yahoo ADP'!$C$2:$C2766,$D2215='Yahoo ADP'!$D$2:$D2766))"),"-")</f>
        <v>-</v>
      </c>
      <c r="G2215" s="27">
        <v>2212.0</v>
      </c>
      <c r="H2215" s="8">
        <f t="shared" si="1"/>
        <v>-2</v>
      </c>
    </row>
    <row r="2216">
      <c r="A2216" s="10">
        <v>2215.0</v>
      </c>
      <c r="B2216" s="11" t="s">
        <v>5058</v>
      </c>
      <c r="C2216" s="10" t="s">
        <v>77</v>
      </c>
      <c r="D2216" s="10" t="s">
        <v>90</v>
      </c>
      <c r="E2216" s="13" t="str">
        <f>IFERROR(__xludf.DUMMYFUNCTION("ifna(filter('Yahoo ADP'!$A$2:$A2766,'Yahoo ADP'!$B$2:$B2766=$B2216,$C2216='Yahoo ADP'!$C$2:$C2766,$D2216='Yahoo ADP'!$D$2:$D2766))"),"")</f>
        <v/>
      </c>
      <c r="F2216" s="13" t="str">
        <f>IFERROR(__xludf.DUMMYFUNCTION("ifna(filter('Yahoo ADP'!$E$2:$E2766,'Yahoo ADP'!$B$2:$B2766=$B2216,$C2216='Yahoo ADP'!$C$2:$C2766,$D2216='Yahoo ADP'!$D$2:$D2766))"),"-")</f>
        <v>-</v>
      </c>
      <c r="G2216" s="27">
        <v>2213.0</v>
      </c>
      <c r="H2216" s="8">
        <f t="shared" si="1"/>
        <v>-2</v>
      </c>
    </row>
    <row r="2217">
      <c r="A2217" s="10">
        <v>2216.0</v>
      </c>
      <c r="B2217" s="11" t="s">
        <v>5059</v>
      </c>
      <c r="C2217" s="10" t="s">
        <v>39</v>
      </c>
      <c r="D2217" s="10" t="s">
        <v>15</v>
      </c>
      <c r="E2217" s="13" t="str">
        <f>IFERROR(__xludf.DUMMYFUNCTION("ifna(filter('Yahoo ADP'!$A$2:$A2766,'Yahoo ADP'!$B$2:$B2766=$B2217,$C2217='Yahoo ADP'!$C$2:$C2766,$D2217='Yahoo ADP'!$D$2:$D2766))"),"")</f>
        <v/>
      </c>
      <c r="F2217" s="13" t="str">
        <f>IFERROR(__xludf.DUMMYFUNCTION("ifna(filter('Yahoo ADP'!$E$2:$E2766,'Yahoo ADP'!$B$2:$B2766=$B2217,$C2217='Yahoo ADP'!$C$2:$C2766,$D2217='Yahoo ADP'!$D$2:$D2766))"),"-")</f>
        <v>-</v>
      </c>
      <c r="G2217" s="27">
        <v>2214.0</v>
      </c>
      <c r="H2217" s="8">
        <f t="shared" si="1"/>
        <v>-2</v>
      </c>
    </row>
    <row r="2218">
      <c r="A2218" s="10">
        <v>2217.0</v>
      </c>
      <c r="B2218" s="11" t="s">
        <v>5060</v>
      </c>
      <c r="C2218" s="10" t="s">
        <v>77</v>
      </c>
      <c r="D2218" s="10" t="s">
        <v>67</v>
      </c>
      <c r="E2218" s="13" t="str">
        <f>IFERROR(__xludf.DUMMYFUNCTION("ifna(filter('Yahoo ADP'!$A$2:$A2766,'Yahoo ADP'!$B$2:$B2766=$B2218,$C2218='Yahoo ADP'!$C$2:$C2766,$D2218='Yahoo ADP'!$D$2:$D2766))"),"")</f>
        <v/>
      </c>
      <c r="F2218" s="13" t="str">
        <f>IFERROR(__xludf.DUMMYFUNCTION("ifna(filter('Yahoo ADP'!$E$2:$E2766,'Yahoo ADP'!$B$2:$B2766=$B2218,$C2218='Yahoo ADP'!$C$2:$C2766,$D2218='Yahoo ADP'!$D$2:$D2766))"),"-")</f>
        <v>-</v>
      </c>
      <c r="G2218" s="27">
        <v>2215.0</v>
      </c>
      <c r="H2218" s="8">
        <f t="shared" si="1"/>
        <v>-2</v>
      </c>
    </row>
    <row r="2219">
      <c r="A2219" s="10">
        <v>2218.0</v>
      </c>
      <c r="B2219" s="11" t="s">
        <v>5061</v>
      </c>
      <c r="C2219" s="10" t="s">
        <v>39</v>
      </c>
      <c r="D2219" s="10" t="s">
        <v>206</v>
      </c>
      <c r="E2219" s="13" t="str">
        <f>IFERROR(__xludf.DUMMYFUNCTION("ifna(filter('Yahoo ADP'!$A$2:$A2766,'Yahoo ADP'!$B$2:$B2766=$B2219,$C2219='Yahoo ADP'!$C$2:$C2766,$D2219='Yahoo ADP'!$D$2:$D2766))"),"")</f>
        <v/>
      </c>
      <c r="F2219" s="13" t="str">
        <f>IFERROR(__xludf.DUMMYFUNCTION("ifna(filter('Yahoo ADP'!$E$2:$E2766,'Yahoo ADP'!$B$2:$B2766=$B2219,$C2219='Yahoo ADP'!$C$2:$C2766,$D2219='Yahoo ADP'!$D$2:$D2766))"),"-")</f>
        <v>-</v>
      </c>
      <c r="G2219" s="27">
        <v>2216.0</v>
      </c>
      <c r="H2219" s="8">
        <f t="shared" si="1"/>
        <v>-2</v>
      </c>
    </row>
    <row r="2220">
      <c r="A2220" s="10">
        <v>2219.0</v>
      </c>
      <c r="B2220" s="11" t="s">
        <v>5062</v>
      </c>
      <c r="C2220" s="10" t="s">
        <v>77</v>
      </c>
      <c r="D2220" s="10" t="s">
        <v>82</v>
      </c>
      <c r="E2220" s="13" t="str">
        <f>IFERROR(__xludf.DUMMYFUNCTION("ifna(filter('Yahoo ADP'!$A$2:$A2766,'Yahoo ADP'!$B$2:$B2766=$B2220,$C2220='Yahoo ADP'!$C$2:$C2766,$D2220='Yahoo ADP'!$D$2:$D2766))"),"")</f>
        <v/>
      </c>
      <c r="F2220" s="13" t="str">
        <f>IFERROR(__xludf.DUMMYFUNCTION("ifna(filter('Yahoo ADP'!$E$2:$E2766,'Yahoo ADP'!$B$2:$B2766=$B2220,$C2220='Yahoo ADP'!$C$2:$C2766,$D2220='Yahoo ADP'!$D$2:$D2766))"),"-")</f>
        <v>-</v>
      </c>
      <c r="G2220" s="27">
        <v>2217.0</v>
      </c>
      <c r="H2220" s="8">
        <f t="shared" si="1"/>
        <v>-2</v>
      </c>
    </row>
    <row r="2221">
      <c r="A2221" s="10">
        <v>2220.0</v>
      </c>
      <c r="B2221" s="11" t="s">
        <v>5063</v>
      </c>
      <c r="C2221" s="10" t="s">
        <v>8</v>
      </c>
      <c r="D2221" s="10" t="s">
        <v>46</v>
      </c>
      <c r="E2221" s="13" t="str">
        <f>IFERROR(__xludf.DUMMYFUNCTION("ifna(filter('Yahoo ADP'!$A$2:$A2766,'Yahoo ADP'!$B$2:$B2766=$B2221,$C2221='Yahoo ADP'!$C$2:$C2766,$D2221='Yahoo ADP'!$D$2:$D2766))"),"")</f>
        <v/>
      </c>
      <c r="F2221" s="13" t="str">
        <f>IFERROR(__xludf.DUMMYFUNCTION("ifna(filter('Yahoo ADP'!$E$2:$E2766,'Yahoo ADP'!$B$2:$B2766=$B2221,$C2221='Yahoo ADP'!$C$2:$C2766,$D2221='Yahoo ADP'!$D$2:$D2766))"),"-")</f>
        <v>-</v>
      </c>
      <c r="G2221" s="27">
        <v>2218.0</v>
      </c>
      <c r="H2221" s="8">
        <f t="shared" si="1"/>
        <v>-2</v>
      </c>
    </row>
    <row r="2222">
      <c r="A2222" s="10">
        <v>2221.0</v>
      </c>
      <c r="B2222" s="11" t="s">
        <v>5064</v>
      </c>
      <c r="C2222" s="10" t="s">
        <v>14</v>
      </c>
      <c r="D2222" s="10" t="s">
        <v>9</v>
      </c>
      <c r="E2222" s="13" t="str">
        <f>IFERROR(__xludf.DUMMYFUNCTION("ifna(filter('Yahoo ADP'!$A$2:$A2766,'Yahoo ADP'!$B$2:$B2766=$B2222,$C2222='Yahoo ADP'!$C$2:$C2766,$D2222='Yahoo ADP'!$D$2:$D2766))"),"")</f>
        <v/>
      </c>
      <c r="F2222" s="13" t="str">
        <f>IFERROR(__xludf.DUMMYFUNCTION("ifna(filter('Yahoo ADP'!$E$2:$E2766,'Yahoo ADP'!$B$2:$B2766=$B2222,$C2222='Yahoo ADP'!$C$2:$C2766,$D2222='Yahoo ADP'!$D$2:$D2766))"),"-")</f>
        <v>-</v>
      </c>
      <c r="G2222" s="27">
        <v>2219.0</v>
      </c>
      <c r="H2222" s="8">
        <f t="shared" si="1"/>
        <v>-2</v>
      </c>
    </row>
    <row r="2223">
      <c r="A2223" s="10">
        <v>2222.0</v>
      </c>
      <c r="B2223" s="11" t="s">
        <v>5065</v>
      </c>
      <c r="C2223" s="10" t="s">
        <v>11</v>
      </c>
      <c r="D2223" s="10" t="s">
        <v>122</v>
      </c>
      <c r="E2223" s="13" t="str">
        <f>IFERROR(__xludf.DUMMYFUNCTION("ifna(filter('Yahoo ADP'!$A$2:$A2766,'Yahoo ADP'!$B$2:$B2766=$B2223,$C2223='Yahoo ADP'!$C$2:$C2766,$D2223='Yahoo ADP'!$D$2:$D2766))"),"")</f>
        <v/>
      </c>
      <c r="F2223" s="13" t="str">
        <f>IFERROR(__xludf.DUMMYFUNCTION("ifna(filter('Yahoo ADP'!$E$2:$E2766,'Yahoo ADP'!$B$2:$B2766=$B2223,$C2223='Yahoo ADP'!$C$2:$C2766,$D2223='Yahoo ADP'!$D$2:$D2766))"),"-")</f>
        <v>-</v>
      </c>
      <c r="G2223" s="27">
        <v>2220.0</v>
      </c>
      <c r="H2223" s="8">
        <f t="shared" si="1"/>
        <v>-2</v>
      </c>
    </row>
    <row r="2224">
      <c r="A2224" s="10">
        <v>2223.0</v>
      </c>
      <c r="B2224" s="11" t="s">
        <v>5066</v>
      </c>
      <c r="C2224" s="10" t="s">
        <v>55</v>
      </c>
      <c r="D2224" s="10" t="s">
        <v>85</v>
      </c>
      <c r="E2224" s="13" t="str">
        <f>IFERROR(__xludf.DUMMYFUNCTION("ifna(filter('Yahoo ADP'!$A$2:$A2766,'Yahoo ADP'!$B$2:$B2766=$B2224,$C2224='Yahoo ADP'!$C$2:$C2766,$D2224='Yahoo ADP'!$D$2:$D2766))"),"")</f>
        <v/>
      </c>
      <c r="F2224" s="13" t="str">
        <f>IFERROR(__xludf.DUMMYFUNCTION("ifna(filter('Yahoo ADP'!$E$2:$E2766,'Yahoo ADP'!$B$2:$B2766=$B2224,$C2224='Yahoo ADP'!$C$2:$C2766,$D2224='Yahoo ADP'!$D$2:$D2766))"),"-")</f>
        <v>-</v>
      </c>
      <c r="G2224" s="27">
        <v>2221.0</v>
      </c>
      <c r="H2224" s="8">
        <f t="shared" si="1"/>
        <v>-2</v>
      </c>
    </row>
    <row r="2225">
      <c r="A2225" s="10">
        <v>2224.0</v>
      </c>
      <c r="B2225" s="11" t="s">
        <v>5067</v>
      </c>
      <c r="C2225" s="10" t="s">
        <v>77</v>
      </c>
      <c r="D2225" s="10" t="s">
        <v>31</v>
      </c>
      <c r="E2225" s="13" t="str">
        <f>IFERROR(__xludf.DUMMYFUNCTION("ifna(filter('Yahoo ADP'!$A$2:$A2766,'Yahoo ADP'!$B$2:$B2766=$B2225,$C2225='Yahoo ADP'!$C$2:$C2766,$D2225='Yahoo ADP'!$D$2:$D2766))"),"")</f>
        <v/>
      </c>
      <c r="F2225" s="13" t="str">
        <f>IFERROR(__xludf.DUMMYFUNCTION("ifna(filter('Yahoo ADP'!$E$2:$E2766,'Yahoo ADP'!$B$2:$B2766=$B2225,$C2225='Yahoo ADP'!$C$2:$C2766,$D2225='Yahoo ADP'!$D$2:$D2766))"),"-")</f>
        <v>-</v>
      </c>
      <c r="G2225" s="27">
        <v>2222.0</v>
      </c>
      <c r="H2225" s="8">
        <f t="shared" si="1"/>
        <v>-2</v>
      </c>
    </row>
    <row r="2226">
      <c r="A2226" s="10">
        <v>2225.0</v>
      </c>
      <c r="B2226" s="11" t="s">
        <v>5068</v>
      </c>
      <c r="C2226" s="10" t="s">
        <v>14</v>
      </c>
      <c r="D2226" s="10" t="s">
        <v>140</v>
      </c>
      <c r="E2226" s="13" t="str">
        <f>IFERROR(__xludf.DUMMYFUNCTION("ifna(filter('Yahoo ADP'!$A$2:$A2766,'Yahoo ADP'!$B$2:$B2766=$B2226,$C2226='Yahoo ADP'!$C$2:$C2766,$D2226='Yahoo ADP'!$D$2:$D2766))"),"")</f>
        <v/>
      </c>
      <c r="F2226" s="13" t="str">
        <f>IFERROR(__xludf.DUMMYFUNCTION("ifna(filter('Yahoo ADP'!$E$2:$E2766,'Yahoo ADP'!$B$2:$B2766=$B2226,$C2226='Yahoo ADP'!$C$2:$C2766,$D2226='Yahoo ADP'!$D$2:$D2766))"),"-")</f>
        <v>-</v>
      </c>
      <c r="G2226" s="27">
        <v>2223.0</v>
      </c>
      <c r="H2226" s="8">
        <f t="shared" si="1"/>
        <v>-2</v>
      </c>
    </row>
    <row r="2227">
      <c r="A2227" s="10">
        <v>2226.0</v>
      </c>
      <c r="B2227" s="11" t="s">
        <v>5069</v>
      </c>
      <c r="C2227" s="10" t="s">
        <v>14</v>
      </c>
      <c r="D2227" s="10" t="s">
        <v>36</v>
      </c>
      <c r="E2227" s="13" t="str">
        <f>IFERROR(__xludf.DUMMYFUNCTION("ifna(filter('Yahoo ADP'!$A$2:$A2766,'Yahoo ADP'!$B$2:$B2766=$B2227,$C2227='Yahoo ADP'!$C$2:$C2766,$D2227='Yahoo ADP'!$D$2:$D2766))"),"")</f>
        <v/>
      </c>
      <c r="F2227" s="13" t="str">
        <f>IFERROR(__xludf.DUMMYFUNCTION("ifna(filter('Yahoo ADP'!$E$2:$E2766,'Yahoo ADP'!$B$2:$B2766=$B2227,$C2227='Yahoo ADP'!$C$2:$C2766,$D2227='Yahoo ADP'!$D$2:$D2766))"),"-")</f>
        <v>-</v>
      </c>
      <c r="G2227" s="27">
        <v>2224.0</v>
      </c>
      <c r="H2227" s="8">
        <f t="shared" si="1"/>
        <v>-2</v>
      </c>
    </row>
    <row r="2228">
      <c r="A2228" s="10">
        <v>2227.0</v>
      </c>
      <c r="B2228" s="11" t="s">
        <v>5070</v>
      </c>
      <c r="C2228" s="10" t="s">
        <v>17</v>
      </c>
      <c r="D2228" s="10" t="s">
        <v>95</v>
      </c>
      <c r="E2228" s="13" t="str">
        <f>IFERROR(__xludf.DUMMYFUNCTION("ifna(filter('Yahoo ADP'!$A$2:$A2766,'Yahoo ADP'!$B$2:$B2766=$B2228,$C2228='Yahoo ADP'!$C$2:$C2766,$D2228='Yahoo ADP'!$D$2:$D2766))"),"")</f>
        <v/>
      </c>
      <c r="F2228" s="13" t="str">
        <f>IFERROR(__xludf.DUMMYFUNCTION("ifna(filter('Yahoo ADP'!$E$2:$E2766,'Yahoo ADP'!$B$2:$B2766=$B2228,$C2228='Yahoo ADP'!$C$2:$C2766,$D2228='Yahoo ADP'!$D$2:$D2766))"),"-")</f>
        <v>-</v>
      </c>
      <c r="G2228" s="27">
        <v>2225.0</v>
      </c>
      <c r="H2228" s="8">
        <f t="shared" si="1"/>
        <v>-2</v>
      </c>
    </row>
    <row r="2229">
      <c r="A2229" s="10">
        <v>2228.0</v>
      </c>
      <c r="B2229" s="11" t="s">
        <v>5071</v>
      </c>
      <c r="C2229" s="10" t="s">
        <v>14</v>
      </c>
      <c r="D2229" s="10" t="s">
        <v>99</v>
      </c>
      <c r="E2229" s="13" t="str">
        <f>IFERROR(__xludf.DUMMYFUNCTION("ifna(filter('Yahoo ADP'!$A$2:$A2766,'Yahoo ADP'!$B$2:$B2766=$B2229,$C2229='Yahoo ADP'!$C$2:$C2766,$D2229='Yahoo ADP'!$D$2:$D2766))"),"")</f>
        <v/>
      </c>
      <c r="F2229" s="13" t="str">
        <f>IFERROR(__xludf.DUMMYFUNCTION("ifna(filter('Yahoo ADP'!$E$2:$E2766,'Yahoo ADP'!$B$2:$B2766=$B2229,$C2229='Yahoo ADP'!$C$2:$C2766,$D2229='Yahoo ADP'!$D$2:$D2766))"),"-")</f>
        <v>-</v>
      </c>
      <c r="G2229" s="27">
        <v>2226.0</v>
      </c>
      <c r="H2229" s="8">
        <f t="shared" si="1"/>
        <v>-2</v>
      </c>
    </row>
    <row r="2230">
      <c r="A2230" s="10">
        <v>2229.0</v>
      </c>
      <c r="B2230" s="11" t="s">
        <v>5072</v>
      </c>
      <c r="C2230" s="10" t="s">
        <v>39</v>
      </c>
      <c r="D2230" s="10" t="s">
        <v>71</v>
      </c>
      <c r="E2230" s="13" t="str">
        <f>IFERROR(__xludf.DUMMYFUNCTION("ifna(filter('Yahoo ADP'!$A$2:$A2766,'Yahoo ADP'!$B$2:$B2766=$B2230,$C2230='Yahoo ADP'!$C$2:$C2766,$D2230='Yahoo ADP'!$D$2:$D2766))"),"")</f>
        <v/>
      </c>
      <c r="F2230" s="13" t="str">
        <f>IFERROR(__xludf.DUMMYFUNCTION("ifna(filter('Yahoo ADP'!$E$2:$E2766,'Yahoo ADP'!$B$2:$B2766=$B2230,$C2230='Yahoo ADP'!$C$2:$C2766,$D2230='Yahoo ADP'!$D$2:$D2766))"),"-")</f>
        <v>-</v>
      </c>
      <c r="G2230" s="27">
        <v>2227.0</v>
      </c>
      <c r="H2230" s="8">
        <f t="shared" si="1"/>
        <v>-2</v>
      </c>
    </row>
    <row r="2231">
      <c r="A2231" s="10">
        <v>2230.0</v>
      </c>
      <c r="B2231" s="11" t="s">
        <v>5073</v>
      </c>
      <c r="C2231" s="10" t="s">
        <v>14</v>
      </c>
      <c r="D2231" s="10" t="s">
        <v>113</v>
      </c>
      <c r="E2231" s="13" t="str">
        <f>IFERROR(__xludf.DUMMYFUNCTION("ifna(filter('Yahoo ADP'!$A$2:$A2766,'Yahoo ADP'!$B$2:$B2766=$B2231,$C2231='Yahoo ADP'!$C$2:$C2766,$D2231='Yahoo ADP'!$D$2:$D2766))"),"")</f>
        <v/>
      </c>
      <c r="F2231" s="13" t="str">
        <f>IFERROR(__xludf.DUMMYFUNCTION("ifna(filter('Yahoo ADP'!$E$2:$E2766,'Yahoo ADP'!$B$2:$B2766=$B2231,$C2231='Yahoo ADP'!$C$2:$C2766,$D2231='Yahoo ADP'!$D$2:$D2766))"),"-")</f>
        <v>-</v>
      </c>
      <c r="G2231" s="27">
        <v>2228.0</v>
      </c>
      <c r="H2231" s="8">
        <f t="shared" si="1"/>
        <v>-2</v>
      </c>
    </row>
    <row r="2232">
      <c r="A2232" s="10">
        <v>2231.0</v>
      </c>
      <c r="B2232" s="11" t="s">
        <v>5074</v>
      </c>
      <c r="C2232" s="10" t="s">
        <v>14</v>
      </c>
      <c r="D2232" s="10" t="s">
        <v>82</v>
      </c>
      <c r="E2232" s="13" t="str">
        <f>IFERROR(__xludf.DUMMYFUNCTION("ifna(filter('Yahoo ADP'!$A$2:$A2766,'Yahoo ADP'!$B$2:$B2766=$B2232,$C2232='Yahoo ADP'!$C$2:$C2766,$D2232='Yahoo ADP'!$D$2:$D2766))"),"")</f>
        <v/>
      </c>
      <c r="F2232" s="13" t="str">
        <f>IFERROR(__xludf.DUMMYFUNCTION("ifna(filter('Yahoo ADP'!$E$2:$E2766,'Yahoo ADP'!$B$2:$B2766=$B2232,$C2232='Yahoo ADP'!$C$2:$C2766,$D2232='Yahoo ADP'!$D$2:$D2766))"),"-")</f>
        <v>-</v>
      </c>
      <c r="G2232" s="27">
        <v>2229.0</v>
      </c>
      <c r="H2232" s="8">
        <f t="shared" si="1"/>
        <v>-2</v>
      </c>
    </row>
    <row r="2233">
      <c r="A2233" s="10">
        <v>2232.0</v>
      </c>
      <c r="B2233" s="11" t="s">
        <v>5075</v>
      </c>
      <c r="C2233" s="10" t="s">
        <v>14</v>
      </c>
      <c r="D2233" s="10" t="s">
        <v>18</v>
      </c>
      <c r="E2233" s="13" t="str">
        <f>IFERROR(__xludf.DUMMYFUNCTION("ifna(filter('Yahoo ADP'!$A$2:$A2766,'Yahoo ADP'!$B$2:$B2766=$B2233,$C2233='Yahoo ADP'!$C$2:$C2766,$D2233='Yahoo ADP'!$D$2:$D2766))"),"")</f>
        <v/>
      </c>
      <c r="F2233" s="13" t="str">
        <f>IFERROR(__xludf.DUMMYFUNCTION("ifna(filter('Yahoo ADP'!$E$2:$E2766,'Yahoo ADP'!$B$2:$B2766=$B2233,$C2233='Yahoo ADP'!$C$2:$C2766,$D2233='Yahoo ADP'!$D$2:$D2766))"),"-")</f>
        <v>-</v>
      </c>
      <c r="G2233" s="27">
        <v>2230.0</v>
      </c>
      <c r="H2233" s="8">
        <f t="shared" si="1"/>
        <v>-2</v>
      </c>
    </row>
    <row r="2234">
      <c r="A2234" s="10">
        <v>2233.0</v>
      </c>
      <c r="B2234" s="11" t="s">
        <v>5076</v>
      </c>
      <c r="C2234" s="10" t="s">
        <v>77</v>
      </c>
      <c r="D2234" s="10" t="s">
        <v>42</v>
      </c>
      <c r="E2234" s="13" t="str">
        <f>IFERROR(__xludf.DUMMYFUNCTION("ifna(filter('Yahoo ADP'!$A$2:$A2766,'Yahoo ADP'!$B$2:$B2766=$B2234,$C2234='Yahoo ADP'!$C$2:$C2766,$D2234='Yahoo ADP'!$D$2:$D2766))"),"")</f>
        <v/>
      </c>
      <c r="F2234" s="13" t="str">
        <f>IFERROR(__xludf.DUMMYFUNCTION("ifna(filter('Yahoo ADP'!$E$2:$E2766,'Yahoo ADP'!$B$2:$B2766=$B2234,$C2234='Yahoo ADP'!$C$2:$C2766,$D2234='Yahoo ADP'!$D$2:$D2766))"),"-")</f>
        <v>-</v>
      </c>
      <c r="G2234" s="27">
        <v>2231.0</v>
      </c>
      <c r="H2234" s="8">
        <f t="shared" si="1"/>
        <v>-2</v>
      </c>
    </row>
    <row r="2235">
      <c r="A2235" s="10">
        <v>2234.0</v>
      </c>
      <c r="B2235" s="11" t="s">
        <v>5077</v>
      </c>
      <c r="C2235" s="10" t="s">
        <v>11</v>
      </c>
      <c r="D2235" s="10" t="s">
        <v>82</v>
      </c>
      <c r="E2235" s="13" t="str">
        <f>IFERROR(__xludf.DUMMYFUNCTION("ifna(filter('Yahoo ADP'!$A$2:$A2766,'Yahoo ADP'!$B$2:$B2766=$B2235,$C2235='Yahoo ADP'!$C$2:$C2766,$D2235='Yahoo ADP'!$D$2:$D2766))"),"")</f>
        <v/>
      </c>
      <c r="F2235" s="13" t="str">
        <f>IFERROR(__xludf.DUMMYFUNCTION("ifna(filter('Yahoo ADP'!$E$2:$E2766,'Yahoo ADP'!$B$2:$B2766=$B2235,$C2235='Yahoo ADP'!$C$2:$C2766,$D2235='Yahoo ADP'!$D$2:$D2766))"),"-")</f>
        <v>-</v>
      </c>
      <c r="G2235" s="27">
        <v>2232.0</v>
      </c>
      <c r="H2235" s="8">
        <f t="shared" si="1"/>
        <v>-2</v>
      </c>
    </row>
    <row r="2236">
      <c r="A2236" s="10">
        <v>2235.0</v>
      </c>
      <c r="B2236" s="11" t="s">
        <v>5078</v>
      </c>
      <c r="C2236" s="10" t="s">
        <v>89</v>
      </c>
      <c r="D2236" s="10" t="s">
        <v>15</v>
      </c>
      <c r="E2236" s="13" t="str">
        <f>IFERROR(__xludf.DUMMYFUNCTION("ifna(filter('Yahoo ADP'!$A$2:$A2766,'Yahoo ADP'!$B$2:$B2766=$B2236,$C2236='Yahoo ADP'!$C$2:$C2766,$D2236='Yahoo ADP'!$D$2:$D2766))"),"")</f>
        <v/>
      </c>
      <c r="F2236" s="13" t="str">
        <f>IFERROR(__xludf.DUMMYFUNCTION("ifna(filter('Yahoo ADP'!$E$2:$E2766,'Yahoo ADP'!$B$2:$B2766=$B2236,$C2236='Yahoo ADP'!$C$2:$C2766,$D2236='Yahoo ADP'!$D$2:$D2766))"),"-")</f>
        <v>-</v>
      </c>
      <c r="G2236" s="27">
        <v>2233.0</v>
      </c>
      <c r="H2236" s="8">
        <f t="shared" si="1"/>
        <v>-2</v>
      </c>
    </row>
    <row r="2237">
      <c r="A2237" s="10">
        <v>2236.0</v>
      </c>
      <c r="B2237" s="11" t="s">
        <v>5079</v>
      </c>
      <c r="C2237" s="10" t="s">
        <v>39</v>
      </c>
      <c r="D2237" s="10" t="s">
        <v>42</v>
      </c>
      <c r="E2237" s="13" t="str">
        <f>IFERROR(__xludf.DUMMYFUNCTION("ifna(filter('Yahoo ADP'!$A$2:$A2766,'Yahoo ADP'!$B$2:$B2766=$B2237,$C2237='Yahoo ADP'!$C$2:$C2766,$D2237='Yahoo ADP'!$D$2:$D2766))"),"")</f>
        <v/>
      </c>
      <c r="F2237" s="13" t="str">
        <f>IFERROR(__xludf.DUMMYFUNCTION("ifna(filter('Yahoo ADP'!$E$2:$E2766,'Yahoo ADP'!$B$2:$B2766=$B2237,$C2237='Yahoo ADP'!$C$2:$C2766,$D2237='Yahoo ADP'!$D$2:$D2766))"),"-")</f>
        <v>-</v>
      </c>
      <c r="G2237" s="27">
        <v>2234.0</v>
      </c>
      <c r="H2237" s="8">
        <f t="shared" si="1"/>
        <v>-2</v>
      </c>
    </row>
    <row r="2238">
      <c r="A2238" s="10">
        <v>2237.0</v>
      </c>
      <c r="B2238" s="11" t="s">
        <v>5080</v>
      </c>
      <c r="C2238" s="10" t="s">
        <v>14</v>
      </c>
      <c r="D2238" s="10" t="s">
        <v>42</v>
      </c>
      <c r="E2238" s="13" t="str">
        <f>IFERROR(__xludf.DUMMYFUNCTION("ifna(filter('Yahoo ADP'!$A$2:$A2766,'Yahoo ADP'!$B$2:$B2766=$B2238,$C2238='Yahoo ADP'!$C$2:$C2766,$D2238='Yahoo ADP'!$D$2:$D2766))"),"")</f>
        <v/>
      </c>
      <c r="F2238" s="13" t="str">
        <f>IFERROR(__xludf.DUMMYFUNCTION("ifna(filter('Yahoo ADP'!$E$2:$E2766,'Yahoo ADP'!$B$2:$B2766=$B2238,$C2238='Yahoo ADP'!$C$2:$C2766,$D2238='Yahoo ADP'!$D$2:$D2766))"),"-")</f>
        <v>-</v>
      </c>
      <c r="G2238" s="27">
        <v>2235.0</v>
      </c>
      <c r="H2238" s="8">
        <f t="shared" si="1"/>
        <v>-2</v>
      </c>
    </row>
    <row r="2239">
      <c r="A2239" s="10">
        <v>2238.0</v>
      </c>
      <c r="B2239" s="11" t="s">
        <v>5081</v>
      </c>
      <c r="C2239" s="10" t="s">
        <v>176</v>
      </c>
      <c r="D2239" s="10" t="s">
        <v>206</v>
      </c>
      <c r="E2239" s="13" t="str">
        <f>IFERROR(__xludf.DUMMYFUNCTION("ifna(filter('Yahoo ADP'!$A$2:$A2766,'Yahoo ADP'!$B$2:$B2766=$B2239,$C2239='Yahoo ADP'!$C$2:$C2766,$D2239='Yahoo ADP'!$D$2:$D2766))"),"")</f>
        <v/>
      </c>
      <c r="F2239" s="13" t="str">
        <f>IFERROR(__xludf.DUMMYFUNCTION("ifna(filter('Yahoo ADP'!$E$2:$E2766,'Yahoo ADP'!$B$2:$B2766=$B2239,$C2239='Yahoo ADP'!$C$2:$C2766,$D2239='Yahoo ADP'!$D$2:$D2766))"),"-")</f>
        <v>-</v>
      </c>
      <c r="G2239" s="27">
        <v>2236.0</v>
      </c>
      <c r="H2239" s="8">
        <f t="shared" si="1"/>
        <v>-2</v>
      </c>
    </row>
    <row r="2240">
      <c r="A2240" s="10">
        <v>2239.0</v>
      </c>
      <c r="B2240" s="11" t="s">
        <v>5082</v>
      </c>
      <c r="C2240" s="10" t="s">
        <v>55</v>
      </c>
      <c r="D2240" s="10" t="s">
        <v>34</v>
      </c>
      <c r="E2240" s="13" t="str">
        <f>IFERROR(__xludf.DUMMYFUNCTION("ifna(filter('Yahoo ADP'!$A$2:$A2766,'Yahoo ADP'!$B$2:$B2766=$B2240,$C2240='Yahoo ADP'!$C$2:$C2766,$D2240='Yahoo ADP'!$D$2:$D2766))"),"")</f>
        <v/>
      </c>
      <c r="F2240" s="13" t="str">
        <f>IFERROR(__xludf.DUMMYFUNCTION("ifna(filter('Yahoo ADP'!$E$2:$E2766,'Yahoo ADP'!$B$2:$B2766=$B2240,$C2240='Yahoo ADP'!$C$2:$C2766,$D2240='Yahoo ADP'!$D$2:$D2766))"),"-")</f>
        <v>-</v>
      </c>
      <c r="G2240" s="27">
        <v>2237.0</v>
      </c>
      <c r="H2240" s="8">
        <f t="shared" si="1"/>
        <v>-2</v>
      </c>
    </row>
    <row r="2241">
      <c r="A2241" s="10">
        <v>2240.0</v>
      </c>
      <c r="B2241" s="11" t="s">
        <v>5083</v>
      </c>
      <c r="C2241" s="10" t="s">
        <v>17</v>
      </c>
      <c r="D2241" s="10" t="s">
        <v>90</v>
      </c>
      <c r="E2241" s="13" t="str">
        <f>IFERROR(__xludf.DUMMYFUNCTION("ifna(filter('Yahoo ADP'!$A$2:$A2766,'Yahoo ADP'!$B$2:$B2766=$B2241,$C2241='Yahoo ADP'!$C$2:$C2766,$D2241='Yahoo ADP'!$D$2:$D2766))"),"")</f>
        <v/>
      </c>
      <c r="F2241" s="13" t="str">
        <f>IFERROR(__xludf.DUMMYFUNCTION("ifna(filter('Yahoo ADP'!$E$2:$E2766,'Yahoo ADP'!$B$2:$B2766=$B2241,$C2241='Yahoo ADP'!$C$2:$C2766,$D2241='Yahoo ADP'!$D$2:$D2766))"),"-")</f>
        <v>-</v>
      </c>
      <c r="G2241" s="27">
        <v>2238.0</v>
      </c>
      <c r="H2241" s="8">
        <f t="shared" si="1"/>
        <v>-2</v>
      </c>
    </row>
    <row r="2242">
      <c r="A2242" s="10">
        <v>2241.0</v>
      </c>
      <c r="B2242" s="11" t="s">
        <v>5084</v>
      </c>
      <c r="C2242" s="10" t="s">
        <v>14</v>
      </c>
      <c r="D2242" s="10" t="s">
        <v>34</v>
      </c>
      <c r="E2242" s="13" t="str">
        <f>IFERROR(__xludf.DUMMYFUNCTION("ifna(filter('Yahoo ADP'!$A$2:$A2766,'Yahoo ADP'!$B$2:$B2766=$B2242,$C2242='Yahoo ADP'!$C$2:$C2766,$D2242='Yahoo ADP'!$D$2:$D2766))"),"")</f>
        <v/>
      </c>
      <c r="F2242" s="13" t="str">
        <f>IFERROR(__xludf.DUMMYFUNCTION("ifna(filter('Yahoo ADP'!$E$2:$E2766,'Yahoo ADP'!$B$2:$B2766=$B2242,$C2242='Yahoo ADP'!$C$2:$C2766,$D2242='Yahoo ADP'!$D$2:$D2766))"),"-")</f>
        <v>-</v>
      </c>
      <c r="G2242" s="27">
        <v>2239.0</v>
      </c>
      <c r="H2242" s="8">
        <f t="shared" si="1"/>
        <v>-2</v>
      </c>
    </row>
    <row r="2243">
      <c r="A2243" s="10">
        <v>2242.0</v>
      </c>
      <c r="B2243" s="11" t="s">
        <v>5085</v>
      </c>
      <c r="C2243" s="10" t="s">
        <v>39</v>
      </c>
      <c r="D2243" s="10" t="s">
        <v>137</v>
      </c>
      <c r="E2243" s="13" t="str">
        <f>IFERROR(__xludf.DUMMYFUNCTION("ifna(filter('Yahoo ADP'!$A$2:$A2766,'Yahoo ADP'!$B$2:$B2766=$B2243,$C2243='Yahoo ADP'!$C$2:$C2766,$D2243='Yahoo ADP'!$D$2:$D2766))"),"")</f>
        <v/>
      </c>
      <c r="F2243" s="13" t="str">
        <f>IFERROR(__xludf.DUMMYFUNCTION("ifna(filter('Yahoo ADP'!$E$2:$E2766,'Yahoo ADP'!$B$2:$B2766=$B2243,$C2243='Yahoo ADP'!$C$2:$C2766,$D2243='Yahoo ADP'!$D$2:$D2766))"),"-")</f>
        <v>-</v>
      </c>
      <c r="G2243" s="27">
        <v>2240.0</v>
      </c>
      <c r="H2243" s="8">
        <f t="shared" si="1"/>
        <v>-2</v>
      </c>
    </row>
    <row r="2244">
      <c r="A2244" s="10">
        <v>2243.0</v>
      </c>
      <c r="B2244" s="11" t="s">
        <v>5086</v>
      </c>
      <c r="C2244" s="10" t="s">
        <v>14</v>
      </c>
      <c r="D2244" s="10" t="s">
        <v>34</v>
      </c>
      <c r="E2244" s="13" t="str">
        <f>IFERROR(__xludf.DUMMYFUNCTION("ifna(filter('Yahoo ADP'!$A$2:$A2766,'Yahoo ADP'!$B$2:$B2766=$B2244,$C2244='Yahoo ADP'!$C$2:$C2766,$D2244='Yahoo ADP'!$D$2:$D2766))"),"")</f>
        <v/>
      </c>
      <c r="F2244" s="13" t="str">
        <f>IFERROR(__xludf.DUMMYFUNCTION("ifna(filter('Yahoo ADP'!$E$2:$E2766,'Yahoo ADP'!$B$2:$B2766=$B2244,$C2244='Yahoo ADP'!$C$2:$C2766,$D2244='Yahoo ADP'!$D$2:$D2766))"),"-")</f>
        <v>-</v>
      </c>
      <c r="G2244" s="27">
        <v>2241.0</v>
      </c>
      <c r="H2244" s="8">
        <f t="shared" si="1"/>
        <v>-2</v>
      </c>
    </row>
    <row r="2245">
      <c r="A2245" s="10">
        <v>2244.0</v>
      </c>
      <c r="B2245" s="11" t="s">
        <v>5087</v>
      </c>
      <c r="C2245" s="10" t="s">
        <v>14</v>
      </c>
      <c r="D2245" s="10" t="s">
        <v>120</v>
      </c>
      <c r="E2245" s="13" t="str">
        <f>IFERROR(__xludf.DUMMYFUNCTION("ifna(filter('Yahoo ADP'!$A$2:$A2766,'Yahoo ADP'!$B$2:$B2766=$B2245,$C2245='Yahoo ADP'!$C$2:$C2766,$D2245='Yahoo ADP'!$D$2:$D2766))"),"")</f>
        <v/>
      </c>
      <c r="F2245" s="13" t="str">
        <f>IFERROR(__xludf.DUMMYFUNCTION("ifna(filter('Yahoo ADP'!$E$2:$E2766,'Yahoo ADP'!$B$2:$B2766=$B2245,$C2245='Yahoo ADP'!$C$2:$C2766,$D2245='Yahoo ADP'!$D$2:$D2766))"),"-")</f>
        <v>-</v>
      </c>
      <c r="G2245" s="27">
        <v>2242.0</v>
      </c>
      <c r="H2245" s="8">
        <f t="shared" si="1"/>
        <v>-2</v>
      </c>
    </row>
    <row r="2246">
      <c r="A2246" s="10">
        <v>2245.0</v>
      </c>
      <c r="B2246" s="11" t="s">
        <v>5088</v>
      </c>
      <c r="C2246" s="10" t="s">
        <v>14</v>
      </c>
      <c r="D2246" s="10" t="s">
        <v>206</v>
      </c>
      <c r="E2246" s="13" t="str">
        <f>IFERROR(__xludf.DUMMYFUNCTION("ifna(filter('Yahoo ADP'!$A$2:$A2766,'Yahoo ADP'!$B$2:$B2766=$B2246,$C2246='Yahoo ADP'!$C$2:$C2766,$D2246='Yahoo ADP'!$D$2:$D2766))"),"")</f>
        <v/>
      </c>
      <c r="F2246" s="13" t="str">
        <f>IFERROR(__xludf.DUMMYFUNCTION("ifna(filter('Yahoo ADP'!$E$2:$E2766,'Yahoo ADP'!$B$2:$B2766=$B2246,$C2246='Yahoo ADP'!$C$2:$C2766,$D2246='Yahoo ADP'!$D$2:$D2766))"),"-")</f>
        <v>-</v>
      </c>
      <c r="G2246" s="27">
        <v>2243.0</v>
      </c>
      <c r="H2246" s="8">
        <f t="shared" si="1"/>
        <v>-2</v>
      </c>
    </row>
    <row r="2247">
      <c r="A2247" s="10">
        <v>2246.0</v>
      </c>
      <c r="B2247" s="11" t="s">
        <v>5089</v>
      </c>
      <c r="C2247" s="10" t="s">
        <v>39</v>
      </c>
      <c r="D2247" s="10" t="s">
        <v>25</v>
      </c>
      <c r="E2247" s="13" t="str">
        <f>IFERROR(__xludf.DUMMYFUNCTION("ifna(filter('Yahoo ADP'!$A$2:$A2766,'Yahoo ADP'!$B$2:$B2766=$B2247,$C2247='Yahoo ADP'!$C$2:$C2766,$D2247='Yahoo ADP'!$D$2:$D2766))"),"")</f>
        <v/>
      </c>
      <c r="F2247" s="13" t="str">
        <f>IFERROR(__xludf.DUMMYFUNCTION("ifna(filter('Yahoo ADP'!$E$2:$E2766,'Yahoo ADP'!$B$2:$B2766=$B2247,$C2247='Yahoo ADP'!$C$2:$C2766,$D2247='Yahoo ADP'!$D$2:$D2766))"),"-")</f>
        <v>-</v>
      </c>
      <c r="G2247" s="27">
        <v>2244.0</v>
      </c>
      <c r="H2247" s="8">
        <f t="shared" si="1"/>
        <v>-2</v>
      </c>
    </row>
    <row r="2248">
      <c r="A2248" s="10">
        <v>2247.0</v>
      </c>
      <c r="B2248" s="11" t="s">
        <v>5090</v>
      </c>
      <c r="C2248" s="10" t="s">
        <v>89</v>
      </c>
      <c r="D2248" s="10" t="s">
        <v>15</v>
      </c>
      <c r="E2248" s="13" t="str">
        <f>IFERROR(__xludf.DUMMYFUNCTION("ifna(filter('Yahoo ADP'!$A$2:$A2766,'Yahoo ADP'!$B$2:$B2766=$B2248,$C2248='Yahoo ADP'!$C$2:$C2766,$D2248='Yahoo ADP'!$D$2:$D2766))"),"")</f>
        <v/>
      </c>
      <c r="F2248" s="13" t="str">
        <f>IFERROR(__xludf.DUMMYFUNCTION("ifna(filter('Yahoo ADP'!$E$2:$E2766,'Yahoo ADP'!$B$2:$B2766=$B2248,$C2248='Yahoo ADP'!$C$2:$C2766,$D2248='Yahoo ADP'!$D$2:$D2766))"),"-")</f>
        <v>-</v>
      </c>
      <c r="G2248" s="27">
        <v>2245.0</v>
      </c>
      <c r="H2248" s="8">
        <f t="shared" si="1"/>
        <v>-2</v>
      </c>
    </row>
    <row r="2249">
      <c r="A2249" s="10">
        <v>2248.0</v>
      </c>
      <c r="B2249" s="11" t="s">
        <v>5091</v>
      </c>
      <c r="C2249" s="10" t="s">
        <v>77</v>
      </c>
      <c r="D2249" s="10" t="s">
        <v>12</v>
      </c>
      <c r="E2249" s="13" t="str">
        <f>IFERROR(__xludf.DUMMYFUNCTION("ifna(filter('Yahoo ADP'!$A$2:$A2766,'Yahoo ADP'!$B$2:$B2766=$B2249,$C2249='Yahoo ADP'!$C$2:$C2766,$D2249='Yahoo ADP'!$D$2:$D2766))"),"")</f>
        <v/>
      </c>
      <c r="F2249" s="13" t="str">
        <f>IFERROR(__xludf.DUMMYFUNCTION("ifna(filter('Yahoo ADP'!$E$2:$E2766,'Yahoo ADP'!$B$2:$B2766=$B2249,$C2249='Yahoo ADP'!$C$2:$C2766,$D2249='Yahoo ADP'!$D$2:$D2766))"),"-")</f>
        <v>-</v>
      </c>
      <c r="G2249" s="27">
        <v>2246.0</v>
      </c>
      <c r="H2249" s="8">
        <f t="shared" si="1"/>
        <v>-2</v>
      </c>
    </row>
    <row r="2250">
      <c r="A2250" s="10">
        <v>2249.0</v>
      </c>
      <c r="B2250" s="11" t="s">
        <v>5092</v>
      </c>
      <c r="C2250" s="10" t="s">
        <v>14</v>
      </c>
      <c r="D2250" s="10" t="s">
        <v>9</v>
      </c>
      <c r="E2250" s="13" t="str">
        <f>IFERROR(__xludf.DUMMYFUNCTION("ifna(filter('Yahoo ADP'!$A$2:$A2766,'Yahoo ADP'!$B$2:$B2766=$B2250,$C2250='Yahoo ADP'!$C$2:$C2766,$D2250='Yahoo ADP'!$D$2:$D2766))"),"")</f>
        <v/>
      </c>
      <c r="F2250" s="13" t="str">
        <f>IFERROR(__xludf.DUMMYFUNCTION("ifna(filter('Yahoo ADP'!$E$2:$E2766,'Yahoo ADP'!$B$2:$B2766=$B2250,$C2250='Yahoo ADP'!$C$2:$C2766,$D2250='Yahoo ADP'!$D$2:$D2766))"),"-")</f>
        <v>-</v>
      </c>
      <c r="G2250" s="27">
        <v>2247.0</v>
      </c>
      <c r="H2250" s="8">
        <f t="shared" si="1"/>
        <v>-2</v>
      </c>
    </row>
    <row r="2251">
      <c r="A2251" s="10">
        <v>2250.0</v>
      </c>
      <c r="B2251" s="11" t="s">
        <v>5093</v>
      </c>
      <c r="C2251" s="10" t="s">
        <v>11</v>
      </c>
      <c r="D2251" s="10" t="s">
        <v>122</v>
      </c>
      <c r="E2251" s="13" t="str">
        <f>IFERROR(__xludf.DUMMYFUNCTION("ifna(filter('Yahoo ADP'!$A$2:$A2766,'Yahoo ADP'!$B$2:$B2766=$B2251,$C2251='Yahoo ADP'!$C$2:$C2766,$D2251='Yahoo ADP'!$D$2:$D2766))"),"")</f>
        <v/>
      </c>
      <c r="F2251" s="13" t="str">
        <f>IFERROR(__xludf.DUMMYFUNCTION("ifna(filter('Yahoo ADP'!$E$2:$E2766,'Yahoo ADP'!$B$2:$B2766=$B2251,$C2251='Yahoo ADP'!$C$2:$C2766,$D2251='Yahoo ADP'!$D$2:$D2766))"),"-")</f>
        <v>-</v>
      </c>
      <c r="G2251" s="27">
        <v>2248.0</v>
      </c>
      <c r="H2251" s="8">
        <f t="shared" si="1"/>
        <v>-2</v>
      </c>
    </row>
    <row r="2252">
      <c r="A2252" s="10">
        <v>2251.0</v>
      </c>
      <c r="B2252" s="11" t="s">
        <v>5094</v>
      </c>
      <c r="C2252" s="10" t="s">
        <v>14</v>
      </c>
      <c r="D2252" s="10" t="s">
        <v>49</v>
      </c>
      <c r="E2252" s="13" t="str">
        <f>IFERROR(__xludf.DUMMYFUNCTION("ifna(filter('Yahoo ADP'!$A$2:$A2766,'Yahoo ADP'!$B$2:$B2766=$B2252,$C2252='Yahoo ADP'!$C$2:$C2766,$D2252='Yahoo ADP'!$D$2:$D2766))"),"")</f>
        <v/>
      </c>
      <c r="F2252" s="13" t="str">
        <f>IFERROR(__xludf.DUMMYFUNCTION("ifna(filter('Yahoo ADP'!$E$2:$E2766,'Yahoo ADP'!$B$2:$B2766=$B2252,$C2252='Yahoo ADP'!$C$2:$C2766,$D2252='Yahoo ADP'!$D$2:$D2766))"),"-")</f>
        <v>-</v>
      </c>
      <c r="G2252" s="27">
        <v>2249.0</v>
      </c>
      <c r="H2252" s="8">
        <f t="shared" si="1"/>
        <v>-2</v>
      </c>
    </row>
    <row r="2253">
      <c r="A2253" s="10">
        <v>2252.0</v>
      </c>
      <c r="B2253" s="11" t="s">
        <v>5095</v>
      </c>
      <c r="C2253" s="10" t="s">
        <v>14</v>
      </c>
      <c r="D2253" s="10" t="s">
        <v>120</v>
      </c>
      <c r="E2253" s="13" t="str">
        <f>IFERROR(__xludf.DUMMYFUNCTION("ifna(filter('Yahoo ADP'!$A$2:$A2766,'Yahoo ADP'!$B$2:$B2766=$B2253,$C2253='Yahoo ADP'!$C$2:$C2766,$D2253='Yahoo ADP'!$D$2:$D2766))"),"")</f>
        <v/>
      </c>
      <c r="F2253" s="13" t="str">
        <f>IFERROR(__xludf.DUMMYFUNCTION("ifna(filter('Yahoo ADP'!$E$2:$E2766,'Yahoo ADP'!$B$2:$B2766=$B2253,$C2253='Yahoo ADP'!$C$2:$C2766,$D2253='Yahoo ADP'!$D$2:$D2766))"),"-")</f>
        <v>-</v>
      </c>
      <c r="G2253" s="27">
        <v>2250.0</v>
      </c>
      <c r="H2253" s="8">
        <f t="shared" si="1"/>
        <v>-2</v>
      </c>
    </row>
    <row r="2254">
      <c r="A2254" s="10">
        <v>2253.0</v>
      </c>
      <c r="B2254" s="11" t="s">
        <v>5096</v>
      </c>
      <c r="C2254" s="10" t="s">
        <v>39</v>
      </c>
      <c r="D2254" s="10" t="s">
        <v>46</v>
      </c>
      <c r="E2254" s="13" t="str">
        <f>IFERROR(__xludf.DUMMYFUNCTION("ifna(filter('Yahoo ADP'!$A$2:$A2766,'Yahoo ADP'!$B$2:$B2766=$B2254,$C2254='Yahoo ADP'!$C$2:$C2766,$D2254='Yahoo ADP'!$D$2:$D2766))"),"")</f>
        <v/>
      </c>
      <c r="F2254" s="13" t="str">
        <f>IFERROR(__xludf.DUMMYFUNCTION("ifna(filter('Yahoo ADP'!$E$2:$E2766,'Yahoo ADP'!$B$2:$B2766=$B2254,$C2254='Yahoo ADP'!$C$2:$C2766,$D2254='Yahoo ADP'!$D$2:$D2766))"),"-")</f>
        <v>-</v>
      </c>
      <c r="G2254" s="27">
        <v>2251.0</v>
      </c>
      <c r="H2254" s="8">
        <f t="shared" si="1"/>
        <v>-2</v>
      </c>
    </row>
    <row r="2255">
      <c r="A2255" s="10">
        <v>2254.0</v>
      </c>
      <c r="B2255" s="11" t="s">
        <v>5097</v>
      </c>
      <c r="C2255" s="10" t="s">
        <v>136</v>
      </c>
      <c r="D2255" s="10" t="s">
        <v>105</v>
      </c>
      <c r="E2255" s="13" t="str">
        <f>IFERROR(__xludf.DUMMYFUNCTION("ifna(filter('Yahoo ADP'!$A$2:$A2766,'Yahoo ADP'!$B$2:$B2766=$B2255,$C2255='Yahoo ADP'!$C$2:$C2766,$D2255='Yahoo ADP'!$D$2:$D2766))"),"")</f>
        <v/>
      </c>
      <c r="F2255" s="13" t="str">
        <f>IFERROR(__xludf.DUMMYFUNCTION("ifna(filter('Yahoo ADP'!$E$2:$E2766,'Yahoo ADP'!$B$2:$B2766=$B2255,$C2255='Yahoo ADP'!$C$2:$C2766,$D2255='Yahoo ADP'!$D$2:$D2766))"),"-")</f>
        <v>-</v>
      </c>
      <c r="G2255" s="27">
        <v>2252.0</v>
      </c>
      <c r="H2255" s="8">
        <f t="shared" si="1"/>
        <v>-2</v>
      </c>
    </row>
    <row r="2256">
      <c r="A2256" s="10">
        <v>2255.0</v>
      </c>
      <c r="B2256" s="11" t="s">
        <v>5098</v>
      </c>
      <c r="C2256" s="10" t="s">
        <v>14</v>
      </c>
      <c r="D2256" s="10" t="s">
        <v>9</v>
      </c>
      <c r="E2256" s="13" t="str">
        <f>IFERROR(__xludf.DUMMYFUNCTION("ifna(filter('Yahoo ADP'!$A$2:$A2766,'Yahoo ADP'!$B$2:$B2766=$B2256,$C2256='Yahoo ADP'!$C$2:$C2766,$D2256='Yahoo ADP'!$D$2:$D2766))"),"")</f>
        <v/>
      </c>
      <c r="F2256" s="13" t="str">
        <f>IFERROR(__xludf.DUMMYFUNCTION("ifna(filter('Yahoo ADP'!$E$2:$E2766,'Yahoo ADP'!$B$2:$B2766=$B2256,$C2256='Yahoo ADP'!$C$2:$C2766,$D2256='Yahoo ADP'!$D$2:$D2766))"),"-")</f>
        <v>-</v>
      </c>
      <c r="G2256" s="27">
        <v>2253.0</v>
      </c>
      <c r="H2256" s="8">
        <f t="shared" si="1"/>
        <v>-2</v>
      </c>
    </row>
    <row r="2257">
      <c r="A2257" s="10">
        <v>2256.0</v>
      </c>
      <c r="B2257" s="11" t="s">
        <v>5099</v>
      </c>
      <c r="C2257" s="10" t="s">
        <v>11</v>
      </c>
      <c r="D2257" s="10" t="s">
        <v>73</v>
      </c>
      <c r="E2257" s="13" t="str">
        <f>IFERROR(__xludf.DUMMYFUNCTION("ifna(filter('Yahoo ADP'!$A$2:$A2766,'Yahoo ADP'!$B$2:$B2766=$B2257,$C2257='Yahoo ADP'!$C$2:$C2766,$D2257='Yahoo ADP'!$D$2:$D2766))"),"")</f>
        <v/>
      </c>
      <c r="F2257" s="13" t="str">
        <f>IFERROR(__xludf.DUMMYFUNCTION("ifna(filter('Yahoo ADP'!$E$2:$E2766,'Yahoo ADP'!$B$2:$B2766=$B2257,$C2257='Yahoo ADP'!$C$2:$C2766,$D2257='Yahoo ADP'!$D$2:$D2766))"),"-")</f>
        <v>-</v>
      </c>
      <c r="G2257" s="27">
        <v>2254.0</v>
      </c>
      <c r="H2257" s="8">
        <f t="shared" si="1"/>
        <v>-2</v>
      </c>
    </row>
    <row r="2258">
      <c r="A2258" s="10">
        <v>2257.0</v>
      </c>
      <c r="B2258" s="11" t="s">
        <v>5100</v>
      </c>
      <c r="C2258" s="10" t="s">
        <v>14</v>
      </c>
      <c r="D2258" s="10" t="s">
        <v>9</v>
      </c>
      <c r="E2258" s="13" t="str">
        <f>IFERROR(__xludf.DUMMYFUNCTION("ifna(filter('Yahoo ADP'!$A$2:$A2766,'Yahoo ADP'!$B$2:$B2766=$B2258,$C2258='Yahoo ADP'!$C$2:$C2766,$D2258='Yahoo ADP'!$D$2:$D2766))"),"")</f>
        <v/>
      </c>
      <c r="F2258" s="13" t="str">
        <f>IFERROR(__xludf.DUMMYFUNCTION("ifna(filter('Yahoo ADP'!$E$2:$E2766,'Yahoo ADP'!$B$2:$B2766=$B2258,$C2258='Yahoo ADP'!$C$2:$C2766,$D2258='Yahoo ADP'!$D$2:$D2766))"),"-")</f>
        <v>-</v>
      </c>
      <c r="G2258" s="27">
        <v>2255.0</v>
      </c>
      <c r="H2258" s="8">
        <f t="shared" si="1"/>
        <v>-2</v>
      </c>
    </row>
    <row r="2259">
      <c r="A2259" s="10">
        <v>2258.0</v>
      </c>
      <c r="B2259" s="11" t="s">
        <v>5101</v>
      </c>
      <c r="C2259" s="10" t="s">
        <v>148</v>
      </c>
      <c r="D2259" s="10" t="s">
        <v>140</v>
      </c>
      <c r="E2259" s="13" t="str">
        <f>IFERROR(__xludf.DUMMYFUNCTION("ifna(filter('Yahoo ADP'!$A$2:$A2766,'Yahoo ADP'!$B$2:$B2766=$B2259,$C2259='Yahoo ADP'!$C$2:$C2766,$D2259='Yahoo ADP'!$D$2:$D2766))"),"")</f>
        <v/>
      </c>
      <c r="F2259" s="13" t="str">
        <f>IFERROR(__xludf.DUMMYFUNCTION("ifna(filter('Yahoo ADP'!$E$2:$E2766,'Yahoo ADP'!$B$2:$B2766=$B2259,$C2259='Yahoo ADP'!$C$2:$C2766,$D2259='Yahoo ADP'!$D$2:$D2766))"),"-")</f>
        <v>-</v>
      </c>
      <c r="G2259" s="27">
        <v>2256.0</v>
      </c>
      <c r="H2259" s="8">
        <f t="shared" si="1"/>
        <v>-2</v>
      </c>
    </row>
    <row r="2260">
      <c r="A2260" s="10">
        <v>2259.0</v>
      </c>
      <c r="B2260" s="11" t="s">
        <v>5102</v>
      </c>
      <c r="C2260" s="10" t="s">
        <v>17</v>
      </c>
      <c r="D2260" s="10" t="s">
        <v>82</v>
      </c>
      <c r="E2260" s="13" t="str">
        <f>IFERROR(__xludf.DUMMYFUNCTION("ifna(filter('Yahoo ADP'!$A$2:$A2766,'Yahoo ADP'!$B$2:$B2766=$B2260,$C2260='Yahoo ADP'!$C$2:$C2766,$D2260='Yahoo ADP'!$D$2:$D2766))"),"")</f>
        <v/>
      </c>
      <c r="F2260" s="13" t="str">
        <f>IFERROR(__xludf.DUMMYFUNCTION("ifna(filter('Yahoo ADP'!$E$2:$E2766,'Yahoo ADP'!$B$2:$B2766=$B2260,$C2260='Yahoo ADP'!$C$2:$C2766,$D2260='Yahoo ADP'!$D$2:$D2766))"),"-")</f>
        <v>-</v>
      </c>
      <c r="G2260" s="27">
        <v>2257.0</v>
      </c>
      <c r="H2260" s="8">
        <f t="shared" si="1"/>
        <v>-2</v>
      </c>
    </row>
    <row r="2261">
      <c r="A2261" s="10">
        <v>2260.0</v>
      </c>
      <c r="B2261" s="11" t="s">
        <v>5103</v>
      </c>
      <c r="C2261" s="10" t="s">
        <v>39</v>
      </c>
      <c r="D2261" s="10" t="s">
        <v>25</v>
      </c>
      <c r="E2261" s="13" t="str">
        <f>IFERROR(__xludf.DUMMYFUNCTION("ifna(filter('Yahoo ADP'!$A$2:$A2766,'Yahoo ADP'!$B$2:$B2766=$B2261,$C2261='Yahoo ADP'!$C$2:$C2766,$D2261='Yahoo ADP'!$D$2:$D2766))"),"")</f>
        <v/>
      </c>
      <c r="F2261" s="13" t="str">
        <f>IFERROR(__xludf.DUMMYFUNCTION("ifna(filter('Yahoo ADP'!$E$2:$E2766,'Yahoo ADP'!$B$2:$B2766=$B2261,$C2261='Yahoo ADP'!$C$2:$C2766,$D2261='Yahoo ADP'!$D$2:$D2766))"),"-")</f>
        <v>-</v>
      </c>
      <c r="G2261" s="27">
        <v>2258.0</v>
      </c>
      <c r="H2261" s="8">
        <f t="shared" si="1"/>
        <v>-2</v>
      </c>
    </row>
    <row r="2262">
      <c r="A2262" s="10">
        <v>2261.0</v>
      </c>
      <c r="B2262" s="11" t="s">
        <v>5104</v>
      </c>
      <c r="C2262" s="10" t="s">
        <v>89</v>
      </c>
      <c r="D2262" s="10" t="s">
        <v>36</v>
      </c>
      <c r="E2262" s="13" t="str">
        <f>IFERROR(__xludf.DUMMYFUNCTION("ifna(filter('Yahoo ADP'!$A$2:$A2766,'Yahoo ADP'!$B$2:$B2766=$B2262,$C2262='Yahoo ADP'!$C$2:$C2766,$D2262='Yahoo ADP'!$D$2:$D2766))"),"")</f>
        <v/>
      </c>
      <c r="F2262" s="13" t="str">
        <f>IFERROR(__xludf.DUMMYFUNCTION("ifna(filter('Yahoo ADP'!$E$2:$E2766,'Yahoo ADP'!$B$2:$B2766=$B2262,$C2262='Yahoo ADP'!$C$2:$C2766,$D2262='Yahoo ADP'!$D$2:$D2766))"),"-")</f>
        <v>-</v>
      </c>
      <c r="G2262" s="27">
        <v>2259.0</v>
      </c>
      <c r="H2262" s="8">
        <f t="shared" si="1"/>
        <v>-2</v>
      </c>
    </row>
    <row r="2263">
      <c r="A2263" s="10">
        <v>2262.0</v>
      </c>
      <c r="B2263" s="11" t="s">
        <v>5105</v>
      </c>
      <c r="C2263" s="10" t="s">
        <v>55</v>
      </c>
      <c r="D2263" s="10" t="s">
        <v>206</v>
      </c>
      <c r="E2263" s="13" t="str">
        <f>IFERROR(__xludf.DUMMYFUNCTION("ifna(filter('Yahoo ADP'!$A$2:$A2766,'Yahoo ADP'!$B$2:$B2766=$B2263,$C2263='Yahoo ADP'!$C$2:$C2766,$D2263='Yahoo ADP'!$D$2:$D2766))"),"")</f>
        <v/>
      </c>
      <c r="F2263" s="13" t="str">
        <f>IFERROR(__xludf.DUMMYFUNCTION("ifna(filter('Yahoo ADP'!$E$2:$E2766,'Yahoo ADP'!$B$2:$B2766=$B2263,$C2263='Yahoo ADP'!$C$2:$C2766,$D2263='Yahoo ADP'!$D$2:$D2766))"),"-")</f>
        <v>-</v>
      </c>
      <c r="G2263" s="27">
        <v>2260.0</v>
      </c>
      <c r="H2263" s="8">
        <f t="shared" si="1"/>
        <v>-2</v>
      </c>
    </row>
    <row r="2264">
      <c r="A2264" s="10">
        <v>2263.0</v>
      </c>
      <c r="B2264" s="11" t="s">
        <v>5106</v>
      </c>
      <c r="C2264" s="10" t="s">
        <v>77</v>
      </c>
      <c r="D2264" s="10" t="s">
        <v>120</v>
      </c>
      <c r="E2264" s="13" t="str">
        <f>IFERROR(__xludf.DUMMYFUNCTION("ifna(filter('Yahoo ADP'!$A$2:$A2766,'Yahoo ADP'!$B$2:$B2766=$B2264,$C2264='Yahoo ADP'!$C$2:$C2766,$D2264='Yahoo ADP'!$D$2:$D2766))"),"")</f>
        <v/>
      </c>
      <c r="F2264" s="13" t="str">
        <f>IFERROR(__xludf.DUMMYFUNCTION("ifna(filter('Yahoo ADP'!$E$2:$E2766,'Yahoo ADP'!$B$2:$B2766=$B2264,$C2264='Yahoo ADP'!$C$2:$C2766,$D2264='Yahoo ADP'!$D$2:$D2766))"),"-")</f>
        <v>-</v>
      </c>
      <c r="G2264" s="27">
        <v>2261.0</v>
      </c>
      <c r="H2264" s="8">
        <f t="shared" si="1"/>
        <v>-2</v>
      </c>
    </row>
    <row r="2265">
      <c r="A2265" s="10">
        <v>2264.0</v>
      </c>
      <c r="B2265" s="11" t="s">
        <v>5107</v>
      </c>
      <c r="C2265" s="10" t="s">
        <v>39</v>
      </c>
      <c r="D2265" s="10" t="s">
        <v>120</v>
      </c>
      <c r="E2265" s="13" t="str">
        <f>IFERROR(__xludf.DUMMYFUNCTION("ifna(filter('Yahoo ADP'!$A$2:$A2766,'Yahoo ADP'!$B$2:$B2766=$B2265,$C2265='Yahoo ADP'!$C$2:$C2766,$D2265='Yahoo ADP'!$D$2:$D2766))"),"")</f>
        <v/>
      </c>
      <c r="F2265" s="13" t="str">
        <f>IFERROR(__xludf.DUMMYFUNCTION("ifna(filter('Yahoo ADP'!$E$2:$E2766,'Yahoo ADP'!$B$2:$B2766=$B2265,$C2265='Yahoo ADP'!$C$2:$C2766,$D2265='Yahoo ADP'!$D$2:$D2766))"),"-")</f>
        <v>-</v>
      </c>
      <c r="G2265" s="27">
        <v>2262.0</v>
      </c>
      <c r="H2265" s="8">
        <f t="shared" si="1"/>
        <v>-2</v>
      </c>
    </row>
    <row r="2266">
      <c r="A2266" s="10">
        <v>2265.0</v>
      </c>
      <c r="B2266" s="11" t="s">
        <v>5108</v>
      </c>
      <c r="C2266" s="10" t="s">
        <v>14</v>
      </c>
      <c r="D2266" s="10" t="s">
        <v>140</v>
      </c>
      <c r="E2266" s="13" t="str">
        <f>IFERROR(__xludf.DUMMYFUNCTION("ifna(filter('Yahoo ADP'!$A$2:$A2766,'Yahoo ADP'!$B$2:$B2766=$B2266,$C2266='Yahoo ADP'!$C$2:$C2766,$D2266='Yahoo ADP'!$D$2:$D2766))"),"")</f>
        <v/>
      </c>
      <c r="F2266" s="13" t="str">
        <f>IFERROR(__xludf.DUMMYFUNCTION("ifna(filter('Yahoo ADP'!$E$2:$E2766,'Yahoo ADP'!$B$2:$B2766=$B2266,$C2266='Yahoo ADP'!$C$2:$C2766,$D2266='Yahoo ADP'!$D$2:$D2766))"),"-")</f>
        <v>-</v>
      </c>
      <c r="G2266" s="27">
        <v>2263.0</v>
      </c>
      <c r="H2266" s="8">
        <f t="shared" si="1"/>
        <v>-2</v>
      </c>
    </row>
    <row r="2267">
      <c r="A2267" s="10">
        <v>2266.0</v>
      </c>
      <c r="B2267" s="11" t="s">
        <v>5109</v>
      </c>
      <c r="C2267" s="10" t="s">
        <v>39</v>
      </c>
      <c r="D2267" s="10" t="s">
        <v>67</v>
      </c>
      <c r="E2267" s="13" t="str">
        <f>IFERROR(__xludf.DUMMYFUNCTION("ifna(filter('Yahoo ADP'!$A$2:$A2766,'Yahoo ADP'!$B$2:$B2766=$B2267,$C2267='Yahoo ADP'!$C$2:$C2766,$D2267='Yahoo ADP'!$D$2:$D2766))"),"")</f>
        <v/>
      </c>
      <c r="F2267" s="13" t="str">
        <f>IFERROR(__xludf.DUMMYFUNCTION("ifna(filter('Yahoo ADP'!$E$2:$E2766,'Yahoo ADP'!$B$2:$B2766=$B2267,$C2267='Yahoo ADP'!$C$2:$C2766,$D2267='Yahoo ADP'!$D$2:$D2766))"),"-")</f>
        <v>-</v>
      </c>
      <c r="G2267" s="27">
        <v>2264.0</v>
      </c>
      <c r="H2267" s="8">
        <f t="shared" si="1"/>
        <v>-2</v>
      </c>
    </row>
    <row r="2268">
      <c r="A2268" s="10">
        <v>2267.0</v>
      </c>
      <c r="B2268" s="11" t="s">
        <v>5110</v>
      </c>
      <c r="C2268" s="10" t="s">
        <v>14</v>
      </c>
      <c r="D2268" s="10" t="s">
        <v>42</v>
      </c>
      <c r="E2268" s="13" t="str">
        <f>IFERROR(__xludf.DUMMYFUNCTION("ifna(filter('Yahoo ADP'!$A$2:$A2766,'Yahoo ADP'!$B$2:$B2766=$B2268,$C2268='Yahoo ADP'!$C$2:$C2766,$D2268='Yahoo ADP'!$D$2:$D2766))"),"")</f>
        <v/>
      </c>
      <c r="F2268" s="13" t="str">
        <f>IFERROR(__xludf.DUMMYFUNCTION("ifna(filter('Yahoo ADP'!$E$2:$E2766,'Yahoo ADP'!$B$2:$B2766=$B2268,$C2268='Yahoo ADP'!$C$2:$C2766,$D2268='Yahoo ADP'!$D$2:$D2766))"),"-")</f>
        <v>-</v>
      </c>
      <c r="G2268" s="27">
        <v>2265.0</v>
      </c>
      <c r="H2268" s="8">
        <f t="shared" si="1"/>
        <v>-2</v>
      </c>
    </row>
    <row r="2269">
      <c r="A2269" s="10">
        <v>2268.0</v>
      </c>
      <c r="B2269" s="11" t="s">
        <v>5111</v>
      </c>
      <c r="C2269" s="10" t="s">
        <v>14</v>
      </c>
      <c r="D2269" s="10" t="s">
        <v>67</v>
      </c>
      <c r="E2269" s="13" t="str">
        <f>IFERROR(__xludf.DUMMYFUNCTION("ifna(filter('Yahoo ADP'!$A$2:$A2766,'Yahoo ADP'!$B$2:$B2766=$B2269,$C2269='Yahoo ADP'!$C$2:$C2766,$D2269='Yahoo ADP'!$D$2:$D2766))"),"")</f>
        <v/>
      </c>
      <c r="F2269" s="13" t="str">
        <f>IFERROR(__xludf.DUMMYFUNCTION("ifna(filter('Yahoo ADP'!$E$2:$E2766,'Yahoo ADP'!$B$2:$B2766=$B2269,$C2269='Yahoo ADP'!$C$2:$C2766,$D2269='Yahoo ADP'!$D$2:$D2766))"),"-")</f>
        <v>-</v>
      </c>
      <c r="G2269" s="27">
        <v>2266.0</v>
      </c>
      <c r="H2269" s="8">
        <f t="shared" si="1"/>
        <v>-2</v>
      </c>
    </row>
    <row r="2270">
      <c r="A2270" s="10">
        <v>2269.0</v>
      </c>
      <c r="B2270" s="11" t="s">
        <v>5112</v>
      </c>
      <c r="C2270" s="10" t="s">
        <v>14</v>
      </c>
      <c r="D2270" s="10" t="s">
        <v>85</v>
      </c>
      <c r="E2270" s="13" t="str">
        <f>IFERROR(__xludf.DUMMYFUNCTION("ifna(filter('Yahoo ADP'!$A$2:$A2766,'Yahoo ADP'!$B$2:$B2766=$B2270,$C2270='Yahoo ADP'!$C$2:$C2766,$D2270='Yahoo ADP'!$D$2:$D2766))"),"")</f>
        <v/>
      </c>
      <c r="F2270" s="13" t="str">
        <f>IFERROR(__xludf.DUMMYFUNCTION("ifna(filter('Yahoo ADP'!$E$2:$E2766,'Yahoo ADP'!$B$2:$B2766=$B2270,$C2270='Yahoo ADP'!$C$2:$C2766,$D2270='Yahoo ADP'!$D$2:$D2766))"),"-")</f>
        <v>-</v>
      </c>
      <c r="G2270" s="27">
        <v>2267.0</v>
      </c>
      <c r="H2270" s="8">
        <f t="shared" si="1"/>
        <v>-2</v>
      </c>
    </row>
    <row r="2271">
      <c r="A2271" s="10">
        <v>2270.0</v>
      </c>
      <c r="B2271" s="11" t="s">
        <v>5113</v>
      </c>
      <c r="C2271" s="10" t="s">
        <v>89</v>
      </c>
      <c r="D2271" s="10" t="s">
        <v>113</v>
      </c>
      <c r="E2271" s="13" t="str">
        <f>IFERROR(__xludf.DUMMYFUNCTION("ifna(filter('Yahoo ADP'!$A$2:$A2766,'Yahoo ADP'!$B$2:$B2766=$B2271,$C2271='Yahoo ADP'!$C$2:$C2766,$D2271='Yahoo ADP'!$D$2:$D2766))"),"")</f>
        <v/>
      </c>
      <c r="F2271" s="13" t="str">
        <f>IFERROR(__xludf.DUMMYFUNCTION("ifna(filter('Yahoo ADP'!$E$2:$E2766,'Yahoo ADP'!$B$2:$B2766=$B2271,$C2271='Yahoo ADP'!$C$2:$C2766,$D2271='Yahoo ADP'!$D$2:$D2766))"),"-")</f>
        <v>-</v>
      </c>
      <c r="G2271" s="27">
        <v>2268.0</v>
      </c>
      <c r="H2271" s="8">
        <f t="shared" si="1"/>
        <v>-2</v>
      </c>
    </row>
    <row r="2272">
      <c r="A2272" s="10">
        <v>2271.0</v>
      </c>
      <c r="B2272" s="11" t="s">
        <v>5114</v>
      </c>
      <c r="C2272" s="10" t="s">
        <v>77</v>
      </c>
      <c r="D2272" s="10" t="s">
        <v>36</v>
      </c>
      <c r="E2272" s="13" t="str">
        <f>IFERROR(__xludf.DUMMYFUNCTION("ifna(filter('Yahoo ADP'!$A$2:$A2766,'Yahoo ADP'!$B$2:$B2766=$B2272,$C2272='Yahoo ADP'!$C$2:$C2766,$D2272='Yahoo ADP'!$D$2:$D2766))"),"")</f>
        <v/>
      </c>
      <c r="F2272" s="13" t="str">
        <f>IFERROR(__xludf.DUMMYFUNCTION("ifna(filter('Yahoo ADP'!$E$2:$E2766,'Yahoo ADP'!$B$2:$B2766=$B2272,$C2272='Yahoo ADP'!$C$2:$C2766,$D2272='Yahoo ADP'!$D$2:$D2766))"),"-")</f>
        <v>-</v>
      </c>
      <c r="G2272" s="27">
        <v>2269.0</v>
      </c>
      <c r="H2272" s="8">
        <f t="shared" si="1"/>
        <v>-2</v>
      </c>
    </row>
    <row r="2273">
      <c r="A2273" s="10">
        <v>2272.0</v>
      </c>
      <c r="B2273" s="11" t="s">
        <v>5115</v>
      </c>
      <c r="C2273" s="10" t="s">
        <v>48</v>
      </c>
      <c r="D2273" s="10" t="s">
        <v>85</v>
      </c>
      <c r="E2273" s="13" t="str">
        <f>IFERROR(__xludf.DUMMYFUNCTION("ifna(filter('Yahoo ADP'!$A$2:$A2766,'Yahoo ADP'!$B$2:$B2766=$B2273,$C2273='Yahoo ADP'!$C$2:$C2766,$D2273='Yahoo ADP'!$D$2:$D2766))"),"")</f>
        <v/>
      </c>
      <c r="F2273" s="13" t="str">
        <f>IFERROR(__xludf.DUMMYFUNCTION("ifna(filter('Yahoo ADP'!$E$2:$E2766,'Yahoo ADP'!$B$2:$B2766=$B2273,$C2273='Yahoo ADP'!$C$2:$C2766,$D2273='Yahoo ADP'!$D$2:$D2766))"),"-")</f>
        <v>-</v>
      </c>
      <c r="G2273" s="27">
        <v>2270.0</v>
      </c>
      <c r="H2273" s="8">
        <f t="shared" si="1"/>
        <v>-2</v>
      </c>
    </row>
    <row r="2274">
      <c r="A2274" s="10">
        <v>2273.0</v>
      </c>
      <c r="B2274" s="11" t="s">
        <v>5116</v>
      </c>
      <c r="C2274" s="10" t="s">
        <v>39</v>
      </c>
      <c r="D2274" s="10" t="s">
        <v>36</v>
      </c>
      <c r="E2274" s="13" t="str">
        <f>IFERROR(__xludf.DUMMYFUNCTION("ifna(filter('Yahoo ADP'!$A$2:$A2766,'Yahoo ADP'!$B$2:$B2766=$B2274,$C2274='Yahoo ADP'!$C$2:$C2766,$D2274='Yahoo ADP'!$D$2:$D2766))"),"")</f>
        <v/>
      </c>
      <c r="F2274" s="13" t="str">
        <f>IFERROR(__xludf.DUMMYFUNCTION("ifna(filter('Yahoo ADP'!$E$2:$E2766,'Yahoo ADP'!$B$2:$B2766=$B2274,$C2274='Yahoo ADP'!$C$2:$C2766,$D2274='Yahoo ADP'!$D$2:$D2766))"),"")</f>
        <v/>
      </c>
      <c r="G2274" s="27">
        <v>2271.0</v>
      </c>
      <c r="H2274" s="8">
        <f t="shared" si="1"/>
        <v>-2</v>
      </c>
    </row>
    <row r="2275">
      <c r="A2275" s="10">
        <v>2274.0</v>
      </c>
      <c r="B2275" s="11" t="s">
        <v>5117</v>
      </c>
      <c r="C2275" s="10" t="s">
        <v>14</v>
      </c>
      <c r="D2275" s="10" t="s">
        <v>71</v>
      </c>
      <c r="E2275" s="13" t="str">
        <f>IFERROR(__xludf.DUMMYFUNCTION("ifna(filter('Yahoo ADP'!$A$2:$A2766,'Yahoo ADP'!$B$2:$B2766=$B2275,$C2275='Yahoo ADP'!$C$2:$C2766,$D2275='Yahoo ADP'!$D$2:$D2766))"),"")</f>
        <v/>
      </c>
      <c r="F2275" s="13" t="str">
        <f>IFERROR(__xludf.DUMMYFUNCTION("ifna(filter('Yahoo ADP'!$E$2:$E2766,'Yahoo ADP'!$B$2:$B2766=$B2275,$C2275='Yahoo ADP'!$C$2:$C2766,$D2275='Yahoo ADP'!$D$2:$D2766))"),"-")</f>
        <v>-</v>
      </c>
      <c r="G2275" s="27">
        <v>2272.0</v>
      </c>
      <c r="H2275" s="8">
        <f t="shared" si="1"/>
        <v>-2</v>
      </c>
    </row>
    <row r="2276">
      <c r="A2276" s="10">
        <v>2275.0</v>
      </c>
      <c r="B2276" s="11" t="s">
        <v>5118</v>
      </c>
      <c r="C2276" s="10" t="s">
        <v>48</v>
      </c>
      <c r="D2276" s="10" t="s">
        <v>90</v>
      </c>
      <c r="E2276" s="13" t="str">
        <f>IFERROR(__xludf.DUMMYFUNCTION("ifna(filter('Yahoo ADP'!$A$2:$A2766,'Yahoo ADP'!$B$2:$B2766=$B2276,$C2276='Yahoo ADP'!$C$2:$C2766,$D2276='Yahoo ADP'!$D$2:$D2766))"),"")</f>
        <v/>
      </c>
      <c r="F2276" s="13" t="str">
        <f>IFERROR(__xludf.DUMMYFUNCTION("ifna(filter('Yahoo ADP'!$E$2:$E2766,'Yahoo ADP'!$B$2:$B2766=$B2276,$C2276='Yahoo ADP'!$C$2:$C2766,$D2276='Yahoo ADP'!$D$2:$D2766))"),"-")</f>
        <v>-</v>
      </c>
      <c r="G2276" s="27">
        <v>2273.0</v>
      </c>
      <c r="H2276" s="8">
        <f t="shared" si="1"/>
        <v>-2</v>
      </c>
    </row>
    <row r="2277">
      <c r="A2277" s="10">
        <v>2276.0</v>
      </c>
      <c r="B2277" s="11" t="s">
        <v>5119</v>
      </c>
      <c r="C2277" s="10" t="s">
        <v>14</v>
      </c>
      <c r="D2277" s="10" t="s">
        <v>137</v>
      </c>
      <c r="E2277" s="13" t="str">
        <f>IFERROR(__xludf.DUMMYFUNCTION("ifna(filter('Yahoo ADP'!$A$2:$A2766,'Yahoo ADP'!$B$2:$B2766=$B2277,$C2277='Yahoo ADP'!$C$2:$C2766,$D2277='Yahoo ADP'!$D$2:$D2766))"),"")</f>
        <v/>
      </c>
      <c r="F2277" s="13" t="str">
        <f>IFERROR(__xludf.DUMMYFUNCTION("ifna(filter('Yahoo ADP'!$E$2:$E2766,'Yahoo ADP'!$B$2:$B2766=$B2277,$C2277='Yahoo ADP'!$C$2:$C2766,$D2277='Yahoo ADP'!$D$2:$D2766))"),"-")</f>
        <v>-</v>
      </c>
      <c r="G2277" s="27">
        <v>2274.0</v>
      </c>
      <c r="H2277" s="8">
        <f t="shared" si="1"/>
        <v>-2</v>
      </c>
    </row>
    <row r="2278">
      <c r="A2278" s="10">
        <v>2277.0</v>
      </c>
      <c r="B2278" s="11" t="s">
        <v>5120</v>
      </c>
      <c r="C2278" s="10" t="s">
        <v>14</v>
      </c>
      <c r="D2278" s="10" t="s">
        <v>18</v>
      </c>
      <c r="E2278" s="13" t="str">
        <f>IFERROR(__xludf.DUMMYFUNCTION("ifna(filter('Yahoo ADP'!$A$2:$A2766,'Yahoo ADP'!$B$2:$B2766=$B2278,$C2278='Yahoo ADP'!$C$2:$C2766,$D2278='Yahoo ADP'!$D$2:$D2766))"),"")</f>
        <v/>
      </c>
      <c r="F2278" s="13" t="str">
        <f>IFERROR(__xludf.DUMMYFUNCTION("ifna(filter('Yahoo ADP'!$E$2:$E2766,'Yahoo ADP'!$B$2:$B2766=$B2278,$C2278='Yahoo ADP'!$C$2:$C2766,$D2278='Yahoo ADP'!$D$2:$D2766))"),"-")</f>
        <v>-</v>
      </c>
      <c r="G2278" s="27">
        <v>2275.0</v>
      </c>
      <c r="H2278" s="8">
        <f t="shared" si="1"/>
        <v>-2</v>
      </c>
    </row>
    <row r="2279">
      <c r="A2279" s="10">
        <v>2278.0</v>
      </c>
      <c r="B2279" s="11" t="s">
        <v>5121</v>
      </c>
      <c r="C2279" s="10" t="s">
        <v>77</v>
      </c>
      <c r="D2279" s="10" t="s">
        <v>122</v>
      </c>
      <c r="E2279" s="13" t="str">
        <f>IFERROR(__xludf.DUMMYFUNCTION("ifna(filter('Yahoo ADP'!$A$2:$A2766,'Yahoo ADP'!$B$2:$B2766=$B2279,$C2279='Yahoo ADP'!$C$2:$C2766,$D2279='Yahoo ADP'!$D$2:$D2766))"),"")</f>
        <v/>
      </c>
      <c r="F2279" s="13" t="str">
        <f>IFERROR(__xludf.DUMMYFUNCTION("ifna(filter('Yahoo ADP'!$E$2:$E2766,'Yahoo ADP'!$B$2:$B2766=$B2279,$C2279='Yahoo ADP'!$C$2:$C2766,$D2279='Yahoo ADP'!$D$2:$D2766))"),"-")</f>
        <v>-</v>
      </c>
      <c r="G2279" s="27">
        <v>2276.0</v>
      </c>
      <c r="H2279" s="8">
        <f t="shared" si="1"/>
        <v>-2</v>
      </c>
    </row>
    <row r="2280">
      <c r="A2280" s="10">
        <v>2279.0</v>
      </c>
      <c r="B2280" s="11" t="s">
        <v>3847</v>
      </c>
      <c r="C2280" s="10" t="s">
        <v>14</v>
      </c>
      <c r="D2280" s="10" t="s">
        <v>206</v>
      </c>
      <c r="E2280" s="13" t="str">
        <f>IFERROR(__xludf.DUMMYFUNCTION("ifna(filter('Yahoo ADP'!$A$2:$A2766,'Yahoo ADP'!$B$2:$B2766=$B2280,$C2280='Yahoo ADP'!$C$2:$C2766,$D2280='Yahoo ADP'!$D$2:$D2766))"),"")</f>
        <v/>
      </c>
      <c r="F2280" s="13" t="str">
        <f>IFERROR(__xludf.DUMMYFUNCTION("ifna(filter('Yahoo ADP'!$E$2:$E2766,'Yahoo ADP'!$B$2:$B2766=$B2280,$C2280='Yahoo ADP'!$C$2:$C2766,$D2280='Yahoo ADP'!$D$2:$D2766))"),"-")</f>
        <v>-</v>
      </c>
      <c r="G2280" s="27">
        <v>2277.0</v>
      </c>
      <c r="H2280" s="8">
        <f t="shared" si="1"/>
        <v>-2</v>
      </c>
    </row>
    <row r="2281">
      <c r="A2281" s="10">
        <v>2280.0</v>
      </c>
      <c r="B2281" s="11" t="s">
        <v>5122</v>
      </c>
      <c r="C2281" s="10" t="s">
        <v>55</v>
      </c>
      <c r="D2281" s="10" t="s">
        <v>18</v>
      </c>
      <c r="E2281" s="13" t="str">
        <f>IFERROR(__xludf.DUMMYFUNCTION("ifna(filter('Yahoo ADP'!$A$2:$A2766,'Yahoo ADP'!$B$2:$B2766=$B2281,$C2281='Yahoo ADP'!$C$2:$C2766,$D2281='Yahoo ADP'!$D$2:$D2766))"),"")</f>
        <v/>
      </c>
      <c r="F2281" s="13" t="str">
        <f>IFERROR(__xludf.DUMMYFUNCTION("ifna(filter('Yahoo ADP'!$E$2:$E2766,'Yahoo ADP'!$B$2:$B2766=$B2281,$C2281='Yahoo ADP'!$C$2:$C2766,$D2281='Yahoo ADP'!$D$2:$D2766))"),"-")</f>
        <v>-</v>
      </c>
      <c r="G2281" s="27">
        <v>2278.0</v>
      </c>
      <c r="H2281" s="8">
        <f t="shared" si="1"/>
        <v>-2</v>
      </c>
    </row>
    <row r="2282">
      <c r="A2282" s="10">
        <v>2281.0</v>
      </c>
      <c r="B2282" s="11" t="s">
        <v>5123</v>
      </c>
      <c r="C2282" s="10" t="s">
        <v>8</v>
      </c>
      <c r="D2282" s="10" t="s">
        <v>71</v>
      </c>
      <c r="E2282" s="13" t="str">
        <f>IFERROR(__xludf.DUMMYFUNCTION("ifna(filter('Yahoo ADP'!$A$2:$A2766,'Yahoo ADP'!$B$2:$B2766=$B2282,$C2282='Yahoo ADP'!$C$2:$C2766,$D2282='Yahoo ADP'!$D$2:$D2766))"),"")</f>
        <v/>
      </c>
      <c r="F2282" s="13" t="str">
        <f>IFERROR(__xludf.DUMMYFUNCTION("ifna(filter('Yahoo ADP'!$E$2:$E2766,'Yahoo ADP'!$B$2:$B2766=$B2282,$C2282='Yahoo ADP'!$C$2:$C2766,$D2282='Yahoo ADP'!$D$2:$D2766))"),"-")</f>
        <v>-</v>
      </c>
      <c r="G2282" s="27">
        <v>2279.0</v>
      </c>
      <c r="H2282" s="8">
        <f t="shared" si="1"/>
        <v>-2</v>
      </c>
    </row>
    <row r="2283">
      <c r="A2283" s="10">
        <v>2282.0</v>
      </c>
      <c r="B2283" s="11" t="s">
        <v>5124</v>
      </c>
      <c r="C2283" s="10" t="s">
        <v>14</v>
      </c>
      <c r="D2283" s="10" t="s">
        <v>99</v>
      </c>
      <c r="E2283" s="13" t="str">
        <f>IFERROR(__xludf.DUMMYFUNCTION("ifna(filter('Yahoo ADP'!$A$2:$A2766,'Yahoo ADP'!$B$2:$B2766=$B2283,$C2283='Yahoo ADP'!$C$2:$C2766,$D2283='Yahoo ADP'!$D$2:$D2766))"),"")</f>
        <v/>
      </c>
      <c r="F2283" s="13" t="str">
        <f>IFERROR(__xludf.DUMMYFUNCTION("ifna(filter('Yahoo ADP'!$E$2:$E2766,'Yahoo ADP'!$B$2:$B2766=$B2283,$C2283='Yahoo ADP'!$C$2:$C2766,$D2283='Yahoo ADP'!$D$2:$D2766))"),"-")</f>
        <v>-</v>
      </c>
      <c r="G2283" s="27">
        <v>2280.0</v>
      </c>
      <c r="H2283" s="8">
        <f t="shared" si="1"/>
        <v>-2</v>
      </c>
    </row>
    <row r="2284">
      <c r="A2284" s="10">
        <v>2283.0</v>
      </c>
      <c r="B2284" s="11" t="s">
        <v>5125</v>
      </c>
      <c r="C2284" s="10" t="s">
        <v>11</v>
      </c>
      <c r="D2284" s="10" t="s">
        <v>113</v>
      </c>
      <c r="E2284" s="13" t="str">
        <f>IFERROR(__xludf.DUMMYFUNCTION("ifna(filter('Yahoo ADP'!$A$2:$A2766,'Yahoo ADP'!$B$2:$B2766=$B2284,$C2284='Yahoo ADP'!$C$2:$C2766,$D2284='Yahoo ADP'!$D$2:$D2766))"),"")</f>
        <v/>
      </c>
      <c r="F2284" s="13" t="str">
        <f>IFERROR(__xludf.DUMMYFUNCTION("ifna(filter('Yahoo ADP'!$E$2:$E2766,'Yahoo ADP'!$B$2:$B2766=$B2284,$C2284='Yahoo ADP'!$C$2:$C2766,$D2284='Yahoo ADP'!$D$2:$D2766))"),"-")</f>
        <v>-</v>
      </c>
      <c r="G2284" s="27">
        <v>2281.0</v>
      </c>
      <c r="H2284" s="8">
        <f t="shared" si="1"/>
        <v>-2</v>
      </c>
    </row>
    <row r="2285">
      <c r="A2285" s="10">
        <v>2284.0</v>
      </c>
      <c r="B2285" s="11" t="s">
        <v>5126</v>
      </c>
      <c r="C2285" s="10" t="s">
        <v>48</v>
      </c>
      <c r="D2285" s="10" t="s">
        <v>71</v>
      </c>
      <c r="E2285" s="13" t="str">
        <f>IFERROR(__xludf.DUMMYFUNCTION("ifna(filter('Yahoo ADP'!$A$2:$A2766,'Yahoo ADP'!$B$2:$B2766=$B2285,$C2285='Yahoo ADP'!$C$2:$C2766,$D2285='Yahoo ADP'!$D$2:$D2766))"),"")</f>
        <v/>
      </c>
      <c r="F2285" s="13" t="str">
        <f>IFERROR(__xludf.DUMMYFUNCTION("ifna(filter('Yahoo ADP'!$E$2:$E2766,'Yahoo ADP'!$B$2:$B2766=$B2285,$C2285='Yahoo ADP'!$C$2:$C2766,$D2285='Yahoo ADP'!$D$2:$D2766))"),"-")</f>
        <v>-</v>
      </c>
      <c r="G2285" s="27">
        <v>2282.0</v>
      </c>
      <c r="H2285" s="8">
        <f t="shared" si="1"/>
        <v>-2</v>
      </c>
    </row>
    <row r="2286">
      <c r="A2286" s="10">
        <v>2285.0</v>
      </c>
      <c r="B2286" s="11" t="s">
        <v>5127</v>
      </c>
      <c r="C2286" s="10" t="s">
        <v>39</v>
      </c>
      <c r="D2286" s="10" t="s">
        <v>122</v>
      </c>
      <c r="E2286" s="13" t="str">
        <f>IFERROR(__xludf.DUMMYFUNCTION("ifna(filter('Yahoo ADP'!$A$2:$A2766,'Yahoo ADP'!$B$2:$B2766=$B2286,$C2286='Yahoo ADP'!$C$2:$C2766,$D2286='Yahoo ADP'!$D$2:$D2766))"),"")</f>
        <v/>
      </c>
      <c r="F2286" s="13" t="str">
        <f>IFERROR(__xludf.DUMMYFUNCTION("ifna(filter('Yahoo ADP'!$E$2:$E2766,'Yahoo ADP'!$B$2:$B2766=$B2286,$C2286='Yahoo ADP'!$C$2:$C2766,$D2286='Yahoo ADP'!$D$2:$D2766))"),"-")</f>
        <v>-</v>
      </c>
      <c r="G2286" s="27">
        <v>2283.0</v>
      </c>
      <c r="H2286" s="8">
        <f t="shared" si="1"/>
        <v>-2</v>
      </c>
    </row>
    <row r="2287">
      <c r="A2287" s="10">
        <v>2286.0</v>
      </c>
      <c r="B2287" s="11" t="s">
        <v>5128</v>
      </c>
      <c r="C2287" s="10" t="s">
        <v>14</v>
      </c>
      <c r="D2287" s="10" t="s">
        <v>206</v>
      </c>
      <c r="E2287" s="13" t="str">
        <f>IFERROR(__xludf.DUMMYFUNCTION("ifna(filter('Yahoo ADP'!$A$2:$A2766,'Yahoo ADP'!$B$2:$B2766=$B2287,$C2287='Yahoo ADP'!$C$2:$C2766,$D2287='Yahoo ADP'!$D$2:$D2766))"),"")</f>
        <v/>
      </c>
      <c r="F2287" s="13" t="str">
        <f>IFERROR(__xludf.DUMMYFUNCTION("ifna(filter('Yahoo ADP'!$E$2:$E2766,'Yahoo ADP'!$B$2:$B2766=$B2287,$C2287='Yahoo ADP'!$C$2:$C2766,$D2287='Yahoo ADP'!$D$2:$D2766))"),"-")</f>
        <v>-</v>
      </c>
      <c r="G2287" s="27">
        <v>2284.0</v>
      </c>
      <c r="H2287" s="8">
        <f t="shared" si="1"/>
        <v>-2</v>
      </c>
    </row>
    <row r="2288">
      <c r="A2288" s="10">
        <v>2287.0</v>
      </c>
      <c r="B2288" s="11" t="s">
        <v>5129</v>
      </c>
      <c r="C2288" s="10" t="s">
        <v>48</v>
      </c>
      <c r="D2288" s="10" t="s">
        <v>82</v>
      </c>
      <c r="E2288" s="13" t="str">
        <f>IFERROR(__xludf.DUMMYFUNCTION("ifna(filter('Yahoo ADP'!$A$2:$A2766,'Yahoo ADP'!$B$2:$B2766=$B2288,$C2288='Yahoo ADP'!$C$2:$C2766,$D2288='Yahoo ADP'!$D$2:$D2766))"),"")</f>
        <v/>
      </c>
      <c r="F2288" s="13" t="str">
        <f>IFERROR(__xludf.DUMMYFUNCTION("ifna(filter('Yahoo ADP'!$E$2:$E2766,'Yahoo ADP'!$B$2:$B2766=$B2288,$C2288='Yahoo ADP'!$C$2:$C2766,$D2288='Yahoo ADP'!$D$2:$D2766))"),"-")</f>
        <v>-</v>
      </c>
      <c r="G2288" s="27">
        <v>2285.0</v>
      </c>
      <c r="H2288" s="8">
        <f t="shared" si="1"/>
        <v>-2</v>
      </c>
    </row>
    <row r="2289">
      <c r="A2289" s="10">
        <v>2288.0</v>
      </c>
      <c r="B2289" s="11" t="s">
        <v>5130</v>
      </c>
      <c r="C2289" s="10" t="s">
        <v>89</v>
      </c>
      <c r="D2289" s="10" t="s">
        <v>113</v>
      </c>
      <c r="E2289" s="13" t="str">
        <f>IFERROR(__xludf.DUMMYFUNCTION("ifna(filter('Yahoo ADP'!$A$2:$A2766,'Yahoo ADP'!$B$2:$B2766=$B2289,$C2289='Yahoo ADP'!$C$2:$C2766,$D2289='Yahoo ADP'!$D$2:$D2766))"),"")</f>
        <v/>
      </c>
      <c r="F2289" s="13" t="str">
        <f>IFERROR(__xludf.DUMMYFUNCTION("ifna(filter('Yahoo ADP'!$E$2:$E2766,'Yahoo ADP'!$B$2:$B2766=$B2289,$C2289='Yahoo ADP'!$C$2:$C2766,$D2289='Yahoo ADP'!$D$2:$D2766))"),"-")</f>
        <v>-</v>
      </c>
      <c r="G2289" s="27">
        <v>2286.0</v>
      </c>
      <c r="H2289" s="8">
        <f t="shared" si="1"/>
        <v>-2</v>
      </c>
    </row>
    <row r="2290">
      <c r="A2290" s="10">
        <v>2289.0</v>
      </c>
      <c r="B2290" s="11" t="s">
        <v>5131</v>
      </c>
      <c r="C2290" s="10" t="s">
        <v>63</v>
      </c>
      <c r="D2290" s="10" t="s">
        <v>105</v>
      </c>
      <c r="E2290" s="13" t="str">
        <f>IFERROR(__xludf.DUMMYFUNCTION("ifna(filter('Yahoo ADP'!$A$2:$A2766,'Yahoo ADP'!$B$2:$B2766=$B2290,$C2290='Yahoo ADP'!$C$2:$C2766,$D2290='Yahoo ADP'!$D$2:$D2766))"),"")</f>
        <v/>
      </c>
      <c r="F2290" s="13" t="str">
        <f>IFERROR(__xludf.DUMMYFUNCTION("ifna(filter('Yahoo ADP'!$E$2:$E2766,'Yahoo ADP'!$B$2:$B2766=$B2290,$C2290='Yahoo ADP'!$C$2:$C2766,$D2290='Yahoo ADP'!$D$2:$D2766))"),"-")</f>
        <v>-</v>
      </c>
      <c r="G2290" s="27">
        <v>2287.0</v>
      </c>
      <c r="H2290" s="8">
        <f t="shared" si="1"/>
        <v>-2</v>
      </c>
    </row>
    <row r="2291">
      <c r="A2291" s="10">
        <v>2290.0</v>
      </c>
      <c r="B2291" s="11" t="s">
        <v>5132</v>
      </c>
      <c r="C2291" s="10" t="s">
        <v>14</v>
      </c>
      <c r="D2291" s="10" t="s">
        <v>52</v>
      </c>
      <c r="E2291" s="13" t="str">
        <f>IFERROR(__xludf.DUMMYFUNCTION("ifna(filter('Yahoo ADP'!$A$2:$A2766,'Yahoo ADP'!$B$2:$B2766=$B2291,$C2291='Yahoo ADP'!$C$2:$C2766,$D2291='Yahoo ADP'!$D$2:$D2766))"),"")</f>
        <v/>
      </c>
      <c r="F2291" s="13" t="str">
        <f>IFERROR(__xludf.DUMMYFUNCTION("ifna(filter('Yahoo ADP'!$E$2:$E2766,'Yahoo ADP'!$B$2:$B2766=$B2291,$C2291='Yahoo ADP'!$C$2:$C2766,$D2291='Yahoo ADP'!$D$2:$D2766))"),"-")</f>
        <v>-</v>
      </c>
      <c r="G2291" s="27">
        <v>2288.0</v>
      </c>
      <c r="H2291" s="8">
        <f t="shared" si="1"/>
        <v>-2</v>
      </c>
    </row>
    <row r="2292">
      <c r="A2292" s="10">
        <v>2291.0</v>
      </c>
      <c r="B2292" s="11" t="s">
        <v>5133</v>
      </c>
      <c r="C2292" s="10" t="s">
        <v>240</v>
      </c>
      <c r="D2292" s="10" t="s">
        <v>105</v>
      </c>
      <c r="E2292" s="13" t="str">
        <f>IFERROR(__xludf.DUMMYFUNCTION("ifna(filter('Yahoo ADP'!$A$2:$A2766,'Yahoo ADP'!$B$2:$B2766=$B2292,$C2292='Yahoo ADP'!$C$2:$C2766,$D2292='Yahoo ADP'!$D$2:$D2766))"),"")</f>
        <v/>
      </c>
      <c r="F2292" s="13" t="str">
        <f>IFERROR(__xludf.DUMMYFUNCTION("ifna(filter('Yahoo ADP'!$E$2:$E2766,'Yahoo ADP'!$B$2:$B2766=$B2292,$C2292='Yahoo ADP'!$C$2:$C2766,$D2292='Yahoo ADP'!$D$2:$D2766))"),"-")</f>
        <v>-</v>
      </c>
      <c r="G2292" s="27">
        <v>2289.0</v>
      </c>
      <c r="H2292" s="8">
        <f t="shared" si="1"/>
        <v>-2</v>
      </c>
    </row>
    <row r="2293">
      <c r="A2293" s="10">
        <v>2292.0</v>
      </c>
      <c r="B2293" s="11" t="s">
        <v>5134</v>
      </c>
      <c r="C2293" s="10" t="s">
        <v>39</v>
      </c>
      <c r="D2293" s="10" t="s">
        <v>85</v>
      </c>
      <c r="E2293" s="13" t="str">
        <f>IFERROR(__xludf.DUMMYFUNCTION("ifna(filter('Yahoo ADP'!$A$2:$A2766,'Yahoo ADP'!$B$2:$B2766=$B2293,$C2293='Yahoo ADP'!$C$2:$C2766,$D2293='Yahoo ADP'!$D$2:$D2766))"),"")</f>
        <v/>
      </c>
      <c r="F2293" s="13" t="str">
        <f>IFERROR(__xludf.DUMMYFUNCTION("ifna(filter('Yahoo ADP'!$E$2:$E2766,'Yahoo ADP'!$B$2:$B2766=$B2293,$C2293='Yahoo ADP'!$C$2:$C2766,$D2293='Yahoo ADP'!$D$2:$D2766))"),"-")</f>
        <v>-</v>
      </c>
      <c r="G2293" s="27">
        <v>2290.0</v>
      </c>
      <c r="H2293" s="8">
        <f t="shared" si="1"/>
        <v>-2</v>
      </c>
    </row>
    <row r="2294">
      <c r="A2294" s="10">
        <v>2293.0</v>
      </c>
      <c r="B2294" s="11" t="s">
        <v>5135</v>
      </c>
      <c r="C2294" s="10" t="s">
        <v>77</v>
      </c>
      <c r="D2294" s="10" t="s">
        <v>49</v>
      </c>
      <c r="E2294" s="13" t="str">
        <f>IFERROR(__xludf.DUMMYFUNCTION("ifna(filter('Yahoo ADP'!$A$2:$A2766,'Yahoo ADP'!$B$2:$B2766=$B2294,$C2294='Yahoo ADP'!$C$2:$C2766,$D2294='Yahoo ADP'!$D$2:$D2766))"),"")</f>
        <v/>
      </c>
      <c r="F2294" s="13" t="str">
        <f>IFERROR(__xludf.DUMMYFUNCTION("ifna(filter('Yahoo ADP'!$E$2:$E2766,'Yahoo ADP'!$B$2:$B2766=$B2294,$C2294='Yahoo ADP'!$C$2:$C2766,$D2294='Yahoo ADP'!$D$2:$D2766))"),"-")</f>
        <v>-</v>
      </c>
      <c r="G2294" s="27">
        <v>2291.0</v>
      </c>
      <c r="H2294" s="8">
        <f t="shared" si="1"/>
        <v>-2</v>
      </c>
    </row>
    <row r="2295">
      <c r="A2295" s="10">
        <v>2294.0</v>
      </c>
      <c r="B2295" s="11" t="s">
        <v>5136</v>
      </c>
      <c r="C2295" s="10" t="s">
        <v>11</v>
      </c>
      <c r="D2295" s="10" t="s">
        <v>105</v>
      </c>
      <c r="E2295" s="13" t="str">
        <f>IFERROR(__xludf.DUMMYFUNCTION("ifna(filter('Yahoo ADP'!$A$2:$A2766,'Yahoo ADP'!$B$2:$B2766=$B2295,$C2295='Yahoo ADP'!$C$2:$C2766,$D2295='Yahoo ADP'!$D$2:$D2766))"),"")</f>
        <v/>
      </c>
      <c r="F2295" s="13" t="str">
        <f>IFERROR(__xludf.DUMMYFUNCTION("ifna(filter('Yahoo ADP'!$E$2:$E2766,'Yahoo ADP'!$B$2:$B2766=$B2295,$C2295='Yahoo ADP'!$C$2:$C2766,$D2295='Yahoo ADP'!$D$2:$D2766))"),"-")</f>
        <v>-</v>
      </c>
      <c r="G2295" s="27">
        <v>2292.0</v>
      </c>
      <c r="H2295" s="8">
        <f t="shared" si="1"/>
        <v>-2</v>
      </c>
    </row>
    <row r="2296">
      <c r="A2296" s="10">
        <v>2295.0</v>
      </c>
      <c r="B2296" s="11" t="s">
        <v>5137</v>
      </c>
      <c r="C2296" s="10" t="s">
        <v>77</v>
      </c>
      <c r="D2296" s="10" t="s">
        <v>15</v>
      </c>
      <c r="E2296" s="13" t="str">
        <f>IFERROR(__xludf.DUMMYFUNCTION("ifna(filter('Yahoo ADP'!$A$2:$A2766,'Yahoo ADP'!$B$2:$B2766=$B2296,$C2296='Yahoo ADP'!$C$2:$C2766,$D2296='Yahoo ADP'!$D$2:$D2766))"),"")</f>
        <v/>
      </c>
      <c r="F2296" s="13" t="str">
        <f>IFERROR(__xludf.DUMMYFUNCTION("ifna(filter('Yahoo ADP'!$E$2:$E2766,'Yahoo ADP'!$B$2:$B2766=$B2296,$C2296='Yahoo ADP'!$C$2:$C2766,$D2296='Yahoo ADP'!$D$2:$D2766))"),"-")</f>
        <v>-</v>
      </c>
      <c r="G2296" s="27">
        <v>2293.0</v>
      </c>
      <c r="H2296" s="8">
        <f t="shared" si="1"/>
        <v>-2</v>
      </c>
    </row>
    <row r="2297">
      <c r="A2297" s="10">
        <v>2296.0</v>
      </c>
      <c r="B2297" s="11" t="s">
        <v>5138</v>
      </c>
      <c r="C2297" s="10" t="s">
        <v>8</v>
      </c>
      <c r="D2297" s="10" t="s">
        <v>15</v>
      </c>
      <c r="E2297" s="13" t="str">
        <f>IFERROR(__xludf.DUMMYFUNCTION("ifna(filter('Yahoo ADP'!$A$2:$A2766,'Yahoo ADP'!$B$2:$B2766=$B2297,$C2297='Yahoo ADP'!$C$2:$C2766,$D2297='Yahoo ADP'!$D$2:$D2766))"),"")</f>
        <v/>
      </c>
      <c r="F2297" s="13" t="str">
        <f>IFERROR(__xludf.DUMMYFUNCTION("ifna(filter('Yahoo ADP'!$E$2:$E2766,'Yahoo ADP'!$B$2:$B2766=$B2297,$C2297='Yahoo ADP'!$C$2:$C2766,$D2297='Yahoo ADP'!$D$2:$D2766))"),"-")</f>
        <v>-</v>
      </c>
      <c r="G2297" s="27">
        <v>2294.0</v>
      </c>
      <c r="H2297" s="8">
        <f t="shared" si="1"/>
        <v>-2</v>
      </c>
    </row>
    <row r="2298">
      <c r="A2298" s="10">
        <v>2297.0</v>
      </c>
      <c r="B2298" s="11" t="s">
        <v>5139</v>
      </c>
      <c r="C2298" s="10" t="s">
        <v>77</v>
      </c>
      <c r="D2298" s="10" t="s">
        <v>42</v>
      </c>
      <c r="E2298" s="13" t="str">
        <f>IFERROR(__xludf.DUMMYFUNCTION("ifna(filter('Yahoo ADP'!$A$2:$A2766,'Yahoo ADP'!$B$2:$B2766=$B2298,$C2298='Yahoo ADP'!$C$2:$C2766,$D2298='Yahoo ADP'!$D$2:$D2766))"),"")</f>
        <v/>
      </c>
      <c r="F2298" s="13" t="str">
        <f>IFERROR(__xludf.DUMMYFUNCTION("ifna(filter('Yahoo ADP'!$E$2:$E2766,'Yahoo ADP'!$B$2:$B2766=$B2298,$C2298='Yahoo ADP'!$C$2:$C2766,$D2298='Yahoo ADP'!$D$2:$D2766))"),"-")</f>
        <v>-</v>
      </c>
      <c r="G2298" s="27">
        <v>2295.0</v>
      </c>
      <c r="H2298" s="8">
        <f t="shared" si="1"/>
        <v>-2</v>
      </c>
    </row>
    <row r="2299">
      <c r="A2299" s="10">
        <v>2298.0</v>
      </c>
      <c r="B2299" s="11" t="s">
        <v>5140</v>
      </c>
      <c r="C2299" s="10" t="s">
        <v>17</v>
      </c>
      <c r="D2299" s="10" t="s">
        <v>82</v>
      </c>
      <c r="E2299" s="13" t="str">
        <f>IFERROR(__xludf.DUMMYFUNCTION("ifna(filter('Yahoo ADP'!$A$2:$A2766,'Yahoo ADP'!$B$2:$B2766=$B2299,$C2299='Yahoo ADP'!$C$2:$C2766,$D2299='Yahoo ADP'!$D$2:$D2766))"),"")</f>
        <v/>
      </c>
      <c r="F2299" s="13" t="str">
        <f>IFERROR(__xludf.DUMMYFUNCTION("ifna(filter('Yahoo ADP'!$E$2:$E2766,'Yahoo ADP'!$B$2:$B2766=$B2299,$C2299='Yahoo ADP'!$C$2:$C2766,$D2299='Yahoo ADP'!$D$2:$D2766))"),"-")</f>
        <v>-</v>
      </c>
      <c r="G2299" s="27">
        <v>2296.0</v>
      </c>
      <c r="H2299" s="8">
        <f t="shared" si="1"/>
        <v>-2</v>
      </c>
    </row>
    <row r="2300">
      <c r="A2300" s="10">
        <v>2299.0</v>
      </c>
      <c r="B2300" s="11" t="s">
        <v>5141</v>
      </c>
      <c r="C2300" s="10" t="s">
        <v>77</v>
      </c>
      <c r="D2300" s="10" t="s">
        <v>85</v>
      </c>
      <c r="E2300" s="13" t="str">
        <f>IFERROR(__xludf.DUMMYFUNCTION("ifna(filter('Yahoo ADP'!$A$2:$A2766,'Yahoo ADP'!$B$2:$B2766=$B2300,$C2300='Yahoo ADP'!$C$2:$C2766,$D2300='Yahoo ADP'!$D$2:$D2766))"),"")</f>
        <v/>
      </c>
      <c r="F2300" s="13" t="str">
        <f>IFERROR(__xludf.DUMMYFUNCTION("ifna(filter('Yahoo ADP'!$E$2:$E2766,'Yahoo ADP'!$B$2:$B2766=$B2300,$C2300='Yahoo ADP'!$C$2:$C2766,$D2300='Yahoo ADP'!$D$2:$D2766))"),"-")</f>
        <v>-</v>
      </c>
      <c r="G2300" s="27">
        <v>2297.0</v>
      </c>
      <c r="H2300" s="8">
        <f t="shared" si="1"/>
        <v>-2</v>
      </c>
    </row>
    <row r="2301">
      <c r="A2301" s="10">
        <v>2300.0</v>
      </c>
      <c r="B2301" s="11" t="s">
        <v>5142</v>
      </c>
      <c r="C2301" s="10" t="s">
        <v>39</v>
      </c>
      <c r="D2301" s="10" t="s">
        <v>34</v>
      </c>
      <c r="E2301" s="13" t="str">
        <f>IFERROR(__xludf.DUMMYFUNCTION("ifna(filter('Yahoo ADP'!$A$2:$A2766,'Yahoo ADP'!$B$2:$B2766=$B2301,$C2301='Yahoo ADP'!$C$2:$C2766,$D2301='Yahoo ADP'!$D$2:$D2766))"),"")</f>
        <v/>
      </c>
      <c r="F2301" s="13" t="str">
        <f>IFERROR(__xludf.DUMMYFUNCTION("ifna(filter('Yahoo ADP'!$E$2:$E2766,'Yahoo ADP'!$B$2:$B2766=$B2301,$C2301='Yahoo ADP'!$C$2:$C2766,$D2301='Yahoo ADP'!$D$2:$D2766))"),"-")</f>
        <v>-</v>
      </c>
      <c r="G2301" s="27">
        <v>2298.0</v>
      </c>
      <c r="H2301" s="8">
        <f t="shared" si="1"/>
        <v>-2</v>
      </c>
    </row>
    <row r="2302">
      <c r="A2302" s="10">
        <v>2301.0</v>
      </c>
      <c r="B2302" s="11" t="s">
        <v>5143</v>
      </c>
      <c r="C2302" s="10" t="s">
        <v>77</v>
      </c>
      <c r="D2302" s="10" t="s">
        <v>23</v>
      </c>
      <c r="E2302" s="13" t="str">
        <f>IFERROR(__xludf.DUMMYFUNCTION("ifna(filter('Yahoo ADP'!$A$2:$A2766,'Yahoo ADP'!$B$2:$B2766=$B2302,$C2302='Yahoo ADP'!$C$2:$C2766,$D2302='Yahoo ADP'!$D$2:$D2766))"),"")</f>
        <v/>
      </c>
      <c r="F2302" s="13" t="str">
        <f>IFERROR(__xludf.DUMMYFUNCTION("ifna(filter('Yahoo ADP'!$E$2:$E2766,'Yahoo ADP'!$B$2:$B2766=$B2302,$C2302='Yahoo ADP'!$C$2:$C2766,$D2302='Yahoo ADP'!$D$2:$D2766))"),"-")</f>
        <v>-</v>
      </c>
      <c r="G2302" s="27">
        <v>2299.0</v>
      </c>
      <c r="H2302" s="8">
        <f t="shared" si="1"/>
        <v>-2</v>
      </c>
    </row>
    <row r="2303">
      <c r="A2303" s="10">
        <v>2302.0</v>
      </c>
      <c r="B2303" s="11" t="s">
        <v>5144</v>
      </c>
      <c r="C2303" s="10" t="s">
        <v>11</v>
      </c>
      <c r="D2303" s="10" t="s">
        <v>82</v>
      </c>
      <c r="E2303" s="13" t="str">
        <f>IFERROR(__xludf.DUMMYFUNCTION("ifna(filter('Yahoo ADP'!$A$2:$A2766,'Yahoo ADP'!$B$2:$B2766=$B2303,$C2303='Yahoo ADP'!$C$2:$C2766,$D2303='Yahoo ADP'!$D$2:$D2766))"),"")</f>
        <v/>
      </c>
      <c r="F2303" s="13" t="str">
        <f>IFERROR(__xludf.DUMMYFUNCTION("ifna(filter('Yahoo ADP'!$E$2:$E2766,'Yahoo ADP'!$B$2:$B2766=$B2303,$C2303='Yahoo ADP'!$C$2:$C2766,$D2303='Yahoo ADP'!$D$2:$D2766))"),"-")</f>
        <v>-</v>
      </c>
      <c r="G2303" s="27">
        <v>2300.0</v>
      </c>
      <c r="H2303" s="8">
        <f t="shared" si="1"/>
        <v>-2</v>
      </c>
    </row>
    <row r="2304">
      <c r="A2304" s="10">
        <v>2303.0</v>
      </c>
      <c r="B2304" s="11" t="s">
        <v>5145</v>
      </c>
      <c r="C2304" s="10" t="s">
        <v>14</v>
      </c>
      <c r="D2304" s="10" t="s">
        <v>27</v>
      </c>
      <c r="E2304" s="13" t="str">
        <f>IFERROR(__xludf.DUMMYFUNCTION("ifna(filter('Yahoo ADP'!$A$2:$A2766,'Yahoo ADP'!$B$2:$B2766=$B2304,$C2304='Yahoo ADP'!$C$2:$C2766,$D2304='Yahoo ADP'!$D$2:$D2766))"),"")</f>
        <v/>
      </c>
      <c r="F2304" s="13" t="str">
        <f>IFERROR(__xludf.DUMMYFUNCTION("ifna(filter('Yahoo ADP'!$E$2:$E2766,'Yahoo ADP'!$B$2:$B2766=$B2304,$C2304='Yahoo ADP'!$C$2:$C2766,$D2304='Yahoo ADP'!$D$2:$D2766))"),"-")</f>
        <v>-</v>
      </c>
      <c r="G2304" s="27">
        <v>2301.0</v>
      </c>
      <c r="H2304" s="8">
        <f t="shared" si="1"/>
        <v>-2</v>
      </c>
    </row>
    <row r="2305">
      <c r="A2305" s="10">
        <v>2304.0</v>
      </c>
      <c r="B2305" s="11" t="s">
        <v>5146</v>
      </c>
      <c r="C2305" s="10" t="s">
        <v>136</v>
      </c>
      <c r="D2305" s="10" t="s">
        <v>137</v>
      </c>
      <c r="E2305" s="13" t="str">
        <f>IFERROR(__xludf.DUMMYFUNCTION("ifna(filter('Yahoo ADP'!$A$2:$A2766,'Yahoo ADP'!$B$2:$B2766=$B2305,$C2305='Yahoo ADP'!$C$2:$C2766,$D2305='Yahoo ADP'!$D$2:$D2766))"),"")</f>
        <v/>
      </c>
      <c r="F2305" s="13" t="str">
        <f>IFERROR(__xludf.DUMMYFUNCTION("ifna(filter('Yahoo ADP'!$E$2:$E2766,'Yahoo ADP'!$B$2:$B2766=$B2305,$C2305='Yahoo ADP'!$C$2:$C2766,$D2305='Yahoo ADP'!$D$2:$D2766))"),"-")</f>
        <v>-</v>
      </c>
      <c r="G2305" s="27">
        <v>2302.0</v>
      </c>
      <c r="H2305" s="8">
        <f t="shared" si="1"/>
        <v>-2</v>
      </c>
    </row>
    <row r="2306">
      <c r="A2306" s="10">
        <v>2305.0</v>
      </c>
      <c r="B2306" s="11" t="s">
        <v>5147</v>
      </c>
      <c r="C2306" s="10" t="s">
        <v>77</v>
      </c>
      <c r="D2306" s="10" t="s">
        <v>27</v>
      </c>
      <c r="E2306" s="13" t="str">
        <f>IFERROR(__xludf.DUMMYFUNCTION("ifna(filter('Yahoo ADP'!$A$2:$A2766,'Yahoo ADP'!$B$2:$B2766=$B2306,$C2306='Yahoo ADP'!$C$2:$C2766,$D2306='Yahoo ADP'!$D$2:$D2766))"),"")</f>
        <v/>
      </c>
      <c r="F2306" s="13" t="str">
        <f>IFERROR(__xludf.DUMMYFUNCTION("ifna(filter('Yahoo ADP'!$E$2:$E2766,'Yahoo ADP'!$B$2:$B2766=$B2306,$C2306='Yahoo ADP'!$C$2:$C2766,$D2306='Yahoo ADP'!$D$2:$D2766))"),"-")</f>
        <v>-</v>
      </c>
      <c r="G2306" s="27">
        <v>2303.0</v>
      </c>
      <c r="H2306" s="8">
        <f t="shared" si="1"/>
        <v>-2</v>
      </c>
    </row>
    <row r="2307">
      <c r="A2307" s="10">
        <v>2306.0</v>
      </c>
      <c r="B2307" s="11" t="s">
        <v>5148</v>
      </c>
      <c r="C2307" s="10" t="s">
        <v>14</v>
      </c>
      <c r="D2307" s="10" t="s">
        <v>34</v>
      </c>
      <c r="E2307" s="13" t="str">
        <f>IFERROR(__xludf.DUMMYFUNCTION("ifna(filter('Yahoo ADP'!$A$2:$A2766,'Yahoo ADP'!$B$2:$B2766=$B2307,$C2307='Yahoo ADP'!$C$2:$C2766,$D2307='Yahoo ADP'!$D$2:$D2766))"),"")</f>
        <v/>
      </c>
      <c r="F2307" s="13" t="str">
        <f>IFERROR(__xludf.DUMMYFUNCTION("ifna(filter('Yahoo ADP'!$E$2:$E2766,'Yahoo ADP'!$B$2:$B2766=$B2307,$C2307='Yahoo ADP'!$C$2:$C2766,$D2307='Yahoo ADP'!$D$2:$D2766))"),"-")</f>
        <v>-</v>
      </c>
      <c r="G2307" s="27">
        <v>2304.0</v>
      </c>
      <c r="H2307" s="8">
        <f t="shared" si="1"/>
        <v>-2</v>
      </c>
    </row>
    <row r="2308">
      <c r="A2308" s="10">
        <v>2307.0</v>
      </c>
      <c r="B2308" s="11" t="s">
        <v>5149</v>
      </c>
      <c r="C2308" s="10" t="s">
        <v>39</v>
      </c>
      <c r="D2308" s="10" t="s">
        <v>122</v>
      </c>
      <c r="E2308" s="13" t="str">
        <f>IFERROR(__xludf.DUMMYFUNCTION("ifna(filter('Yahoo ADP'!$A$2:$A2766,'Yahoo ADP'!$B$2:$B2766=$B2308,$C2308='Yahoo ADP'!$C$2:$C2766,$D2308='Yahoo ADP'!$D$2:$D2766))"),"")</f>
        <v/>
      </c>
      <c r="F2308" s="13" t="str">
        <f>IFERROR(__xludf.DUMMYFUNCTION("ifna(filter('Yahoo ADP'!$E$2:$E2766,'Yahoo ADP'!$B$2:$B2766=$B2308,$C2308='Yahoo ADP'!$C$2:$C2766,$D2308='Yahoo ADP'!$D$2:$D2766))"),"-")</f>
        <v>-</v>
      </c>
      <c r="G2308" s="27">
        <v>2305.0</v>
      </c>
      <c r="H2308" s="8">
        <f t="shared" si="1"/>
        <v>-2</v>
      </c>
    </row>
    <row r="2309">
      <c r="A2309" s="10">
        <v>2308.0</v>
      </c>
      <c r="B2309" s="11" t="s">
        <v>5150</v>
      </c>
      <c r="C2309" s="10" t="s">
        <v>14</v>
      </c>
      <c r="D2309" s="10" t="s">
        <v>90</v>
      </c>
      <c r="E2309" s="13" t="str">
        <f>IFERROR(__xludf.DUMMYFUNCTION("ifna(filter('Yahoo ADP'!$A$2:$A2766,'Yahoo ADP'!$B$2:$B2766=$B2309,$C2309='Yahoo ADP'!$C$2:$C2766,$D2309='Yahoo ADP'!$D$2:$D2766))"),"")</f>
        <v/>
      </c>
      <c r="F2309" s="13" t="str">
        <f>IFERROR(__xludf.DUMMYFUNCTION("ifna(filter('Yahoo ADP'!$E$2:$E2766,'Yahoo ADP'!$B$2:$B2766=$B2309,$C2309='Yahoo ADP'!$C$2:$C2766,$D2309='Yahoo ADP'!$D$2:$D2766))"),"-")</f>
        <v>-</v>
      </c>
      <c r="G2309" s="27">
        <v>2306.0</v>
      </c>
      <c r="H2309" s="8">
        <f t="shared" si="1"/>
        <v>-2</v>
      </c>
    </row>
    <row r="2310">
      <c r="A2310" s="10">
        <v>2309.0</v>
      </c>
      <c r="B2310" s="11" t="s">
        <v>3846</v>
      </c>
      <c r="C2310" s="10" t="s">
        <v>39</v>
      </c>
      <c r="D2310" s="10" t="s">
        <v>25</v>
      </c>
      <c r="E2310" s="13" t="str">
        <f>IFERROR(__xludf.DUMMYFUNCTION("ifna(filter('Yahoo ADP'!$A$2:$A2766,'Yahoo ADP'!$B$2:$B2766=$B2310,$C2310='Yahoo ADP'!$C$2:$C2766,$D2310='Yahoo ADP'!$D$2:$D2766))"),"")</f>
        <v/>
      </c>
      <c r="F2310" s="13" t="str">
        <f>IFERROR(__xludf.DUMMYFUNCTION("ifna(filter('Yahoo ADP'!$E$2:$E2766,'Yahoo ADP'!$B$2:$B2766=$B2310,$C2310='Yahoo ADP'!$C$2:$C2766,$D2310='Yahoo ADP'!$D$2:$D2766))"),"-")</f>
        <v>-</v>
      </c>
      <c r="G2310" s="27">
        <v>2307.0</v>
      </c>
      <c r="H2310" s="8">
        <f t="shared" si="1"/>
        <v>-2</v>
      </c>
    </row>
    <row r="2311">
      <c r="A2311" s="10">
        <v>2310.0</v>
      </c>
      <c r="B2311" s="11" t="s">
        <v>5151</v>
      </c>
      <c r="C2311" s="10" t="s">
        <v>89</v>
      </c>
      <c r="D2311" s="10" t="s">
        <v>73</v>
      </c>
      <c r="E2311" s="13" t="str">
        <f>IFERROR(__xludf.DUMMYFUNCTION("ifna(filter('Yahoo ADP'!$A$2:$A2766,'Yahoo ADP'!$B$2:$B2766=$B2311,$C2311='Yahoo ADP'!$C$2:$C2766,$D2311='Yahoo ADP'!$D$2:$D2766))"),"")</f>
        <v/>
      </c>
      <c r="F2311" s="13" t="str">
        <f>IFERROR(__xludf.DUMMYFUNCTION("ifna(filter('Yahoo ADP'!$E$2:$E2766,'Yahoo ADP'!$B$2:$B2766=$B2311,$C2311='Yahoo ADP'!$C$2:$C2766,$D2311='Yahoo ADP'!$D$2:$D2766))"),"-")</f>
        <v>-</v>
      </c>
      <c r="G2311" s="27">
        <v>2308.0</v>
      </c>
      <c r="H2311" s="8">
        <f t="shared" si="1"/>
        <v>-2</v>
      </c>
    </row>
    <row r="2312">
      <c r="A2312" s="10">
        <v>2311.0</v>
      </c>
      <c r="B2312" s="11" t="s">
        <v>5152</v>
      </c>
      <c r="C2312" s="10" t="s">
        <v>17</v>
      </c>
      <c r="D2312" s="10" t="s">
        <v>85</v>
      </c>
      <c r="E2312" s="13" t="str">
        <f>IFERROR(__xludf.DUMMYFUNCTION("ifna(filter('Yahoo ADP'!$A$2:$A2766,'Yahoo ADP'!$B$2:$B2766=$B2312,$C2312='Yahoo ADP'!$C$2:$C2766,$D2312='Yahoo ADP'!$D$2:$D2766))"),"")</f>
        <v/>
      </c>
      <c r="F2312" s="13" t="str">
        <f>IFERROR(__xludf.DUMMYFUNCTION("ifna(filter('Yahoo ADP'!$E$2:$E2766,'Yahoo ADP'!$B$2:$B2766=$B2312,$C2312='Yahoo ADP'!$C$2:$C2766,$D2312='Yahoo ADP'!$D$2:$D2766))"),"-")</f>
        <v>-</v>
      </c>
      <c r="G2312" s="27">
        <v>2309.0</v>
      </c>
      <c r="H2312" s="8">
        <f t="shared" si="1"/>
        <v>-2</v>
      </c>
    </row>
    <row r="2313">
      <c r="A2313" s="10">
        <v>2312.0</v>
      </c>
      <c r="B2313" s="11" t="s">
        <v>5153</v>
      </c>
      <c r="C2313" s="10" t="s">
        <v>17</v>
      </c>
      <c r="D2313" s="10" t="s">
        <v>31</v>
      </c>
      <c r="E2313" s="13" t="str">
        <f>IFERROR(__xludf.DUMMYFUNCTION("ifna(filter('Yahoo ADP'!$A$2:$A2766,'Yahoo ADP'!$B$2:$B2766=$B2313,$C2313='Yahoo ADP'!$C$2:$C2766,$D2313='Yahoo ADP'!$D$2:$D2766))"),"")</f>
        <v/>
      </c>
      <c r="F2313" s="13" t="str">
        <f>IFERROR(__xludf.DUMMYFUNCTION("ifna(filter('Yahoo ADP'!$E$2:$E2766,'Yahoo ADP'!$B$2:$B2766=$B2313,$C2313='Yahoo ADP'!$C$2:$C2766,$D2313='Yahoo ADP'!$D$2:$D2766))"),"-")</f>
        <v>-</v>
      </c>
      <c r="G2313" s="27">
        <v>2310.0</v>
      </c>
      <c r="H2313" s="8">
        <f t="shared" si="1"/>
        <v>-2</v>
      </c>
    </row>
    <row r="2314">
      <c r="A2314" s="10">
        <v>2313.0</v>
      </c>
      <c r="B2314" s="11" t="s">
        <v>3142</v>
      </c>
      <c r="C2314" s="10" t="s">
        <v>77</v>
      </c>
      <c r="D2314" s="10" t="s">
        <v>82</v>
      </c>
      <c r="E2314" s="13" t="str">
        <f>IFERROR(__xludf.DUMMYFUNCTION("ifna(filter('Yahoo ADP'!$A$2:$A2766,'Yahoo ADP'!$B$2:$B2766=$B2314,$C2314='Yahoo ADP'!$C$2:$C2766,$D2314='Yahoo ADP'!$D$2:$D2766))"),"")</f>
        <v/>
      </c>
      <c r="F2314" s="13" t="str">
        <f>IFERROR(__xludf.DUMMYFUNCTION("ifna(filter('Yahoo ADP'!$E$2:$E2766,'Yahoo ADP'!$B$2:$B2766=$B2314,$C2314='Yahoo ADP'!$C$2:$C2766,$D2314='Yahoo ADP'!$D$2:$D2766))"),"-")</f>
        <v>-</v>
      </c>
      <c r="G2314" s="27">
        <v>2311.0</v>
      </c>
      <c r="H2314" s="8">
        <f t="shared" si="1"/>
        <v>-2</v>
      </c>
    </row>
    <row r="2315">
      <c r="A2315" s="10">
        <v>2314.0</v>
      </c>
      <c r="B2315" s="11" t="s">
        <v>5154</v>
      </c>
      <c r="C2315" s="10" t="s">
        <v>14</v>
      </c>
      <c r="D2315" s="10" t="s">
        <v>27</v>
      </c>
      <c r="E2315" s="13" t="str">
        <f>IFERROR(__xludf.DUMMYFUNCTION("ifna(filter('Yahoo ADP'!$A$2:$A2766,'Yahoo ADP'!$B$2:$B2766=$B2315,$C2315='Yahoo ADP'!$C$2:$C2766,$D2315='Yahoo ADP'!$D$2:$D2766))"),"")</f>
        <v/>
      </c>
      <c r="F2315" s="13" t="str">
        <f>IFERROR(__xludf.DUMMYFUNCTION("ifna(filter('Yahoo ADP'!$E$2:$E2766,'Yahoo ADP'!$B$2:$B2766=$B2315,$C2315='Yahoo ADP'!$C$2:$C2766,$D2315='Yahoo ADP'!$D$2:$D2766))"),"-")</f>
        <v>-</v>
      </c>
      <c r="G2315" s="27">
        <v>2312.0</v>
      </c>
      <c r="H2315" s="8">
        <f t="shared" si="1"/>
        <v>-2</v>
      </c>
    </row>
    <row r="2316">
      <c r="A2316" s="10">
        <v>2315.0</v>
      </c>
      <c r="B2316" s="11" t="s">
        <v>5155</v>
      </c>
      <c r="C2316" s="10" t="s">
        <v>48</v>
      </c>
      <c r="D2316" s="10" t="s">
        <v>129</v>
      </c>
      <c r="E2316" s="13" t="str">
        <f>IFERROR(__xludf.DUMMYFUNCTION("ifna(filter('Yahoo ADP'!$A$2:$A2766,'Yahoo ADP'!$B$2:$B2766=$B2316,$C2316='Yahoo ADP'!$C$2:$C2766,$D2316='Yahoo ADP'!$D$2:$D2766))"),"")</f>
        <v/>
      </c>
      <c r="F2316" s="13" t="str">
        <f>IFERROR(__xludf.DUMMYFUNCTION("ifna(filter('Yahoo ADP'!$E$2:$E2766,'Yahoo ADP'!$B$2:$B2766=$B2316,$C2316='Yahoo ADP'!$C$2:$C2766,$D2316='Yahoo ADP'!$D$2:$D2766))"),"-")</f>
        <v>-</v>
      </c>
      <c r="G2316" s="27">
        <v>2313.0</v>
      </c>
      <c r="H2316" s="8">
        <f t="shared" si="1"/>
        <v>-2</v>
      </c>
    </row>
    <row r="2317">
      <c r="A2317" s="10">
        <v>2316.0</v>
      </c>
      <c r="B2317" s="11" t="s">
        <v>5156</v>
      </c>
      <c r="C2317" s="10" t="s">
        <v>77</v>
      </c>
      <c r="D2317" s="10" t="s">
        <v>137</v>
      </c>
      <c r="E2317" s="13" t="str">
        <f>IFERROR(__xludf.DUMMYFUNCTION("ifna(filter('Yahoo ADP'!$A$2:$A2766,'Yahoo ADP'!$B$2:$B2766=$B2317,$C2317='Yahoo ADP'!$C$2:$C2766,$D2317='Yahoo ADP'!$D$2:$D2766))"),"")</f>
        <v/>
      </c>
      <c r="F2317" s="13" t="str">
        <f>IFERROR(__xludf.DUMMYFUNCTION("ifna(filter('Yahoo ADP'!$E$2:$E2766,'Yahoo ADP'!$B$2:$B2766=$B2317,$C2317='Yahoo ADP'!$C$2:$C2766,$D2317='Yahoo ADP'!$D$2:$D2766))"),"-")</f>
        <v>-</v>
      </c>
      <c r="G2317" s="27">
        <v>2314.0</v>
      </c>
      <c r="H2317" s="8">
        <f t="shared" si="1"/>
        <v>-2</v>
      </c>
    </row>
    <row r="2318">
      <c r="A2318" s="10">
        <v>2317.0</v>
      </c>
      <c r="B2318" s="11" t="s">
        <v>5157</v>
      </c>
      <c r="C2318" s="10" t="s">
        <v>158</v>
      </c>
      <c r="D2318" s="10" t="s">
        <v>9</v>
      </c>
      <c r="E2318" s="13" t="str">
        <f>IFERROR(__xludf.DUMMYFUNCTION("ifna(filter('Yahoo ADP'!$A$2:$A2766,'Yahoo ADP'!$B$2:$B2766=$B2318,$C2318='Yahoo ADP'!$C$2:$C2766,$D2318='Yahoo ADP'!$D$2:$D2766))"),"")</f>
        <v/>
      </c>
      <c r="F2318" s="13" t="str">
        <f>IFERROR(__xludf.DUMMYFUNCTION("ifna(filter('Yahoo ADP'!$E$2:$E2766,'Yahoo ADP'!$B$2:$B2766=$B2318,$C2318='Yahoo ADP'!$C$2:$C2766,$D2318='Yahoo ADP'!$D$2:$D2766))"),"-")</f>
        <v>-</v>
      </c>
      <c r="G2318" s="27">
        <v>2315.0</v>
      </c>
      <c r="H2318" s="8">
        <f t="shared" si="1"/>
        <v>-2</v>
      </c>
    </row>
    <row r="2319">
      <c r="A2319" s="10">
        <v>2318.0</v>
      </c>
      <c r="B2319" s="11" t="s">
        <v>5158</v>
      </c>
      <c r="C2319" s="10" t="s">
        <v>8</v>
      </c>
      <c r="D2319" s="10" t="s">
        <v>34</v>
      </c>
      <c r="E2319" s="13" t="str">
        <f>IFERROR(__xludf.DUMMYFUNCTION("ifna(filter('Yahoo ADP'!$A$2:$A2766,'Yahoo ADP'!$B$2:$B2766=$B2319,$C2319='Yahoo ADP'!$C$2:$C2766,$D2319='Yahoo ADP'!$D$2:$D2766))"),"")</f>
        <v/>
      </c>
      <c r="F2319" s="13" t="str">
        <f>IFERROR(__xludf.DUMMYFUNCTION("ifna(filter('Yahoo ADP'!$E$2:$E2766,'Yahoo ADP'!$B$2:$B2766=$B2319,$C2319='Yahoo ADP'!$C$2:$C2766,$D2319='Yahoo ADP'!$D$2:$D2766))"),"-")</f>
        <v>-</v>
      </c>
      <c r="G2319" s="27">
        <v>2316.0</v>
      </c>
      <c r="H2319" s="8">
        <f t="shared" si="1"/>
        <v>-2</v>
      </c>
    </row>
    <row r="2320">
      <c r="A2320" s="10">
        <v>2319.0</v>
      </c>
      <c r="B2320" s="11" t="s">
        <v>5159</v>
      </c>
      <c r="C2320" s="10" t="s">
        <v>89</v>
      </c>
      <c r="D2320" s="10" t="s">
        <v>105</v>
      </c>
      <c r="E2320" s="13" t="str">
        <f>IFERROR(__xludf.DUMMYFUNCTION("ifna(filter('Yahoo ADP'!$A$2:$A2766,'Yahoo ADP'!$B$2:$B2766=$B2320,$C2320='Yahoo ADP'!$C$2:$C2766,$D2320='Yahoo ADP'!$D$2:$D2766))"),"")</f>
        <v/>
      </c>
      <c r="F2320" s="13" t="str">
        <f>IFERROR(__xludf.DUMMYFUNCTION("ifna(filter('Yahoo ADP'!$E$2:$E2766,'Yahoo ADP'!$B$2:$B2766=$B2320,$C2320='Yahoo ADP'!$C$2:$C2766,$D2320='Yahoo ADP'!$D$2:$D2766))"),"-")</f>
        <v>-</v>
      </c>
      <c r="G2320" s="27">
        <v>2317.0</v>
      </c>
      <c r="H2320" s="8">
        <f t="shared" si="1"/>
        <v>-2</v>
      </c>
    </row>
    <row r="2321">
      <c r="A2321" s="10">
        <v>2320.0</v>
      </c>
      <c r="B2321" s="11" t="s">
        <v>5160</v>
      </c>
      <c r="C2321" s="10" t="s">
        <v>14</v>
      </c>
      <c r="D2321" s="10" t="s">
        <v>73</v>
      </c>
      <c r="E2321" s="13" t="str">
        <f>IFERROR(__xludf.DUMMYFUNCTION("ifna(filter('Yahoo ADP'!$A$2:$A2766,'Yahoo ADP'!$B$2:$B2766=$B2321,$C2321='Yahoo ADP'!$C$2:$C2766,$D2321='Yahoo ADP'!$D$2:$D2766))"),"")</f>
        <v/>
      </c>
      <c r="F2321" s="13" t="str">
        <f>IFERROR(__xludf.DUMMYFUNCTION("ifna(filter('Yahoo ADP'!$E$2:$E2766,'Yahoo ADP'!$B$2:$B2766=$B2321,$C2321='Yahoo ADP'!$C$2:$C2766,$D2321='Yahoo ADP'!$D$2:$D2766))"),"-")</f>
        <v>-</v>
      </c>
      <c r="G2321" s="27">
        <v>2318.0</v>
      </c>
      <c r="H2321" s="8">
        <f t="shared" si="1"/>
        <v>-2</v>
      </c>
    </row>
    <row r="2322">
      <c r="A2322" s="10">
        <v>2321.0</v>
      </c>
      <c r="B2322" s="11" t="s">
        <v>5161</v>
      </c>
      <c r="C2322" s="10" t="s">
        <v>346</v>
      </c>
      <c r="D2322" s="10" t="s">
        <v>71</v>
      </c>
      <c r="E2322" s="13" t="str">
        <f>IFERROR(__xludf.DUMMYFUNCTION("ifna(filter('Yahoo ADP'!$A$2:$A2766,'Yahoo ADP'!$B$2:$B2766=$B2322,$C2322='Yahoo ADP'!$C$2:$C2766,$D2322='Yahoo ADP'!$D$2:$D2766))"),"")</f>
        <v/>
      </c>
      <c r="F2322" s="13" t="str">
        <f>IFERROR(__xludf.DUMMYFUNCTION("ifna(filter('Yahoo ADP'!$E$2:$E2766,'Yahoo ADP'!$B$2:$B2766=$B2322,$C2322='Yahoo ADP'!$C$2:$C2766,$D2322='Yahoo ADP'!$D$2:$D2766))"),"-")</f>
        <v>-</v>
      </c>
      <c r="G2322" s="27">
        <v>2319.0</v>
      </c>
      <c r="H2322" s="8">
        <f t="shared" si="1"/>
        <v>-2</v>
      </c>
    </row>
    <row r="2323">
      <c r="A2323" s="10">
        <v>2322.0</v>
      </c>
      <c r="B2323" s="11" t="s">
        <v>5162</v>
      </c>
      <c r="C2323" s="10" t="s">
        <v>55</v>
      </c>
      <c r="D2323" s="10" t="s">
        <v>113</v>
      </c>
      <c r="E2323" s="13" t="str">
        <f>IFERROR(__xludf.DUMMYFUNCTION("ifna(filter('Yahoo ADP'!$A$2:$A2766,'Yahoo ADP'!$B$2:$B2766=$B2323,$C2323='Yahoo ADP'!$C$2:$C2766,$D2323='Yahoo ADP'!$D$2:$D2766))"),"")</f>
        <v/>
      </c>
      <c r="F2323" s="13" t="str">
        <f>IFERROR(__xludf.DUMMYFUNCTION("ifna(filter('Yahoo ADP'!$E$2:$E2766,'Yahoo ADP'!$B$2:$B2766=$B2323,$C2323='Yahoo ADP'!$C$2:$C2766,$D2323='Yahoo ADP'!$D$2:$D2766))"),"-")</f>
        <v>-</v>
      </c>
      <c r="G2323" s="27">
        <v>2320.0</v>
      </c>
      <c r="H2323" s="8">
        <f t="shared" si="1"/>
        <v>-2</v>
      </c>
    </row>
    <row r="2324">
      <c r="A2324" s="10">
        <v>2323.0</v>
      </c>
      <c r="B2324" s="11" t="s">
        <v>5163</v>
      </c>
      <c r="C2324" s="10" t="s">
        <v>77</v>
      </c>
      <c r="D2324" s="10" t="s">
        <v>137</v>
      </c>
      <c r="E2324" s="13" t="str">
        <f>IFERROR(__xludf.DUMMYFUNCTION("ifna(filter('Yahoo ADP'!$A$2:$A2766,'Yahoo ADP'!$B$2:$B2766=$B2324,$C2324='Yahoo ADP'!$C$2:$C2766,$D2324='Yahoo ADP'!$D$2:$D2766))"),"")</f>
        <v/>
      </c>
      <c r="F2324" s="13" t="str">
        <f>IFERROR(__xludf.DUMMYFUNCTION("ifna(filter('Yahoo ADP'!$E$2:$E2766,'Yahoo ADP'!$B$2:$B2766=$B2324,$C2324='Yahoo ADP'!$C$2:$C2766,$D2324='Yahoo ADP'!$D$2:$D2766))"),"-")</f>
        <v>-</v>
      </c>
      <c r="G2324" s="27">
        <v>2321.0</v>
      </c>
      <c r="H2324" s="8">
        <f t="shared" si="1"/>
        <v>-2</v>
      </c>
    </row>
    <row r="2325">
      <c r="A2325" s="10">
        <v>2324.0</v>
      </c>
      <c r="B2325" s="11" t="s">
        <v>5164</v>
      </c>
      <c r="C2325" s="10" t="s">
        <v>14</v>
      </c>
      <c r="D2325" s="10" t="s">
        <v>67</v>
      </c>
      <c r="E2325" s="13" t="str">
        <f>IFERROR(__xludf.DUMMYFUNCTION("ifna(filter('Yahoo ADP'!$A$2:$A2766,'Yahoo ADP'!$B$2:$B2766=$B2325,$C2325='Yahoo ADP'!$C$2:$C2766,$D2325='Yahoo ADP'!$D$2:$D2766))"),"")</f>
        <v/>
      </c>
      <c r="F2325" s="13" t="str">
        <f>IFERROR(__xludf.DUMMYFUNCTION("ifna(filter('Yahoo ADP'!$E$2:$E2766,'Yahoo ADP'!$B$2:$B2766=$B2325,$C2325='Yahoo ADP'!$C$2:$C2766,$D2325='Yahoo ADP'!$D$2:$D2766))"),"-")</f>
        <v>-</v>
      </c>
      <c r="G2325" s="27">
        <v>2322.0</v>
      </c>
      <c r="H2325" s="8">
        <f t="shared" si="1"/>
        <v>-2</v>
      </c>
    </row>
    <row r="2326">
      <c r="A2326" s="10">
        <v>2325.0</v>
      </c>
      <c r="B2326" s="11" t="s">
        <v>5165</v>
      </c>
      <c r="C2326" s="10" t="s">
        <v>14</v>
      </c>
      <c r="D2326" s="10" t="s">
        <v>52</v>
      </c>
      <c r="E2326" s="13" t="str">
        <f>IFERROR(__xludf.DUMMYFUNCTION("ifna(filter('Yahoo ADP'!$A$2:$A2766,'Yahoo ADP'!$B$2:$B2766=$B2326,$C2326='Yahoo ADP'!$C$2:$C2766,$D2326='Yahoo ADP'!$D$2:$D2766))"),"")</f>
        <v/>
      </c>
      <c r="F2326" s="13" t="str">
        <f>IFERROR(__xludf.DUMMYFUNCTION("ifna(filter('Yahoo ADP'!$E$2:$E2766,'Yahoo ADP'!$B$2:$B2766=$B2326,$C2326='Yahoo ADP'!$C$2:$C2766,$D2326='Yahoo ADP'!$D$2:$D2766))"),"-")</f>
        <v>-</v>
      </c>
      <c r="G2326" s="27">
        <v>2323.0</v>
      </c>
      <c r="H2326" s="8">
        <f t="shared" si="1"/>
        <v>-2</v>
      </c>
    </row>
    <row r="2327">
      <c r="A2327" s="10">
        <v>2326.0</v>
      </c>
      <c r="B2327" s="11" t="s">
        <v>5166</v>
      </c>
      <c r="C2327" s="10" t="s">
        <v>14</v>
      </c>
      <c r="D2327" s="10" t="s">
        <v>140</v>
      </c>
      <c r="E2327" s="13" t="str">
        <f>IFERROR(__xludf.DUMMYFUNCTION("ifna(filter('Yahoo ADP'!$A$2:$A2766,'Yahoo ADP'!$B$2:$B2766=$B2327,$C2327='Yahoo ADP'!$C$2:$C2766,$D2327='Yahoo ADP'!$D$2:$D2766))"),"")</f>
        <v/>
      </c>
      <c r="F2327" s="13" t="str">
        <f>IFERROR(__xludf.DUMMYFUNCTION("ifna(filter('Yahoo ADP'!$E$2:$E2766,'Yahoo ADP'!$B$2:$B2766=$B2327,$C2327='Yahoo ADP'!$C$2:$C2766,$D2327='Yahoo ADP'!$D$2:$D2766))"),"-")</f>
        <v>-</v>
      </c>
      <c r="G2327" s="27">
        <v>2324.0</v>
      </c>
      <c r="H2327" s="8">
        <f t="shared" si="1"/>
        <v>-2</v>
      </c>
    </row>
    <row r="2328">
      <c r="A2328" s="10">
        <v>2327.0</v>
      </c>
      <c r="B2328" s="11" t="s">
        <v>5167</v>
      </c>
      <c r="C2328" s="10" t="s">
        <v>20</v>
      </c>
      <c r="D2328" s="10" t="s">
        <v>120</v>
      </c>
      <c r="E2328" s="13" t="str">
        <f>IFERROR(__xludf.DUMMYFUNCTION("ifna(filter('Yahoo ADP'!$A$2:$A2766,'Yahoo ADP'!$B$2:$B2766=$B2328,$C2328='Yahoo ADP'!$C$2:$C2766,$D2328='Yahoo ADP'!$D$2:$D2766))"),"")</f>
        <v/>
      </c>
      <c r="F2328" s="13" t="str">
        <f>IFERROR(__xludf.DUMMYFUNCTION("ifna(filter('Yahoo ADP'!$E$2:$E2766,'Yahoo ADP'!$B$2:$B2766=$B2328,$C2328='Yahoo ADP'!$C$2:$C2766,$D2328='Yahoo ADP'!$D$2:$D2766))"),"-")</f>
        <v>-</v>
      </c>
      <c r="G2328" s="27">
        <v>2325.0</v>
      </c>
      <c r="H2328" s="8">
        <f t="shared" si="1"/>
        <v>-2</v>
      </c>
    </row>
    <row r="2329">
      <c r="A2329" s="10">
        <v>2328.0</v>
      </c>
      <c r="B2329" s="11" t="s">
        <v>5168</v>
      </c>
      <c r="C2329" s="10" t="s">
        <v>39</v>
      </c>
      <c r="D2329" s="10" t="s">
        <v>18</v>
      </c>
      <c r="E2329" s="13" t="str">
        <f>IFERROR(__xludf.DUMMYFUNCTION("ifna(filter('Yahoo ADP'!$A$2:$A2766,'Yahoo ADP'!$B$2:$B2766=$B2329,$C2329='Yahoo ADP'!$C$2:$C2766,$D2329='Yahoo ADP'!$D$2:$D2766))"),"")</f>
        <v/>
      </c>
      <c r="F2329" s="13" t="str">
        <f>IFERROR(__xludf.DUMMYFUNCTION("ifna(filter('Yahoo ADP'!$E$2:$E2766,'Yahoo ADP'!$B$2:$B2766=$B2329,$C2329='Yahoo ADP'!$C$2:$C2766,$D2329='Yahoo ADP'!$D$2:$D2766))"),"-")</f>
        <v>-</v>
      </c>
      <c r="G2329" s="27">
        <v>2326.0</v>
      </c>
      <c r="H2329" s="8">
        <f t="shared" si="1"/>
        <v>-2</v>
      </c>
    </row>
    <row r="2330">
      <c r="A2330" s="10">
        <v>2329.0</v>
      </c>
      <c r="B2330" s="11" t="s">
        <v>5169</v>
      </c>
      <c r="C2330" s="10" t="s">
        <v>77</v>
      </c>
      <c r="D2330" s="10" t="s">
        <v>120</v>
      </c>
      <c r="E2330" s="13" t="str">
        <f>IFERROR(__xludf.DUMMYFUNCTION("ifna(filter('Yahoo ADP'!$A$2:$A2766,'Yahoo ADP'!$B$2:$B2766=$B2330,$C2330='Yahoo ADP'!$C$2:$C2766,$D2330='Yahoo ADP'!$D$2:$D2766))"),"")</f>
        <v/>
      </c>
      <c r="F2330" s="13" t="str">
        <f>IFERROR(__xludf.DUMMYFUNCTION("ifna(filter('Yahoo ADP'!$E$2:$E2766,'Yahoo ADP'!$B$2:$B2766=$B2330,$C2330='Yahoo ADP'!$C$2:$C2766,$D2330='Yahoo ADP'!$D$2:$D2766))"),"-")</f>
        <v>-</v>
      </c>
      <c r="G2330" s="27">
        <v>2327.0</v>
      </c>
      <c r="H2330" s="8">
        <f t="shared" si="1"/>
        <v>-2</v>
      </c>
    </row>
    <row r="2331">
      <c r="A2331" s="10">
        <v>2330.0</v>
      </c>
      <c r="B2331" s="11" t="s">
        <v>5170</v>
      </c>
      <c r="C2331" s="10" t="s">
        <v>17</v>
      </c>
      <c r="D2331" s="10" t="s">
        <v>137</v>
      </c>
      <c r="E2331" s="13" t="str">
        <f>IFERROR(__xludf.DUMMYFUNCTION("ifna(filter('Yahoo ADP'!$A$2:$A2766,'Yahoo ADP'!$B$2:$B2766=$B2331,$C2331='Yahoo ADP'!$C$2:$C2766,$D2331='Yahoo ADP'!$D$2:$D2766))"),"")</f>
        <v/>
      </c>
      <c r="F2331" s="13" t="str">
        <f>IFERROR(__xludf.DUMMYFUNCTION("ifna(filter('Yahoo ADP'!$E$2:$E2766,'Yahoo ADP'!$B$2:$B2766=$B2331,$C2331='Yahoo ADP'!$C$2:$C2766,$D2331='Yahoo ADP'!$D$2:$D2766))"),"-")</f>
        <v>-</v>
      </c>
      <c r="G2331" s="27">
        <v>2328.0</v>
      </c>
      <c r="H2331" s="8">
        <f t="shared" si="1"/>
        <v>-2</v>
      </c>
    </row>
    <row r="2332">
      <c r="A2332" s="10">
        <v>2331.0</v>
      </c>
      <c r="B2332" s="11" t="s">
        <v>5171</v>
      </c>
      <c r="C2332" s="10" t="s">
        <v>77</v>
      </c>
      <c r="D2332" s="10" t="s">
        <v>12</v>
      </c>
      <c r="E2332" s="13" t="str">
        <f>IFERROR(__xludf.DUMMYFUNCTION("ifna(filter('Yahoo ADP'!$A$2:$A2766,'Yahoo ADP'!$B$2:$B2766=$B2332,$C2332='Yahoo ADP'!$C$2:$C2766,$D2332='Yahoo ADP'!$D$2:$D2766))"),"")</f>
        <v/>
      </c>
      <c r="F2332" s="13" t="str">
        <f>IFERROR(__xludf.DUMMYFUNCTION("ifna(filter('Yahoo ADP'!$E$2:$E2766,'Yahoo ADP'!$B$2:$B2766=$B2332,$C2332='Yahoo ADP'!$C$2:$C2766,$D2332='Yahoo ADP'!$D$2:$D2766))"),"-")</f>
        <v>-</v>
      </c>
      <c r="G2332" s="27">
        <v>2329.0</v>
      </c>
      <c r="H2332" s="8">
        <f t="shared" si="1"/>
        <v>-2</v>
      </c>
    </row>
    <row r="2333">
      <c r="A2333" s="10">
        <v>2332.0</v>
      </c>
      <c r="B2333" s="11" t="s">
        <v>5172</v>
      </c>
      <c r="C2333" s="10" t="s">
        <v>14</v>
      </c>
      <c r="D2333" s="10" t="s">
        <v>73</v>
      </c>
      <c r="E2333" s="13" t="str">
        <f>IFERROR(__xludf.DUMMYFUNCTION("ifna(filter('Yahoo ADP'!$A$2:$A2766,'Yahoo ADP'!$B$2:$B2766=$B2333,$C2333='Yahoo ADP'!$C$2:$C2766,$D2333='Yahoo ADP'!$D$2:$D2766))"),"")</f>
        <v/>
      </c>
      <c r="F2333" s="13" t="str">
        <f>IFERROR(__xludf.DUMMYFUNCTION("ifna(filter('Yahoo ADP'!$E$2:$E2766,'Yahoo ADP'!$B$2:$B2766=$B2333,$C2333='Yahoo ADP'!$C$2:$C2766,$D2333='Yahoo ADP'!$D$2:$D2766))"),"-")</f>
        <v>-</v>
      </c>
      <c r="G2333" s="27">
        <v>2330.0</v>
      </c>
      <c r="H2333" s="8">
        <f t="shared" si="1"/>
        <v>-2</v>
      </c>
    </row>
    <row r="2334">
      <c r="A2334" s="10">
        <v>2333.0</v>
      </c>
      <c r="B2334" s="11" t="s">
        <v>5173</v>
      </c>
      <c r="C2334" s="10" t="s">
        <v>14</v>
      </c>
      <c r="D2334" s="10" t="s">
        <v>206</v>
      </c>
      <c r="E2334" s="13" t="str">
        <f>IFERROR(__xludf.DUMMYFUNCTION("ifna(filter('Yahoo ADP'!$A$2:$A2766,'Yahoo ADP'!$B$2:$B2766=$B2334,$C2334='Yahoo ADP'!$C$2:$C2766,$D2334='Yahoo ADP'!$D$2:$D2766))"),"")</f>
        <v/>
      </c>
      <c r="F2334" s="13" t="str">
        <f>IFERROR(__xludf.DUMMYFUNCTION("ifna(filter('Yahoo ADP'!$E$2:$E2766,'Yahoo ADP'!$B$2:$B2766=$B2334,$C2334='Yahoo ADP'!$C$2:$C2766,$D2334='Yahoo ADP'!$D$2:$D2766))"),"-")</f>
        <v>-</v>
      </c>
      <c r="G2334" s="27">
        <v>2331.0</v>
      </c>
      <c r="H2334" s="8">
        <f t="shared" si="1"/>
        <v>-2</v>
      </c>
    </row>
    <row r="2335">
      <c r="A2335" s="10">
        <v>2334.0</v>
      </c>
      <c r="B2335" s="11" t="s">
        <v>5174</v>
      </c>
      <c r="C2335" s="10" t="s">
        <v>39</v>
      </c>
      <c r="D2335" s="10" t="s">
        <v>23</v>
      </c>
      <c r="E2335" s="13" t="str">
        <f>IFERROR(__xludf.DUMMYFUNCTION("ifna(filter('Yahoo ADP'!$A$2:$A2766,'Yahoo ADP'!$B$2:$B2766=$B2335,$C2335='Yahoo ADP'!$C$2:$C2766,$D2335='Yahoo ADP'!$D$2:$D2766))"),"")</f>
        <v/>
      </c>
      <c r="F2335" s="13" t="str">
        <f>IFERROR(__xludf.DUMMYFUNCTION("ifna(filter('Yahoo ADP'!$E$2:$E2766,'Yahoo ADP'!$B$2:$B2766=$B2335,$C2335='Yahoo ADP'!$C$2:$C2766,$D2335='Yahoo ADP'!$D$2:$D2766))"),"-")</f>
        <v>-</v>
      </c>
      <c r="G2335" s="27">
        <v>2332.0</v>
      </c>
      <c r="H2335" s="8">
        <f t="shared" si="1"/>
        <v>-2</v>
      </c>
    </row>
    <row r="2336">
      <c r="A2336" s="10">
        <v>2335.0</v>
      </c>
      <c r="B2336" s="11" t="s">
        <v>5175</v>
      </c>
      <c r="C2336" s="10" t="s">
        <v>39</v>
      </c>
      <c r="D2336" s="10" t="s">
        <v>71</v>
      </c>
      <c r="E2336" s="13" t="str">
        <f>IFERROR(__xludf.DUMMYFUNCTION("ifna(filter('Yahoo ADP'!$A$2:$A2766,'Yahoo ADP'!$B$2:$B2766=$B2336,$C2336='Yahoo ADP'!$C$2:$C2766,$D2336='Yahoo ADP'!$D$2:$D2766))"),"")</f>
        <v/>
      </c>
      <c r="F2336" s="13" t="str">
        <f>IFERROR(__xludf.DUMMYFUNCTION("ifna(filter('Yahoo ADP'!$E$2:$E2766,'Yahoo ADP'!$B$2:$B2766=$B2336,$C2336='Yahoo ADP'!$C$2:$C2766,$D2336='Yahoo ADP'!$D$2:$D2766))"),"-")</f>
        <v>-</v>
      </c>
      <c r="G2336" s="27">
        <v>2333.0</v>
      </c>
      <c r="H2336" s="8">
        <f t="shared" si="1"/>
        <v>-2</v>
      </c>
    </row>
    <row r="2337">
      <c r="A2337" s="10">
        <v>2336.0</v>
      </c>
      <c r="B2337" s="11" t="s">
        <v>5176</v>
      </c>
      <c r="C2337" s="10" t="s">
        <v>11</v>
      </c>
      <c r="D2337" s="10" t="s">
        <v>42</v>
      </c>
      <c r="E2337" s="13" t="str">
        <f>IFERROR(__xludf.DUMMYFUNCTION("ifna(filter('Yahoo ADP'!$A$2:$A2766,'Yahoo ADP'!$B$2:$B2766=$B2337,$C2337='Yahoo ADP'!$C$2:$C2766,$D2337='Yahoo ADP'!$D$2:$D2766))"),"")</f>
        <v/>
      </c>
      <c r="F2337" s="13" t="str">
        <f>IFERROR(__xludf.DUMMYFUNCTION("ifna(filter('Yahoo ADP'!$E$2:$E2766,'Yahoo ADP'!$B$2:$B2766=$B2337,$C2337='Yahoo ADP'!$C$2:$C2766,$D2337='Yahoo ADP'!$D$2:$D2766))"),"-")</f>
        <v>-</v>
      </c>
      <c r="G2337" s="27">
        <v>2334.0</v>
      </c>
      <c r="H2337" s="8">
        <f t="shared" si="1"/>
        <v>-2</v>
      </c>
    </row>
    <row r="2338">
      <c r="A2338" s="10">
        <v>2337.0</v>
      </c>
      <c r="B2338" s="11" t="s">
        <v>5177</v>
      </c>
      <c r="C2338" s="10" t="s">
        <v>14</v>
      </c>
      <c r="D2338" s="10" t="s">
        <v>12</v>
      </c>
      <c r="E2338" s="13" t="str">
        <f>IFERROR(__xludf.DUMMYFUNCTION("ifna(filter('Yahoo ADP'!$A$2:$A2766,'Yahoo ADP'!$B$2:$B2766=$B2338,$C2338='Yahoo ADP'!$C$2:$C2766,$D2338='Yahoo ADP'!$D$2:$D2766))"),"")</f>
        <v/>
      </c>
      <c r="F2338" s="13" t="str">
        <f>IFERROR(__xludf.DUMMYFUNCTION("ifna(filter('Yahoo ADP'!$E$2:$E2766,'Yahoo ADP'!$B$2:$B2766=$B2338,$C2338='Yahoo ADP'!$C$2:$C2766,$D2338='Yahoo ADP'!$D$2:$D2766))"),"-")</f>
        <v>-</v>
      </c>
      <c r="G2338" s="27">
        <v>2335.0</v>
      </c>
      <c r="H2338" s="8">
        <f t="shared" si="1"/>
        <v>-2</v>
      </c>
    </row>
    <row r="2339">
      <c r="A2339" s="10">
        <v>2338.0</v>
      </c>
      <c r="B2339" s="11" t="s">
        <v>5178</v>
      </c>
      <c r="C2339" s="10" t="s">
        <v>14</v>
      </c>
      <c r="D2339" s="10" t="s">
        <v>52</v>
      </c>
      <c r="E2339" s="13" t="str">
        <f>IFERROR(__xludf.DUMMYFUNCTION("ifna(filter('Yahoo ADP'!$A$2:$A2766,'Yahoo ADP'!$B$2:$B2766=$B2339,$C2339='Yahoo ADP'!$C$2:$C2766,$D2339='Yahoo ADP'!$D$2:$D2766))"),"")</f>
        <v/>
      </c>
      <c r="F2339" s="13" t="str">
        <f>IFERROR(__xludf.DUMMYFUNCTION("ifna(filter('Yahoo ADP'!$E$2:$E2766,'Yahoo ADP'!$B$2:$B2766=$B2339,$C2339='Yahoo ADP'!$C$2:$C2766,$D2339='Yahoo ADP'!$D$2:$D2766))"),"")</f>
        <v/>
      </c>
      <c r="G2339" s="27">
        <v>2336.0</v>
      </c>
      <c r="H2339" s="8">
        <f t="shared" si="1"/>
        <v>-2</v>
      </c>
    </row>
    <row r="2340">
      <c r="A2340" s="10">
        <v>2339.0</v>
      </c>
      <c r="B2340" s="11" t="s">
        <v>5179</v>
      </c>
      <c r="C2340" s="10" t="s">
        <v>55</v>
      </c>
      <c r="D2340" s="10" t="s">
        <v>85</v>
      </c>
      <c r="E2340" s="13" t="str">
        <f>IFERROR(__xludf.DUMMYFUNCTION("ifna(filter('Yahoo ADP'!$A$2:$A2766,'Yahoo ADP'!$B$2:$B2766=$B2340,$C2340='Yahoo ADP'!$C$2:$C2766,$D2340='Yahoo ADP'!$D$2:$D2766))"),"")</f>
        <v/>
      </c>
      <c r="F2340" s="13" t="str">
        <f>IFERROR(__xludf.DUMMYFUNCTION("ifna(filter('Yahoo ADP'!$E$2:$E2766,'Yahoo ADP'!$B$2:$B2766=$B2340,$C2340='Yahoo ADP'!$C$2:$C2766,$D2340='Yahoo ADP'!$D$2:$D2766))"),"-")</f>
        <v>-</v>
      </c>
      <c r="G2340" s="27">
        <v>2337.0</v>
      </c>
      <c r="H2340" s="8">
        <f t="shared" si="1"/>
        <v>-2</v>
      </c>
    </row>
    <row r="2341">
      <c r="A2341" s="10">
        <v>2340.0</v>
      </c>
      <c r="B2341" s="11" t="s">
        <v>5180</v>
      </c>
      <c r="C2341" s="10" t="s">
        <v>77</v>
      </c>
      <c r="D2341" s="10" t="s">
        <v>105</v>
      </c>
      <c r="E2341" s="13" t="str">
        <f>IFERROR(__xludf.DUMMYFUNCTION("ifna(filter('Yahoo ADP'!$A$2:$A2766,'Yahoo ADP'!$B$2:$B2766=$B2341,$C2341='Yahoo ADP'!$C$2:$C2766,$D2341='Yahoo ADP'!$D$2:$D2766))"),"")</f>
        <v/>
      </c>
      <c r="F2341" s="13" t="str">
        <f>IFERROR(__xludf.DUMMYFUNCTION("ifna(filter('Yahoo ADP'!$E$2:$E2766,'Yahoo ADP'!$B$2:$B2766=$B2341,$C2341='Yahoo ADP'!$C$2:$C2766,$D2341='Yahoo ADP'!$D$2:$D2766))"),"-")</f>
        <v>-</v>
      </c>
      <c r="G2341" s="27">
        <v>2338.0</v>
      </c>
      <c r="H2341" s="8">
        <f t="shared" si="1"/>
        <v>-2</v>
      </c>
    </row>
    <row r="2342">
      <c r="A2342" s="10">
        <v>2341.0</v>
      </c>
      <c r="B2342" s="11" t="s">
        <v>5181</v>
      </c>
      <c r="C2342" s="10" t="s">
        <v>55</v>
      </c>
      <c r="D2342" s="10" t="s">
        <v>49</v>
      </c>
      <c r="E2342" s="13" t="str">
        <f>IFERROR(__xludf.DUMMYFUNCTION("ifna(filter('Yahoo ADP'!$A$2:$A2766,'Yahoo ADP'!$B$2:$B2766=$B2342,$C2342='Yahoo ADP'!$C$2:$C2766,$D2342='Yahoo ADP'!$D$2:$D2766))"),"")</f>
        <v/>
      </c>
      <c r="F2342" s="13" t="str">
        <f>IFERROR(__xludf.DUMMYFUNCTION("ifna(filter('Yahoo ADP'!$E$2:$E2766,'Yahoo ADP'!$B$2:$B2766=$B2342,$C2342='Yahoo ADP'!$C$2:$C2766,$D2342='Yahoo ADP'!$D$2:$D2766))"),"-")</f>
        <v>-</v>
      </c>
      <c r="G2342" s="27">
        <v>2339.0</v>
      </c>
      <c r="H2342" s="8">
        <f t="shared" si="1"/>
        <v>-2</v>
      </c>
    </row>
    <row r="2343">
      <c r="A2343" s="10">
        <v>2342.0</v>
      </c>
      <c r="B2343" s="11" t="s">
        <v>5182</v>
      </c>
      <c r="C2343" s="10" t="s">
        <v>8</v>
      </c>
      <c r="D2343" s="10" t="s">
        <v>52</v>
      </c>
      <c r="E2343" s="13" t="str">
        <f>IFERROR(__xludf.DUMMYFUNCTION("ifna(filter('Yahoo ADP'!$A$2:$A2766,'Yahoo ADP'!$B$2:$B2766=$B2343,$C2343='Yahoo ADP'!$C$2:$C2766,$D2343='Yahoo ADP'!$D$2:$D2766))"),"")</f>
        <v/>
      </c>
      <c r="F2343" s="13" t="str">
        <f>IFERROR(__xludf.DUMMYFUNCTION("ifna(filter('Yahoo ADP'!$E$2:$E2766,'Yahoo ADP'!$B$2:$B2766=$B2343,$C2343='Yahoo ADP'!$C$2:$C2766,$D2343='Yahoo ADP'!$D$2:$D2766))"),"-")</f>
        <v>-</v>
      </c>
      <c r="G2343" s="27">
        <v>2340.0</v>
      </c>
      <c r="H2343" s="8">
        <f t="shared" si="1"/>
        <v>-2</v>
      </c>
    </row>
    <row r="2344">
      <c r="A2344" s="10">
        <v>2343.0</v>
      </c>
      <c r="B2344" s="11" t="s">
        <v>5183</v>
      </c>
      <c r="C2344" s="10" t="s">
        <v>240</v>
      </c>
      <c r="D2344" s="10" t="s">
        <v>46</v>
      </c>
      <c r="E2344" s="13" t="str">
        <f>IFERROR(__xludf.DUMMYFUNCTION("ifna(filter('Yahoo ADP'!$A$2:$A2766,'Yahoo ADP'!$B$2:$B2766=$B2344,$C2344='Yahoo ADP'!$C$2:$C2766,$D2344='Yahoo ADP'!$D$2:$D2766))"),"")</f>
        <v/>
      </c>
      <c r="F2344" s="13" t="str">
        <f>IFERROR(__xludf.DUMMYFUNCTION("ifna(filter('Yahoo ADP'!$E$2:$E2766,'Yahoo ADP'!$B$2:$B2766=$B2344,$C2344='Yahoo ADP'!$C$2:$C2766,$D2344='Yahoo ADP'!$D$2:$D2766))"),"-")</f>
        <v>-</v>
      </c>
      <c r="G2344" s="27">
        <v>2341.0</v>
      </c>
      <c r="H2344" s="8">
        <f t="shared" si="1"/>
        <v>-2</v>
      </c>
    </row>
    <row r="2345">
      <c r="A2345" s="10">
        <v>2344.0</v>
      </c>
      <c r="B2345" s="11" t="s">
        <v>5184</v>
      </c>
      <c r="C2345" s="10" t="s">
        <v>77</v>
      </c>
      <c r="D2345" s="10" t="s">
        <v>71</v>
      </c>
      <c r="E2345" s="13" t="str">
        <f>IFERROR(__xludf.DUMMYFUNCTION("ifna(filter('Yahoo ADP'!$A$2:$A2766,'Yahoo ADP'!$B$2:$B2766=$B2345,$C2345='Yahoo ADP'!$C$2:$C2766,$D2345='Yahoo ADP'!$D$2:$D2766))"),"")</f>
        <v/>
      </c>
      <c r="F2345" s="13" t="str">
        <f>IFERROR(__xludf.DUMMYFUNCTION("ifna(filter('Yahoo ADP'!$E$2:$E2766,'Yahoo ADP'!$B$2:$B2766=$B2345,$C2345='Yahoo ADP'!$C$2:$C2766,$D2345='Yahoo ADP'!$D$2:$D2766))"),"-")</f>
        <v>-</v>
      </c>
      <c r="G2345" s="27">
        <v>2342.0</v>
      </c>
      <c r="H2345" s="8">
        <f t="shared" si="1"/>
        <v>-2</v>
      </c>
    </row>
    <row r="2346">
      <c r="A2346" s="10">
        <v>2345.0</v>
      </c>
      <c r="B2346" s="11" t="s">
        <v>5185</v>
      </c>
      <c r="C2346" s="10" t="s">
        <v>14</v>
      </c>
      <c r="D2346" s="10" t="s">
        <v>85</v>
      </c>
      <c r="E2346" s="13" t="str">
        <f>IFERROR(__xludf.DUMMYFUNCTION("ifna(filter('Yahoo ADP'!$A$2:$A2766,'Yahoo ADP'!$B$2:$B2766=$B2346,$C2346='Yahoo ADP'!$C$2:$C2766,$D2346='Yahoo ADP'!$D$2:$D2766))"),"")</f>
        <v/>
      </c>
      <c r="F2346" s="13" t="str">
        <f>IFERROR(__xludf.DUMMYFUNCTION("ifna(filter('Yahoo ADP'!$E$2:$E2766,'Yahoo ADP'!$B$2:$B2766=$B2346,$C2346='Yahoo ADP'!$C$2:$C2766,$D2346='Yahoo ADP'!$D$2:$D2766))"),"-")</f>
        <v>-</v>
      </c>
      <c r="G2346" s="27">
        <v>2343.0</v>
      </c>
      <c r="H2346" s="8">
        <f t="shared" si="1"/>
        <v>-2</v>
      </c>
    </row>
    <row r="2347">
      <c r="A2347" s="10">
        <v>2346.0</v>
      </c>
      <c r="B2347" s="11" t="s">
        <v>5186</v>
      </c>
      <c r="C2347" s="10" t="s">
        <v>77</v>
      </c>
      <c r="D2347" s="10" t="s">
        <v>140</v>
      </c>
      <c r="E2347" s="13" t="str">
        <f>IFERROR(__xludf.DUMMYFUNCTION("ifna(filter('Yahoo ADP'!$A$2:$A2766,'Yahoo ADP'!$B$2:$B2766=$B2347,$C2347='Yahoo ADP'!$C$2:$C2766,$D2347='Yahoo ADP'!$D$2:$D2766))"),"")</f>
        <v/>
      </c>
      <c r="F2347" s="13" t="str">
        <f>IFERROR(__xludf.DUMMYFUNCTION("ifna(filter('Yahoo ADP'!$E$2:$E2766,'Yahoo ADP'!$B$2:$B2766=$B2347,$C2347='Yahoo ADP'!$C$2:$C2766,$D2347='Yahoo ADP'!$D$2:$D2766))"),"-")</f>
        <v>-</v>
      </c>
      <c r="G2347" s="27">
        <v>2344.0</v>
      </c>
      <c r="H2347" s="8">
        <f t="shared" si="1"/>
        <v>-2</v>
      </c>
    </row>
    <row r="2348">
      <c r="A2348" s="10">
        <v>2347.0</v>
      </c>
      <c r="B2348" s="11" t="s">
        <v>5187</v>
      </c>
      <c r="C2348" s="10" t="s">
        <v>14</v>
      </c>
      <c r="D2348" s="10" t="s">
        <v>67</v>
      </c>
      <c r="E2348" s="13" t="str">
        <f>IFERROR(__xludf.DUMMYFUNCTION("ifna(filter('Yahoo ADP'!$A$2:$A2766,'Yahoo ADP'!$B$2:$B2766=$B2348,$C2348='Yahoo ADP'!$C$2:$C2766,$D2348='Yahoo ADP'!$D$2:$D2766))"),"")</f>
        <v/>
      </c>
      <c r="F2348" s="13" t="str">
        <f>IFERROR(__xludf.DUMMYFUNCTION("ifna(filter('Yahoo ADP'!$E$2:$E2766,'Yahoo ADP'!$B$2:$B2766=$B2348,$C2348='Yahoo ADP'!$C$2:$C2766,$D2348='Yahoo ADP'!$D$2:$D2766))"),"-")</f>
        <v>-</v>
      </c>
      <c r="G2348" s="27">
        <v>2345.0</v>
      </c>
      <c r="H2348" s="8">
        <f t="shared" si="1"/>
        <v>-2</v>
      </c>
    </row>
    <row r="2349">
      <c r="A2349" s="10">
        <v>2348.0</v>
      </c>
      <c r="B2349" s="11" t="s">
        <v>5188</v>
      </c>
      <c r="C2349" s="10" t="s">
        <v>55</v>
      </c>
      <c r="D2349" s="10" t="s">
        <v>73</v>
      </c>
      <c r="E2349" s="13" t="str">
        <f>IFERROR(__xludf.DUMMYFUNCTION("ifna(filter('Yahoo ADP'!$A$2:$A2766,'Yahoo ADP'!$B$2:$B2766=$B2349,$C2349='Yahoo ADP'!$C$2:$C2766,$D2349='Yahoo ADP'!$D$2:$D2766))"),"")</f>
        <v/>
      </c>
      <c r="F2349" s="13" t="str">
        <f>IFERROR(__xludf.DUMMYFUNCTION("ifna(filter('Yahoo ADP'!$E$2:$E2766,'Yahoo ADP'!$B$2:$B2766=$B2349,$C2349='Yahoo ADP'!$C$2:$C2766,$D2349='Yahoo ADP'!$D$2:$D2766))"),"-")</f>
        <v>-</v>
      </c>
      <c r="G2349" s="27">
        <v>2346.0</v>
      </c>
      <c r="H2349" s="8">
        <f t="shared" si="1"/>
        <v>-2</v>
      </c>
    </row>
    <row r="2350">
      <c r="A2350" s="10">
        <v>2349.0</v>
      </c>
      <c r="B2350" s="11" t="s">
        <v>5189</v>
      </c>
      <c r="C2350" s="10" t="s">
        <v>39</v>
      </c>
      <c r="D2350" s="10" t="s">
        <v>140</v>
      </c>
      <c r="E2350" s="13" t="str">
        <f>IFERROR(__xludf.DUMMYFUNCTION("ifna(filter('Yahoo ADP'!$A$2:$A2766,'Yahoo ADP'!$B$2:$B2766=$B2350,$C2350='Yahoo ADP'!$C$2:$C2766,$D2350='Yahoo ADP'!$D$2:$D2766))"),"")</f>
        <v/>
      </c>
      <c r="F2350" s="13" t="str">
        <f>IFERROR(__xludf.DUMMYFUNCTION("ifna(filter('Yahoo ADP'!$E$2:$E2766,'Yahoo ADP'!$B$2:$B2766=$B2350,$C2350='Yahoo ADP'!$C$2:$C2766,$D2350='Yahoo ADP'!$D$2:$D2766))"),"-")</f>
        <v>-</v>
      </c>
      <c r="G2350" s="27">
        <v>2347.0</v>
      </c>
      <c r="H2350" s="8">
        <f t="shared" si="1"/>
        <v>-2</v>
      </c>
    </row>
    <row r="2351">
      <c r="A2351" s="10">
        <v>2350.0</v>
      </c>
      <c r="B2351" s="11" t="s">
        <v>5190</v>
      </c>
      <c r="C2351" s="10" t="s">
        <v>17</v>
      </c>
      <c r="D2351" s="10" t="s">
        <v>67</v>
      </c>
      <c r="E2351" s="13" t="str">
        <f>IFERROR(__xludf.DUMMYFUNCTION("ifna(filter('Yahoo ADP'!$A$2:$A2766,'Yahoo ADP'!$B$2:$B2766=$B2351,$C2351='Yahoo ADP'!$C$2:$C2766,$D2351='Yahoo ADP'!$D$2:$D2766))"),"")</f>
        <v/>
      </c>
      <c r="F2351" s="13" t="str">
        <f>IFERROR(__xludf.DUMMYFUNCTION("ifna(filter('Yahoo ADP'!$E$2:$E2766,'Yahoo ADP'!$B$2:$B2766=$B2351,$C2351='Yahoo ADP'!$C$2:$C2766,$D2351='Yahoo ADP'!$D$2:$D2766))"),"-")</f>
        <v>-</v>
      </c>
      <c r="G2351" s="27">
        <v>2348.0</v>
      </c>
      <c r="H2351" s="8">
        <f t="shared" si="1"/>
        <v>-2</v>
      </c>
    </row>
    <row r="2352">
      <c r="A2352" s="10">
        <v>2351.0</v>
      </c>
      <c r="B2352" s="11" t="s">
        <v>5191</v>
      </c>
      <c r="C2352" s="10" t="s">
        <v>240</v>
      </c>
      <c r="D2352" s="10" t="s">
        <v>95</v>
      </c>
      <c r="E2352" s="13" t="str">
        <f>IFERROR(__xludf.DUMMYFUNCTION("ifna(filter('Yahoo ADP'!$A$2:$A2766,'Yahoo ADP'!$B$2:$B2766=$B2352,$C2352='Yahoo ADP'!$C$2:$C2766,$D2352='Yahoo ADP'!$D$2:$D2766))"),"")</f>
        <v/>
      </c>
      <c r="F2352" s="13" t="str">
        <f>IFERROR(__xludf.DUMMYFUNCTION("ifna(filter('Yahoo ADP'!$E$2:$E2766,'Yahoo ADP'!$B$2:$B2766=$B2352,$C2352='Yahoo ADP'!$C$2:$C2766,$D2352='Yahoo ADP'!$D$2:$D2766))"),"-")</f>
        <v>-</v>
      </c>
      <c r="G2352" s="27">
        <v>2349.0</v>
      </c>
      <c r="H2352" s="8">
        <f t="shared" si="1"/>
        <v>-2</v>
      </c>
    </row>
    <row r="2353">
      <c r="A2353" s="10">
        <v>2352.0</v>
      </c>
      <c r="B2353" s="11" t="s">
        <v>5192</v>
      </c>
      <c r="C2353" s="10" t="s">
        <v>77</v>
      </c>
      <c r="D2353" s="10" t="s">
        <v>25</v>
      </c>
      <c r="E2353" s="13" t="str">
        <f>IFERROR(__xludf.DUMMYFUNCTION("ifna(filter('Yahoo ADP'!$A$2:$A2766,'Yahoo ADP'!$B$2:$B2766=$B2353,$C2353='Yahoo ADP'!$C$2:$C2766,$D2353='Yahoo ADP'!$D$2:$D2766))"),"")</f>
        <v/>
      </c>
      <c r="F2353" s="13" t="str">
        <f>IFERROR(__xludf.DUMMYFUNCTION("ifna(filter('Yahoo ADP'!$E$2:$E2766,'Yahoo ADP'!$B$2:$B2766=$B2353,$C2353='Yahoo ADP'!$C$2:$C2766,$D2353='Yahoo ADP'!$D$2:$D2766))"),"-")</f>
        <v>-</v>
      </c>
      <c r="G2353" s="27">
        <v>2350.0</v>
      </c>
      <c r="H2353" s="8">
        <f t="shared" si="1"/>
        <v>-2</v>
      </c>
    </row>
    <row r="2354">
      <c r="A2354" s="10">
        <v>2353.0</v>
      </c>
      <c r="B2354" s="11" t="s">
        <v>5193</v>
      </c>
      <c r="C2354" s="10" t="s">
        <v>39</v>
      </c>
      <c r="D2354" s="10" t="s">
        <v>99</v>
      </c>
      <c r="E2354" s="13" t="str">
        <f>IFERROR(__xludf.DUMMYFUNCTION("ifna(filter('Yahoo ADP'!$A$2:$A2766,'Yahoo ADP'!$B$2:$B2766=$B2354,$C2354='Yahoo ADP'!$C$2:$C2766,$D2354='Yahoo ADP'!$D$2:$D2766))"),"")</f>
        <v/>
      </c>
      <c r="F2354" s="13" t="str">
        <f>IFERROR(__xludf.DUMMYFUNCTION("ifna(filter('Yahoo ADP'!$E$2:$E2766,'Yahoo ADP'!$B$2:$B2766=$B2354,$C2354='Yahoo ADP'!$C$2:$C2766,$D2354='Yahoo ADP'!$D$2:$D2766))"),"-")</f>
        <v>-</v>
      </c>
      <c r="G2354" s="27">
        <v>2351.0</v>
      </c>
      <c r="H2354" s="8">
        <f t="shared" si="1"/>
        <v>-2</v>
      </c>
    </row>
    <row r="2355">
      <c r="A2355" s="10">
        <v>2354.0</v>
      </c>
      <c r="B2355" s="11" t="s">
        <v>5194</v>
      </c>
      <c r="C2355" s="10" t="s">
        <v>11</v>
      </c>
      <c r="D2355" s="10" t="s">
        <v>18</v>
      </c>
      <c r="E2355" s="13" t="str">
        <f>IFERROR(__xludf.DUMMYFUNCTION("ifna(filter('Yahoo ADP'!$A$2:$A2766,'Yahoo ADP'!$B$2:$B2766=$B2355,$C2355='Yahoo ADP'!$C$2:$C2766,$D2355='Yahoo ADP'!$D$2:$D2766))"),"")</f>
        <v/>
      </c>
      <c r="F2355" s="13" t="str">
        <f>IFERROR(__xludf.DUMMYFUNCTION("ifna(filter('Yahoo ADP'!$E$2:$E2766,'Yahoo ADP'!$B$2:$B2766=$B2355,$C2355='Yahoo ADP'!$C$2:$C2766,$D2355='Yahoo ADP'!$D$2:$D2766))"),"-")</f>
        <v>-</v>
      </c>
      <c r="G2355" s="27">
        <v>2352.0</v>
      </c>
      <c r="H2355" s="8">
        <f t="shared" si="1"/>
        <v>-2</v>
      </c>
    </row>
    <row r="2356">
      <c r="A2356" s="10">
        <v>2355.0</v>
      </c>
      <c r="B2356" s="11" t="s">
        <v>5195</v>
      </c>
      <c r="C2356" s="10" t="s">
        <v>39</v>
      </c>
      <c r="D2356" s="10" t="s">
        <v>113</v>
      </c>
      <c r="E2356" s="13" t="str">
        <f>IFERROR(__xludf.DUMMYFUNCTION("ifna(filter('Yahoo ADP'!$A$2:$A2766,'Yahoo ADP'!$B$2:$B2766=$B2356,$C2356='Yahoo ADP'!$C$2:$C2766,$D2356='Yahoo ADP'!$D$2:$D2766))"),"")</f>
        <v/>
      </c>
      <c r="F2356" s="13" t="str">
        <f>IFERROR(__xludf.DUMMYFUNCTION("ifna(filter('Yahoo ADP'!$E$2:$E2766,'Yahoo ADP'!$B$2:$B2766=$B2356,$C2356='Yahoo ADP'!$C$2:$C2766,$D2356='Yahoo ADP'!$D$2:$D2766))"),"-")</f>
        <v>-</v>
      </c>
      <c r="G2356" s="27">
        <v>2353.0</v>
      </c>
      <c r="H2356" s="8">
        <f t="shared" si="1"/>
        <v>-2</v>
      </c>
    </row>
    <row r="2357">
      <c r="A2357" s="10">
        <v>2356.0</v>
      </c>
      <c r="B2357" s="11" t="s">
        <v>5196</v>
      </c>
      <c r="C2357" s="10" t="s">
        <v>39</v>
      </c>
      <c r="D2357" s="10" t="s">
        <v>113</v>
      </c>
      <c r="E2357" s="13" t="str">
        <f>IFERROR(__xludf.DUMMYFUNCTION("ifna(filter('Yahoo ADP'!$A$2:$A2766,'Yahoo ADP'!$B$2:$B2766=$B2357,$C2357='Yahoo ADP'!$C$2:$C2766,$D2357='Yahoo ADP'!$D$2:$D2766))"),"")</f>
        <v/>
      </c>
      <c r="F2357" s="13" t="str">
        <f>IFERROR(__xludf.DUMMYFUNCTION("ifna(filter('Yahoo ADP'!$E$2:$E2766,'Yahoo ADP'!$B$2:$B2766=$B2357,$C2357='Yahoo ADP'!$C$2:$C2766,$D2357='Yahoo ADP'!$D$2:$D2766))"),"-")</f>
        <v>-</v>
      </c>
      <c r="G2357" s="27">
        <v>2354.0</v>
      </c>
      <c r="H2357" s="8">
        <f t="shared" si="1"/>
        <v>-2</v>
      </c>
    </row>
    <row r="2358">
      <c r="A2358" s="10">
        <v>2357.0</v>
      </c>
      <c r="B2358" s="11" t="s">
        <v>5197</v>
      </c>
      <c r="C2358" s="10" t="s">
        <v>14</v>
      </c>
      <c r="D2358" s="10" t="s">
        <v>113</v>
      </c>
      <c r="E2358" s="13" t="str">
        <f>IFERROR(__xludf.DUMMYFUNCTION("ifna(filter('Yahoo ADP'!$A$2:$A2766,'Yahoo ADP'!$B$2:$B2766=$B2358,$C2358='Yahoo ADP'!$C$2:$C2766,$D2358='Yahoo ADP'!$D$2:$D2766))"),"")</f>
        <v/>
      </c>
      <c r="F2358" s="13" t="str">
        <f>IFERROR(__xludf.DUMMYFUNCTION("ifna(filter('Yahoo ADP'!$E$2:$E2766,'Yahoo ADP'!$B$2:$B2766=$B2358,$C2358='Yahoo ADP'!$C$2:$C2766,$D2358='Yahoo ADP'!$D$2:$D2766))"),"-")</f>
        <v>-</v>
      </c>
      <c r="G2358" s="27">
        <v>2355.0</v>
      </c>
      <c r="H2358" s="8">
        <f t="shared" si="1"/>
        <v>-2</v>
      </c>
    </row>
    <row r="2359">
      <c r="A2359" s="10">
        <v>2358.0</v>
      </c>
      <c r="B2359" s="11" t="s">
        <v>5198</v>
      </c>
      <c r="C2359" s="10" t="s">
        <v>48</v>
      </c>
      <c r="D2359" s="10" t="s">
        <v>71</v>
      </c>
      <c r="E2359" s="13" t="str">
        <f>IFERROR(__xludf.DUMMYFUNCTION("ifna(filter('Yahoo ADP'!$A$2:$A2766,'Yahoo ADP'!$B$2:$B2766=$B2359,$C2359='Yahoo ADP'!$C$2:$C2766,$D2359='Yahoo ADP'!$D$2:$D2766))"),"")</f>
        <v/>
      </c>
      <c r="F2359" s="13" t="str">
        <f>IFERROR(__xludf.DUMMYFUNCTION("ifna(filter('Yahoo ADP'!$E$2:$E2766,'Yahoo ADP'!$B$2:$B2766=$B2359,$C2359='Yahoo ADP'!$C$2:$C2766,$D2359='Yahoo ADP'!$D$2:$D2766))"),"-")</f>
        <v>-</v>
      </c>
      <c r="G2359" s="27">
        <v>2356.0</v>
      </c>
      <c r="H2359" s="8">
        <f t="shared" si="1"/>
        <v>-2</v>
      </c>
    </row>
    <row r="2360">
      <c r="A2360" s="10">
        <v>2359.0</v>
      </c>
      <c r="B2360" s="11" t="s">
        <v>5199</v>
      </c>
      <c r="C2360" s="10" t="s">
        <v>77</v>
      </c>
      <c r="D2360" s="10" t="s">
        <v>23</v>
      </c>
      <c r="E2360" s="13" t="str">
        <f>IFERROR(__xludf.DUMMYFUNCTION("ifna(filter('Yahoo ADP'!$A$2:$A2766,'Yahoo ADP'!$B$2:$B2766=$B2360,$C2360='Yahoo ADP'!$C$2:$C2766,$D2360='Yahoo ADP'!$D$2:$D2766))"),"")</f>
        <v/>
      </c>
      <c r="F2360" s="13" t="str">
        <f>IFERROR(__xludf.DUMMYFUNCTION("ifna(filter('Yahoo ADP'!$E$2:$E2766,'Yahoo ADP'!$B$2:$B2766=$B2360,$C2360='Yahoo ADP'!$C$2:$C2766,$D2360='Yahoo ADP'!$D$2:$D2766))"),"-")</f>
        <v>-</v>
      </c>
      <c r="G2360" s="27">
        <v>2357.0</v>
      </c>
      <c r="H2360" s="8">
        <f t="shared" si="1"/>
        <v>-2</v>
      </c>
    </row>
    <row r="2361">
      <c r="A2361" s="10">
        <v>2360.0</v>
      </c>
      <c r="B2361" s="11" t="s">
        <v>5200</v>
      </c>
      <c r="C2361" s="10" t="s">
        <v>39</v>
      </c>
      <c r="D2361" s="10" t="s">
        <v>140</v>
      </c>
      <c r="E2361" s="13" t="str">
        <f>IFERROR(__xludf.DUMMYFUNCTION("ifna(filter('Yahoo ADP'!$A$2:$A2766,'Yahoo ADP'!$B$2:$B2766=$B2361,$C2361='Yahoo ADP'!$C$2:$C2766,$D2361='Yahoo ADP'!$D$2:$D2766))"),"")</f>
        <v/>
      </c>
      <c r="F2361" s="13" t="str">
        <f>IFERROR(__xludf.DUMMYFUNCTION("ifna(filter('Yahoo ADP'!$E$2:$E2766,'Yahoo ADP'!$B$2:$B2766=$B2361,$C2361='Yahoo ADP'!$C$2:$C2766,$D2361='Yahoo ADP'!$D$2:$D2766))"),"-")</f>
        <v>-</v>
      </c>
      <c r="G2361" s="27">
        <v>2358.0</v>
      </c>
      <c r="H2361" s="8">
        <f t="shared" si="1"/>
        <v>-2</v>
      </c>
    </row>
    <row r="2362">
      <c r="A2362" s="10">
        <v>2361.0</v>
      </c>
      <c r="B2362" s="11" t="s">
        <v>5201</v>
      </c>
      <c r="C2362" s="10" t="s">
        <v>77</v>
      </c>
      <c r="D2362" s="10" t="s">
        <v>95</v>
      </c>
      <c r="E2362" s="13" t="str">
        <f>IFERROR(__xludf.DUMMYFUNCTION("ifna(filter('Yahoo ADP'!$A$2:$A2766,'Yahoo ADP'!$B$2:$B2766=$B2362,$C2362='Yahoo ADP'!$C$2:$C2766,$D2362='Yahoo ADP'!$D$2:$D2766))"),"")</f>
        <v/>
      </c>
      <c r="F2362" s="13" t="str">
        <f>IFERROR(__xludf.DUMMYFUNCTION("ifna(filter('Yahoo ADP'!$E$2:$E2766,'Yahoo ADP'!$B$2:$B2766=$B2362,$C2362='Yahoo ADP'!$C$2:$C2766,$D2362='Yahoo ADP'!$D$2:$D2766))"),"-")</f>
        <v>-</v>
      </c>
      <c r="G2362" s="27">
        <v>2359.0</v>
      </c>
      <c r="H2362" s="8">
        <f t="shared" si="1"/>
        <v>-2</v>
      </c>
    </row>
    <row r="2363">
      <c r="A2363" s="10">
        <v>2362.0</v>
      </c>
      <c r="B2363" s="11" t="s">
        <v>5202</v>
      </c>
      <c r="C2363" s="10" t="s">
        <v>39</v>
      </c>
      <c r="D2363" s="10" t="s">
        <v>23</v>
      </c>
      <c r="E2363" s="13" t="str">
        <f>IFERROR(__xludf.DUMMYFUNCTION("ifna(filter('Yahoo ADP'!$A$2:$A2766,'Yahoo ADP'!$B$2:$B2766=$B2363,$C2363='Yahoo ADP'!$C$2:$C2766,$D2363='Yahoo ADP'!$D$2:$D2766))"),"")</f>
        <v/>
      </c>
      <c r="F2363" s="13" t="str">
        <f>IFERROR(__xludf.DUMMYFUNCTION("ifna(filter('Yahoo ADP'!$E$2:$E2766,'Yahoo ADP'!$B$2:$B2766=$B2363,$C2363='Yahoo ADP'!$C$2:$C2766,$D2363='Yahoo ADP'!$D$2:$D2766))"),"-")</f>
        <v>-</v>
      </c>
      <c r="G2363" s="27">
        <v>2360.0</v>
      </c>
      <c r="H2363" s="8">
        <f t="shared" si="1"/>
        <v>-2</v>
      </c>
    </row>
    <row r="2364">
      <c r="A2364" s="10">
        <v>2363.0</v>
      </c>
      <c r="B2364" s="11" t="s">
        <v>5203</v>
      </c>
      <c r="C2364" s="10" t="s">
        <v>48</v>
      </c>
      <c r="D2364" s="10" t="s">
        <v>73</v>
      </c>
      <c r="E2364" s="13" t="str">
        <f>IFERROR(__xludf.DUMMYFUNCTION("ifna(filter('Yahoo ADP'!$A$2:$A2766,'Yahoo ADP'!$B$2:$B2766=$B2364,$C2364='Yahoo ADP'!$C$2:$C2766,$D2364='Yahoo ADP'!$D$2:$D2766))"),"")</f>
        <v/>
      </c>
      <c r="F2364" s="13" t="str">
        <f>IFERROR(__xludf.DUMMYFUNCTION("ifna(filter('Yahoo ADP'!$E$2:$E2766,'Yahoo ADP'!$B$2:$B2766=$B2364,$C2364='Yahoo ADP'!$C$2:$C2766,$D2364='Yahoo ADP'!$D$2:$D2766))"),"-")</f>
        <v>-</v>
      </c>
      <c r="G2364" s="27">
        <v>2361.0</v>
      </c>
      <c r="H2364" s="8">
        <f t="shared" si="1"/>
        <v>-2</v>
      </c>
    </row>
    <row r="2365">
      <c r="A2365" s="10">
        <v>2364.0</v>
      </c>
      <c r="B2365" s="11" t="s">
        <v>5204</v>
      </c>
      <c r="C2365" s="10" t="s">
        <v>69</v>
      </c>
      <c r="D2365" s="10" t="s">
        <v>18</v>
      </c>
      <c r="E2365" s="13" t="str">
        <f>IFERROR(__xludf.DUMMYFUNCTION("ifna(filter('Yahoo ADP'!$A$2:$A2766,'Yahoo ADP'!$B$2:$B2766=$B2365,$C2365='Yahoo ADP'!$C$2:$C2766,$D2365='Yahoo ADP'!$D$2:$D2766))"),"")</f>
        <v/>
      </c>
      <c r="F2365" s="13" t="str">
        <f>IFERROR(__xludf.DUMMYFUNCTION("ifna(filter('Yahoo ADP'!$E$2:$E2766,'Yahoo ADP'!$B$2:$B2766=$B2365,$C2365='Yahoo ADP'!$C$2:$C2766,$D2365='Yahoo ADP'!$D$2:$D2766))"),"-")</f>
        <v>-</v>
      </c>
      <c r="G2365" s="27">
        <v>2362.0</v>
      </c>
      <c r="H2365" s="8">
        <f t="shared" si="1"/>
        <v>-2</v>
      </c>
    </row>
    <row r="2366">
      <c r="A2366" s="10">
        <v>2365.0</v>
      </c>
      <c r="B2366" s="11" t="s">
        <v>5205</v>
      </c>
      <c r="C2366" s="10" t="s">
        <v>11</v>
      </c>
      <c r="D2366" s="10" t="s">
        <v>95</v>
      </c>
      <c r="E2366" s="13" t="str">
        <f>IFERROR(__xludf.DUMMYFUNCTION("ifna(filter('Yahoo ADP'!$A$2:$A2766,'Yahoo ADP'!$B$2:$B2766=$B2366,$C2366='Yahoo ADP'!$C$2:$C2766,$D2366='Yahoo ADP'!$D$2:$D2766))"),"")</f>
        <v/>
      </c>
      <c r="F2366" s="13" t="str">
        <f>IFERROR(__xludf.DUMMYFUNCTION("ifna(filter('Yahoo ADP'!$E$2:$E2766,'Yahoo ADP'!$B$2:$B2766=$B2366,$C2366='Yahoo ADP'!$C$2:$C2766,$D2366='Yahoo ADP'!$D$2:$D2766))"),"-")</f>
        <v>-</v>
      </c>
      <c r="G2366" s="27">
        <v>2363.0</v>
      </c>
      <c r="H2366" s="8">
        <f t="shared" si="1"/>
        <v>-2</v>
      </c>
    </row>
    <row r="2367">
      <c r="A2367" s="10">
        <v>2366.0</v>
      </c>
      <c r="B2367" s="11" t="s">
        <v>5206</v>
      </c>
      <c r="C2367" s="10" t="s">
        <v>39</v>
      </c>
      <c r="D2367" s="10" t="s">
        <v>23</v>
      </c>
      <c r="E2367" s="13" t="str">
        <f>IFERROR(__xludf.DUMMYFUNCTION("ifna(filter('Yahoo ADP'!$A$2:$A2766,'Yahoo ADP'!$B$2:$B2766=$B2367,$C2367='Yahoo ADP'!$C$2:$C2766,$D2367='Yahoo ADP'!$D$2:$D2766))"),"")</f>
        <v/>
      </c>
      <c r="F2367" s="13" t="str">
        <f>IFERROR(__xludf.DUMMYFUNCTION("ifna(filter('Yahoo ADP'!$E$2:$E2766,'Yahoo ADP'!$B$2:$B2766=$B2367,$C2367='Yahoo ADP'!$C$2:$C2766,$D2367='Yahoo ADP'!$D$2:$D2766))"),"-")</f>
        <v>-</v>
      </c>
      <c r="G2367" s="27">
        <v>2364.0</v>
      </c>
      <c r="H2367" s="8">
        <f t="shared" si="1"/>
        <v>-2</v>
      </c>
    </row>
    <row r="2368">
      <c r="A2368" s="10">
        <v>2367.0</v>
      </c>
      <c r="B2368" s="11" t="s">
        <v>5207</v>
      </c>
      <c r="C2368" s="10" t="s">
        <v>14</v>
      </c>
      <c r="D2368" s="10" t="s">
        <v>122</v>
      </c>
      <c r="E2368" s="13" t="str">
        <f>IFERROR(__xludf.DUMMYFUNCTION("ifna(filter('Yahoo ADP'!$A$2:$A2766,'Yahoo ADP'!$B$2:$B2766=$B2368,$C2368='Yahoo ADP'!$C$2:$C2766,$D2368='Yahoo ADP'!$D$2:$D2766))"),"")</f>
        <v/>
      </c>
      <c r="F2368" s="13" t="str">
        <f>IFERROR(__xludf.DUMMYFUNCTION("ifna(filter('Yahoo ADP'!$E$2:$E2766,'Yahoo ADP'!$B$2:$B2766=$B2368,$C2368='Yahoo ADP'!$C$2:$C2766,$D2368='Yahoo ADP'!$D$2:$D2766))"),"-")</f>
        <v>-</v>
      </c>
      <c r="G2368" s="27">
        <v>2365.0</v>
      </c>
      <c r="H2368" s="8">
        <f t="shared" si="1"/>
        <v>-2</v>
      </c>
    </row>
    <row r="2369">
      <c r="A2369" s="10">
        <v>2368.0</v>
      </c>
      <c r="B2369" s="11" t="s">
        <v>5208</v>
      </c>
      <c r="C2369" s="10" t="s">
        <v>77</v>
      </c>
      <c r="D2369" s="10" t="s">
        <v>31</v>
      </c>
      <c r="E2369" s="13" t="str">
        <f>IFERROR(__xludf.DUMMYFUNCTION("ifna(filter('Yahoo ADP'!$A$2:$A2766,'Yahoo ADP'!$B$2:$B2766=$B2369,$C2369='Yahoo ADP'!$C$2:$C2766,$D2369='Yahoo ADP'!$D$2:$D2766))"),"")</f>
        <v/>
      </c>
      <c r="F2369" s="13" t="str">
        <f>IFERROR(__xludf.DUMMYFUNCTION("ifna(filter('Yahoo ADP'!$E$2:$E2766,'Yahoo ADP'!$B$2:$B2766=$B2369,$C2369='Yahoo ADP'!$C$2:$C2766,$D2369='Yahoo ADP'!$D$2:$D2766))"),"-")</f>
        <v>-</v>
      </c>
      <c r="G2369" s="27">
        <v>2366.0</v>
      </c>
      <c r="H2369" s="8">
        <f t="shared" si="1"/>
        <v>-2</v>
      </c>
    </row>
    <row r="2370">
      <c r="A2370" s="10">
        <v>2369.0</v>
      </c>
      <c r="B2370" s="11" t="s">
        <v>5209</v>
      </c>
      <c r="C2370" s="10" t="s">
        <v>11</v>
      </c>
      <c r="D2370" s="10" t="s">
        <v>71</v>
      </c>
      <c r="E2370" s="13" t="str">
        <f>IFERROR(__xludf.DUMMYFUNCTION("ifna(filter('Yahoo ADP'!$A$2:$A2766,'Yahoo ADP'!$B$2:$B2766=$B2370,$C2370='Yahoo ADP'!$C$2:$C2766,$D2370='Yahoo ADP'!$D$2:$D2766))"),"")</f>
        <v/>
      </c>
      <c r="F2370" s="13" t="str">
        <f>IFERROR(__xludf.DUMMYFUNCTION("ifna(filter('Yahoo ADP'!$E$2:$E2766,'Yahoo ADP'!$B$2:$B2766=$B2370,$C2370='Yahoo ADP'!$C$2:$C2766,$D2370='Yahoo ADP'!$D$2:$D2766))"),"-")</f>
        <v>-</v>
      </c>
      <c r="G2370" s="27">
        <v>2367.0</v>
      </c>
      <c r="H2370" s="8">
        <f t="shared" si="1"/>
        <v>-2</v>
      </c>
    </row>
    <row r="2371">
      <c r="A2371" s="10">
        <v>2370.0</v>
      </c>
      <c r="B2371" s="11" t="s">
        <v>5210</v>
      </c>
      <c r="C2371" s="10" t="s">
        <v>48</v>
      </c>
      <c r="D2371" s="10" t="s">
        <v>25</v>
      </c>
      <c r="E2371" s="13" t="str">
        <f>IFERROR(__xludf.DUMMYFUNCTION("ifna(filter('Yahoo ADP'!$A$2:$A2766,'Yahoo ADP'!$B$2:$B2766=$B2371,$C2371='Yahoo ADP'!$C$2:$C2766,$D2371='Yahoo ADP'!$D$2:$D2766))"),"")</f>
        <v/>
      </c>
      <c r="F2371" s="13" t="str">
        <f>IFERROR(__xludf.DUMMYFUNCTION("ifna(filter('Yahoo ADP'!$E$2:$E2766,'Yahoo ADP'!$B$2:$B2766=$B2371,$C2371='Yahoo ADP'!$C$2:$C2766,$D2371='Yahoo ADP'!$D$2:$D2766))"),"-")</f>
        <v>-</v>
      </c>
      <c r="G2371" s="27">
        <v>2368.0</v>
      </c>
      <c r="H2371" s="8">
        <f t="shared" si="1"/>
        <v>-2</v>
      </c>
    </row>
    <row r="2372">
      <c r="A2372" s="10">
        <v>2371.0</v>
      </c>
      <c r="B2372" s="11" t="s">
        <v>5211</v>
      </c>
      <c r="C2372" s="10" t="s">
        <v>48</v>
      </c>
      <c r="D2372" s="10" t="s">
        <v>52</v>
      </c>
      <c r="E2372" s="13" t="str">
        <f>IFERROR(__xludf.DUMMYFUNCTION("ifna(filter('Yahoo ADP'!$A$2:$A2766,'Yahoo ADP'!$B$2:$B2766=$B2372,$C2372='Yahoo ADP'!$C$2:$C2766,$D2372='Yahoo ADP'!$D$2:$D2766))"),"")</f>
        <v/>
      </c>
      <c r="F2372" s="13" t="str">
        <f>IFERROR(__xludf.DUMMYFUNCTION("ifna(filter('Yahoo ADP'!$E$2:$E2766,'Yahoo ADP'!$B$2:$B2766=$B2372,$C2372='Yahoo ADP'!$C$2:$C2766,$D2372='Yahoo ADP'!$D$2:$D2766))"),"-")</f>
        <v>-</v>
      </c>
      <c r="G2372" s="27">
        <v>2369.0</v>
      </c>
      <c r="H2372" s="8">
        <f t="shared" si="1"/>
        <v>-2</v>
      </c>
    </row>
    <row r="2373">
      <c r="A2373" s="10">
        <v>2372.0</v>
      </c>
      <c r="B2373" s="11" t="s">
        <v>5212</v>
      </c>
      <c r="C2373" s="10" t="s">
        <v>39</v>
      </c>
      <c r="D2373" s="10" t="s">
        <v>67</v>
      </c>
      <c r="E2373" s="13" t="str">
        <f>IFERROR(__xludf.DUMMYFUNCTION("ifna(filter('Yahoo ADP'!$A$2:$A2766,'Yahoo ADP'!$B$2:$B2766=$B2373,$C2373='Yahoo ADP'!$C$2:$C2766,$D2373='Yahoo ADP'!$D$2:$D2766))"),"")</f>
        <v/>
      </c>
      <c r="F2373" s="13" t="str">
        <f>IFERROR(__xludf.DUMMYFUNCTION("ifna(filter('Yahoo ADP'!$E$2:$E2766,'Yahoo ADP'!$B$2:$B2766=$B2373,$C2373='Yahoo ADP'!$C$2:$C2766,$D2373='Yahoo ADP'!$D$2:$D2766))"),"-")</f>
        <v>-</v>
      </c>
      <c r="G2373" s="27">
        <v>2370.0</v>
      </c>
      <c r="H2373" s="8">
        <f t="shared" si="1"/>
        <v>-2</v>
      </c>
    </row>
    <row r="2374">
      <c r="A2374" s="10">
        <v>2373.0</v>
      </c>
      <c r="B2374" s="11" t="s">
        <v>5213</v>
      </c>
      <c r="C2374" s="10" t="s">
        <v>14</v>
      </c>
      <c r="D2374" s="10" t="s">
        <v>25</v>
      </c>
      <c r="E2374" s="13" t="str">
        <f>IFERROR(__xludf.DUMMYFUNCTION("ifna(filter('Yahoo ADP'!$A$2:$A2766,'Yahoo ADP'!$B$2:$B2766=$B2374,$C2374='Yahoo ADP'!$C$2:$C2766,$D2374='Yahoo ADP'!$D$2:$D2766))"),"")</f>
        <v/>
      </c>
      <c r="F2374" s="13" t="str">
        <f>IFERROR(__xludf.DUMMYFUNCTION("ifna(filter('Yahoo ADP'!$E$2:$E2766,'Yahoo ADP'!$B$2:$B2766=$B2374,$C2374='Yahoo ADP'!$C$2:$C2766,$D2374='Yahoo ADP'!$D$2:$D2766))"),"-")</f>
        <v>-</v>
      </c>
      <c r="G2374" s="27">
        <v>2371.0</v>
      </c>
      <c r="H2374" s="8">
        <f t="shared" si="1"/>
        <v>-2</v>
      </c>
    </row>
    <row r="2375">
      <c r="A2375" s="10">
        <v>2374.0</v>
      </c>
      <c r="B2375" s="11" t="s">
        <v>5214</v>
      </c>
      <c r="C2375" s="10" t="s">
        <v>14</v>
      </c>
      <c r="D2375" s="10" t="s">
        <v>137</v>
      </c>
      <c r="E2375" s="13" t="str">
        <f>IFERROR(__xludf.DUMMYFUNCTION("ifna(filter('Yahoo ADP'!$A$2:$A2766,'Yahoo ADP'!$B$2:$B2766=$B2375,$C2375='Yahoo ADP'!$C$2:$C2766,$D2375='Yahoo ADP'!$D$2:$D2766))"),"")</f>
        <v/>
      </c>
      <c r="F2375" s="13" t="str">
        <f>IFERROR(__xludf.DUMMYFUNCTION("ifna(filter('Yahoo ADP'!$E$2:$E2766,'Yahoo ADP'!$B$2:$B2766=$B2375,$C2375='Yahoo ADP'!$C$2:$C2766,$D2375='Yahoo ADP'!$D$2:$D2766))"),"-")</f>
        <v>-</v>
      </c>
      <c r="G2375" s="27">
        <v>2372.0</v>
      </c>
      <c r="H2375" s="8">
        <f t="shared" si="1"/>
        <v>-2</v>
      </c>
    </row>
    <row r="2376">
      <c r="A2376" s="10">
        <v>2375.0</v>
      </c>
      <c r="B2376" s="11" t="s">
        <v>5215</v>
      </c>
      <c r="C2376" s="10" t="s">
        <v>11</v>
      </c>
      <c r="D2376" s="10" t="s">
        <v>46</v>
      </c>
      <c r="E2376" s="13" t="str">
        <f>IFERROR(__xludf.DUMMYFUNCTION("ifna(filter('Yahoo ADP'!$A$2:$A2766,'Yahoo ADP'!$B$2:$B2766=$B2376,$C2376='Yahoo ADP'!$C$2:$C2766,$D2376='Yahoo ADP'!$D$2:$D2766))"),"")</f>
        <v/>
      </c>
      <c r="F2376" s="13" t="str">
        <f>IFERROR(__xludf.DUMMYFUNCTION("ifna(filter('Yahoo ADP'!$E$2:$E2766,'Yahoo ADP'!$B$2:$B2766=$B2376,$C2376='Yahoo ADP'!$C$2:$C2766,$D2376='Yahoo ADP'!$D$2:$D2766))"),"-")</f>
        <v>-</v>
      </c>
      <c r="G2376" s="27">
        <v>2373.0</v>
      </c>
      <c r="H2376" s="8">
        <f t="shared" si="1"/>
        <v>-2</v>
      </c>
    </row>
    <row r="2377">
      <c r="A2377" s="10">
        <v>2376.0</v>
      </c>
      <c r="B2377" s="11" t="s">
        <v>5216</v>
      </c>
      <c r="C2377" s="10" t="s">
        <v>77</v>
      </c>
      <c r="D2377" s="10" t="s">
        <v>129</v>
      </c>
      <c r="E2377" s="13" t="str">
        <f>IFERROR(__xludf.DUMMYFUNCTION("ifna(filter('Yahoo ADP'!$A$2:$A2766,'Yahoo ADP'!$B$2:$B2766=$B2377,$C2377='Yahoo ADP'!$C$2:$C2766,$D2377='Yahoo ADP'!$D$2:$D2766))"),"")</f>
        <v/>
      </c>
      <c r="F2377" s="13" t="str">
        <f>IFERROR(__xludf.DUMMYFUNCTION("ifna(filter('Yahoo ADP'!$E$2:$E2766,'Yahoo ADP'!$B$2:$B2766=$B2377,$C2377='Yahoo ADP'!$C$2:$C2766,$D2377='Yahoo ADP'!$D$2:$D2766))"),"-")</f>
        <v>-</v>
      </c>
      <c r="G2377" s="27">
        <v>2374.0</v>
      </c>
      <c r="H2377" s="8">
        <f t="shared" si="1"/>
        <v>-2</v>
      </c>
    </row>
    <row r="2378">
      <c r="A2378" s="10">
        <v>2377.0</v>
      </c>
      <c r="B2378" s="11" t="s">
        <v>5217</v>
      </c>
      <c r="C2378" s="10" t="s">
        <v>8</v>
      </c>
      <c r="D2378" s="10" t="s">
        <v>12</v>
      </c>
      <c r="E2378" s="13" t="str">
        <f>IFERROR(__xludf.DUMMYFUNCTION("ifna(filter('Yahoo ADP'!$A$2:$A2766,'Yahoo ADP'!$B$2:$B2766=$B2378,$C2378='Yahoo ADP'!$C$2:$C2766,$D2378='Yahoo ADP'!$D$2:$D2766))"),"")</f>
        <v/>
      </c>
      <c r="F2378" s="13" t="str">
        <f>IFERROR(__xludf.DUMMYFUNCTION("ifna(filter('Yahoo ADP'!$E$2:$E2766,'Yahoo ADP'!$B$2:$B2766=$B2378,$C2378='Yahoo ADP'!$C$2:$C2766,$D2378='Yahoo ADP'!$D$2:$D2766))"),"-")</f>
        <v>-</v>
      </c>
      <c r="G2378" s="27">
        <v>2375.0</v>
      </c>
      <c r="H2378" s="8">
        <f t="shared" si="1"/>
        <v>-2</v>
      </c>
    </row>
    <row r="2379">
      <c r="A2379" s="10">
        <v>2378.0</v>
      </c>
      <c r="B2379" s="11" t="s">
        <v>5218</v>
      </c>
      <c r="C2379" s="10" t="s">
        <v>48</v>
      </c>
      <c r="D2379" s="10" t="s">
        <v>113</v>
      </c>
      <c r="E2379" s="13" t="str">
        <f>IFERROR(__xludf.DUMMYFUNCTION("ifna(filter('Yahoo ADP'!$A$2:$A2766,'Yahoo ADP'!$B$2:$B2766=$B2379,$C2379='Yahoo ADP'!$C$2:$C2766,$D2379='Yahoo ADP'!$D$2:$D2766))"),"")</f>
        <v/>
      </c>
      <c r="F2379" s="13" t="str">
        <f>IFERROR(__xludf.DUMMYFUNCTION("ifna(filter('Yahoo ADP'!$E$2:$E2766,'Yahoo ADP'!$B$2:$B2766=$B2379,$C2379='Yahoo ADP'!$C$2:$C2766,$D2379='Yahoo ADP'!$D$2:$D2766))"),"-")</f>
        <v>-</v>
      </c>
      <c r="G2379" s="27">
        <v>2376.0</v>
      </c>
      <c r="H2379" s="8">
        <f t="shared" si="1"/>
        <v>-2</v>
      </c>
    </row>
    <row r="2380">
      <c r="A2380" s="10">
        <v>2379.0</v>
      </c>
      <c r="B2380" s="11" t="s">
        <v>5219</v>
      </c>
      <c r="C2380" s="10" t="s">
        <v>77</v>
      </c>
      <c r="D2380" s="10" t="s">
        <v>18</v>
      </c>
      <c r="E2380" s="13" t="str">
        <f>IFERROR(__xludf.DUMMYFUNCTION("ifna(filter('Yahoo ADP'!$A$2:$A2766,'Yahoo ADP'!$B$2:$B2766=$B2380,$C2380='Yahoo ADP'!$C$2:$C2766,$D2380='Yahoo ADP'!$D$2:$D2766))"),"")</f>
        <v/>
      </c>
      <c r="F2380" s="13" t="str">
        <f>IFERROR(__xludf.DUMMYFUNCTION("ifna(filter('Yahoo ADP'!$E$2:$E2766,'Yahoo ADP'!$B$2:$B2766=$B2380,$C2380='Yahoo ADP'!$C$2:$C2766,$D2380='Yahoo ADP'!$D$2:$D2766))"),"-")</f>
        <v>-</v>
      </c>
      <c r="G2380" s="27">
        <v>2377.0</v>
      </c>
      <c r="H2380" s="8">
        <f t="shared" si="1"/>
        <v>-2</v>
      </c>
    </row>
    <row r="2381">
      <c r="A2381" s="10">
        <v>2380.0</v>
      </c>
      <c r="B2381" s="11" t="s">
        <v>5220</v>
      </c>
      <c r="C2381" s="10" t="s">
        <v>55</v>
      </c>
      <c r="D2381" s="10" t="s">
        <v>73</v>
      </c>
      <c r="E2381" s="13" t="str">
        <f>IFERROR(__xludf.DUMMYFUNCTION("ifna(filter('Yahoo ADP'!$A$2:$A2766,'Yahoo ADP'!$B$2:$B2766=$B2381,$C2381='Yahoo ADP'!$C$2:$C2766,$D2381='Yahoo ADP'!$D$2:$D2766))"),"")</f>
        <v/>
      </c>
      <c r="F2381" s="13" t="str">
        <f>IFERROR(__xludf.DUMMYFUNCTION("ifna(filter('Yahoo ADP'!$E$2:$E2766,'Yahoo ADP'!$B$2:$B2766=$B2381,$C2381='Yahoo ADP'!$C$2:$C2766,$D2381='Yahoo ADP'!$D$2:$D2766))"),"-")</f>
        <v>-</v>
      </c>
      <c r="G2381" s="27">
        <v>2378.0</v>
      </c>
      <c r="H2381" s="8">
        <f t="shared" si="1"/>
        <v>-2</v>
      </c>
    </row>
    <row r="2382">
      <c r="A2382" s="10">
        <v>2381.0</v>
      </c>
      <c r="B2382" s="11" t="s">
        <v>5221</v>
      </c>
      <c r="C2382" s="10" t="s">
        <v>39</v>
      </c>
      <c r="D2382" s="10" t="s">
        <v>99</v>
      </c>
      <c r="E2382" s="13" t="str">
        <f>IFERROR(__xludf.DUMMYFUNCTION("ifna(filter('Yahoo ADP'!$A$2:$A2766,'Yahoo ADP'!$B$2:$B2766=$B2382,$C2382='Yahoo ADP'!$C$2:$C2766,$D2382='Yahoo ADP'!$D$2:$D2766))"),"")</f>
        <v/>
      </c>
      <c r="F2382" s="13" t="str">
        <f>IFERROR(__xludf.DUMMYFUNCTION("ifna(filter('Yahoo ADP'!$E$2:$E2766,'Yahoo ADP'!$B$2:$B2766=$B2382,$C2382='Yahoo ADP'!$C$2:$C2766,$D2382='Yahoo ADP'!$D$2:$D2766))"),"-")</f>
        <v>-</v>
      </c>
      <c r="G2382" s="27">
        <v>2379.0</v>
      </c>
      <c r="H2382" s="8">
        <f t="shared" si="1"/>
        <v>-2</v>
      </c>
    </row>
    <row r="2383">
      <c r="A2383" s="10">
        <v>2382.0</v>
      </c>
      <c r="B2383" s="11" t="s">
        <v>5222</v>
      </c>
      <c r="C2383" s="10" t="s">
        <v>8</v>
      </c>
      <c r="D2383" s="10" t="s">
        <v>122</v>
      </c>
      <c r="E2383" s="13" t="str">
        <f>IFERROR(__xludf.DUMMYFUNCTION("ifna(filter('Yahoo ADP'!$A$2:$A2766,'Yahoo ADP'!$B$2:$B2766=$B2383,$C2383='Yahoo ADP'!$C$2:$C2766,$D2383='Yahoo ADP'!$D$2:$D2766))"),"")</f>
        <v/>
      </c>
      <c r="F2383" s="13" t="str">
        <f>IFERROR(__xludf.DUMMYFUNCTION("ifna(filter('Yahoo ADP'!$E$2:$E2766,'Yahoo ADP'!$B$2:$B2766=$B2383,$C2383='Yahoo ADP'!$C$2:$C2766,$D2383='Yahoo ADP'!$D$2:$D2766))"),"-")</f>
        <v>-</v>
      </c>
      <c r="G2383" s="27">
        <v>2380.0</v>
      </c>
      <c r="H2383" s="8">
        <f t="shared" si="1"/>
        <v>-2</v>
      </c>
    </row>
    <row r="2384">
      <c r="A2384" s="10">
        <v>2383.0</v>
      </c>
      <c r="B2384" s="11" t="s">
        <v>5223</v>
      </c>
      <c r="C2384" s="10" t="s">
        <v>14</v>
      </c>
      <c r="D2384" s="10" t="s">
        <v>23</v>
      </c>
      <c r="E2384" s="13" t="str">
        <f>IFERROR(__xludf.DUMMYFUNCTION("ifna(filter('Yahoo ADP'!$A$2:$A2766,'Yahoo ADP'!$B$2:$B2766=$B2384,$C2384='Yahoo ADP'!$C$2:$C2766,$D2384='Yahoo ADP'!$D$2:$D2766))"),"")</f>
        <v/>
      </c>
      <c r="F2384" s="13" t="str">
        <f>IFERROR(__xludf.DUMMYFUNCTION("ifna(filter('Yahoo ADP'!$E$2:$E2766,'Yahoo ADP'!$B$2:$B2766=$B2384,$C2384='Yahoo ADP'!$C$2:$C2766,$D2384='Yahoo ADP'!$D$2:$D2766))"),"-")</f>
        <v>-</v>
      </c>
      <c r="G2384" s="27">
        <v>2381.0</v>
      </c>
      <c r="H2384" s="8">
        <f t="shared" si="1"/>
        <v>-2</v>
      </c>
    </row>
    <row r="2385">
      <c r="A2385" s="10">
        <v>2384.0</v>
      </c>
      <c r="B2385" s="11" t="s">
        <v>5224</v>
      </c>
      <c r="C2385" s="10" t="s">
        <v>14</v>
      </c>
      <c r="D2385" s="10" t="s">
        <v>18</v>
      </c>
      <c r="E2385" s="13" t="str">
        <f>IFERROR(__xludf.DUMMYFUNCTION("ifna(filter('Yahoo ADP'!$A$2:$A2766,'Yahoo ADP'!$B$2:$B2766=$B2385,$C2385='Yahoo ADP'!$C$2:$C2766,$D2385='Yahoo ADP'!$D$2:$D2766))"),"")</f>
        <v/>
      </c>
      <c r="F2385" s="13" t="str">
        <f>IFERROR(__xludf.DUMMYFUNCTION("ifna(filter('Yahoo ADP'!$E$2:$E2766,'Yahoo ADP'!$B$2:$B2766=$B2385,$C2385='Yahoo ADP'!$C$2:$C2766,$D2385='Yahoo ADP'!$D$2:$D2766))"),"-")</f>
        <v>-</v>
      </c>
      <c r="G2385" s="27">
        <v>2382.0</v>
      </c>
      <c r="H2385" s="8">
        <f t="shared" si="1"/>
        <v>-2</v>
      </c>
    </row>
    <row r="2386">
      <c r="A2386" s="10">
        <v>2385.0</v>
      </c>
      <c r="B2386" s="11" t="s">
        <v>5225</v>
      </c>
      <c r="C2386" s="10" t="s">
        <v>77</v>
      </c>
      <c r="D2386" s="10" t="s">
        <v>49</v>
      </c>
      <c r="E2386" s="13" t="str">
        <f>IFERROR(__xludf.DUMMYFUNCTION("ifna(filter('Yahoo ADP'!$A$2:$A2766,'Yahoo ADP'!$B$2:$B2766=$B2386,$C2386='Yahoo ADP'!$C$2:$C2766,$D2386='Yahoo ADP'!$D$2:$D2766))"),"")</f>
        <v/>
      </c>
      <c r="F2386" s="13" t="str">
        <f>IFERROR(__xludf.DUMMYFUNCTION("ifna(filter('Yahoo ADP'!$E$2:$E2766,'Yahoo ADP'!$B$2:$B2766=$B2386,$C2386='Yahoo ADP'!$C$2:$C2766,$D2386='Yahoo ADP'!$D$2:$D2766))"),"-")</f>
        <v>-</v>
      </c>
      <c r="G2386" s="27">
        <v>2383.0</v>
      </c>
      <c r="H2386" s="8">
        <f t="shared" si="1"/>
        <v>-2</v>
      </c>
    </row>
    <row r="2387">
      <c r="A2387" s="10">
        <v>2386.0</v>
      </c>
      <c r="B2387" s="11" t="s">
        <v>5226</v>
      </c>
      <c r="C2387" s="10" t="s">
        <v>20</v>
      </c>
      <c r="D2387" s="10" t="s">
        <v>49</v>
      </c>
      <c r="E2387" s="13" t="str">
        <f>IFERROR(__xludf.DUMMYFUNCTION("ifna(filter('Yahoo ADP'!$A$2:$A2766,'Yahoo ADP'!$B$2:$B2766=$B2387,$C2387='Yahoo ADP'!$C$2:$C2766,$D2387='Yahoo ADP'!$D$2:$D2766))"),"")</f>
        <v/>
      </c>
      <c r="F2387" s="13" t="str">
        <f>IFERROR(__xludf.DUMMYFUNCTION("ifna(filter('Yahoo ADP'!$E$2:$E2766,'Yahoo ADP'!$B$2:$B2766=$B2387,$C2387='Yahoo ADP'!$C$2:$C2766,$D2387='Yahoo ADP'!$D$2:$D2766))"),"-")</f>
        <v>-</v>
      </c>
      <c r="G2387" s="27">
        <v>2384.0</v>
      </c>
      <c r="H2387" s="8">
        <f t="shared" si="1"/>
        <v>-2</v>
      </c>
    </row>
    <row r="2388">
      <c r="A2388" s="10">
        <v>2387.0</v>
      </c>
      <c r="B2388" s="11" t="s">
        <v>5227</v>
      </c>
      <c r="C2388" s="10" t="s">
        <v>14</v>
      </c>
      <c r="D2388" s="10" t="s">
        <v>73</v>
      </c>
      <c r="E2388" s="13" t="str">
        <f>IFERROR(__xludf.DUMMYFUNCTION("ifna(filter('Yahoo ADP'!$A$2:$A2766,'Yahoo ADP'!$B$2:$B2766=$B2388,$C2388='Yahoo ADP'!$C$2:$C2766,$D2388='Yahoo ADP'!$D$2:$D2766))"),"")</f>
        <v/>
      </c>
      <c r="F2388" s="13" t="str">
        <f>IFERROR(__xludf.DUMMYFUNCTION("ifna(filter('Yahoo ADP'!$E$2:$E2766,'Yahoo ADP'!$B$2:$B2766=$B2388,$C2388='Yahoo ADP'!$C$2:$C2766,$D2388='Yahoo ADP'!$D$2:$D2766))"),"-")</f>
        <v>-</v>
      </c>
      <c r="G2388" s="27">
        <v>2385.0</v>
      </c>
      <c r="H2388" s="8">
        <f t="shared" si="1"/>
        <v>-2</v>
      </c>
    </row>
    <row r="2389">
      <c r="A2389" s="10">
        <v>2388.0</v>
      </c>
      <c r="B2389" s="11" t="s">
        <v>5228</v>
      </c>
      <c r="C2389" s="10" t="s">
        <v>63</v>
      </c>
      <c r="D2389" s="10" t="s">
        <v>18</v>
      </c>
      <c r="E2389" s="13" t="str">
        <f>IFERROR(__xludf.DUMMYFUNCTION("ifna(filter('Yahoo ADP'!$A$2:$A2766,'Yahoo ADP'!$B$2:$B2766=$B2389,$C2389='Yahoo ADP'!$C$2:$C2766,$D2389='Yahoo ADP'!$D$2:$D2766))"),"")</f>
        <v/>
      </c>
      <c r="F2389" s="13" t="str">
        <f>IFERROR(__xludf.DUMMYFUNCTION("ifna(filter('Yahoo ADP'!$E$2:$E2766,'Yahoo ADP'!$B$2:$B2766=$B2389,$C2389='Yahoo ADP'!$C$2:$C2766,$D2389='Yahoo ADP'!$D$2:$D2766))"),"-")</f>
        <v>-</v>
      </c>
      <c r="G2389" s="27">
        <v>2386.0</v>
      </c>
      <c r="H2389" s="8">
        <f t="shared" si="1"/>
        <v>-2</v>
      </c>
    </row>
    <row r="2390">
      <c r="A2390" s="10">
        <v>2389.0</v>
      </c>
      <c r="B2390" s="11" t="s">
        <v>5229</v>
      </c>
      <c r="C2390" s="10" t="s">
        <v>39</v>
      </c>
      <c r="D2390" s="10" t="s">
        <v>52</v>
      </c>
      <c r="E2390" s="13" t="str">
        <f>IFERROR(__xludf.DUMMYFUNCTION("ifna(filter('Yahoo ADP'!$A$2:$A2766,'Yahoo ADP'!$B$2:$B2766=$B2390,$C2390='Yahoo ADP'!$C$2:$C2766,$D2390='Yahoo ADP'!$D$2:$D2766))"),"")</f>
        <v/>
      </c>
      <c r="F2390" s="13" t="str">
        <f>IFERROR(__xludf.DUMMYFUNCTION("ifna(filter('Yahoo ADP'!$E$2:$E2766,'Yahoo ADP'!$B$2:$B2766=$B2390,$C2390='Yahoo ADP'!$C$2:$C2766,$D2390='Yahoo ADP'!$D$2:$D2766))"),"-")</f>
        <v>-</v>
      </c>
      <c r="G2390" s="27">
        <v>2387.0</v>
      </c>
      <c r="H2390" s="8">
        <f t="shared" si="1"/>
        <v>-2</v>
      </c>
    </row>
    <row r="2391">
      <c r="A2391" s="10">
        <v>2390.0</v>
      </c>
      <c r="B2391" s="11" t="s">
        <v>5230</v>
      </c>
      <c r="C2391" s="10" t="s">
        <v>14</v>
      </c>
      <c r="D2391" s="10" t="s">
        <v>15</v>
      </c>
      <c r="E2391" s="13" t="str">
        <f>IFERROR(__xludf.DUMMYFUNCTION("ifna(filter('Yahoo ADP'!$A$2:$A2766,'Yahoo ADP'!$B$2:$B2766=$B2391,$C2391='Yahoo ADP'!$C$2:$C2766,$D2391='Yahoo ADP'!$D$2:$D2766))"),"")</f>
        <v/>
      </c>
      <c r="F2391" s="13" t="str">
        <f>IFERROR(__xludf.DUMMYFUNCTION("ifna(filter('Yahoo ADP'!$E$2:$E2766,'Yahoo ADP'!$B$2:$B2766=$B2391,$C2391='Yahoo ADP'!$C$2:$C2766,$D2391='Yahoo ADP'!$D$2:$D2766))"),"-")</f>
        <v>-</v>
      </c>
      <c r="G2391" s="27">
        <v>2388.0</v>
      </c>
      <c r="H2391" s="8">
        <f t="shared" si="1"/>
        <v>-2</v>
      </c>
    </row>
    <row r="2392">
      <c r="A2392" s="10">
        <v>2391.0</v>
      </c>
      <c r="B2392" s="11" t="s">
        <v>5231</v>
      </c>
      <c r="C2392" s="10" t="s">
        <v>14</v>
      </c>
      <c r="D2392" s="10" t="s">
        <v>31</v>
      </c>
      <c r="E2392" s="13" t="str">
        <f>IFERROR(__xludf.DUMMYFUNCTION("ifna(filter('Yahoo ADP'!$A$2:$A2766,'Yahoo ADP'!$B$2:$B2766=$B2392,$C2392='Yahoo ADP'!$C$2:$C2766,$D2392='Yahoo ADP'!$D$2:$D2766))"),"")</f>
        <v/>
      </c>
      <c r="F2392" s="13" t="str">
        <f>IFERROR(__xludf.DUMMYFUNCTION("ifna(filter('Yahoo ADP'!$E$2:$E2766,'Yahoo ADP'!$B$2:$B2766=$B2392,$C2392='Yahoo ADP'!$C$2:$C2766,$D2392='Yahoo ADP'!$D$2:$D2766))"),"-")</f>
        <v>-</v>
      </c>
      <c r="G2392" s="27">
        <v>2389.0</v>
      </c>
      <c r="H2392" s="8">
        <f t="shared" si="1"/>
        <v>-2</v>
      </c>
    </row>
    <row r="2393">
      <c r="A2393" s="10">
        <v>2392.0</v>
      </c>
      <c r="B2393" s="11" t="s">
        <v>5232</v>
      </c>
      <c r="C2393" s="10" t="s">
        <v>11</v>
      </c>
      <c r="D2393" s="10" t="s">
        <v>85</v>
      </c>
      <c r="E2393" s="13" t="str">
        <f>IFERROR(__xludf.DUMMYFUNCTION("ifna(filter('Yahoo ADP'!$A$2:$A2766,'Yahoo ADP'!$B$2:$B2766=$B2393,$C2393='Yahoo ADP'!$C$2:$C2766,$D2393='Yahoo ADP'!$D$2:$D2766))"),"")</f>
        <v/>
      </c>
      <c r="F2393" s="13" t="str">
        <f>IFERROR(__xludf.DUMMYFUNCTION("ifna(filter('Yahoo ADP'!$E$2:$E2766,'Yahoo ADP'!$B$2:$B2766=$B2393,$C2393='Yahoo ADP'!$C$2:$C2766,$D2393='Yahoo ADP'!$D$2:$D2766))"),"-")</f>
        <v>-</v>
      </c>
      <c r="G2393" s="27">
        <v>2390.0</v>
      </c>
      <c r="H2393" s="8">
        <f t="shared" si="1"/>
        <v>-2</v>
      </c>
    </row>
    <row r="2394">
      <c r="A2394" s="10">
        <v>2393.0</v>
      </c>
      <c r="B2394" s="11" t="s">
        <v>5233</v>
      </c>
      <c r="C2394" s="10" t="s">
        <v>39</v>
      </c>
      <c r="D2394" s="10" t="s">
        <v>34</v>
      </c>
      <c r="E2394" s="13" t="str">
        <f>IFERROR(__xludf.DUMMYFUNCTION("ifna(filter('Yahoo ADP'!$A$2:$A2766,'Yahoo ADP'!$B$2:$B2766=$B2394,$C2394='Yahoo ADP'!$C$2:$C2766,$D2394='Yahoo ADP'!$D$2:$D2766))"),"")</f>
        <v/>
      </c>
      <c r="F2394" s="13" t="str">
        <f>IFERROR(__xludf.DUMMYFUNCTION("ifna(filter('Yahoo ADP'!$E$2:$E2766,'Yahoo ADP'!$B$2:$B2766=$B2394,$C2394='Yahoo ADP'!$C$2:$C2766,$D2394='Yahoo ADP'!$D$2:$D2766))"),"-")</f>
        <v>-</v>
      </c>
      <c r="G2394" s="27">
        <v>2391.0</v>
      </c>
      <c r="H2394" s="8">
        <f t="shared" si="1"/>
        <v>-2</v>
      </c>
    </row>
    <row r="2395">
      <c r="A2395" s="10">
        <v>2394.0</v>
      </c>
      <c r="B2395" s="11" t="s">
        <v>5234</v>
      </c>
      <c r="C2395" s="10" t="s">
        <v>77</v>
      </c>
      <c r="D2395" s="10" t="s">
        <v>140</v>
      </c>
      <c r="E2395" s="13" t="str">
        <f>IFERROR(__xludf.DUMMYFUNCTION("ifna(filter('Yahoo ADP'!$A$2:$A2766,'Yahoo ADP'!$B$2:$B2766=$B2395,$C2395='Yahoo ADP'!$C$2:$C2766,$D2395='Yahoo ADP'!$D$2:$D2766))"),"")</f>
        <v/>
      </c>
      <c r="F2395" s="13" t="str">
        <f>IFERROR(__xludf.DUMMYFUNCTION("ifna(filter('Yahoo ADP'!$E$2:$E2766,'Yahoo ADP'!$B$2:$B2766=$B2395,$C2395='Yahoo ADP'!$C$2:$C2766,$D2395='Yahoo ADP'!$D$2:$D2766))"),"-")</f>
        <v>-</v>
      </c>
      <c r="G2395" s="27">
        <v>2392.0</v>
      </c>
      <c r="H2395" s="8">
        <f t="shared" si="1"/>
        <v>-2</v>
      </c>
    </row>
    <row r="2396">
      <c r="A2396" s="10">
        <v>2395.0</v>
      </c>
      <c r="B2396" s="11" t="s">
        <v>5235</v>
      </c>
      <c r="C2396" s="10" t="s">
        <v>14</v>
      </c>
      <c r="D2396" s="10" t="s">
        <v>25</v>
      </c>
      <c r="E2396" s="13" t="str">
        <f>IFERROR(__xludf.DUMMYFUNCTION("ifna(filter('Yahoo ADP'!$A$2:$A2766,'Yahoo ADP'!$B$2:$B2766=$B2396,$C2396='Yahoo ADP'!$C$2:$C2766,$D2396='Yahoo ADP'!$D$2:$D2766))"),"")</f>
        <v/>
      </c>
      <c r="F2396" s="13" t="str">
        <f>IFERROR(__xludf.DUMMYFUNCTION("ifna(filter('Yahoo ADP'!$E$2:$E2766,'Yahoo ADP'!$B$2:$B2766=$B2396,$C2396='Yahoo ADP'!$C$2:$C2766,$D2396='Yahoo ADP'!$D$2:$D2766))"),"-")</f>
        <v>-</v>
      </c>
      <c r="G2396" s="27">
        <v>2393.0</v>
      </c>
      <c r="H2396" s="8">
        <f t="shared" si="1"/>
        <v>-2</v>
      </c>
    </row>
    <row r="2397">
      <c r="A2397" s="10">
        <v>2396.0</v>
      </c>
      <c r="B2397" s="11" t="s">
        <v>5236</v>
      </c>
      <c r="C2397" s="10" t="s">
        <v>39</v>
      </c>
      <c r="D2397" s="10" t="s">
        <v>82</v>
      </c>
      <c r="E2397" s="13" t="str">
        <f>IFERROR(__xludf.DUMMYFUNCTION("ifna(filter('Yahoo ADP'!$A$2:$A2766,'Yahoo ADP'!$B$2:$B2766=$B2397,$C2397='Yahoo ADP'!$C$2:$C2766,$D2397='Yahoo ADP'!$D$2:$D2766))"),"")</f>
        <v/>
      </c>
      <c r="F2397" s="13" t="str">
        <f>IFERROR(__xludf.DUMMYFUNCTION("ifna(filter('Yahoo ADP'!$E$2:$E2766,'Yahoo ADP'!$B$2:$B2766=$B2397,$C2397='Yahoo ADP'!$C$2:$C2766,$D2397='Yahoo ADP'!$D$2:$D2766))"),"-")</f>
        <v>-</v>
      </c>
      <c r="G2397" s="27">
        <v>2394.0</v>
      </c>
      <c r="H2397" s="8">
        <f t="shared" si="1"/>
        <v>-2</v>
      </c>
    </row>
    <row r="2398">
      <c r="A2398" s="10">
        <v>2397.0</v>
      </c>
      <c r="B2398" s="11" t="s">
        <v>5237</v>
      </c>
      <c r="C2398" s="10" t="s">
        <v>17</v>
      </c>
      <c r="D2398" s="10" t="s">
        <v>122</v>
      </c>
      <c r="E2398" s="13" t="str">
        <f>IFERROR(__xludf.DUMMYFUNCTION("ifna(filter('Yahoo ADP'!$A$2:$A2766,'Yahoo ADP'!$B$2:$B2766=$B2398,$C2398='Yahoo ADP'!$C$2:$C2766,$D2398='Yahoo ADP'!$D$2:$D2766))"),"")</f>
        <v/>
      </c>
      <c r="F2398" s="13" t="str">
        <f>IFERROR(__xludf.DUMMYFUNCTION("ifna(filter('Yahoo ADP'!$E$2:$E2766,'Yahoo ADP'!$B$2:$B2766=$B2398,$C2398='Yahoo ADP'!$C$2:$C2766,$D2398='Yahoo ADP'!$D$2:$D2766))"),"-")</f>
        <v>-</v>
      </c>
      <c r="G2398" s="27">
        <v>2395.0</v>
      </c>
      <c r="H2398" s="8">
        <f t="shared" si="1"/>
        <v>-2</v>
      </c>
    </row>
    <row r="2399">
      <c r="A2399" s="10">
        <v>2398.0</v>
      </c>
      <c r="B2399" s="11" t="s">
        <v>5238</v>
      </c>
      <c r="C2399" s="10" t="s">
        <v>39</v>
      </c>
      <c r="D2399" s="10" t="s">
        <v>71</v>
      </c>
      <c r="E2399" s="13" t="str">
        <f>IFERROR(__xludf.DUMMYFUNCTION("ifna(filter('Yahoo ADP'!$A$2:$A2766,'Yahoo ADP'!$B$2:$B2766=$B2399,$C2399='Yahoo ADP'!$C$2:$C2766,$D2399='Yahoo ADP'!$D$2:$D2766))"),"")</f>
        <v/>
      </c>
      <c r="F2399" s="13" t="str">
        <f>IFERROR(__xludf.DUMMYFUNCTION("ifna(filter('Yahoo ADP'!$E$2:$E2766,'Yahoo ADP'!$B$2:$B2766=$B2399,$C2399='Yahoo ADP'!$C$2:$C2766,$D2399='Yahoo ADP'!$D$2:$D2766))"),"-")</f>
        <v>-</v>
      </c>
      <c r="G2399" s="27">
        <v>2396.0</v>
      </c>
      <c r="H2399" s="8">
        <f t="shared" si="1"/>
        <v>-2</v>
      </c>
    </row>
    <row r="2400">
      <c r="A2400" s="10">
        <v>2399.0</v>
      </c>
      <c r="B2400" s="11" t="s">
        <v>5239</v>
      </c>
      <c r="C2400" s="10" t="s">
        <v>14</v>
      </c>
      <c r="D2400" s="10" t="s">
        <v>46</v>
      </c>
      <c r="E2400" s="13" t="str">
        <f>IFERROR(__xludf.DUMMYFUNCTION("ifna(filter('Yahoo ADP'!$A$2:$A2766,'Yahoo ADP'!$B$2:$B2766=$B2400,$C2400='Yahoo ADP'!$C$2:$C2766,$D2400='Yahoo ADP'!$D$2:$D2766))"),"")</f>
        <v/>
      </c>
      <c r="F2400" s="13" t="str">
        <f>IFERROR(__xludf.DUMMYFUNCTION("ifna(filter('Yahoo ADP'!$E$2:$E2766,'Yahoo ADP'!$B$2:$B2766=$B2400,$C2400='Yahoo ADP'!$C$2:$C2766,$D2400='Yahoo ADP'!$D$2:$D2766))"),"-")</f>
        <v>-</v>
      </c>
      <c r="G2400" s="27">
        <v>2397.0</v>
      </c>
      <c r="H2400" s="8">
        <f t="shared" si="1"/>
        <v>-2</v>
      </c>
    </row>
    <row r="2401">
      <c r="A2401" s="10">
        <v>2400.0</v>
      </c>
      <c r="B2401" s="11" t="s">
        <v>5240</v>
      </c>
      <c r="C2401" s="10" t="s">
        <v>39</v>
      </c>
      <c r="D2401" s="10" t="s">
        <v>140</v>
      </c>
      <c r="E2401" s="13" t="str">
        <f>IFERROR(__xludf.DUMMYFUNCTION("ifna(filter('Yahoo ADP'!$A$2:$A2766,'Yahoo ADP'!$B$2:$B2766=$B2401,$C2401='Yahoo ADP'!$C$2:$C2766,$D2401='Yahoo ADP'!$D$2:$D2766))"),"")</f>
        <v/>
      </c>
      <c r="F2401" s="13" t="str">
        <f>IFERROR(__xludf.DUMMYFUNCTION("ifna(filter('Yahoo ADP'!$E$2:$E2766,'Yahoo ADP'!$B$2:$B2766=$B2401,$C2401='Yahoo ADP'!$C$2:$C2766,$D2401='Yahoo ADP'!$D$2:$D2766))"),"-")</f>
        <v>-</v>
      </c>
      <c r="G2401" s="27">
        <v>2398.0</v>
      </c>
      <c r="H2401" s="8">
        <f t="shared" si="1"/>
        <v>-2</v>
      </c>
    </row>
    <row r="2402">
      <c r="A2402" s="10">
        <v>2401.0</v>
      </c>
      <c r="B2402" s="11" t="s">
        <v>5241</v>
      </c>
      <c r="C2402" s="10" t="s">
        <v>39</v>
      </c>
      <c r="D2402" s="10" t="s">
        <v>9</v>
      </c>
      <c r="E2402" s="13" t="str">
        <f>IFERROR(__xludf.DUMMYFUNCTION("ifna(filter('Yahoo ADP'!$A$2:$A2766,'Yahoo ADP'!$B$2:$B2766=$B2402,$C2402='Yahoo ADP'!$C$2:$C2766,$D2402='Yahoo ADP'!$D$2:$D2766))"),"")</f>
        <v/>
      </c>
      <c r="F2402" s="13" t="str">
        <f>IFERROR(__xludf.DUMMYFUNCTION("ifna(filter('Yahoo ADP'!$E$2:$E2766,'Yahoo ADP'!$B$2:$B2766=$B2402,$C2402='Yahoo ADP'!$C$2:$C2766,$D2402='Yahoo ADP'!$D$2:$D2766))"),"-")</f>
        <v>-</v>
      </c>
      <c r="G2402" s="27">
        <v>2399.0</v>
      </c>
      <c r="H2402" s="8">
        <f t="shared" si="1"/>
        <v>-2</v>
      </c>
    </row>
    <row r="2403">
      <c r="A2403" s="10">
        <v>2402.0</v>
      </c>
      <c r="B2403" s="11" t="s">
        <v>5242</v>
      </c>
      <c r="C2403" s="10" t="s">
        <v>14</v>
      </c>
      <c r="D2403" s="10" t="s">
        <v>27</v>
      </c>
      <c r="E2403" s="13" t="str">
        <f>IFERROR(__xludf.DUMMYFUNCTION("ifna(filter('Yahoo ADP'!$A$2:$A2766,'Yahoo ADP'!$B$2:$B2766=$B2403,$C2403='Yahoo ADP'!$C$2:$C2766,$D2403='Yahoo ADP'!$D$2:$D2766))"),"")</f>
        <v/>
      </c>
      <c r="F2403" s="13" t="str">
        <f>IFERROR(__xludf.DUMMYFUNCTION("ifna(filter('Yahoo ADP'!$E$2:$E2766,'Yahoo ADP'!$B$2:$B2766=$B2403,$C2403='Yahoo ADP'!$C$2:$C2766,$D2403='Yahoo ADP'!$D$2:$D2766))"),"-")</f>
        <v>-</v>
      </c>
      <c r="G2403" s="27">
        <v>2400.0</v>
      </c>
      <c r="H2403" s="8">
        <f t="shared" si="1"/>
        <v>-2</v>
      </c>
    </row>
    <row r="2404">
      <c r="A2404" s="10">
        <v>2403.0</v>
      </c>
      <c r="B2404" s="11" t="s">
        <v>5243</v>
      </c>
      <c r="C2404" s="10" t="s">
        <v>77</v>
      </c>
      <c r="D2404" s="10" t="s">
        <v>122</v>
      </c>
      <c r="E2404" s="13" t="str">
        <f>IFERROR(__xludf.DUMMYFUNCTION("ifna(filter('Yahoo ADP'!$A$2:$A2766,'Yahoo ADP'!$B$2:$B2766=$B2404,$C2404='Yahoo ADP'!$C$2:$C2766,$D2404='Yahoo ADP'!$D$2:$D2766))"),"")</f>
        <v/>
      </c>
      <c r="F2404" s="13" t="str">
        <f>IFERROR(__xludf.DUMMYFUNCTION("ifna(filter('Yahoo ADP'!$E$2:$E2766,'Yahoo ADP'!$B$2:$B2766=$B2404,$C2404='Yahoo ADP'!$C$2:$C2766,$D2404='Yahoo ADP'!$D$2:$D2766))"),"-")</f>
        <v>-</v>
      </c>
      <c r="G2404" s="27">
        <v>2401.0</v>
      </c>
      <c r="H2404" s="8">
        <f t="shared" si="1"/>
        <v>-2</v>
      </c>
    </row>
    <row r="2405">
      <c r="A2405" s="10">
        <v>2404.0</v>
      </c>
      <c r="B2405" s="11" t="s">
        <v>5244</v>
      </c>
      <c r="C2405" s="10" t="s">
        <v>1857</v>
      </c>
      <c r="D2405" s="10" t="s">
        <v>12</v>
      </c>
      <c r="E2405" s="13" t="str">
        <f>IFERROR(__xludf.DUMMYFUNCTION("ifna(filter('Yahoo ADP'!$A$2:$A2766,'Yahoo ADP'!$B$2:$B2766=$B2405,$C2405='Yahoo ADP'!$C$2:$C2766,$D2405='Yahoo ADP'!$D$2:$D2766))"),"")</f>
        <v/>
      </c>
      <c r="F2405" s="13" t="str">
        <f>IFERROR(__xludf.DUMMYFUNCTION("ifna(filter('Yahoo ADP'!$E$2:$E2766,'Yahoo ADP'!$B$2:$B2766=$B2405,$C2405='Yahoo ADP'!$C$2:$C2766,$D2405='Yahoo ADP'!$D$2:$D2766))"),"-")</f>
        <v>-</v>
      </c>
      <c r="G2405" s="27">
        <v>2402.0</v>
      </c>
      <c r="H2405" s="8">
        <f t="shared" si="1"/>
        <v>-2</v>
      </c>
    </row>
    <row r="2406">
      <c r="A2406" s="10">
        <v>2405.0</v>
      </c>
      <c r="B2406" s="11" t="s">
        <v>5245</v>
      </c>
      <c r="C2406" s="10" t="s">
        <v>14</v>
      </c>
      <c r="D2406" s="10" t="s">
        <v>15</v>
      </c>
      <c r="E2406" s="13" t="str">
        <f>IFERROR(__xludf.DUMMYFUNCTION("ifna(filter('Yahoo ADP'!$A$2:$A2766,'Yahoo ADP'!$B$2:$B2766=$B2406,$C2406='Yahoo ADP'!$C$2:$C2766,$D2406='Yahoo ADP'!$D$2:$D2766))"),"")</f>
        <v/>
      </c>
      <c r="F2406" s="13" t="str">
        <f>IFERROR(__xludf.DUMMYFUNCTION("ifna(filter('Yahoo ADP'!$E$2:$E2766,'Yahoo ADP'!$B$2:$B2766=$B2406,$C2406='Yahoo ADP'!$C$2:$C2766,$D2406='Yahoo ADP'!$D$2:$D2766))"),"-")</f>
        <v>-</v>
      </c>
      <c r="G2406" s="27">
        <v>2403.0</v>
      </c>
      <c r="H2406" s="8">
        <f t="shared" si="1"/>
        <v>-2</v>
      </c>
    </row>
    <row r="2407">
      <c r="A2407" s="10">
        <v>2406.0</v>
      </c>
      <c r="B2407" s="11" t="s">
        <v>5246</v>
      </c>
      <c r="C2407" s="10" t="s">
        <v>14</v>
      </c>
      <c r="D2407" s="10" t="s">
        <v>9</v>
      </c>
      <c r="E2407" s="13" t="str">
        <f>IFERROR(__xludf.DUMMYFUNCTION("ifna(filter('Yahoo ADP'!$A$2:$A2766,'Yahoo ADP'!$B$2:$B2766=$B2407,$C2407='Yahoo ADP'!$C$2:$C2766,$D2407='Yahoo ADP'!$D$2:$D2766))"),"")</f>
        <v/>
      </c>
      <c r="F2407" s="13" t="str">
        <f>IFERROR(__xludf.DUMMYFUNCTION("ifna(filter('Yahoo ADP'!$E$2:$E2766,'Yahoo ADP'!$B$2:$B2766=$B2407,$C2407='Yahoo ADP'!$C$2:$C2766,$D2407='Yahoo ADP'!$D$2:$D2766))"),"-")</f>
        <v>-</v>
      </c>
      <c r="G2407" s="27">
        <v>2404.0</v>
      </c>
      <c r="H2407" s="8">
        <f t="shared" si="1"/>
        <v>-2</v>
      </c>
    </row>
    <row r="2408">
      <c r="A2408" s="10">
        <v>2407.0</v>
      </c>
      <c r="B2408" s="11" t="s">
        <v>5247</v>
      </c>
      <c r="C2408" s="10" t="s">
        <v>14</v>
      </c>
      <c r="D2408" s="10" t="s">
        <v>52</v>
      </c>
      <c r="E2408" s="13" t="str">
        <f>IFERROR(__xludf.DUMMYFUNCTION("ifna(filter('Yahoo ADP'!$A$2:$A2766,'Yahoo ADP'!$B$2:$B2766=$B2408,$C2408='Yahoo ADP'!$C$2:$C2766,$D2408='Yahoo ADP'!$D$2:$D2766))"),"")</f>
        <v/>
      </c>
      <c r="F2408" s="13" t="str">
        <f>IFERROR(__xludf.DUMMYFUNCTION("ifna(filter('Yahoo ADP'!$E$2:$E2766,'Yahoo ADP'!$B$2:$B2766=$B2408,$C2408='Yahoo ADP'!$C$2:$C2766,$D2408='Yahoo ADP'!$D$2:$D2766))"),"-")</f>
        <v>-</v>
      </c>
      <c r="G2408" s="27">
        <v>2405.0</v>
      </c>
      <c r="H2408" s="8">
        <f t="shared" si="1"/>
        <v>-2</v>
      </c>
    </row>
    <row r="2409">
      <c r="A2409" s="10">
        <v>2408.0</v>
      </c>
      <c r="B2409" s="11" t="s">
        <v>5248</v>
      </c>
      <c r="C2409" s="10" t="s">
        <v>77</v>
      </c>
      <c r="D2409" s="10" t="s">
        <v>27</v>
      </c>
      <c r="E2409" s="13" t="str">
        <f>IFERROR(__xludf.DUMMYFUNCTION("ifna(filter('Yahoo ADP'!$A$2:$A2766,'Yahoo ADP'!$B$2:$B2766=$B2409,$C2409='Yahoo ADP'!$C$2:$C2766,$D2409='Yahoo ADP'!$D$2:$D2766))"),"")</f>
        <v/>
      </c>
      <c r="F2409" s="13" t="str">
        <f>IFERROR(__xludf.DUMMYFUNCTION("ifna(filter('Yahoo ADP'!$E$2:$E2766,'Yahoo ADP'!$B$2:$B2766=$B2409,$C2409='Yahoo ADP'!$C$2:$C2766,$D2409='Yahoo ADP'!$D$2:$D2766))"),"-")</f>
        <v>-</v>
      </c>
      <c r="G2409" s="27">
        <v>2406.0</v>
      </c>
      <c r="H2409" s="8">
        <f t="shared" si="1"/>
        <v>-2</v>
      </c>
    </row>
    <row r="2410">
      <c r="A2410" s="10">
        <v>2409.0</v>
      </c>
      <c r="B2410" s="11" t="s">
        <v>5249</v>
      </c>
      <c r="C2410" s="10" t="s">
        <v>39</v>
      </c>
      <c r="D2410" s="10" t="s">
        <v>12</v>
      </c>
      <c r="E2410" s="13" t="str">
        <f>IFERROR(__xludf.DUMMYFUNCTION("ifna(filter('Yahoo ADP'!$A$2:$A2766,'Yahoo ADP'!$B$2:$B2766=$B2410,$C2410='Yahoo ADP'!$C$2:$C2766,$D2410='Yahoo ADP'!$D$2:$D2766))"),"")</f>
        <v/>
      </c>
      <c r="F2410" s="13" t="str">
        <f>IFERROR(__xludf.DUMMYFUNCTION("ifna(filter('Yahoo ADP'!$E$2:$E2766,'Yahoo ADP'!$B$2:$B2766=$B2410,$C2410='Yahoo ADP'!$C$2:$C2766,$D2410='Yahoo ADP'!$D$2:$D2766))"),"-")</f>
        <v>-</v>
      </c>
      <c r="G2410" s="27">
        <v>2407.0</v>
      </c>
      <c r="H2410" s="8">
        <f t="shared" si="1"/>
        <v>-2</v>
      </c>
    </row>
    <row r="2411">
      <c r="A2411" s="10">
        <v>2410.0</v>
      </c>
      <c r="B2411" s="11" t="s">
        <v>5250</v>
      </c>
      <c r="C2411" s="10" t="s">
        <v>77</v>
      </c>
      <c r="D2411" s="10" t="s">
        <v>23</v>
      </c>
      <c r="E2411" s="13" t="str">
        <f>IFERROR(__xludf.DUMMYFUNCTION("ifna(filter('Yahoo ADP'!$A$2:$A2766,'Yahoo ADP'!$B$2:$B2766=$B2411,$C2411='Yahoo ADP'!$C$2:$C2766,$D2411='Yahoo ADP'!$D$2:$D2766))"),"")</f>
        <v/>
      </c>
      <c r="F2411" s="13" t="str">
        <f>IFERROR(__xludf.DUMMYFUNCTION("ifna(filter('Yahoo ADP'!$E$2:$E2766,'Yahoo ADP'!$B$2:$B2766=$B2411,$C2411='Yahoo ADP'!$C$2:$C2766,$D2411='Yahoo ADP'!$D$2:$D2766))"),"-")</f>
        <v>-</v>
      </c>
      <c r="G2411" s="27">
        <v>2408.0</v>
      </c>
      <c r="H2411" s="8">
        <f t="shared" si="1"/>
        <v>-2</v>
      </c>
    </row>
    <row r="2412">
      <c r="A2412" s="10">
        <v>2411.0</v>
      </c>
      <c r="B2412" s="11" t="s">
        <v>5251</v>
      </c>
      <c r="C2412" s="10" t="s">
        <v>39</v>
      </c>
      <c r="D2412" s="10" t="s">
        <v>71</v>
      </c>
      <c r="E2412" s="13" t="str">
        <f>IFERROR(__xludf.DUMMYFUNCTION("ifna(filter('Yahoo ADP'!$A$2:$A2766,'Yahoo ADP'!$B$2:$B2766=$B2412,$C2412='Yahoo ADP'!$C$2:$C2766,$D2412='Yahoo ADP'!$D$2:$D2766))"),"")</f>
        <v/>
      </c>
      <c r="F2412" s="13" t="str">
        <f>IFERROR(__xludf.DUMMYFUNCTION("ifna(filter('Yahoo ADP'!$E$2:$E2766,'Yahoo ADP'!$B$2:$B2766=$B2412,$C2412='Yahoo ADP'!$C$2:$C2766,$D2412='Yahoo ADP'!$D$2:$D2766))"),"-")</f>
        <v>-</v>
      </c>
      <c r="G2412" s="27">
        <v>2409.0</v>
      </c>
      <c r="H2412" s="8">
        <f t="shared" si="1"/>
        <v>-2</v>
      </c>
    </row>
    <row r="2413">
      <c r="A2413" s="10">
        <v>2412.0</v>
      </c>
      <c r="B2413" s="11" t="s">
        <v>5252</v>
      </c>
      <c r="C2413" s="10" t="s">
        <v>77</v>
      </c>
      <c r="D2413" s="10" t="s">
        <v>120</v>
      </c>
      <c r="E2413" s="13" t="str">
        <f>IFERROR(__xludf.DUMMYFUNCTION("ifna(filter('Yahoo ADP'!$A$2:$A2766,'Yahoo ADP'!$B$2:$B2766=$B2413,$C2413='Yahoo ADP'!$C$2:$C2766,$D2413='Yahoo ADP'!$D$2:$D2766))"),"")</f>
        <v/>
      </c>
      <c r="F2413" s="13" t="str">
        <f>IFERROR(__xludf.DUMMYFUNCTION("ifna(filter('Yahoo ADP'!$E$2:$E2766,'Yahoo ADP'!$B$2:$B2766=$B2413,$C2413='Yahoo ADP'!$C$2:$C2766,$D2413='Yahoo ADP'!$D$2:$D2766))"),"-")</f>
        <v>-</v>
      </c>
      <c r="G2413" s="27">
        <v>2410.0</v>
      </c>
      <c r="H2413" s="8">
        <f t="shared" si="1"/>
        <v>-2</v>
      </c>
    </row>
    <row r="2414">
      <c r="A2414" s="10">
        <v>2413.0</v>
      </c>
      <c r="B2414" s="11" t="s">
        <v>5253</v>
      </c>
      <c r="C2414" s="10" t="s">
        <v>14</v>
      </c>
      <c r="D2414" s="10" t="s">
        <v>12</v>
      </c>
      <c r="E2414" s="13" t="str">
        <f>IFERROR(__xludf.DUMMYFUNCTION("ifna(filter('Yahoo ADP'!$A$2:$A2766,'Yahoo ADP'!$B$2:$B2766=$B2414,$C2414='Yahoo ADP'!$C$2:$C2766,$D2414='Yahoo ADP'!$D$2:$D2766))"),"")</f>
        <v/>
      </c>
      <c r="F2414" s="13" t="str">
        <f>IFERROR(__xludf.DUMMYFUNCTION("ifna(filter('Yahoo ADP'!$E$2:$E2766,'Yahoo ADP'!$B$2:$B2766=$B2414,$C2414='Yahoo ADP'!$C$2:$C2766,$D2414='Yahoo ADP'!$D$2:$D2766))"),"-")</f>
        <v>-</v>
      </c>
      <c r="G2414" s="27">
        <v>2411.0</v>
      </c>
      <c r="H2414" s="8">
        <f t="shared" si="1"/>
        <v>-2</v>
      </c>
    </row>
    <row r="2415">
      <c r="A2415" s="10">
        <v>2414.0</v>
      </c>
      <c r="B2415" s="11" t="s">
        <v>5254</v>
      </c>
      <c r="C2415" s="10" t="s">
        <v>77</v>
      </c>
      <c r="D2415" s="10" t="s">
        <v>31</v>
      </c>
      <c r="E2415" s="13" t="str">
        <f>IFERROR(__xludf.DUMMYFUNCTION("ifna(filter('Yahoo ADP'!$A$2:$A2766,'Yahoo ADP'!$B$2:$B2766=$B2415,$C2415='Yahoo ADP'!$C$2:$C2766,$D2415='Yahoo ADP'!$D$2:$D2766))"),"")</f>
        <v/>
      </c>
      <c r="F2415" s="13" t="str">
        <f>IFERROR(__xludf.DUMMYFUNCTION("ifna(filter('Yahoo ADP'!$E$2:$E2766,'Yahoo ADP'!$B$2:$B2766=$B2415,$C2415='Yahoo ADP'!$C$2:$C2766,$D2415='Yahoo ADP'!$D$2:$D2766))"),"-")</f>
        <v>-</v>
      </c>
      <c r="G2415" s="27">
        <v>2412.0</v>
      </c>
      <c r="H2415" s="8">
        <f t="shared" si="1"/>
        <v>-2</v>
      </c>
    </row>
    <row r="2416">
      <c r="A2416" s="10">
        <v>2415.0</v>
      </c>
      <c r="B2416" s="11" t="s">
        <v>5255</v>
      </c>
      <c r="C2416" s="10" t="s">
        <v>17</v>
      </c>
      <c r="D2416" s="10" t="s">
        <v>36</v>
      </c>
      <c r="E2416" s="13" t="str">
        <f>IFERROR(__xludf.DUMMYFUNCTION("ifna(filter('Yahoo ADP'!$A$2:$A2766,'Yahoo ADP'!$B$2:$B2766=$B2416,$C2416='Yahoo ADP'!$C$2:$C2766,$D2416='Yahoo ADP'!$D$2:$D2766))"),"")</f>
        <v/>
      </c>
      <c r="F2416" s="13" t="str">
        <f>IFERROR(__xludf.DUMMYFUNCTION("ifna(filter('Yahoo ADP'!$E$2:$E2766,'Yahoo ADP'!$B$2:$B2766=$B2416,$C2416='Yahoo ADP'!$C$2:$C2766,$D2416='Yahoo ADP'!$D$2:$D2766))"),"-")</f>
        <v>-</v>
      </c>
      <c r="G2416" s="27">
        <v>2413.0</v>
      </c>
      <c r="H2416" s="8">
        <f t="shared" si="1"/>
        <v>-2</v>
      </c>
    </row>
    <row r="2417">
      <c r="A2417" s="10">
        <v>2416.0</v>
      </c>
      <c r="B2417" s="11" t="s">
        <v>5256</v>
      </c>
      <c r="C2417" s="10" t="s">
        <v>20</v>
      </c>
      <c r="D2417" s="10" t="s">
        <v>82</v>
      </c>
      <c r="E2417" s="13" t="str">
        <f>IFERROR(__xludf.DUMMYFUNCTION("ifna(filter('Yahoo ADP'!$A$2:$A2766,'Yahoo ADP'!$B$2:$B2766=$B2417,$C2417='Yahoo ADP'!$C$2:$C2766,$D2417='Yahoo ADP'!$D$2:$D2766))"),"")</f>
        <v/>
      </c>
      <c r="F2417" s="13" t="str">
        <f>IFERROR(__xludf.DUMMYFUNCTION("ifna(filter('Yahoo ADP'!$E$2:$E2766,'Yahoo ADP'!$B$2:$B2766=$B2417,$C2417='Yahoo ADP'!$C$2:$C2766,$D2417='Yahoo ADP'!$D$2:$D2766))"),"-")</f>
        <v>-</v>
      </c>
      <c r="G2417" s="27">
        <v>2414.0</v>
      </c>
      <c r="H2417" s="8">
        <f t="shared" si="1"/>
        <v>-2</v>
      </c>
    </row>
    <row r="2418">
      <c r="A2418" s="10">
        <v>2417.0</v>
      </c>
      <c r="B2418" s="11" t="s">
        <v>5257</v>
      </c>
      <c r="C2418" s="10" t="s">
        <v>77</v>
      </c>
      <c r="D2418" s="10" t="s">
        <v>140</v>
      </c>
      <c r="E2418" s="13" t="str">
        <f>IFERROR(__xludf.DUMMYFUNCTION("ifna(filter('Yahoo ADP'!$A$2:$A2766,'Yahoo ADP'!$B$2:$B2766=$B2418,$C2418='Yahoo ADP'!$C$2:$C2766,$D2418='Yahoo ADP'!$D$2:$D2766))"),"")</f>
        <v/>
      </c>
      <c r="F2418" s="13" t="str">
        <f>IFERROR(__xludf.DUMMYFUNCTION("ifna(filter('Yahoo ADP'!$E$2:$E2766,'Yahoo ADP'!$B$2:$B2766=$B2418,$C2418='Yahoo ADP'!$C$2:$C2766,$D2418='Yahoo ADP'!$D$2:$D2766))"),"-")</f>
        <v>-</v>
      </c>
      <c r="G2418" s="27">
        <v>2415.0</v>
      </c>
      <c r="H2418" s="8">
        <f t="shared" si="1"/>
        <v>-2</v>
      </c>
    </row>
    <row r="2419">
      <c r="A2419" s="10">
        <v>2418.0</v>
      </c>
      <c r="B2419" s="11" t="s">
        <v>5258</v>
      </c>
      <c r="C2419" s="10" t="s">
        <v>14</v>
      </c>
      <c r="D2419" s="10" t="s">
        <v>42</v>
      </c>
      <c r="E2419" s="13" t="str">
        <f>IFERROR(__xludf.DUMMYFUNCTION("ifna(filter('Yahoo ADP'!$A$2:$A2766,'Yahoo ADP'!$B$2:$B2766=$B2419,$C2419='Yahoo ADP'!$C$2:$C2766,$D2419='Yahoo ADP'!$D$2:$D2766))"),"")</f>
        <v/>
      </c>
      <c r="F2419" s="13" t="str">
        <f>IFERROR(__xludf.DUMMYFUNCTION("ifna(filter('Yahoo ADP'!$E$2:$E2766,'Yahoo ADP'!$B$2:$B2766=$B2419,$C2419='Yahoo ADP'!$C$2:$C2766,$D2419='Yahoo ADP'!$D$2:$D2766))"),"-")</f>
        <v>-</v>
      </c>
      <c r="G2419" s="27">
        <v>2416.0</v>
      </c>
      <c r="H2419" s="8">
        <f t="shared" si="1"/>
        <v>-2</v>
      </c>
    </row>
    <row r="2420">
      <c r="A2420" s="10">
        <v>2419.0</v>
      </c>
      <c r="B2420" s="11" t="s">
        <v>5259</v>
      </c>
      <c r="C2420" s="10" t="s">
        <v>39</v>
      </c>
      <c r="D2420" s="10" t="s">
        <v>25</v>
      </c>
      <c r="E2420" s="13" t="str">
        <f>IFERROR(__xludf.DUMMYFUNCTION("ifna(filter('Yahoo ADP'!$A$2:$A2766,'Yahoo ADP'!$B$2:$B2766=$B2420,$C2420='Yahoo ADP'!$C$2:$C2766,$D2420='Yahoo ADP'!$D$2:$D2766))"),"")</f>
        <v/>
      </c>
      <c r="F2420" s="13" t="str">
        <f>IFERROR(__xludf.DUMMYFUNCTION("ifna(filter('Yahoo ADP'!$E$2:$E2766,'Yahoo ADP'!$B$2:$B2766=$B2420,$C2420='Yahoo ADP'!$C$2:$C2766,$D2420='Yahoo ADP'!$D$2:$D2766))"),"-")</f>
        <v>-</v>
      </c>
      <c r="G2420" s="27">
        <v>2417.0</v>
      </c>
      <c r="H2420" s="8">
        <f t="shared" si="1"/>
        <v>-2</v>
      </c>
    </row>
    <row r="2421">
      <c r="A2421" s="10">
        <v>2420.0</v>
      </c>
      <c r="B2421" s="11" t="s">
        <v>5260</v>
      </c>
      <c r="C2421" s="10" t="s">
        <v>48</v>
      </c>
      <c r="D2421" s="10" t="s">
        <v>95</v>
      </c>
      <c r="E2421" s="13" t="str">
        <f>IFERROR(__xludf.DUMMYFUNCTION("ifna(filter('Yahoo ADP'!$A$2:$A2766,'Yahoo ADP'!$B$2:$B2766=$B2421,$C2421='Yahoo ADP'!$C$2:$C2766,$D2421='Yahoo ADP'!$D$2:$D2766))"),"")</f>
        <v/>
      </c>
      <c r="F2421" s="13" t="str">
        <f>IFERROR(__xludf.DUMMYFUNCTION("ifna(filter('Yahoo ADP'!$E$2:$E2766,'Yahoo ADP'!$B$2:$B2766=$B2421,$C2421='Yahoo ADP'!$C$2:$C2766,$D2421='Yahoo ADP'!$D$2:$D2766))"),"-")</f>
        <v>-</v>
      </c>
      <c r="G2421" s="27">
        <v>2418.0</v>
      </c>
      <c r="H2421" s="8">
        <f t="shared" si="1"/>
        <v>-2</v>
      </c>
    </row>
    <row r="2422">
      <c r="A2422" s="10">
        <v>2421.0</v>
      </c>
      <c r="B2422" s="11" t="s">
        <v>5261</v>
      </c>
      <c r="C2422" s="10" t="s">
        <v>14</v>
      </c>
      <c r="D2422" s="10" t="s">
        <v>113</v>
      </c>
      <c r="E2422" s="13" t="str">
        <f>IFERROR(__xludf.DUMMYFUNCTION("ifna(filter('Yahoo ADP'!$A$2:$A2766,'Yahoo ADP'!$B$2:$B2766=$B2422,$C2422='Yahoo ADP'!$C$2:$C2766,$D2422='Yahoo ADP'!$D$2:$D2766))"),"")</f>
        <v/>
      </c>
      <c r="F2422" s="13" t="str">
        <f>IFERROR(__xludf.DUMMYFUNCTION("ifna(filter('Yahoo ADP'!$E$2:$E2766,'Yahoo ADP'!$B$2:$B2766=$B2422,$C2422='Yahoo ADP'!$C$2:$C2766,$D2422='Yahoo ADP'!$D$2:$D2766))"),"-")</f>
        <v>-</v>
      </c>
      <c r="G2422" s="27">
        <v>2419.0</v>
      </c>
      <c r="H2422" s="8">
        <f t="shared" si="1"/>
        <v>-2</v>
      </c>
    </row>
    <row r="2423">
      <c r="A2423" s="10">
        <v>2422.0</v>
      </c>
      <c r="B2423" s="11" t="s">
        <v>5262</v>
      </c>
      <c r="C2423" s="10" t="s">
        <v>55</v>
      </c>
      <c r="D2423" s="10" t="s">
        <v>25</v>
      </c>
      <c r="E2423" s="13" t="str">
        <f>IFERROR(__xludf.DUMMYFUNCTION("ifna(filter('Yahoo ADP'!$A$2:$A2766,'Yahoo ADP'!$B$2:$B2766=$B2423,$C2423='Yahoo ADP'!$C$2:$C2766,$D2423='Yahoo ADP'!$D$2:$D2766))"),"")</f>
        <v/>
      </c>
      <c r="F2423" s="13" t="str">
        <f>IFERROR(__xludf.DUMMYFUNCTION("ifna(filter('Yahoo ADP'!$E$2:$E2766,'Yahoo ADP'!$B$2:$B2766=$B2423,$C2423='Yahoo ADP'!$C$2:$C2766,$D2423='Yahoo ADP'!$D$2:$D2766))"),"-")</f>
        <v>-</v>
      </c>
      <c r="G2423" s="27">
        <v>2420.0</v>
      </c>
      <c r="H2423" s="8">
        <f t="shared" si="1"/>
        <v>-2</v>
      </c>
    </row>
    <row r="2424">
      <c r="A2424" s="10">
        <v>2423.0</v>
      </c>
      <c r="B2424" s="11" t="s">
        <v>5263</v>
      </c>
      <c r="C2424" s="10" t="s">
        <v>17</v>
      </c>
      <c r="D2424" s="10" t="s">
        <v>23</v>
      </c>
      <c r="E2424" s="13" t="str">
        <f>IFERROR(__xludf.DUMMYFUNCTION("ifna(filter('Yahoo ADP'!$A$2:$A2766,'Yahoo ADP'!$B$2:$B2766=$B2424,$C2424='Yahoo ADP'!$C$2:$C2766,$D2424='Yahoo ADP'!$D$2:$D2766))"),"")</f>
        <v/>
      </c>
      <c r="F2424" s="13" t="str">
        <f>IFERROR(__xludf.DUMMYFUNCTION("ifna(filter('Yahoo ADP'!$E$2:$E2766,'Yahoo ADP'!$B$2:$B2766=$B2424,$C2424='Yahoo ADP'!$C$2:$C2766,$D2424='Yahoo ADP'!$D$2:$D2766))"),"-")</f>
        <v>-</v>
      </c>
      <c r="G2424" s="27">
        <v>2421.0</v>
      </c>
      <c r="H2424" s="8">
        <f t="shared" si="1"/>
        <v>-2</v>
      </c>
    </row>
    <row r="2425">
      <c r="A2425" s="10">
        <v>2424.0</v>
      </c>
      <c r="B2425" s="11" t="s">
        <v>5264</v>
      </c>
      <c r="C2425" s="10" t="s">
        <v>2520</v>
      </c>
      <c r="D2425" s="10" t="s">
        <v>18</v>
      </c>
      <c r="E2425" s="13" t="str">
        <f>IFERROR(__xludf.DUMMYFUNCTION("ifna(filter('Yahoo ADP'!$A$2:$A2766,'Yahoo ADP'!$B$2:$B2766=$B2425,$C2425='Yahoo ADP'!$C$2:$C2766,$D2425='Yahoo ADP'!$D$2:$D2766))"),"")</f>
        <v/>
      </c>
      <c r="F2425" s="13" t="str">
        <f>IFERROR(__xludf.DUMMYFUNCTION("ifna(filter('Yahoo ADP'!$E$2:$E2766,'Yahoo ADP'!$B$2:$B2766=$B2425,$C2425='Yahoo ADP'!$C$2:$C2766,$D2425='Yahoo ADP'!$D$2:$D2766))"),"-")</f>
        <v>-</v>
      </c>
      <c r="G2425" s="27">
        <v>2422.0</v>
      </c>
      <c r="H2425" s="8">
        <f t="shared" si="1"/>
        <v>-2</v>
      </c>
    </row>
    <row r="2426">
      <c r="A2426" s="10">
        <v>2425.0</v>
      </c>
      <c r="B2426" s="11" t="s">
        <v>5265</v>
      </c>
      <c r="C2426" s="10" t="s">
        <v>77</v>
      </c>
      <c r="D2426" s="10" t="s">
        <v>85</v>
      </c>
      <c r="E2426" s="13" t="str">
        <f>IFERROR(__xludf.DUMMYFUNCTION("ifna(filter('Yahoo ADP'!$A$2:$A2766,'Yahoo ADP'!$B$2:$B2766=$B2426,$C2426='Yahoo ADP'!$C$2:$C2766,$D2426='Yahoo ADP'!$D$2:$D2766))"),"")</f>
        <v/>
      </c>
      <c r="F2426" s="13" t="str">
        <f>IFERROR(__xludf.DUMMYFUNCTION("ifna(filter('Yahoo ADP'!$E$2:$E2766,'Yahoo ADP'!$B$2:$B2766=$B2426,$C2426='Yahoo ADP'!$C$2:$C2766,$D2426='Yahoo ADP'!$D$2:$D2766))"),"-")</f>
        <v>-</v>
      </c>
      <c r="G2426" s="27">
        <v>2423.0</v>
      </c>
      <c r="H2426" s="8">
        <f t="shared" si="1"/>
        <v>-2</v>
      </c>
    </row>
    <row r="2427">
      <c r="A2427" s="10">
        <v>2426.0</v>
      </c>
      <c r="B2427" s="11" t="s">
        <v>5266</v>
      </c>
      <c r="C2427" s="10" t="s">
        <v>240</v>
      </c>
      <c r="D2427" s="10" t="s">
        <v>31</v>
      </c>
      <c r="E2427" s="13" t="str">
        <f>IFERROR(__xludf.DUMMYFUNCTION("ifna(filter('Yahoo ADP'!$A$2:$A2766,'Yahoo ADP'!$B$2:$B2766=$B2427,$C2427='Yahoo ADP'!$C$2:$C2766,$D2427='Yahoo ADP'!$D$2:$D2766))"),"")</f>
        <v/>
      </c>
      <c r="F2427" s="13" t="str">
        <f>IFERROR(__xludf.DUMMYFUNCTION("ifna(filter('Yahoo ADP'!$E$2:$E2766,'Yahoo ADP'!$B$2:$B2766=$B2427,$C2427='Yahoo ADP'!$C$2:$C2766,$D2427='Yahoo ADP'!$D$2:$D2766))"),"-")</f>
        <v>-</v>
      </c>
      <c r="G2427" s="27">
        <v>2424.0</v>
      </c>
      <c r="H2427" s="8">
        <f t="shared" si="1"/>
        <v>-2</v>
      </c>
    </row>
    <row r="2428">
      <c r="A2428" s="10">
        <v>2427.0</v>
      </c>
      <c r="B2428" s="11" t="s">
        <v>5267</v>
      </c>
      <c r="C2428" s="10" t="s">
        <v>55</v>
      </c>
      <c r="D2428" s="10" t="s">
        <v>137</v>
      </c>
      <c r="E2428" s="13" t="str">
        <f>IFERROR(__xludf.DUMMYFUNCTION("ifna(filter('Yahoo ADP'!$A$2:$A2766,'Yahoo ADP'!$B$2:$B2766=$B2428,$C2428='Yahoo ADP'!$C$2:$C2766,$D2428='Yahoo ADP'!$D$2:$D2766))"),"")</f>
        <v/>
      </c>
      <c r="F2428" s="13" t="str">
        <f>IFERROR(__xludf.DUMMYFUNCTION("ifna(filter('Yahoo ADP'!$E$2:$E2766,'Yahoo ADP'!$B$2:$B2766=$B2428,$C2428='Yahoo ADP'!$C$2:$C2766,$D2428='Yahoo ADP'!$D$2:$D2766))"),"-")</f>
        <v>-</v>
      </c>
      <c r="G2428" s="27">
        <v>2425.0</v>
      </c>
      <c r="H2428" s="8">
        <f t="shared" si="1"/>
        <v>-2</v>
      </c>
    </row>
    <row r="2429">
      <c r="A2429" s="10">
        <v>2428.0</v>
      </c>
      <c r="B2429" s="11" t="s">
        <v>5268</v>
      </c>
      <c r="C2429" s="10" t="s">
        <v>14</v>
      </c>
      <c r="D2429" s="10" t="s">
        <v>27</v>
      </c>
      <c r="E2429" s="13" t="str">
        <f>IFERROR(__xludf.DUMMYFUNCTION("ifna(filter('Yahoo ADP'!$A$2:$A2766,'Yahoo ADP'!$B$2:$B2766=$B2429,$C2429='Yahoo ADP'!$C$2:$C2766,$D2429='Yahoo ADP'!$D$2:$D2766))"),"")</f>
        <v/>
      </c>
      <c r="F2429" s="13" t="str">
        <f>IFERROR(__xludf.DUMMYFUNCTION("ifna(filter('Yahoo ADP'!$E$2:$E2766,'Yahoo ADP'!$B$2:$B2766=$B2429,$C2429='Yahoo ADP'!$C$2:$C2766,$D2429='Yahoo ADP'!$D$2:$D2766))"),"-")</f>
        <v>-</v>
      </c>
      <c r="G2429" s="27">
        <v>2426.0</v>
      </c>
      <c r="H2429" s="8">
        <f t="shared" si="1"/>
        <v>-2</v>
      </c>
    </row>
    <row r="2430">
      <c r="A2430" s="10">
        <v>2429.0</v>
      </c>
      <c r="B2430" s="11" t="s">
        <v>5269</v>
      </c>
      <c r="C2430" s="10" t="s">
        <v>39</v>
      </c>
      <c r="D2430" s="10" t="s">
        <v>27</v>
      </c>
      <c r="E2430" s="13" t="str">
        <f>IFERROR(__xludf.DUMMYFUNCTION("ifna(filter('Yahoo ADP'!$A$2:$A2766,'Yahoo ADP'!$B$2:$B2766=$B2430,$C2430='Yahoo ADP'!$C$2:$C2766,$D2430='Yahoo ADP'!$D$2:$D2766))"),"")</f>
        <v/>
      </c>
      <c r="F2430" s="13" t="str">
        <f>IFERROR(__xludf.DUMMYFUNCTION("ifna(filter('Yahoo ADP'!$E$2:$E2766,'Yahoo ADP'!$B$2:$B2766=$B2430,$C2430='Yahoo ADP'!$C$2:$C2766,$D2430='Yahoo ADP'!$D$2:$D2766))"),"-")</f>
        <v>-</v>
      </c>
      <c r="G2430" s="27">
        <v>2427.0</v>
      </c>
      <c r="H2430" s="8">
        <f t="shared" si="1"/>
        <v>-2</v>
      </c>
    </row>
    <row r="2431">
      <c r="A2431" s="10">
        <v>2430.0</v>
      </c>
      <c r="B2431" s="11" t="s">
        <v>5270</v>
      </c>
      <c r="C2431" s="10" t="s">
        <v>150</v>
      </c>
      <c r="D2431" s="10" t="s">
        <v>25</v>
      </c>
      <c r="E2431" s="13" t="str">
        <f>IFERROR(__xludf.DUMMYFUNCTION("ifna(filter('Yahoo ADP'!$A$2:$A2766,'Yahoo ADP'!$B$2:$B2766=$B2431,$C2431='Yahoo ADP'!$C$2:$C2766,$D2431='Yahoo ADP'!$D$2:$D2766))"),"")</f>
        <v/>
      </c>
      <c r="F2431" s="13" t="str">
        <f>IFERROR(__xludf.DUMMYFUNCTION("ifna(filter('Yahoo ADP'!$E$2:$E2766,'Yahoo ADP'!$B$2:$B2766=$B2431,$C2431='Yahoo ADP'!$C$2:$C2766,$D2431='Yahoo ADP'!$D$2:$D2766))"),"-")</f>
        <v>-</v>
      </c>
      <c r="G2431" s="27">
        <v>2428.0</v>
      </c>
      <c r="H2431" s="8">
        <f t="shared" si="1"/>
        <v>-2</v>
      </c>
    </row>
    <row r="2432">
      <c r="A2432" s="10">
        <v>2431.0</v>
      </c>
      <c r="B2432" s="11" t="s">
        <v>5271</v>
      </c>
      <c r="C2432" s="10" t="s">
        <v>17</v>
      </c>
      <c r="D2432" s="10" t="s">
        <v>82</v>
      </c>
      <c r="E2432" s="13" t="str">
        <f>IFERROR(__xludf.DUMMYFUNCTION("ifna(filter('Yahoo ADP'!$A$2:$A2766,'Yahoo ADP'!$B$2:$B2766=$B2432,$C2432='Yahoo ADP'!$C$2:$C2766,$D2432='Yahoo ADP'!$D$2:$D2766))"),"")</f>
        <v/>
      </c>
      <c r="F2432" s="13" t="str">
        <f>IFERROR(__xludf.DUMMYFUNCTION("ifna(filter('Yahoo ADP'!$E$2:$E2766,'Yahoo ADP'!$B$2:$B2766=$B2432,$C2432='Yahoo ADP'!$C$2:$C2766,$D2432='Yahoo ADP'!$D$2:$D2766))"),"-")</f>
        <v>-</v>
      </c>
      <c r="G2432" s="27">
        <v>2429.0</v>
      </c>
      <c r="H2432" s="8">
        <f t="shared" si="1"/>
        <v>-2</v>
      </c>
    </row>
    <row r="2433">
      <c r="A2433" s="10">
        <v>2432.0</v>
      </c>
      <c r="B2433" s="11" t="s">
        <v>5272</v>
      </c>
      <c r="C2433" s="10" t="s">
        <v>20</v>
      </c>
      <c r="D2433" s="10" t="s">
        <v>34</v>
      </c>
      <c r="E2433" s="13" t="str">
        <f>IFERROR(__xludf.DUMMYFUNCTION("ifna(filter('Yahoo ADP'!$A$2:$A2766,'Yahoo ADP'!$B$2:$B2766=$B2433,$C2433='Yahoo ADP'!$C$2:$C2766,$D2433='Yahoo ADP'!$D$2:$D2766))"),"")</f>
        <v/>
      </c>
      <c r="F2433" s="13" t="str">
        <f>IFERROR(__xludf.DUMMYFUNCTION("ifna(filter('Yahoo ADP'!$E$2:$E2766,'Yahoo ADP'!$B$2:$B2766=$B2433,$C2433='Yahoo ADP'!$C$2:$C2766,$D2433='Yahoo ADP'!$D$2:$D2766))"),"-")</f>
        <v>-</v>
      </c>
      <c r="G2433" s="27">
        <v>2430.0</v>
      </c>
      <c r="H2433" s="8">
        <f t="shared" si="1"/>
        <v>-2</v>
      </c>
    </row>
    <row r="2434">
      <c r="A2434" s="10">
        <v>2433.0</v>
      </c>
      <c r="B2434" s="11" t="s">
        <v>5273</v>
      </c>
      <c r="C2434" s="10" t="s">
        <v>39</v>
      </c>
      <c r="D2434" s="10" t="s">
        <v>12</v>
      </c>
      <c r="E2434" s="13" t="str">
        <f>IFERROR(__xludf.DUMMYFUNCTION("ifna(filter('Yahoo ADP'!$A$2:$A2766,'Yahoo ADP'!$B$2:$B2766=$B2434,$C2434='Yahoo ADP'!$C$2:$C2766,$D2434='Yahoo ADP'!$D$2:$D2766))"),"")</f>
        <v/>
      </c>
      <c r="F2434" s="13" t="str">
        <f>IFERROR(__xludf.DUMMYFUNCTION("ifna(filter('Yahoo ADP'!$E$2:$E2766,'Yahoo ADP'!$B$2:$B2766=$B2434,$C2434='Yahoo ADP'!$C$2:$C2766,$D2434='Yahoo ADP'!$D$2:$D2766))"),"-")</f>
        <v>-</v>
      </c>
      <c r="G2434" s="27">
        <v>2431.0</v>
      </c>
      <c r="H2434" s="8">
        <f t="shared" si="1"/>
        <v>-2</v>
      </c>
    </row>
    <row r="2435">
      <c r="A2435" s="10">
        <v>2434.0</v>
      </c>
      <c r="B2435" s="11" t="s">
        <v>5274</v>
      </c>
      <c r="C2435" s="10" t="s">
        <v>77</v>
      </c>
      <c r="D2435" s="10" t="s">
        <v>9</v>
      </c>
      <c r="E2435" s="13" t="str">
        <f>IFERROR(__xludf.DUMMYFUNCTION("ifna(filter('Yahoo ADP'!$A$2:$A2766,'Yahoo ADP'!$B$2:$B2766=$B2435,$C2435='Yahoo ADP'!$C$2:$C2766,$D2435='Yahoo ADP'!$D$2:$D2766))"),"")</f>
        <v/>
      </c>
      <c r="F2435" s="13" t="str">
        <f>IFERROR(__xludf.DUMMYFUNCTION("ifna(filter('Yahoo ADP'!$E$2:$E2766,'Yahoo ADP'!$B$2:$B2766=$B2435,$C2435='Yahoo ADP'!$C$2:$C2766,$D2435='Yahoo ADP'!$D$2:$D2766))"),"-")</f>
        <v>-</v>
      </c>
      <c r="G2435" s="27">
        <v>2432.0</v>
      </c>
      <c r="H2435" s="8">
        <f t="shared" si="1"/>
        <v>-2</v>
      </c>
    </row>
    <row r="2436">
      <c r="A2436" s="10">
        <v>2435.0</v>
      </c>
      <c r="B2436" s="11" t="s">
        <v>5275</v>
      </c>
      <c r="C2436" s="10" t="s">
        <v>89</v>
      </c>
      <c r="D2436" s="10" t="s">
        <v>36</v>
      </c>
      <c r="E2436" s="13" t="str">
        <f>IFERROR(__xludf.DUMMYFUNCTION("ifna(filter('Yahoo ADP'!$A$2:$A2766,'Yahoo ADP'!$B$2:$B2766=$B2436,$C2436='Yahoo ADP'!$C$2:$C2766,$D2436='Yahoo ADP'!$D$2:$D2766))"),"")</f>
        <v/>
      </c>
      <c r="F2436" s="13" t="str">
        <f>IFERROR(__xludf.DUMMYFUNCTION("ifna(filter('Yahoo ADP'!$E$2:$E2766,'Yahoo ADP'!$B$2:$B2766=$B2436,$C2436='Yahoo ADP'!$C$2:$C2766,$D2436='Yahoo ADP'!$D$2:$D2766))"),"-")</f>
        <v>-</v>
      </c>
      <c r="G2436" s="27">
        <v>2433.0</v>
      </c>
      <c r="H2436" s="8">
        <f t="shared" si="1"/>
        <v>-2</v>
      </c>
    </row>
    <row r="2437">
      <c r="A2437" s="10">
        <v>2436.0</v>
      </c>
      <c r="B2437" s="11" t="s">
        <v>5276</v>
      </c>
      <c r="C2437" s="10" t="s">
        <v>14</v>
      </c>
      <c r="D2437" s="10" t="s">
        <v>120</v>
      </c>
      <c r="E2437" s="13" t="str">
        <f>IFERROR(__xludf.DUMMYFUNCTION("ifna(filter('Yahoo ADP'!$A$2:$A2766,'Yahoo ADP'!$B$2:$B2766=$B2437,$C2437='Yahoo ADP'!$C$2:$C2766,$D2437='Yahoo ADP'!$D$2:$D2766))"),"")</f>
        <v/>
      </c>
      <c r="F2437" s="13" t="str">
        <f>IFERROR(__xludf.DUMMYFUNCTION("ifna(filter('Yahoo ADP'!$E$2:$E2766,'Yahoo ADP'!$B$2:$B2766=$B2437,$C2437='Yahoo ADP'!$C$2:$C2766,$D2437='Yahoo ADP'!$D$2:$D2766))"),"-")</f>
        <v>-</v>
      </c>
      <c r="G2437" s="27">
        <v>2434.0</v>
      </c>
      <c r="H2437" s="8">
        <f t="shared" si="1"/>
        <v>-2</v>
      </c>
    </row>
    <row r="2438">
      <c r="A2438" s="10">
        <v>2437.0</v>
      </c>
      <c r="B2438" s="11" t="s">
        <v>5277</v>
      </c>
      <c r="C2438" s="10" t="s">
        <v>48</v>
      </c>
      <c r="D2438" s="10" t="s">
        <v>206</v>
      </c>
      <c r="E2438" s="13" t="str">
        <f>IFERROR(__xludf.DUMMYFUNCTION("ifna(filter('Yahoo ADP'!$A$2:$A2766,'Yahoo ADP'!$B$2:$B2766=$B2438,$C2438='Yahoo ADP'!$C$2:$C2766,$D2438='Yahoo ADP'!$D$2:$D2766))"),"")</f>
        <v/>
      </c>
      <c r="F2438" s="13" t="str">
        <f>IFERROR(__xludf.DUMMYFUNCTION("ifna(filter('Yahoo ADP'!$E$2:$E2766,'Yahoo ADP'!$B$2:$B2766=$B2438,$C2438='Yahoo ADP'!$C$2:$C2766,$D2438='Yahoo ADP'!$D$2:$D2766))"),"-")</f>
        <v>-</v>
      </c>
      <c r="G2438" s="27">
        <v>2435.0</v>
      </c>
      <c r="H2438" s="8">
        <f t="shared" si="1"/>
        <v>-2</v>
      </c>
    </row>
    <row r="2439">
      <c r="A2439" s="10">
        <v>2438.0</v>
      </c>
      <c r="B2439" s="11" t="s">
        <v>5278</v>
      </c>
      <c r="C2439" s="10" t="s">
        <v>11</v>
      </c>
      <c r="D2439" s="10" t="s">
        <v>12</v>
      </c>
      <c r="E2439" s="13" t="str">
        <f>IFERROR(__xludf.DUMMYFUNCTION("ifna(filter('Yahoo ADP'!$A$2:$A2766,'Yahoo ADP'!$B$2:$B2766=$B2439,$C2439='Yahoo ADP'!$C$2:$C2766,$D2439='Yahoo ADP'!$D$2:$D2766))"),"")</f>
        <v/>
      </c>
      <c r="F2439" s="13" t="str">
        <f>IFERROR(__xludf.DUMMYFUNCTION("ifna(filter('Yahoo ADP'!$E$2:$E2766,'Yahoo ADP'!$B$2:$B2766=$B2439,$C2439='Yahoo ADP'!$C$2:$C2766,$D2439='Yahoo ADP'!$D$2:$D2766))"),"-")</f>
        <v>-</v>
      </c>
      <c r="G2439" s="27">
        <v>2436.0</v>
      </c>
      <c r="H2439" s="8">
        <f t="shared" si="1"/>
        <v>-2</v>
      </c>
    </row>
    <row r="2440">
      <c r="A2440" s="10">
        <v>2439.0</v>
      </c>
      <c r="B2440" s="11" t="s">
        <v>5279</v>
      </c>
      <c r="C2440" s="10" t="s">
        <v>11</v>
      </c>
      <c r="D2440" s="10" t="s">
        <v>23</v>
      </c>
      <c r="E2440" s="13" t="str">
        <f>IFERROR(__xludf.DUMMYFUNCTION("ifna(filter('Yahoo ADP'!$A$2:$A2766,'Yahoo ADP'!$B$2:$B2766=$B2440,$C2440='Yahoo ADP'!$C$2:$C2766,$D2440='Yahoo ADP'!$D$2:$D2766))"),"")</f>
        <v/>
      </c>
      <c r="F2440" s="13" t="str">
        <f>IFERROR(__xludf.DUMMYFUNCTION("ifna(filter('Yahoo ADP'!$E$2:$E2766,'Yahoo ADP'!$B$2:$B2766=$B2440,$C2440='Yahoo ADP'!$C$2:$C2766,$D2440='Yahoo ADP'!$D$2:$D2766))"),"-")</f>
        <v>-</v>
      </c>
      <c r="G2440" s="27">
        <v>2437.0</v>
      </c>
      <c r="H2440" s="8">
        <f t="shared" si="1"/>
        <v>-2</v>
      </c>
    </row>
    <row r="2441">
      <c r="A2441" s="10">
        <v>2440.0</v>
      </c>
      <c r="B2441" s="11" t="s">
        <v>5280</v>
      </c>
      <c r="C2441" s="10" t="s">
        <v>39</v>
      </c>
      <c r="D2441" s="10" t="s">
        <v>73</v>
      </c>
      <c r="E2441" s="13" t="str">
        <f>IFERROR(__xludf.DUMMYFUNCTION("ifna(filter('Yahoo ADP'!$A$2:$A2766,'Yahoo ADP'!$B$2:$B2766=$B2441,$C2441='Yahoo ADP'!$C$2:$C2766,$D2441='Yahoo ADP'!$D$2:$D2766))"),"")</f>
        <v/>
      </c>
      <c r="F2441" s="13" t="str">
        <f>IFERROR(__xludf.DUMMYFUNCTION("ifna(filter('Yahoo ADP'!$E$2:$E2766,'Yahoo ADP'!$B$2:$B2766=$B2441,$C2441='Yahoo ADP'!$C$2:$C2766,$D2441='Yahoo ADP'!$D$2:$D2766))"),"-")</f>
        <v>-</v>
      </c>
      <c r="G2441" s="27">
        <v>2438.0</v>
      </c>
      <c r="H2441" s="8">
        <f t="shared" si="1"/>
        <v>-2</v>
      </c>
    </row>
    <row r="2442">
      <c r="A2442" s="10">
        <v>2441.0</v>
      </c>
      <c r="B2442" s="11" t="s">
        <v>5281</v>
      </c>
      <c r="C2442" s="10" t="s">
        <v>39</v>
      </c>
      <c r="D2442" s="10" t="s">
        <v>27</v>
      </c>
      <c r="E2442" s="13" t="str">
        <f>IFERROR(__xludf.DUMMYFUNCTION("ifna(filter('Yahoo ADP'!$A$2:$A2766,'Yahoo ADP'!$B$2:$B2766=$B2442,$C2442='Yahoo ADP'!$C$2:$C2766,$D2442='Yahoo ADP'!$D$2:$D2766))"),"")</f>
        <v/>
      </c>
      <c r="F2442" s="13" t="str">
        <f>IFERROR(__xludf.DUMMYFUNCTION("ifna(filter('Yahoo ADP'!$E$2:$E2766,'Yahoo ADP'!$B$2:$B2766=$B2442,$C2442='Yahoo ADP'!$C$2:$C2766,$D2442='Yahoo ADP'!$D$2:$D2766))"),"-")</f>
        <v>-</v>
      </c>
      <c r="G2442" s="27">
        <v>2439.0</v>
      </c>
      <c r="H2442" s="8">
        <f t="shared" si="1"/>
        <v>-2</v>
      </c>
    </row>
    <row r="2443">
      <c r="A2443" s="10">
        <v>2442.0</v>
      </c>
      <c r="B2443" s="11" t="s">
        <v>5282</v>
      </c>
      <c r="C2443" s="10" t="s">
        <v>17</v>
      </c>
      <c r="D2443" s="10" t="s">
        <v>31</v>
      </c>
      <c r="E2443" s="13" t="str">
        <f>IFERROR(__xludf.DUMMYFUNCTION("ifna(filter('Yahoo ADP'!$A$2:$A2766,'Yahoo ADP'!$B$2:$B2766=$B2443,$C2443='Yahoo ADP'!$C$2:$C2766,$D2443='Yahoo ADP'!$D$2:$D2766))"),"")</f>
        <v/>
      </c>
      <c r="F2443" s="13" t="str">
        <f>IFERROR(__xludf.DUMMYFUNCTION("ifna(filter('Yahoo ADP'!$E$2:$E2766,'Yahoo ADP'!$B$2:$B2766=$B2443,$C2443='Yahoo ADP'!$C$2:$C2766,$D2443='Yahoo ADP'!$D$2:$D2766))"),"-")</f>
        <v>-</v>
      </c>
      <c r="G2443" s="27">
        <v>2440.0</v>
      </c>
      <c r="H2443" s="8">
        <f t="shared" si="1"/>
        <v>-2</v>
      </c>
    </row>
    <row r="2444">
      <c r="A2444" s="10">
        <v>2443.0</v>
      </c>
      <c r="B2444" s="11" t="s">
        <v>5283</v>
      </c>
      <c r="C2444" s="10" t="s">
        <v>77</v>
      </c>
      <c r="D2444" s="10" t="s">
        <v>15</v>
      </c>
      <c r="E2444" s="13" t="str">
        <f>IFERROR(__xludf.DUMMYFUNCTION("ifna(filter('Yahoo ADP'!$A$2:$A2766,'Yahoo ADP'!$B$2:$B2766=$B2444,$C2444='Yahoo ADP'!$C$2:$C2766,$D2444='Yahoo ADP'!$D$2:$D2766))"),"")</f>
        <v/>
      </c>
      <c r="F2444" s="13" t="str">
        <f>IFERROR(__xludf.DUMMYFUNCTION("ifna(filter('Yahoo ADP'!$E$2:$E2766,'Yahoo ADP'!$B$2:$B2766=$B2444,$C2444='Yahoo ADP'!$C$2:$C2766,$D2444='Yahoo ADP'!$D$2:$D2766))"),"-")</f>
        <v>-</v>
      </c>
      <c r="G2444" s="27">
        <v>2441.0</v>
      </c>
      <c r="H2444" s="8">
        <f t="shared" si="1"/>
        <v>-2</v>
      </c>
    </row>
    <row r="2445">
      <c r="A2445" s="10">
        <v>2444.0</v>
      </c>
      <c r="B2445" s="11" t="s">
        <v>5284</v>
      </c>
      <c r="C2445" s="10" t="s">
        <v>39</v>
      </c>
      <c r="D2445" s="10" t="s">
        <v>23</v>
      </c>
      <c r="E2445" s="13" t="str">
        <f>IFERROR(__xludf.DUMMYFUNCTION("ifna(filter('Yahoo ADP'!$A$2:$A2766,'Yahoo ADP'!$B$2:$B2766=$B2445,$C2445='Yahoo ADP'!$C$2:$C2766,$D2445='Yahoo ADP'!$D$2:$D2766))"),"")</f>
        <v/>
      </c>
      <c r="F2445" s="13" t="str">
        <f>IFERROR(__xludf.DUMMYFUNCTION("ifna(filter('Yahoo ADP'!$E$2:$E2766,'Yahoo ADP'!$B$2:$B2766=$B2445,$C2445='Yahoo ADP'!$C$2:$C2766,$D2445='Yahoo ADP'!$D$2:$D2766))"),"-")</f>
        <v>-</v>
      </c>
      <c r="G2445" s="27">
        <v>2442.0</v>
      </c>
      <c r="H2445" s="8">
        <f t="shared" si="1"/>
        <v>-2</v>
      </c>
    </row>
    <row r="2446">
      <c r="A2446" s="10">
        <v>2445.0</v>
      </c>
      <c r="B2446" s="11" t="s">
        <v>5285</v>
      </c>
      <c r="C2446" s="10" t="s">
        <v>39</v>
      </c>
      <c r="D2446" s="10" t="s">
        <v>90</v>
      </c>
      <c r="E2446" s="13" t="str">
        <f>IFERROR(__xludf.DUMMYFUNCTION("ifna(filter('Yahoo ADP'!$A$2:$A2766,'Yahoo ADP'!$B$2:$B2766=$B2446,$C2446='Yahoo ADP'!$C$2:$C2766,$D2446='Yahoo ADP'!$D$2:$D2766))"),"")</f>
        <v/>
      </c>
      <c r="F2446" s="13" t="str">
        <f>IFERROR(__xludf.DUMMYFUNCTION("ifna(filter('Yahoo ADP'!$E$2:$E2766,'Yahoo ADP'!$B$2:$B2766=$B2446,$C2446='Yahoo ADP'!$C$2:$C2766,$D2446='Yahoo ADP'!$D$2:$D2766))"),"-")</f>
        <v>-</v>
      </c>
      <c r="G2446" s="27">
        <v>2443.0</v>
      </c>
      <c r="H2446" s="8">
        <f t="shared" si="1"/>
        <v>-2</v>
      </c>
    </row>
    <row r="2447">
      <c r="A2447" s="10">
        <v>2446.0</v>
      </c>
      <c r="B2447" s="11" t="s">
        <v>5286</v>
      </c>
      <c r="C2447" s="10" t="s">
        <v>39</v>
      </c>
      <c r="D2447" s="10" t="s">
        <v>90</v>
      </c>
      <c r="E2447" s="13" t="str">
        <f>IFERROR(__xludf.DUMMYFUNCTION("ifna(filter('Yahoo ADP'!$A$2:$A2766,'Yahoo ADP'!$B$2:$B2766=$B2447,$C2447='Yahoo ADP'!$C$2:$C2766,$D2447='Yahoo ADP'!$D$2:$D2766))"),"")</f>
        <v/>
      </c>
      <c r="F2447" s="13" t="str">
        <f>IFERROR(__xludf.DUMMYFUNCTION("ifna(filter('Yahoo ADP'!$E$2:$E2766,'Yahoo ADP'!$B$2:$B2766=$B2447,$C2447='Yahoo ADP'!$C$2:$C2766,$D2447='Yahoo ADP'!$D$2:$D2766))"),"-")</f>
        <v>-</v>
      </c>
      <c r="G2447" s="27">
        <v>2444.0</v>
      </c>
      <c r="H2447" s="8">
        <f t="shared" si="1"/>
        <v>-2</v>
      </c>
    </row>
    <row r="2448">
      <c r="A2448" s="10">
        <v>2447.0</v>
      </c>
      <c r="B2448" s="11" t="s">
        <v>5287</v>
      </c>
      <c r="C2448" s="10" t="s">
        <v>14</v>
      </c>
      <c r="D2448" s="10" t="s">
        <v>105</v>
      </c>
      <c r="E2448" s="13" t="str">
        <f>IFERROR(__xludf.DUMMYFUNCTION("ifna(filter('Yahoo ADP'!$A$2:$A2766,'Yahoo ADP'!$B$2:$B2766=$B2448,$C2448='Yahoo ADP'!$C$2:$C2766,$D2448='Yahoo ADP'!$D$2:$D2766))"),"")</f>
        <v/>
      </c>
      <c r="F2448" s="13" t="str">
        <f>IFERROR(__xludf.DUMMYFUNCTION("ifna(filter('Yahoo ADP'!$E$2:$E2766,'Yahoo ADP'!$B$2:$B2766=$B2448,$C2448='Yahoo ADP'!$C$2:$C2766,$D2448='Yahoo ADP'!$D$2:$D2766))"),"-")</f>
        <v>-</v>
      </c>
      <c r="G2448" s="27">
        <v>2445.0</v>
      </c>
      <c r="H2448" s="8">
        <f t="shared" si="1"/>
        <v>-2</v>
      </c>
    </row>
    <row r="2449">
      <c r="A2449" s="10">
        <v>2448.0</v>
      </c>
      <c r="B2449" s="11" t="s">
        <v>5288</v>
      </c>
      <c r="C2449" s="10" t="s">
        <v>55</v>
      </c>
      <c r="D2449" s="10" t="s">
        <v>52</v>
      </c>
      <c r="E2449" s="13" t="str">
        <f>IFERROR(__xludf.DUMMYFUNCTION("ifna(filter('Yahoo ADP'!$A$2:$A2766,'Yahoo ADP'!$B$2:$B2766=$B2449,$C2449='Yahoo ADP'!$C$2:$C2766,$D2449='Yahoo ADP'!$D$2:$D2766))"),"")</f>
        <v/>
      </c>
      <c r="F2449" s="13" t="str">
        <f>IFERROR(__xludf.DUMMYFUNCTION("ifna(filter('Yahoo ADP'!$E$2:$E2766,'Yahoo ADP'!$B$2:$B2766=$B2449,$C2449='Yahoo ADP'!$C$2:$C2766,$D2449='Yahoo ADP'!$D$2:$D2766))"),"-")</f>
        <v>-</v>
      </c>
      <c r="G2449" s="27">
        <v>2446.0</v>
      </c>
      <c r="H2449" s="8">
        <f t="shared" si="1"/>
        <v>-2</v>
      </c>
    </row>
    <row r="2450">
      <c r="A2450" s="10">
        <v>2449.0</v>
      </c>
      <c r="B2450" s="11" t="s">
        <v>5289</v>
      </c>
      <c r="C2450" s="10" t="s">
        <v>39</v>
      </c>
      <c r="D2450" s="10" t="s">
        <v>95</v>
      </c>
      <c r="E2450" s="13" t="str">
        <f>IFERROR(__xludf.DUMMYFUNCTION("ifna(filter('Yahoo ADP'!$A$2:$A2766,'Yahoo ADP'!$B$2:$B2766=$B2450,$C2450='Yahoo ADP'!$C$2:$C2766,$D2450='Yahoo ADP'!$D$2:$D2766))"),"")</f>
        <v/>
      </c>
      <c r="F2450" s="13" t="str">
        <f>IFERROR(__xludf.DUMMYFUNCTION("ifna(filter('Yahoo ADP'!$E$2:$E2766,'Yahoo ADP'!$B$2:$B2766=$B2450,$C2450='Yahoo ADP'!$C$2:$C2766,$D2450='Yahoo ADP'!$D$2:$D2766))"),"-")</f>
        <v>-</v>
      </c>
      <c r="G2450" s="27">
        <v>2447.0</v>
      </c>
      <c r="H2450" s="8">
        <f t="shared" si="1"/>
        <v>-2</v>
      </c>
    </row>
    <row r="2451">
      <c r="A2451" s="10">
        <v>2450.0</v>
      </c>
      <c r="B2451" s="11" t="s">
        <v>5290</v>
      </c>
      <c r="C2451" s="10" t="s">
        <v>39</v>
      </c>
      <c r="D2451" s="10" t="s">
        <v>27</v>
      </c>
      <c r="E2451" s="13" t="str">
        <f>IFERROR(__xludf.DUMMYFUNCTION("ifna(filter('Yahoo ADP'!$A$2:$A2766,'Yahoo ADP'!$B$2:$B2766=$B2451,$C2451='Yahoo ADP'!$C$2:$C2766,$D2451='Yahoo ADP'!$D$2:$D2766))"),"")</f>
        <v/>
      </c>
      <c r="F2451" s="13" t="str">
        <f>IFERROR(__xludf.DUMMYFUNCTION("ifna(filter('Yahoo ADP'!$E$2:$E2766,'Yahoo ADP'!$B$2:$B2766=$B2451,$C2451='Yahoo ADP'!$C$2:$C2766,$D2451='Yahoo ADP'!$D$2:$D2766))"),"-")</f>
        <v>-</v>
      </c>
      <c r="G2451" s="27">
        <v>2448.0</v>
      </c>
      <c r="H2451" s="8">
        <f t="shared" si="1"/>
        <v>-2</v>
      </c>
    </row>
    <row r="2452">
      <c r="A2452" s="10">
        <v>2451.0</v>
      </c>
      <c r="B2452" s="11" t="s">
        <v>5291</v>
      </c>
      <c r="C2452" s="10" t="s">
        <v>39</v>
      </c>
      <c r="D2452" s="10" t="s">
        <v>140</v>
      </c>
      <c r="E2452" s="13" t="str">
        <f>IFERROR(__xludf.DUMMYFUNCTION("ifna(filter('Yahoo ADP'!$A$2:$A2766,'Yahoo ADP'!$B$2:$B2766=$B2452,$C2452='Yahoo ADP'!$C$2:$C2766,$D2452='Yahoo ADP'!$D$2:$D2766))"),"")</f>
        <v/>
      </c>
      <c r="F2452" s="13" t="str">
        <f>IFERROR(__xludf.DUMMYFUNCTION("ifna(filter('Yahoo ADP'!$E$2:$E2766,'Yahoo ADP'!$B$2:$B2766=$B2452,$C2452='Yahoo ADP'!$C$2:$C2766,$D2452='Yahoo ADP'!$D$2:$D2766))"),"-")</f>
        <v>-</v>
      </c>
      <c r="G2452" s="27">
        <v>2449.0</v>
      </c>
      <c r="H2452" s="8">
        <f t="shared" si="1"/>
        <v>-2</v>
      </c>
    </row>
    <row r="2453">
      <c r="A2453" s="10">
        <v>2452.0</v>
      </c>
      <c r="B2453" s="11" t="s">
        <v>5292</v>
      </c>
      <c r="C2453" s="10" t="s">
        <v>39</v>
      </c>
      <c r="D2453" s="10" t="s">
        <v>71</v>
      </c>
      <c r="E2453" s="13" t="str">
        <f>IFERROR(__xludf.DUMMYFUNCTION("ifna(filter('Yahoo ADP'!$A$2:$A2766,'Yahoo ADP'!$B$2:$B2766=$B2453,$C2453='Yahoo ADP'!$C$2:$C2766,$D2453='Yahoo ADP'!$D$2:$D2766))"),"")</f>
        <v/>
      </c>
      <c r="F2453" s="13" t="str">
        <f>IFERROR(__xludf.DUMMYFUNCTION("ifna(filter('Yahoo ADP'!$E$2:$E2766,'Yahoo ADP'!$B$2:$B2766=$B2453,$C2453='Yahoo ADP'!$C$2:$C2766,$D2453='Yahoo ADP'!$D$2:$D2766))"),"-")</f>
        <v>-</v>
      </c>
      <c r="G2453" s="27">
        <v>2450.0</v>
      </c>
      <c r="H2453" s="8">
        <f t="shared" si="1"/>
        <v>-2</v>
      </c>
    </row>
    <row r="2454">
      <c r="A2454" s="10">
        <v>2453.0</v>
      </c>
      <c r="B2454" s="11" t="s">
        <v>5293</v>
      </c>
      <c r="C2454" s="10" t="s">
        <v>39</v>
      </c>
      <c r="D2454" s="10" t="s">
        <v>46</v>
      </c>
      <c r="E2454" s="13" t="str">
        <f>IFERROR(__xludf.DUMMYFUNCTION("ifna(filter('Yahoo ADP'!$A$2:$A2766,'Yahoo ADP'!$B$2:$B2766=$B2454,$C2454='Yahoo ADP'!$C$2:$C2766,$D2454='Yahoo ADP'!$D$2:$D2766))"),"")</f>
        <v/>
      </c>
      <c r="F2454" s="13" t="str">
        <f>IFERROR(__xludf.DUMMYFUNCTION("ifna(filter('Yahoo ADP'!$E$2:$E2766,'Yahoo ADP'!$B$2:$B2766=$B2454,$C2454='Yahoo ADP'!$C$2:$C2766,$D2454='Yahoo ADP'!$D$2:$D2766))"),"-")</f>
        <v>-</v>
      </c>
      <c r="G2454" s="27">
        <v>2451.0</v>
      </c>
      <c r="H2454" s="8">
        <f t="shared" si="1"/>
        <v>-2</v>
      </c>
    </row>
    <row r="2455">
      <c r="A2455" s="10">
        <v>2454.0</v>
      </c>
      <c r="B2455" s="11" t="s">
        <v>5294</v>
      </c>
      <c r="C2455" s="10" t="s">
        <v>77</v>
      </c>
      <c r="D2455" s="10" t="s">
        <v>129</v>
      </c>
      <c r="E2455" s="13" t="str">
        <f>IFERROR(__xludf.DUMMYFUNCTION("ifna(filter('Yahoo ADP'!$A$2:$A2766,'Yahoo ADP'!$B$2:$B2766=$B2455,$C2455='Yahoo ADP'!$C$2:$C2766,$D2455='Yahoo ADP'!$D$2:$D2766))"),"")</f>
        <v/>
      </c>
      <c r="F2455" s="13" t="str">
        <f>IFERROR(__xludf.DUMMYFUNCTION("ifna(filter('Yahoo ADP'!$E$2:$E2766,'Yahoo ADP'!$B$2:$B2766=$B2455,$C2455='Yahoo ADP'!$C$2:$C2766,$D2455='Yahoo ADP'!$D$2:$D2766))"),"-")</f>
        <v>-</v>
      </c>
      <c r="G2455" s="27">
        <v>2452.0</v>
      </c>
      <c r="H2455" s="8">
        <f t="shared" si="1"/>
        <v>-2</v>
      </c>
    </row>
    <row r="2456">
      <c r="A2456" s="10">
        <v>2455.0</v>
      </c>
      <c r="B2456" s="11" t="s">
        <v>5295</v>
      </c>
      <c r="C2456" s="10" t="s">
        <v>14</v>
      </c>
      <c r="D2456" s="10" t="s">
        <v>105</v>
      </c>
      <c r="E2456" s="13" t="str">
        <f>IFERROR(__xludf.DUMMYFUNCTION("ifna(filter('Yahoo ADP'!$A$2:$A2766,'Yahoo ADP'!$B$2:$B2766=$B2456,$C2456='Yahoo ADP'!$C$2:$C2766,$D2456='Yahoo ADP'!$D$2:$D2766))"),"")</f>
        <v/>
      </c>
      <c r="F2456" s="13" t="str">
        <f>IFERROR(__xludf.DUMMYFUNCTION("ifna(filter('Yahoo ADP'!$E$2:$E2766,'Yahoo ADP'!$B$2:$B2766=$B2456,$C2456='Yahoo ADP'!$C$2:$C2766,$D2456='Yahoo ADP'!$D$2:$D2766))"),"-")</f>
        <v>-</v>
      </c>
      <c r="G2456" s="27">
        <v>2453.0</v>
      </c>
      <c r="H2456" s="8">
        <f t="shared" si="1"/>
        <v>-2</v>
      </c>
    </row>
    <row r="2457">
      <c r="A2457" s="10">
        <v>2456.0</v>
      </c>
      <c r="B2457" s="11" t="s">
        <v>5296</v>
      </c>
      <c r="C2457" s="10" t="s">
        <v>77</v>
      </c>
      <c r="D2457" s="10" t="s">
        <v>122</v>
      </c>
      <c r="E2457" s="13" t="str">
        <f>IFERROR(__xludf.DUMMYFUNCTION("ifna(filter('Yahoo ADP'!$A$2:$A2766,'Yahoo ADP'!$B$2:$B2766=$B2457,$C2457='Yahoo ADP'!$C$2:$C2766,$D2457='Yahoo ADP'!$D$2:$D2766))"),"")</f>
        <v/>
      </c>
      <c r="F2457" s="13" t="str">
        <f>IFERROR(__xludf.DUMMYFUNCTION("ifna(filter('Yahoo ADP'!$E$2:$E2766,'Yahoo ADP'!$B$2:$B2766=$B2457,$C2457='Yahoo ADP'!$C$2:$C2766,$D2457='Yahoo ADP'!$D$2:$D2766))"),"-")</f>
        <v>-</v>
      </c>
      <c r="G2457" s="27">
        <v>2454.0</v>
      </c>
      <c r="H2457" s="8">
        <f t="shared" si="1"/>
        <v>-2</v>
      </c>
    </row>
    <row r="2458">
      <c r="A2458" s="10">
        <v>2457.0</v>
      </c>
      <c r="B2458" s="11" t="s">
        <v>5297</v>
      </c>
      <c r="C2458" s="10" t="s">
        <v>14</v>
      </c>
      <c r="D2458" s="10" t="s">
        <v>67</v>
      </c>
      <c r="E2458" s="13" t="str">
        <f>IFERROR(__xludf.DUMMYFUNCTION("ifna(filter('Yahoo ADP'!$A$2:$A2766,'Yahoo ADP'!$B$2:$B2766=$B2458,$C2458='Yahoo ADP'!$C$2:$C2766,$D2458='Yahoo ADP'!$D$2:$D2766))"),"")</f>
        <v/>
      </c>
      <c r="F2458" s="13" t="str">
        <f>IFERROR(__xludf.DUMMYFUNCTION("ifna(filter('Yahoo ADP'!$E$2:$E2766,'Yahoo ADP'!$B$2:$B2766=$B2458,$C2458='Yahoo ADP'!$C$2:$C2766,$D2458='Yahoo ADP'!$D$2:$D2766))"),"-")</f>
        <v>-</v>
      </c>
      <c r="G2458" s="27">
        <v>2455.0</v>
      </c>
      <c r="H2458" s="8">
        <f t="shared" si="1"/>
        <v>-2</v>
      </c>
    </row>
    <row r="2459">
      <c r="A2459" s="10">
        <v>2458.0</v>
      </c>
      <c r="B2459" s="11" t="s">
        <v>5298</v>
      </c>
      <c r="C2459" s="10" t="s">
        <v>14</v>
      </c>
      <c r="D2459" s="10" t="s">
        <v>18</v>
      </c>
      <c r="E2459" s="13" t="str">
        <f>IFERROR(__xludf.DUMMYFUNCTION("ifna(filter('Yahoo ADP'!$A$2:$A2766,'Yahoo ADP'!$B$2:$B2766=$B2459,$C2459='Yahoo ADP'!$C$2:$C2766,$D2459='Yahoo ADP'!$D$2:$D2766))"),"")</f>
        <v/>
      </c>
      <c r="F2459" s="13" t="str">
        <f>IFERROR(__xludf.DUMMYFUNCTION("ifna(filter('Yahoo ADP'!$E$2:$E2766,'Yahoo ADP'!$B$2:$B2766=$B2459,$C2459='Yahoo ADP'!$C$2:$C2766,$D2459='Yahoo ADP'!$D$2:$D2766))"),"-")</f>
        <v>-</v>
      </c>
      <c r="G2459" s="27">
        <v>2456.0</v>
      </c>
      <c r="H2459" s="8">
        <f t="shared" si="1"/>
        <v>-2</v>
      </c>
    </row>
    <row r="2460">
      <c r="A2460" s="10">
        <v>2459.0</v>
      </c>
      <c r="B2460" s="11" t="s">
        <v>5299</v>
      </c>
      <c r="C2460" s="10" t="s">
        <v>11</v>
      </c>
      <c r="D2460" s="10" t="s">
        <v>95</v>
      </c>
      <c r="E2460" s="13" t="str">
        <f>IFERROR(__xludf.DUMMYFUNCTION("ifna(filter('Yahoo ADP'!$A$2:$A2766,'Yahoo ADP'!$B$2:$B2766=$B2460,$C2460='Yahoo ADP'!$C$2:$C2766,$D2460='Yahoo ADP'!$D$2:$D2766))"),"")</f>
        <v/>
      </c>
      <c r="F2460" s="13" t="str">
        <f>IFERROR(__xludf.DUMMYFUNCTION("ifna(filter('Yahoo ADP'!$E$2:$E2766,'Yahoo ADP'!$B$2:$B2766=$B2460,$C2460='Yahoo ADP'!$C$2:$C2766,$D2460='Yahoo ADP'!$D$2:$D2766))"),"-")</f>
        <v>-</v>
      </c>
      <c r="G2460" s="27">
        <v>2457.0</v>
      </c>
      <c r="H2460" s="8">
        <f t="shared" si="1"/>
        <v>-2</v>
      </c>
    </row>
    <row r="2461">
      <c r="A2461" s="10">
        <v>2460.0</v>
      </c>
      <c r="B2461" s="11" t="s">
        <v>5300</v>
      </c>
      <c r="C2461" s="10" t="s">
        <v>39</v>
      </c>
      <c r="D2461" s="10" t="s">
        <v>120</v>
      </c>
      <c r="E2461" s="13" t="str">
        <f>IFERROR(__xludf.DUMMYFUNCTION("ifna(filter('Yahoo ADP'!$A$2:$A2766,'Yahoo ADP'!$B$2:$B2766=$B2461,$C2461='Yahoo ADP'!$C$2:$C2766,$D2461='Yahoo ADP'!$D$2:$D2766))"),"")</f>
        <v/>
      </c>
      <c r="F2461" s="13" t="str">
        <f>IFERROR(__xludf.DUMMYFUNCTION("ifna(filter('Yahoo ADP'!$E$2:$E2766,'Yahoo ADP'!$B$2:$B2766=$B2461,$C2461='Yahoo ADP'!$C$2:$C2766,$D2461='Yahoo ADP'!$D$2:$D2766))"),"-")</f>
        <v>-</v>
      </c>
      <c r="G2461" s="27">
        <v>2458.0</v>
      </c>
      <c r="H2461" s="8">
        <f t="shared" si="1"/>
        <v>-2</v>
      </c>
    </row>
    <row r="2462">
      <c r="A2462" s="10">
        <v>2461.0</v>
      </c>
      <c r="B2462" s="11" t="s">
        <v>5301</v>
      </c>
      <c r="C2462" s="10" t="s">
        <v>89</v>
      </c>
      <c r="D2462" s="10" t="s">
        <v>85</v>
      </c>
      <c r="E2462" s="13" t="str">
        <f>IFERROR(__xludf.DUMMYFUNCTION("ifna(filter('Yahoo ADP'!$A$2:$A2766,'Yahoo ADP'!$B$2:$B2766=$B2462,$C2462='Yahoo ADP'!$C$2:$C2766,$D2462='Yahoo ADP'!$D$2:$D2766))"),"")</f>
        <v/>
      </c>
      <c r="F2462" s="13" t="str">
        <f>IFERROR(__xludf.DUMMYFUNCTION("ifna(filter('Yahoo ADP'!$E$2:$E2766,'Yahoo ADP'!$B$2:$B2766=$B2462,$C2462='Yahoo ADP'!$C$2:$C2766,$D2462='Yahoo ADP'!$D$2:$D2766))"),"-")</f>
        <v>-</v>
      </c>
      <c r="G2462" s="27">
        <v>2459.0</v>
      </c>
      <c r="H2462" s="8">
        <f t="shared" si="1"/>
        <v>-2</v>
      </c>
    </row>
    <row r="2463">
      <c r="A2463" s="10">
        <v>2462.0</v>
      </c>
      <c r="B2463" s="11" t="s">
        <v>5302</v>
      </c>
      <c r="C2463" s="10" t="s">
        <v>69</v>
      </c>
      <c r="D2463" s="10" t="s">
        <v>36</v>
      </c>
      <c r="E2463" s="13" t="str">
        <f>IFERROR(__xludf.DUMMYFUNCTION("ifna(filter('Yahoo ADP'!$A$2:$A2766,'Yahoo ADP'!$B$2:$B2766=$B2463,$C2463='Yahoo ADP'!$C$2:$C2766,$D2463='Yahoo ADP'!$D$2:$D2766))"),"")</f>
        <v/>
      </c>
      <c r="F2463" s="13" t="str">
        <f>IFERROR(__xludf.DUMMYFUNCTION("ifna(filter('Yahoo ADP'!$E$2:$E2766,'Yahoo ADP'!$B$2:$B2766=$B2463,$C2463='Yahoo ADP'!$C$2:$C2766,$D2463='Yahoo ADP'!$D$2:$D2766))"),"-")</f>
        <v>-</v>
      </c>
      <c r="G2463" s="27">
        <v>2460.0</v>
      </c>
      <c r="H2463" s="8">
        <f t="shared" si="1"/>
        <v>-2</v>
      </c>
    </row>
    <row r="2464">
      <c r="A2464" s="10">
        <v>2463.0</v>
      </c>
      <c r="B2464" s="11" t="s">
        <v>5303</v>
      </c>
      <c r="C2464" s="10" t="s">
        <v>39</v>
      </c>
      <c r="D2464" s="10" t="s">
        <v>129</v>
      </c>
      <c r="E2464" s="13" t="str">
        <f>IFERROR(__xludf.DUMMYFUNCTION("ifna(filter('Yahoo ADP'!$A$2:$A2766,'Yahoo ADP'!$B$2:$B2766=$B2464,$C2464='Yahoo ADP'!$C$2:$C2766,$D2464='Yahoo ADP'!$D$2:$D2766))"),"")</f>
        <v/>
      </c>
      <c r="F2464" s="13" t="str">
        <f>IFERROR(__xludf.DUMMYFUNCTION("ifna(filter('Yahoo ADP'!$E$2:$E2766,'Yahoo ADP'!$B$2:$B2766=$B2464,$C2464='Yahoo ADP'!$C$2:$C2766,$D2464='Yahoo ADP'!$D$2:$D2766))"),"-")</f>
        <v>-</v>
      </c>
      <c r="G2464" s="27">
        <v>2461.0</v>
      </c>
      <c r="H2464" s="8">
        <f t="shared" si="1"/>
        <v>-2</v>
      </c>
    </row>
    <row r="2465">
      <c r="A2465" s="10">
        <v>2464.0</v>
      </c>
      <c r="B2465" s="11" t="s">
        <v>5304</v>
      </c>
      <c r="C2465" s="10" t="s">
        <v>20</v>
      </c>
      <c r="D2465" s="10" t="s">
        <v>25</v>
      </c>
      <c r="E2465" s="13" t="str">
        <f>IFERROR(__xludf.DUMMYFUNCTION("ifna(filter('Yahoo ADP'!$A$2:$A2766,'Yahoo ADP'!$B$2:$B2766=$B2465,$C2465='Yahoo ADP'!$C$2:$C2766,$D2465='Yahoo ADP'!$D$2:$D2766))"),"")</f>
        <v/>
      </c>
      <c r="F2465" s="13" t="str">
        <f>IFERROR(__xludf.DUMMYFUNCTION("ifna(filter('Yahoo ADP'!$E$2:$E2766,'Yahoo ADP'!$B$2:$B2766=$B2465,$C2465='Yahoo ADP'!$C$2:$C2766,$D2465='Yahoo ADP'!$D$2:$D2766))"),"-")</f>
        <v>-</v>
      </c>
      <c r="G2465" s="27">
        <v>2462.0</v>
      </c>
      <c r="H2465" s="8">
        <f t="shared" si="1"/>
        <v>-2</v>
      </c>
    </row>
    <row r="2466">
      <c r="A2466" s="10">
        <v>2465.0</v>
      </c>
      <c r="B2466" s="11" t="s">
        <v>5305</v>
      </c>
      <c r="C2466" s="10" t="s">
        <v>14</v>
      </c>
      <c r="D2466" s="10" t="s">
        <v>49</v>
      </c>
      <c r="E2466" s="13" t="str">
        <f>IFERROR(__xludf.DUMMYFUNCTION("ifna(filter('Yahoo ADP'!$A$2:$A2766,'Yahoo ADP'!$B$2:$B2766=$B2466,$C2466='Yahoo ADP'!$C$2:$C2766,$D2466='Yahoo ADP'!$D$2:$D2766))"),"")</f>
        <v/>
      </c>
      <c r="F2466" s="13" t="str">
        <f>IFERROR(__xludf.DUMMYFUNCTION("ifna(filter('Yahoo ADP'!$E$2:$E2766,'Yahoo ADP'!$B$2:$B2766=$B2466,$C2466='Yahoo ADP'!$C$2:$C2766,$D2466='Yahoo ADP'!$D$2:$D2766))"),"-")</f>
        <v>-</v>
      </c>
      <c r="G2466" s="27">
        <v>2463.0</v>
      </c>
      <c r="H2466" s="8">
        <f t="shared" si="1"/>
        <v>-2</v>
      </c>
    </row>
    <row r="2467">
      <c r="A2467" s="10">
        <v>2466.0</v>
      </c>
      <c r="B2467" s="11" t="s">
        <v>5306</v>
      </c>
      <c r="C2467" s="10" t="s">
        <v>69</v>
      </c>
      <c r="D2467" s="10" t="s">
        <v>140</v>
      </c>
      <c r="E2467" s="13" t="str">
        <f>IFERROR(__xludf.DUMMYFUNCTION("ifna(filter('Yahoo ADP'!$A$2:$A2766,'Yahoo ADP'!$B$2:$B2766=$B2467,$C2467='Yahoo ADP'!$C$2:$C2766,$D2467='Yahoo ADP'!$D$2:$D2766))"),"")</f>
        <v/>
      </c>
      <c r="F2467" s="13" t="str">
        <f>IFERROR(__xludf.DUMMYFUNCTION("ifna(filter('Yahoo ADP'!$E$2:$E2766,'Yahoo ADP'!$B$2:$B2766=$B2467,$C2467='Yahoo ADP'!$C$2:$C2766,$D2467='Yahoo ADP'!$D$2:$D2766))"),"-")</f>
        <v>-</v>
      </c>
      <c r="G2467" s="27">
        <v>2464.0</v>
      </c>
      <c r="H2467" s="8">
        <f t="shared" si="1"/>
        <v>-2</v>
      </c>
    </row>
    <row r="2468">
      <c r="A2468" s="10">
        <v>2467.0</v>
      </c>
      <c r="B2468" s="11" t="s">
        <v>5307</v>
      </c>
      <c r="C2468" s="10" t="s">
        <v>48</v>
      </c>
      <c r="D2468" s="10" t="s">
        <v>31</v>
      </c>
      <c r="E2468" s="13" t="str">
        <f>IFERROR(__xludf.DUMMYFUNCTION("ifna(filter('Yahoo ADP'!$A$2:$A2766,'Yahoo ADP'!$B$2:$B2766=$B2468,$C2468='Yahoo ADP'!$C$2:$C2766,$D2468='Yahoo ADP'!$D$2:$D2766))"),"")</f>
        <v/>
      </c>
      <c r="F2468" s="13" t="str">
        <f>IFERROR(__xludf.DUMMYFUNCTION("ifna(filter('Yahoo ADP'!$E$2:$E2766,'Yahoo ADP'!$B$2:$B2766=$B2468,$C2468='Yahoo ADP'!$C$2:$C2766,$D2468='Yahoo ADP'!$D$2:$D2766))"),"-")</f>
        <v>-</v>
      </c>
      <c r="G2468" s="27">
        <v>2465.0</v>
      </c>
      <c r="H2468" s="8">
        <f t="shared" si="1"/>
        <v>-2</v>
      </c>
    </row>
    <row r="2469">
      <c r="A2469" s="10">
        <v>2468.0</v>
      </c>
      <c r="B2469" s="11" t="s">
        <v>5308</v>
      </c>
      <c r="C2469" s="10" t="s">
        <v>48</v>
      </c>
      <c r="D2469" s="10" t="s">
        <v>120</v>
      </c>
      <c r="E2469" s="13" t="str">
        <f>IFERROR(__xludf.DUMMYFUNCTION("ifna(filter('Yahoo ADP'!$A$2:$A2766,'Yahoo ADP'!$B$2:$B2766=$B2469,$C2469='Yahoo ADP'!$C$2:$C2766,$D2469='Yahoo ADP'!$D$2:$D2766))"),"")</f>
        <v/>
      </c>
      <c r="F2469" s="13" t="str">
        <f>IFERROR(__xludf.DUMMYFUNCTION("ifna(filter('Yahoo ADP'!$E$2:$E2766,'Yahoo ADP'!$B$2:$B2766=$B2469,$C2469='Yahoo ADP'!$C$2:$C2766,$D2469='Yahoo ADP'!$D$2:$D2766))"),"-")</f>
        <v>-</v>
      </c>
      <c r="G2469" s="27">
        <v>2466.0</v>
      </c>
      <c r="H2469" s="8">
        <f t="shared" si="1"/>
        <v>-2</v>
      </c>
    </row>
    <row r="2470">
      <c r="A2470" s="10">
        <v>2469.0</v>
      </c>
      <c r="B2470" s="11" t="s">
        <v>5309</v>
      </c>
      <c r="C2470" s="10" t="s">
        <v>17</v>
      </c>
      <c r="D2470" s="10" t="s">
        <v>206</v>
      </c>
      <c r="E2470" s="13" t="str">
        <f>IFERROR(__xludf.DUMMYFUNCTION("ifna(filter('Yahoo ADP'!$A$2:$A2766,'Yahoo ADP'!$B$2:$B2766=$B2470,$C2470='Yahoo ADP'!$C$2:$C2766,$D2470='Yahoo ADP'!$D$2:$D2766))"),"")</f>
        <v/>
      </c>
      <c r="F2470" s="13" t="str">
        <f>IFERROR(__xludf.DUMMYFUNCTION("ifna(filter('Yahoo ADP'!$E$2:$E2766,'Yahoo ADP'!$B$2:$B2766=$B2470,$C2470='Yahoo ADP'!$C$2:$C2766,$D2470='Yahoo ADP'!$D$2:$D2766))"),"-")</f>
        <v>-</v>
      </c>
      <c r="G2470" s="27">
        <v>2467.0</v>
      </c>
      <c r="H2470" s="8">
        <f t="shared" si="1"/>
        <v>-2</v>
      </c>
    </row>
    <row r="2471">
      <c r="A2471" s="10">
        <v>2470.0</v>
      </c>
      <c r="B2471" s="11" t="s">
        <v>5310</v>
      </c>
      <c r="C2471" s="10" t="s">
        <v>20</v>
      </c>
      <c r="D2471" s="10" t="s">
        <v>99</v>
      </c>
      <c r="E2471" s="13" t="str">
        <f>IFERROR(__xludf.DUMMYFUNCTION("ifna(filter('Yahoo ADP'!$A$2:$A2766,'Yahoo ADP'!$B$2:$B2766=$B2471,$C2471='Yahoo ADP'!$C$2:$C2766,$D2471='Yahoo ADP'!$D$2:$D2766))"),"")</f>
        <v/>
      </c>
      <c r="F2471" s="13" t="str">
        <f>IFERROR(__xludf.DUMMYFUNCTION("ifna(filter('Yahoo ADP'!$E$2:$E2766,'Yahoo ADP'!$B$2:$B2766=$B2471,$C2471='Yahoo ADP'!$C$2:$C2766,$D2471='Yahoo ADP'!$D$2:$D2766))"),"-")</f>
        <v>-</v>
      </c>
      <c r="G2471" s="27">
        <v>2468.0</v>
      </c>
      <c r="H2471" s="8">
        <f t="shared" si="1"/>
        <v>-2</v>
      </c>
    </row>
    <row r="2472">
      <c r="A2472" s="10">
        <v>2471.0</v>
      </c>
      <c r="B2472" s="11" t="s">
        <v>5311</v>
      </c>
      <c r="C2472" s="10" t="s">
        <v>11</v>
      </c>
      <c r="D2472" s="10" t="s">
        <v>140</v>
      </c>
      <c r="E2472" s="13" t="str">
        <f>IFERROR(__xludf.DUMMYFUNCTION("ifna(filter('Yahoo ADP'!$A$2:$A2766,'Yahoo ADP'!$B$2:$B2766=$B2472,$C2472='Yahoo ADP'!$C$2:$C2766,$D2472='Yahoo ADP'!$D$2:$D2766))"),"")</f>
        <v/>
      </c>
      <c r="F2472" s="13" t="str">
        <f>IFERROR(__xludf.DUMMYFUNCTION("ifna(filter('Yahoo ADP'!$E$2:$E2766,'Yahoo ADP'!$B$2:$B2766=$B2472,$C2472='Yahoo ADP'!$C$2:$C2766,$D2472='Yahoo ADP'!$D$2:$D2766))"),"-")</f>
        <v>-</v>
      </c>
      <c r="G2472" s="27">
        <v>2469.0</v>
      </c>
      <c r="H2472" s="8">
        <f t="shared" si="1"/>
        <v>-2</v>
      </c>
    </row>
    <row r="2473">
      <c r="A2473" s="10">
        <v>2472.0</v>
      </c>
      <c r="B2473" s="11" t="s">
        <v>5312</v>
      </c>
      <c r="C2473" s="10" t="s">
        <v>14</v>
      </c>
      <c r="D2473" s="10" t="s">
        <v>206</v>
      </c>
      <c r="E2473" s="13" t="str">
        <f>IFERROR(__xludf.DUMMYFUNCTION("ifna(filter('Yahoo ADP'!$A$2:$A2766,'Yahoo ADP'!$B$2:$B2766=$B2473,$C2473='Yahoo ADP'!$C$2:$C2766,$D2473='Yahoo ADP'!$D$2:$D2766))"),"")</f>
        <v/>
      </c>
      <c r="F2473" s="13" t="str">
        <f>IFERROR(__xludf.DUMMYFUNCTION("ifna(filter('Yahoo ADP'!$E$2:$E2766,'Yahoo ADP'!$B$2:$B2766=$B2473,$C2473='Yahoo ADP'!$C$2:$C2766,$D2473='Yahoo ADP'!$D$2:$D2766))"),"-")</f>
        <v>-</v>
      </c>
      <c r="G2473" s="27">
        <v>2470.0</v>
      </c>
      <c r="H2473" s="8">
        <f t="shared" si="1"/>
        <v>-2</v>
      </c>
    </row>
    <row r="2474">
      <c r="A2474" s="10">
        <v>2473.0</v>
      </c>
      <c r="B2474" s="11" t="s">
        <v>5313</v>
      </c>
      <c r="C2474" s="10" t="s">
        <v>14</v>
      </c>
      <c r="D2474" s="10" t="s">
        <v>52</v>
      </c>
      <c r="E2474" s="13" t="str">
        <f>IFERROR(__xludf.DUMMYFUNCTION("ifna(filter('Yahoo ADP'!$A$2:$A2766,'Yahoo ADP'!$B$2:$B2766=$B2474,$C2474='Yahoo ADP'!$C$2:$C2766,$D2474='Yahoo ADP'!$D$2:$D2766))"),"")</f>
        <v/>
      </c>
      <c r="F2474" s="13" t="str">
        <f>IFERROR(__xludf.DUMMYFUNCTION("ifna(filter('Yahoo ADP'!$E$2:$E2766,'Yahoo ADP'!$B$2:$B2766=$B2474,$C2474='Yahoo ADP'!$C$2:$C2766,$D2474='Yahoo ADP'!$D$2:$D2766))"),"-")</f>
        <v>-</v>
      </c>
      <c r="G2474" s="27">
        <v>2471.0</v>
      </c>
      <c r="H2474" s="8">
        <f t="shared" si="1"/>
        <v>-2</v>
      </c>
    </row>
    <row r="2475">
      <c r="A2475" s="10">
        <v>2474.0</v>
      </c>
      <c r="B2475" s="11" t="s">
        <v>5314</v>
      </c>
      <c r="C2475" s="10" t="s">
        <v>39</v>
      </c>
      <c r="D2475" s="10" t="s">
        <v>140</v>
      </c>
      <c r="E2475" s="13" t="str">
        <f>IFERROR(__xludf.DUMMYFUNCTION("ifna(filter('Yahoo ADP'!$A$2:$A2766,'Yahoo ADP'!$B$2:$B2766=$B2475,$C2475='Yahoo ADP'!$C$2:$C2766,$D2475='Yahoo ADP'!$D$2:$D2766))"),"")</f>
        <v/>
      </c>
      <c r="F2475" s="13" t="str">
        <f>IFERROR(__xludf.DUMMYFUNCTION("ifna(filter('Yahoo ADP'!$E$2:$E2766,'Yahoo ADP'!$B$2:$B2766=$B2475,$C2475='Yahoo ADP'!$C$2:$C2766,$D2475='Yahoo ADP'!$D$2:$D2766))"),"-")</f>
        <v>-</v>
      </c>
      <c r="G2475" s="27">
        <v>2472.0</v>
      </c>
      <c r="H2475" s="8">
        <f t="shared" si="1"/>
        <v>-2</v>
      </c>
    </row>
    <row r="2476">
      <c r="A2476" s="10">
        <v>2475.0</v>
      </c>
      <c r="B2476" s="11" t="s">
        <v>5315</v>
      </c>
      <c r="C2476" s="10" t="s">
        <v>150</v>
      </c>
      <c r="D2476" s="10" t="s">
        <v>137</v>
      </c>
      <c r="E2476" s="13" t="str">
        <f>IFERROR(__xludf.DUMMYFUNCTION("ifna(filter('Yahoo ADP'!$A$2:$A2766,'Yahoo ADP'!$B$2:$B2766=$B2476,$C2476='Yahoo ADP'!$C$2:$C2766,$D2476='Yahoo ADP'!$D$2:$D2766))"),"")</f>
        <v/>
      </c>
      <c r="F2476" s="13" t="str">
        <f>IFERROR(__xludf.DUMMYFUNCTION("ifna(filter('Yahoo ADP'!$E$2:$E2766,'Yahoo ADP'!$B$2:$B2766=$B2476,$C2476='Yahoo ADP'!$C$2:$C2766,$D2476='Yahoo ADP'!$D$2:$D2766))"),"-")</f>
        <v>-</v>
      </c>
      <c r="G2476" s="27">
        <v>2473.0</v>
      </c>
      <c r="H2476" s="8">
        <f t="shared" si="1"/>
        <v>-2</v>
      </c>
    </row>
    <row r="2477">
      <c r="A2477" s="10">
        <v>2476.0</v>
      </c>
      <c r="B2477" s="11" t="s">
        <v>5316</v>
      </c>
      <c r="C2477" s="10" t="s">
        <v>39</v>
      </c>
      <c r="D2477" s="10" t="s">
        <v>42</v>
      </c>
      <c r="E2477" s="13" t="str">
        <f>IFERROR(__xludf.DUMMYFUNCTION("ifna(filter('Yahoo ADP'!$A$2:$A2766,'Yahoo ADP'!$B$2:$B2766=$B2477,$C2477='Yahoo ADP'!$C$2:$C2766,$D2477='Yahoo ADP'!$D$2:$D2766))"),"")</f>
        <v/>
      </c>
      <c r="F2477" s="13" t="str">
        <f>IFERROR(__xludf.DUMMYFUNCTION("ifna(filter('Yahoo ADP'!$E$2:$E2766,'Yahoo ADP'!$B$2:$B2766=$B2477,$C2477='Yahoo ADP'!$C$2:$C2766,$D2477='Yahoo ADP'!$D$2:$D2766))"),"-")</f>
        <v>-</v>
      </c>
      <c r="G2477" s="27">
        <v>2474.0</v>
      </c>
      <c r="H2477" s="8">
        <f t="shared" si="1"/>
        <v>-2</v>
      </c>
    </row>
    <row r="2478">
      <c r="A2478" s="10">
        <v>2477.0</v>
      </c>
      <c r="B2478" s="11" t="s">
        <v>5317</v>
      </c>
      <c r="C2478" s="10" t="s">
        <v>14</v>
      </c>
      <c r="D2478" s="10" t="s">
        <v>73</v>
      </c>
      <c r="E2478" s="13" t="str">
        <f>IFERROR(__xludf.DUMMYFUNCTION("ifna(filter('Yahoo ADP'!$A$2:$A2766,'Yahoo ADP'!$B$2:$B2766=$B2478,$C2478='Yahoo ADP'!$C$2:$C2766,$D2478='Yahoo ADP'!$D$2:$D2766))"),"")</f>
        <v/>
      </c>
      <c r="F2478" s="13" t="str">
        <f>IFERROR(__xludf.DUMMYFUNCTION("ifna(filter('Yahoo ADP'!$E$2:$E2766,'Yahoo ADP'!$B$2:$B2766=$B2478,$C2478='Yahoo ADP'!$C$2:$C2766,$D2478='Yahoo ADP'!$D$2:$D2766))"),"-")</f>
        <v>-</v>
      </c>
      <c r="G2478" s="27">
        <v>2475.0</v>
      </c>
      <c r="H2478" s="8">
        <f t="shared" si="1"/>
        <v>-2</v>
      </c>
    </row>
    <row r="2479">
      <c r="A2479" s="10">
        <v>2478.0</v>
      </c>
      <c r="B2479" s="11" t="s">
        <v>5318</v>
      </c>
      <c r="C2479" s="10" t="s">
        <v>77</v>
      </c>
      <c r="D2479" s="10" t="s">
        <v>36</v>
      </c>
      <c r="E2479" s="13" t="str">
        <f>IFERROR(__xludf.DUMMYFUNCTION("ifna(filter('Yahoo ADP'!$A$2:$A2766,'Yahoo ADP'!$B$2:$B2766=$B2479,$C2479='Yahoo ADP'!$C$2:$C2766,$D2479='Yahoo ADP'!$D$2:$D2766))"),"")</f>
        <v/>
      </c>
      <c r="F2479" s="13" t="str">
        <f>IFERROR(__xludf.DUMMYFUNCTION("ifna(filter('Yahoo ADP'!$E$2:$E2766,'Yahoo ADP'!$B$2:$B2766=$B2479,$C2479='Yahoo ADP'!$C$2:$C2766,$D2479='Yahoo ADP'!$D$2:$D2766))"),"-")</f>
        <v>-</v>
      </c>
      <c r="G2479" s="27">
        <v>2476.0</v>
      </c>
      <c r="H2479" s="8">
        <f t="shared" si="1"/>
        <v>-2</v>
      </c>
    </row>
    <row r="2480">
      <c r="A2480" s="10">
        <v>2479.0</v>
      </c>
      <c r="B2480" s="11" t="s">
        <v>5319</v>
      </c>
      <c r="C2480" s="10" t="s">
        <v>346</v>
      </c>
      <c r="D2480" s="10" t="s">
        <v>99</v>
      </c>
      <c r="E2480" s="13" t="str">
        <f>IFERROR(__xludf.DUMMYFUNCTION("ifna(filter('Yahoo ADP'!$A$2:$A2766,'Yahoo ADP'!$B$2:$B2766=$B2480,$C2480='Yahoo ADP'!$C$2:$C2766,$D2480='Yahoo ADP'!$D$2:$D2766))"),"")</f>
        <v/>
      </c>
      <c r="F2480" s="13" t="str">
        <f>IFERROR(__xludf.DUMMYFUNCTION("ifna(filter('Yahoo ADP'!$E$2:$E2766,'Yahoo ADP'!$B$2:$B2766=$B2480,$C2480='Yahoo ADP'!$C$2:$C2766,$D2480='Yahoo ADP'!$D$2:$D2766))"),"-")</f>
        <v>-</v>
      </c>
      <c r="G2480" s="27">
        <v>2477.0</v>
      </c>
      <c r="H2480" s="8">
        <f t="shared" si="1"/>
        <v>-2</v>
      </c>
    </row>
    <row r="2481">
      <c r="A2481" s="10">
        <v>2480.0</v>
      </c>
      <c r="B2481" s="11" t="s">
        <v>5320</v>
      </c>
      <c r="C2481" s="10" t="s">
        <v>77</v>
      </c>
      <c r="D2481" s="10" t="s">
        <v>105</v>
      </c>
      <c r="E2481" s="13" t="str">
        <f>IFERROR(__xludf.DUMMYFUNCTION("ifna(filter('Yahoo ADP'!$A$2:$A2766,'Yahoo ADP'!$B$2:$B2766=$B2481,$C2481='Yahoo ADP'!$C$2:$C2766,$D2481='Yahoo ADP'!$D$2:$D2766))"),"")</f>
        <v/>
      </c>
      <c r="F2481" s="13" t="str">
        <f>IFERROR(__xludf.DUMMYFUNCTION("ifna(filter('Yahoo ADP'!$E$2:$E2766,'Yahoo ADP'!$B$2:$B2766=$B2481,$C2481='Yahoo ADP'!$C$2:$C2766,$D2481='Yahoo ADP'!$D$2:$D2766))"),"-")</f>
        <v>-</v>
      </c>
      <c r="G2481" s="27">
        <v>2478.0</v>
      </c>
      <c r="H2481" s="8">
        <f t="shared" si="1"/>
        <v>-2</v>
      </c>
    </row>
    <row r="2482">
      <c r="A2482" s="10">
        <v>2481.0</v>
      </c>
      <c r="B2482" s="11" t="s">
        <v>5321</v>
      </c>
      <c r="C2482" s="10" t="s">
        <v>77</v>
      </c>
      <c r="D2482" s="10" t="s">
        <v>9</v>
      </c>
      <c r="E2482" s="13" t="str">
        <f>IFERROR(__xludf.DUMMYFUNCTION("ifna(filter('Yahoo ADP'!$A$2:$A2766,'Yahoo ADP'!$B$2:$B2766=$B2482,$C2482='Yahoo ADP'!$C$2:$C2766,$D2482='Yahoo ADP'!$D$2:$D2766))"),"")</f>
        <v/>
      </c>
      <c r="F2482" s="13" t="str">
        <f>IFERROR(__xludf.DUMMYFUNCTION("ifna(filter('Yahoo ADP'!$E$2:$E2766,'Yahoo ADP'!$B$2:$B2766=$B2482,$C2482='Yahoo ADP'!$C$2:$C2766,$D2482='Yahoo ADP'!$D$2:$D2766))"),"-")</f>
        <v>-</v>
      </c>
      <c r="G2482" s="27">
        <v>2479.0</v>
      </c>
      <c r="H2482" s="8">
        <f t="shared" si="1"/>
        <v>-2</v>
      </c>
    </row>
    <row r="2483">
      <c r="A2483" s="10">
        <v>2482.0</v>
      </c>
      <c r="B2483" s="11" t="s">
        <v>5322</v>
      </c>
      <c r="C2483" s="10" t="s">
        <v>77</v>
      </c>
      <c r="D2483" s="10" t="s">
        <v>129</v>
      </c>
      <c r="E2483" s="13" t="str">
        <f>IFERROR(__xludf.DUMMYFUNCTION("ifna(filter('Yahoo ADP'!$A$2:$A2766,'Yahoo ADP'!$B$2:$B2766=$B2483,$C2483='Yahoo ADP'!$C$2:$C2766,$D2483='Yahoo ADP'!$D$2:$D2766))"),"")</f>
        <v/>
      </c>
      <c r="F2483" s="13" t="str">
        <f>IFERROR(__xludf.DUMMYFUNCTION("ifna(filter('Yahoo ADP'!$E$2:$E2766,'Yahoo ADP'!$B$2:$B2766=$B2483,$C2483='Yahoo ADP'!$C$2:$C2766,$D2483='Yahoo ADP'!$D$2:$D2766))"),"-")</f>
        <v>-</v>
      </c>
      <c r="G2483" s="27">
        <v>2480.0</v>
      </c>
      <c r="H2483" s="8">
        <f t="shared" si="1"/>
        <v>-2</v>
      </c>
    </row>
    <row r="2484">
      <c r="A2484" s="10">
        <v>2483.0</v>
      </c>
      <c r="B2484" s="11" t="s">
        <v>5323</v>
      </c>
      <c r="C2484" s="10" t="s">
        <v>48</v>
      </c>
      <c r="D2484" s="10" t="s">
        <v>9</v>
      </c>
      <c r="E2484" s="13" t="str">
        <f>IFERROR(__xludf.DUMMYFUNCTION("ifna(filter('Yahoo ADP'!$A$2:$A2766,'Yahoo ADP'!$B$2:$B2766=$B2484,$C2484='Yahoo ADP'!$C$2:$C2766,$D2484='Yahoo ADP'!$D$2:$D2766))"),"")</f>
        <v/>
      </c>
      <c r="F2484" s="13" t="str">
        <f>IFERROR(__xludf.DUMMYFUNCTION("ifna(filter('Yahoo ADP'!$E$2:$E2766,'Yahoo ADP'!$B$2:$B2766=$B2484,$C2484='Yahoo ADP'!$C$2:$C2766,$D2484='Yahoo ADP'!$D$2:$D2766))"),"-")</f>
        <v>-</v>
      </c>
      <c r="G2484" s="27">
        <v>2482.0</v>
      </c>
      <c r="H2484" s="8">
        <f t="shared" si="1"/>
        <v>-1</v>
      </c>
    </row>
    <row r="2485">
      <c r="A2485" s="10">
        <v>2484.0</v>
      </c>
      <c r="B2485" s="11" t="s">
        <v>5324</v>
      </c>
      <c r="C2485" s="10" t="s">
        <v>14</v>
      </c>
      <c r="D2485" s="10" t="s">
        <v>15</v>
      </c>
      <c r="E2485" s="13" t="str">
        <f>IFERROR(__xludf.DUMMYFUNCTION("ifna(filter('Yahoo ADP'!$A$2:$A2766,'Yahoo ADP'!$B$2:$B2766=$B2485,$C2485='Yahoo ADP'!$C$2:$C2766,$D2485='Yahoo ADP'!$D$2:$D2766))"),"")</f>
        <v/>
      </c>
      <c r="F2485" s="13" t="str">
        <f>IFERROR(__xludf.DUMMYFUNCTION("ifna(filter('Yahoo ADP'!$E$2:$E2766,'Yahoo ADP'!$B$2:$B2766=$B2485,$C2485='Yahoo ADP'!$C$2:$C2766,$D2485='Yahoo ADP'!$D$2:$D2766))"),"-")</f>
        <v>-</v>
      </c>
      <c r="G2485" s="27">
        <v>2483.0</v>
      </c>
      <c r="H2485" s="8">
        <f t="shared" si="1"/>
        <v>-1</v>
      </c>
    </row>
    <row r="2486">
      <c r="A2486" s="10">
        <v>2485.0</v>
      </c>
      <c r="B2486" s="11" t="s">
        <v>5325</v>
      </c>
      <c r="C2486" s="10" t="s">
        <v>14</v>
      </c>
      <c r="D2486" s="10" t="s">
        <v>99</v>
      </c>
      <c r="E2486" s="13" t="str">
        <f>IFERROR(__xludf.DUMMYFUNCTION("ifna(filter('Yahoo ADP'!$A$2:$A2766,'Yahoo ADP'!$B$2:$B2766=$B2486,$C2486='Yahoo ADP'!$C$2:$C2766,$D2486='Yahoo ADP'!$D$2:$D2766))"),"")</f>
        <v/>
      </c>
      <c r="F2486" s="13" t="str">
        <f>IFERROR(__xludf.DUMMYFUNCTION("ifna(filter('Yahoo ADP'!$E$2:$E2766,'Yahoo ADP'!$B$2:$B2766=$B2486,$C2486='Yahoo ADP'!$C$2:$C2766,$D2486='Yahoo ADP'!$D$2:$D2766))"),"-")</f>
        <v>-</v>
      </c>
      <c r="G2486" s="27">
        <v>2484.0</v>
      </c>
      <c r="H2486" s="8">
        <f t="shared" si="1"/>
        <v>-1</v>
      </c>
    </row>
    <row r="2487">
      <c r="A2487" s="10">
        <v>2486.0</v>
      </c>
      <c r="B2487" s="11" t="s">
        <v>5326</v>
      </c>
      <c r="C2487" s="10" t="s">
        <v>14</v>
      </c>
      <c r="D2487" s="10" t="s">
        <v>82</v>
      </c>
      <c r="E2487" s="13" t="str">
        <f>IFERROR(__xludf.DUMMYFUNCTION("ifna(filter('Yahoo ADP'!$A$2:$A2766,'Yahoo ADP'!$B$2:$B2766=$B2487,$C2487='Yahoo ADP'!$C$2:$C2766,$D2487='Yahoo ADP'!$D$2:$D2766))"),"")</f>
        <v/>
      </c>
      <c r="F2487" s="13" t="str">
        <f>IFERROR(__xludf.DUMMYFUNCTION("ifna(filter('Yahoo ADP'!$E$2:$E2766,'Yahoo ADP'!$B$2:$B2766=$B2487,$C2487='Yahoo ADP'!$C$2:$C2766,$D2487='Yahoo ADP'!$D$2:$D2766))"),"-")</f>
        <v>-</v>
      </c>
      <c r="G2487" s="27">
        <v>2485.0</v>
      </c>
      <c r="H2487" s="8">
        <f t="shared" si="1"/>
        <v>-1</v>
      </c>
    </row>
    <row r="2488">
      <c r="A2488" s="10">
        <v>2487.0</v>
      </c>
      <c r="B2488" s="11" t="s">
        <v>5327</v>
      </c>
      <c r="C2488" s="10" t="s">
        <v>87</v>
      </c>
      <c r="D2488" s="10" t="s">
        <v>82</v>
      </c>
      <c r="E2488" s="13" t="str">
        <f>IFERROR(__xludf.DUMMYFUNCTION("ifna(filter('Yahoo ADP'!$A$2:$A2766,'Yahoo ADP'!$B$2:$B2766=$B2488,$C2488='Yahoo ADP'!$C$2:$C2766,$D2488='Yahoo ADP'!$D$2:$D2766))"),"")</f>
        <v/>
      </c>
      <c r="F2488" s="13" t="str">
        <f>IFERROR(__xludf.DUMMYFUNCTION("ifna(filter('Yahoo ADP'!$E$2:$E2766,'Yahoo ADP'!$B$2:$B2766=$B2488,$C2488='Yahoo ADP'!$C$2:$C2766,$D2488='Yahoo ADP'!$D$2:$D2766))"),"-")</f>
        <v>-</v>
      </c>
      <c r="G2488" s="27">
        <v>2486.0</v>
      </c>
      <c r="H2488" s="8">
        <f t="shared" si="1"/>
        <v>-1</v>
      </c>
    </row>
    <row r="2489">
      <c r="A2489" s="10">
        <v>2488.0</v>
      </c>
      <c r="B2489" s="11" t="s">
        <v>5328</v>
      </c>
      <c r="C2489" s="10" t="s">
        <v>11</v>
      </c>
      <c r="D2489" s="10" t="s">
        <v>73</v>
      </c>
      <c r="E2489" s="13" t="str">
        <f>IFERROR(__xludf.DUMMYFUNCTION("ifna(filter('Yahoo ADP'!$A$2:$A2766,'Yahoo ADP'!$B$2:$B2766=$B2489,$C2489='Yahoo ADP'!$C$2:$C2766,$D2489='Yahoo ADP'!$D$2:$D2766))"),"")</f>
        <v/>
      </c>
      <c r="F2489" s="13" t="str">
        <f>IFERROR(__xludf.DUMMYFUNCTION("ifna(filter('Yahoo ADP'!$E$2:$E2766,'Yahoo ADP'!$B$2:$B2766=$B2489,$C2489='Yahoo ADP'!$C$2:$C2766,$D2489='Yahoo ADP'!$D$2:$D2766))"),"")</f>
        <v/>
      </c>
      <c r="G2489" s="27">
        <v>2487.0</v>
      </c>
      <c r="H2489" s="8">
        <f t="shared" si="1"/>
        <v>-1</v>
      </c>
    </row>
    <row r="2490">
      <c r="A2490" s="10">
        <v>2489.0</v>
      </c>
      <c r="B2490" s="11" t="s">
        <v>5329</v>
      </c>
      <c r="C2490" s="10" t="s">
        <v>14</v>
      </c>
      <c r="D2490" s="10" t="s">
        <v>42</v>
      </c>
      <c r="E2490" s="13" t="str">
        <f>IFERROR(__xludf.DUMMYFUNCTION("ifna(filter('Yahoo ADP'!$A$2:$A2766,'Yahoo ADP'!$B$2:$B2766=$B2490,$C2490='Yahoo ADP'!$C$2:$C2766,$D2490='Yahoo ADP'!$D$2:$D2766))"),"")</f>
        <v/>
      </c>
      <c r="F2490" s="13" t="str">
        <f>IFERROR(__xludf.DUMMYFUNCTION("ifna(filter('Yahoo ADP'!$E$2:$E2766,'Yahoo ADP'!$B$2:$B2766=$B2490,$C2490='Yahoo ADP'!$C$2:$C2766,$D2490='Yahoo ADP'!$D$2:$D2766))"),"-")</f>
        <v>-</v>
      </c>
      <c r="G2490" s="27">
        <v>2488.0</v>
      </c>
      <c r="H2490" s="8">
        <f t="shared" si="1"/>
        <v>-1</v>
      </c>
    </row>
    <row r="2491">
      <c r="A2491" s="10">
        <v>2490.0</v>
      </c>
      <c r="B2491" s="11" t="s">
        <v>5330</v>
      </c>
      <c r="C2491" s="10" t="s">
        <v>11</v>
      </c>
      <c r="D2491" s="10" t="s">
        <v>9</v>
      </c>
      <c r="E2491" s="13" t="str">
        <f>IFERROR(__xludf.DUMMYFUNCTION("ifna(filter('Yahoo ADP'!$A$2:$A2766,'Yahoo ADP'!$B$2:$B2766=$B2491,$C2491='Yahoo ADP'!$C$2:$C2766,$D2491='Yahoo ADP'!$D$2:$D2766))"),"")</f>
        <v/>
      </c>
      <c r="F2491" s="13" t="str">
        <f>IFERROR(__xludf.DUMMYFUNCTION("ifna(filter('Yahoo ADP'!$E$2:$E2766,'Yahoo ADP'!$B$2:$B2766=$B2491,$C2491='Yahoo ADP'!$C$2:$C2766,$D2491='Yahoo ADP'!$D$2:$D2766))"),"-")</f>
        <v>-</v>
      </c>
      <c r="G2491" s="27">
        <v>2489.0</v>
      </c>
      <c r="H2491" s="8">
        <f t="shared" si="1"/>
        <v>-1</v>
      </c>
    </row>
    <row r="2492">
      <c r="A2492" s="10">
        <v>2491.0</v>
      </c>
      <c r="B2492" s="11" t="s">
        <v>5331</v>
      </c>
      <c r="C2492" s="10" t="s">
        <v>77</v>
      </c>
      <c r="D2492" s="10" t="s">
        <v>67</v>
      </c>
      <c r="E2492" s="13" t="str">
        <f>IFERROR(__xludf.DUMMYFUNCTION("ifna(filter('Yahoo ADP'!$A$2:$A2766,'Yahoo ADP'!$B$2:$B2766=$B2492,$C2492='Yahoo ADP'!$C$2:$C2766,$D2492='Yahoo ADP'!$D$2:$D2766))"),"")</f>
        <v/>
      </c>
      <c r="F2492" s="13" t="str">
        <f>IFERROR(__xludf.DUMMYFUNCTION("ifna(filter('Yahoo ADP'!$E$2:$E2766,'Yahoo ADP'!$B$2:$B2766=$B2492,$C2492='Yahoo ADP'!$C$2:$C2766,$D2492='Yahoo ADP'!$D$2:$D2766))"),"-")</f>
        <v>-</v>
      </c>
      <c r="G2492" s="27">
        <v>2490.0</v>
      </c>
      <c r="H2492" s="8">
        <f t="shared" si="1"/>
        <v>-1</v>
      </c>
    </row>
    <row r="2493">
      <c r="A2493" s="10">
        <v>2492.0</v>
      </c>
      <c r="B2493" s="11" t="s">
        <v>5332</v>
      </c>
      <c r="C2493" s="10" t="s">
        <v>39</v>
      </c>
      <c r="D2493" s="10" t="s">
        <v>34</v>
      </c>
      <c r="E2493" s="13" t="str">
        <f>IFERROR(__xludf.DUMMYFUNCTION("ifna(filter('Yahoo ADP'!$A$2:$A2766,'Yahoo ADP'!$B$2:$B2766=$B2493,$C2493='Yahoo ADP'!$C$2:$C2766,$D2493='Yahoo ADP'!$D$2:$D2766))"),"")</f>
        <v/>
      </c>
      <c r="F2493" s="13" t="str">
        <f>IFERROR(__xludf.DUMMYFUNCTION("ifna(filter('Yahoo ADP'!$E$2:$E2766,'Yahoo ADP'!$B$2:$B2766=$B2493,$C2493='Yahoo ADP'!$C$2:$C2766,$D2493='Yahoo ADP'!$D$2:$D2766))"),"-")</f>
        <v>-</v>
      </c>
      <c r="G2493" s="27">
        <v>2491.0</v>
      </c>
      <c r="H2493" s="8">
        <f t="shared" si="1"/>
        <v>-1</v>
      </c>
    </row>
    <row r="2494">
      <c r="A2494" s="10">
        <v>2493.0</v>
      </c>
      <c r="B2494" s="11" t="s">
        <v>5333</v>
      </c>
      <c r="C2494" s="10" t="s">
        <v>77</v>
      </c>
      <c r="D2494" s="10" t="s">
        <v>95</v>
      </c>
      <c r="E2494" s="13" t="str">
        <f>IFERROR(__xludf.DUMMYFUNCTION("ifna(filter('Yahoo ADP'!$A$2:$A2766,'Yahoo ADP'!$B$2:$B2766=$B2494,$C2494='Yahoo ADP'!$C$2:$C2766,$D2494='Yahoo ADP'!$D$2:$D2766))"),"")</f>
        <v/>
      </c>
      <c r="F2494" s="13" t="str">
        <f>IFERROR(__xludf.DUMMYFUNCTION("ifna(filter('Yahoo ADP'!$E$2:$E2766,'Yahoo ADP'!$B$2:$B2766=$B2494,$C2494='Yahoo ADP'!$C$2:$C2766,$D2494='Yahoo ADP'!$D$2:$D2766))"),"-")</f>
        <v>-</v>
      </c>
      <c r="G2494" s="27">
        <v>2492.0</v>
      </c>
      <c r="H2494" s="8">
        <f t="shared" si="1"/>
        <v>-1</v>
      </c>
    </row>
    <row r="2495">
      <c r="A2495" s="10">
        <v>2494.0</v>
      </c>
      <c r="B2495" s="11" t="s">
        <v>5334</v>
      </c>
      <c r="C2495" s="10" t="s">
        <v>39</v>
      </c>
      <c r="D2495" s="10" t="s">
        <v>129</v>
      </c>
      <c r="E2495" s="13" t="str">
        <f>IFERROR(__xludf.DUMMYFUNCTION("ifna(filter('Yahoo ADP'!$A$2:$A2766,'Yahoo ADP'!$B$2:$B2766=$B2495,$C2495='Yahoo ADP'!$C$2:$C2766,$D2495='Yahoo ADP'!$D$2:$D2766))"),"")</f>
        <v/>
      </c>
      <c r="F2495" s="13" t="str">
        <f>IFERROR(__xludf.DUMMYFUNCTION("ifna(filter('Yahoo ADP'!$E$2:$E2766,'Yahoo ADP'!$B$2:$B2766=$B2495,$C2495='Yahoo ADP'!$C$2:$C2766,$D2495='Yahoo ADP'!$D$2:$D2766))"),"-")</f>
        <v>-</v>
      </c>
      <c r="G2495" s="27">
        <v>2493.0</v>
      </c>
      <c r="H2495" s="8">
        <f t="shared" si="1"/>
        <v>-1</v>
      </c>
    </row>
    <row r="2496">
      <c r="A2496" s="10">
        <v>2495.0</v>
      </c>
      <c r="B2496" s="11" t="s">
        <v>5335</v>
      </c>
      <c r="C2496" s="10" t="s">
        <v>48</v>
      </c>
      <c r="D2496" s="10" t="s">
        <v>67</v>
      </c>
      <c r="E2496" s="13" t="str">
        <f>IFERROR(__xludf.DUMMYFUNCTION("ifna(filter('Yahoo ADP'!$A$2:$A2766,'Yahoo ADP'!$B$2:$B2766=$B2496,$C2496='Yahoo ADP'!$C$2:$C2766,$D2496='Yahoo ADP'!$D$2:$D2766))"),"")</f>
        <v/>
      </c>
      <c r="F2496" s="13" t="str">
        <f>IFERROR(__xludf.DUMMYFUNCTION("ifna(filter('Yahoo ADP'!$E$2:$E2766,'Yahoo ADP'!$B$2:$B2766=$B2496,$C2496='Yahoo ADP'!$C$2:$C2766,$D2496='Yahoo ADP'!$D$2:$D2766))"),"-")</f>
        <v>-</v>
      </c>
      <c r="G2496" s="27">
        <v>2494.0</v>
      </c>
      <c r="H2496" s="8">
        <f t="shared" si="1"/>
        <v>-1</v>
      </c>
    </row>
    <row r="2497">
      <c r="A2497" s="10">
        <v>2496.0</v>
      </c>
      <c r="B2497" s="11" t="s">
        <v>5336</v>
      </c>
      <c r="C2497" s="10" t="s">
        <v>39</v>
      </c>
      <c r="D2497" s="10" t="s">
        <v>31</v>
      </c>
      <c r="E2497" s="13" t="str">
        <f>IFERROR(__xludf.DUMMYFUNCTION("ifna(filter('Yahoo ADP'!$A$2:$A2766,'Yahoo ADP'!$B$2:$B2766=$B2497,$C2497='Yahoo ADP'!$C$2:$C2766,$D2497='Yahoo ADP'!$D$2:$D2766))"),"")</f>
        <v/>
      </c>
      <c r="F2497" s="13" t="str">
        <f>IFERROR(__xludf.DUMMYFUNCTION("ifna(filter('Yahoo ADP'!$E$2:$E2766,'Yahoo ADP'!$B$2:$B2766=$B2497,$C2497='Yahoo ADP'!$C$2:$C2766,$D2497='Yahoo ADP'!$D$2:$D2766))"),"-")</f>
        <v>-</v>
      </c>
      <c r="G2497" s="27">
        <v>2495.0</v>
      </c>
      <c r="H2497" s="8">
        <f t="shared" si="1"/>
        <v>-1</v>
      </c>
    </row>
    <row r="2498">
      <c r="A2498" s="10">
        <v>2497.0</v>
      </c>
      <c r="B2498" s="11" t="s">
        <v>5337</v>
      </c>
      <c r="C2498" s="10" t="s">
        <v>77</v>
      </c>
      <c r="D2498" s="10" t="s">
        <v>206</v>
      </c>
      <c r="E2498" s="13" t="str">
        <f>IFERROR(__xludf.DUMMYFUNCTION("ifna(filter('Yahoo ADP'!$A$2:$A2766,'Yahoo ADP'!$B$2:$B2766=$B2498,$C2498='Yahoo ADP'!$C$2:$C2766,$D2498='Yahoo ADP'!$D$2:$D2766))"),"")</f>
        <v/>
      </c>
      <c r="F2498" s="13" t="str">
        <f>IFERROR(__xludf.DUMMYFUNCTION("ifna(filter('Yahoo ADP'!$E$2:$E2766,'Yahoo ADP'!$B$2:$B2766=$B2498,$C2498='Yahoo ADP'!$C$2:$C2766,$D2498='Yahoo ADP'!$D$2:$D2766))"),"-")</f>
        <v>-</v>
      </c>
      <c r="G2498" s="27">
        <v>2496.0</v>
      </c>
      <c r="H2498" s="8">
        <f t="shared" si="1"/>
        <v>-1</v>
      </c>
    </row>
    <row r="2499">
      <c r="A2499" s="10">
        <v>2498.0</v>
      </c>
      <c r="B2499" s="11" t="s">
        <v>5338</v>
      </c>
      <c r="C2499" s="10" t="s">
        <v>14</v>
      </c>
      <c r="D2499" s="10" t="s">
        <v>34</v>
      </c>
      <c r="E2499" s="13" t="str">
        <f>IFERROR(__xludf.DUMMYFUNCTION("ifna(filter('Yahoo ADP'!$A$2:$A2766,'Yahoo ADP'!$B$2:$B2766=$B2499,$C2499='Yahoo ADP'!$C$2:$C2766,$D2499='Yahoo ADP'!$D$2:$D2766))"),"")</f>
        <v/>
      </c>
      <c r="F2499" s="13" t="str">
        <f>IFERROR(__xludf.DUMMYFUNCTION("ifna(filter('Yahoo ADP'!$E$2:$E2766,'Yahoo ADP'!$B$2:$B2766=$B2499,$C2499='Yahoo ADP'!$C$2:$C2766,$D2499='Yahoo ADP'!$D$2:$D2766))"),"-")</f>
        <v>-</v>
      </c>
      <c r="G2499" s="27">
        <v>2497.0</v>
      </c>
      <c r="H2499" s="8">
        <f t="shared" si="1"/>
        <v>-1</v>
      </c>
    </row>
    <row r="2500">
      <c r="A2500" s="10">
        <v>2499.0</v>
      </c>
      <c r="B2500" s="11" t="s">
        <v>5339</v>
      </c>
      <c r="C2500" s="10" t="s">
        <v>48</v>
      </c>
      <c r="D2500" s="10" t="s">
        <v>85</v>
      </c>
      <c r="E2500" s="13" t="str">
        <f>IFERROR(__xludf.DUMMYFUNCTION("ifna(filter('Yahoo ADP'!$A$2:$A2766,'Yahoo ADP'!$B$2:$B2766=$B2500,$C2500='Yahoo ADP'!$C$2:$C2766,$D2500='Yahoo ADP'!$D$2:$D2766))"),"")</f>
        <v/>
      </c>
      <c r="F2500" s="13" t="str">
        <f>IFERROR(__xludf.DUMMYFUNCTION("ifna(filter('Yahoo ADP'!$E$2:$E2766,'Yahoo ADP'!$B$2:$B2766=$B2500,$C2500='Yahoo ADP'!$C$2:$C2766,$D2500='Yahoo ADP'!$D$2:$D2766))"),"-")</f>
        <v>-</v>
      </c>
      <c r="G2500" s="27">
        <v>2498.0</v>
      </c>
      <c r="H2500" s="8">
        <f t="shared" si="1"/>
        <v>-1</v>
      </c>
    </row>
    <row r="2501">
      <c r="A2501" s="10">
        <v>2500.0</v>
      </c>
      <c r="B2501" s="11" t="s">
        <v>5340</v>
      </c>
      <c r="C2501" s="10" t="s">
        <v>17</v>
      </c>
      <c r="D2501" s="10" t="s">
        <v>113</v>
      </c>
      <c r="E2501" s="13" t="str">
        <f>IFERROR(__xludf.DUMMYFUNCTION("ifna(filter('Yahoo ADP'!$A$2:$A2766,'Yahoo ADP'!$B$2:$B2766=$B2501,$C2501='Yahoo ADP'!$C$2:$C2766,$D2501='Yahoo ADP'!$D$2:$D2766))"),"")</f>
        <v/>
      </c>
      <c r="F2501" s="13" t="str">
        <f>IFERROR(__xludf.DUMMYFUNCTION("ifna(filter('Yahoo ADP'!$E$2:$E2766,'Yahoo ADP'!$B$2:$B2766=$B2501,$C2501='Yahoo ADP'!$C$2:$C2766,$D2501='Yahoo ADP'!$D$2:$D2766))"),"-")</f>
        <v>-</v>
      </c>
      <c r="G2501" s="27">
        <v>2499.0</v>
      </c>
      <c r="H2501" s="8">
        <f t="shared" si="1"/>
        <v>-1</v>
      </c>
    </row>
    <row r="2502">
      <c r="A2502" s="10">
        <v>2501.0</v>
      </c>
      <c r="B2502" s="11" t="s">
        <v>5341</v>
      </c>
      <c r="C2502" s="10" t="s">
        <v>48</v>
      </c>
      <c r="D2502" s="10" t="s">
        <v>95</v>
      </c>
      <c r="E2502" s="13" t="str">
        <f>IFERROR(__xludf.DUMMYFUNCTION("ifna(filter('Yahoo ADP'!$A$2:$A2766,'Yahoo ADP'!$B$2:$B2766=$B2502,$C2502='Yahoo ADP'!$C$2:$C2766,$D2502='Yahoo ADP'!$D$2:$D2766))"),"")</f>
        <v/>
      </c>
      <c r="F2502" s="13" t="str">
        <f>IFERROR(__xludf.DUMMYFUNCTION("ifna(filter('Yahoo ADP'!$E$2:$E2766,'Yahoo ADP'!$B$2:$B2766=$B2502,$C2502='Yahoo ADP'!$C$2:$C2766,$D2502='Yahoo ADP'!$D$2:$D2766))"),"-")</f>
        <v>-</v>
      </c>
      <c r="G2502" s="27">
        <v>2500.0</v>
      </c>
      <c r="H2502" s="8">
        <f t="shared" si="1"/>
        <v>-1</v>
      </c>
    </row>
    <row r="2503">
      <c r="A2503" s="10">
        <v>2502.0</v>
      </c>
      <c r="B2503" s="11" t="s">
        <v>5342</v>
      </c>
      <c r="C2503" s="10" t="s">
        <v>11</v>
      </c>
      <c r="D2503" s="10" t="s">
        <v>122</v>
      </c>
      <c r="E2503" s="13" t="str">
        <f>IFERROR(__xludf.DUMMYFUNCTION("ifna(filter('Yahoo ADP'!$A$2:$A2766,'Yahoo ADP'!$B$2:$B2766=$B2503,$C2503='Yahoo ADP'!$C$2:$C2766,$D2503='Yahoo ADP'!$D$2:$D2766))"),"")</f>
        <v/>
      </c>
      <c r="F2503" s="13" t="str">
        <f>IFERROR(__xludf.DUMMYFUNCTION("ifna(filter('Yahoo ADP'!$E$2:$E2766,'Yahoo ADP'!$B$2:$B2766=$B2503,$C2503='Yahoo ADP'!$C$2:$C2766,$D2503='Yahoo ADP'!$D$2:$D2766))"),"-")</f>
        <v>-</v>
      </c>
      <c r="G2503" s="27">
        <v>2501.0</v>
      </c>
      <c r="H2503" s="8">
        <f t="shared" si="1"/>
        <v>-1</v>
      </c>
    </row>
    <row r="2504">
      <c r="A2504" s="10">
        <v>2503.0</v>
      </c>
      <c r="B2504" s="11" t="s">
        <v>5343</v>
      </c>
      <c r="C2504" s="10" t="s">
        <v>39</v>
      </c>
      <c r="D2504" s="10" t="s">
        <v>120</v>
      </c>
      <c r="E2504" s="13" t="str">
        <f>IFERROR(__xludf.DUMMYFUNCTION("ifna(filter('Yahoo ADP'!$A$2:$A2766,'Yahoo ADP'!$B$2:$B2766=$B2504,$C2504='Yahoo ADP'!$C$2:$C2766,$D2504='Yahoo ADP'!$D$2:$D2766))"),"")</f>
        <v/>
      </c>
      <c r="F2504" s="13" t="str">
        <f>IFERROR(__xludf.DUMMYFUNCTION("ifna(filter('Yahoo ADP'!$E$2:$E2766,'Yahoo ADP'!$B$2:$B2766=$B2504,$C2504='Yahoo ADP'!$C$2:$C2766,$D2504='Yahoo ADP'!$D$2:$D2766))"),"-")</f>
        <v>-</v>
      </c>
      <c r="G2504" s="27">
        <v>2502.0</v>
      </c>
      <c r="H2504" s="8">
        <f t="shared" si="1"/>
        <v>-1</v>
      </c>
    </row>
    <row r="2505">
      <c r="A2505" s="10">
        <v>2504.0</v>
      </c>
      <c r="B2505" s="11" t="s">
        <v>5344</v>
      </c>
      <c r="C2505" s="10" t="s">
        <v>11</v>
      </c>
      <c r="D2505" s="10" t="s">
        <v>95</v>
      </c>
      <c r="E2505" s="13" t="str">
        <f>IFERROR(__xludf.DUMMYFUNCTION("ifna(filter('Yahoo ADP'!$A$2:$A2766,'Yahoo ADP'!$B$2:$B2766=$B2505,$C2505='Yahoo ADP'!$C$2:$C2766,$D2505='Yahoo ADP'!$D$2:$D2766))"),"")</f>
        <v/>
      </c>
      <c r="F2505" s="13" t="str">
        <f>IFERROR(__xludf.DUMMYFUNCTION("ifna(filter('Yahoo ADP'!$E$2:$E2766,'Yahoo ADP'!$B$2:$B2766=$B2505,$C2505='Yahoo ADP'!$C$2:$C2766,$D2505='Yahoo ADP'!$D$2:$D2766))"),"-")</f>
        <v>-</v>
      </c>
      <c r="G2505" s="27">
        <v>2503.0</v>
      </c>
      <c r="H2505" s="8">
        <f t="shared" si="1"/>
        <v>-1</v>
      </c>
    </row>
    <row r="2506">
      <c r="A2506" s="10">
        <v>2505.0</v>
      </c>
      <c r="B2506" s="11" t="s">
        <v>5345</v>
      </c>
      <c r="C2506" s="10" t="s">
        <v>8</v>
      </c>
      <c r="D2506" s="10" t="s">
        <v>9</v>
      </c>
      <c r="E2506" s="13" t="str">
        <f>IFERROR(__xludf.DUMMYFUNCTION("ifna(filter('Yahoo ADP'!$A$2:$A2766,'Yahoo ADP'!$B$2:$B2766=$B2506,$C2506='Yahoo ADP'!$C$2:$C2766,$D2506='Yahoo ADP'!$D$2:$D2766))"),"")</f>
        <v/>
      </c>
      <c r="F2506" s="13" t="str">
        <f>IFERROR(__xludf.DUMMYFUNCTION("ifna(filter('Yahoo ADP'!$E$2:$E2766,'Yahoo ADP'!$B$2:$B2766=$B2506,$C2506='Yahoo ADP'!$C$2:$C2766,$D2506='Yahoo ADP'!$D$2:$D2766))"),"-")</f>
        <v>-</v>
      </c>
      <c r="G2506" s="27">
        <v>2504.0</v>
      </c>
      <c r="H2506" s="8">
        <f t="shared" si="1"/>
        <v>-1</v>
      </c>
    </row>
    <row r="2507">
      <c r="A2507" s="10">
        <v>2506.0</v>
      </c>
      <c r="B2507" s="11" t="s">
        <v>5346</v>
      </c>
      <c r="C2507" s="10" t="s">
        <v>77</v>
      </c>
      <c r="D2507" s="10" t="s">
        <v>25</v>
      </c>
      <c r="E2507" s="13" t="str">
        <f>IFERROR(__xludf.DUMMYFUNCTION("ifna(filter('Yahoo ADP'!$A$2:$A2766,'Yahoo ADP'!$B$2:$B2766=$B2507,$C2507='Yahoo ADP'!$C$2:$C2766,$D2507='Yahoo ADP'!$D$2:$D2766))"),"")</f>
        <v/>
      </c>
      <c r="F2507" s="13" t="str">
        <f>IFERROR(__xludf.DUMMYFUNCTION("ifna(filter('Yahoo ADP'!$E$2:$E2766,'Yahoo ADP'!$B$2:$B2766=$B2507,$C2507='Yahoo ADP'!$C$2:$C2766,$D2507='Yahoo ADP'!$D$2:$D2766))"),"-")</f>
        <v>-</v>
      </c>
      <c r="G2507" s="27">
        <v>2505.0</v>
      </c>
      <c r="H2507" s="8">
        <f t="shared" si="1"/>
        <v>-1</v>
      </c>
    </row>
    <row r="2508">
      <c r="A2508" s="10">
        <v>2507.0</v>
      </c>
      <c r="B2508" s="11" t="s">
        <v>5347</v>
      </c>
      <c r="C2508" s="10" t="s">
        <v>11</v>
      </c>
      <c r="D2508" s="10" t="s">
        <v>99</v>
      </c>
      <c r="E2508" s="13" t="str">
        <f>IFERROR(__xludf.DUMMYFUNCTION("ifna(filter('Yahoo ADP'!$A$2:$A2766,'Yahoo ADP'!$B$2:$B2766=$B2508,$C2508='Yahoo ADP'!$C$2:$C2766,$D2508='Yahoo ADP'!$D$2:$D2766))"),"")</f>
        <v/>
      </c>
      <c r="F2508" s="13" t="str">
        <f>IFERROR(__xludf.DUMMYFUNCTION("ifna(filter('Yahoo ADP'!$E$2:$E2766,'Yahoo ADP'!$B$2:$B2766=$B2508,$C2508='Yahoo ADP'!$C$2:$C2766,$D2508='Yahoo ADP'!$D$2:$D2766))"),"-")</f>
        <v>-</v>
      </c>
      <c r="G2508" s="27">
        <v>2506.0</v>
      </c>
      <c r="H2508" s="8">
        <f t="shared" si="1"/>
        <v>-1</v>
      </c>
    </row>
    <row r="2509">
      <c r="A2509" s="10">
        <v>2508.0</v>
      </c>
      <c r="B2509" s="11" t="s">
        <v>5348</v>
      </c>
      <c r="C2509" s="10" t="s">
        <v>14</v>
      </c>
      <c r="D2509" s="10" t="s">
        <v>12</v>
      </c>
      <c r="E2509" s="13" t="str">
        <f>IFERROR(__xludf.DUMMYFUNCTION("ifna(filter('Yahoo ADP'!$A$2:$A2766,'Yahoo ADP'!$B$2:$B2766=$B2509,$C2509='Yahoo ADP'!$C$2:$C2766,$D2509='Yahoo ADP'!$D$2:$D2766))"),"")</f>
        <v/>
      </c>
      <c r="F2509" s="13" t="str">
        <f>IFERROR(__xludf.DUMMYFUNCTION("ifna(filter('Yahoo ADP'!$E$2:$E2766,'Yahoo ADP'!$B$2:$B2766=$B2509,$C2509='Yahoo ADP'!$C$2:$C2766,$D2509='Yahoo ADP'!$D$2:$D2766))"),"-")</f>
        <v>-</v>
      </c>
      <c r="G2509" s="27">
        <v>2507.0</v>
      </c>
      <c r="H2509" s="8">
        <f t="shared" si="1"/>
        <v>-1</v>
      </c>
    </row>
    <row r="2510">
      <c r="A2510" s="10">
        <v>2509.0</v>
      </c>
      <c r="B2510" s="11" t="s">
        <v>5349</v>
      </c>
      <c r="C2510" s="10" t="s">
        <v>240</v>
      </c>
      <c r="D2510" s="10" t="s">
        <v>129</v>
      </c>
      <c r="E2510" s="13" t="str">
        <f>IFERROR(__xludf.DUMMYFUNCTION("ifna(filter('Yahoo ADP'!$A$2:$A2766,'Yahoo ADP'!$B$2:$B2766=$B2510,$C2510='Yahoo ADP'!$C$2:$C2766,$D2510='Yahoo ADP'!$D$2:$D2766))"),"")</f>
        <v/>
      </c>
      <c r="F2510" s="13" t="str">
        <f>IFERROR(__xludf.DUMMYFUNCTION("ifna(filter('Yahoo ADP'!$E$2:$E2766,'Yahoo ADP'!$B$2:$B2766=$B2510,$C2510='Yahoo ADP'!$C$2:$C2766,$D2510='Yahoo ADP'!$D$2:$D2766))"),"-")</f>
        <v>-</v>
      </c>
      <c r="G2510" s="27">
        <v>2508.0</v>
      </c>
      <c r="H2510" s="8">
        <f t="shared" si="1"/>
        <v>-1</v>
      </c>
    </row>
    <row r="2511">
      <c r="A2511" s="10">
        <v>2510.0</v>
      </c>
      <c r="B2511" s="11" t="s">
        <v>5350</v>
      </c>
      <c r="C2511" s="10" t="s">
        <v>77</v>
      </c>
      <c r="D2511" s="10" t="s">
        <v>113</v>
      </c>
      <c r="E2511" s="13" t="str">
        <f>IFERROR(__xludf.DUMMYFUNCTION("ifna(filter('Yahoo ADP'!$A$2:$A2766,'Yahoo ADP'!$B$2:$B2766=$B2511,$C2511='Yahoo ADP'!$C$2:$C2766,$D2511='Yahoo ADP'!$D$2:$D2766))"),"")</f>
        <v/>
      </c>
      <c r="F2511" s="13" t="str">
        <f>IFERROR(__xludf.DUMMYFUNCTION("ifna(filter('Yahoo ADP'!$E$2:$E2766,'Yahoo ADP'!$B$2:$B2766=$B2511,$C2511='Yahoo ADP'!$C$2:$C2766,$D2511='Yahoo ADP'!$D$2:$D2766))"),"-")</f>
        <v>-</v>
      </c>
      <c r="G2511" s="27">
        <v>2509.0</v>
      </c>
      <c r="H2511" s="8">
        <f t="shared" si="1"/>
        <v>-1</v>
      </c>
    </row>
    <row r="2512">
      <c r="A2512" s="10">
        <v>2511.0</v>
      </c>
      <c r="B2512" s="11" t="s">
        <v>5351</v>
      </c>
      <c r="C2512" s="10" t="s">
        <v>20</v>
      </c>
      <c r="D2512" s="10" t="s">
        <v>113</v>
      </c>
      <c r="E2512" s="13" t="str">
        <f>IFERROR(__xludf.DUMMYFUNCTION("ifna(filter('Yahoo ADP'!$A$2:$A2766,'Yahoo ADP'!$B$2:$B2766=$B2512,$C2512='Yahoo ADP'!$C$2:$C2766,$D2512='Yahoo ADP'!$D$2:$D2766))"),"")</f>
        <v/>
      </c>
      <c r="F2512" s="13" t="str">
        <f>IFERROR(__xludf.DUMMYFUNCTION("ifna(filter('Yahoo ADP'!$E$2:$E2766,'Yahoo ADP'!$B$2:$B2766=$B2512,$C2512='Yahoo ADP'!$C$2:$C2766,$D2512='Yahoo ADP'!$D$2:$D2766))"),"-")</f>
        <v>-</v>
      </c>
      <c r="G2512" s="27">
        <v>2510.0</v>
      </c>
      <c r="H2512" s="8">
        <f t="shared" si="1"/>
        <v>-1</v>
      </c>
    </row>
    <row r="2513">
      <c r="A2513" s="10">
        <v>2512.0</v>
      </c>
      <c r="B2513" s="11" t="s">
        <v>5352</v>
      </c>
      <c r="C2513" s="10" t="s">
        <v>69</v>
      </c>
      <c r="D2513" s="10" t="s">
        <v>36</v>
      </c>
      <c r="E2513" s="13" t="str">
        <f>IFERROR(__xludf.DUMMYFUNCTION("ifna(filter('Yahoo ADP'!$A$2:$A2766,'Yahoo ADP'!$B$2:$B2766=$B2513,$C2513='Yahoo ADP'!$C$2:$C2766,$D2513='Yahoo ADP'!$D$2:$D2766))"),"")</f>
        <v/>
      </c>
      <c r="F2513" s="13" t="str">
        <f>IFERROR(__xludf.DUMMYFUNCTION("ifna(filter('Yahoo ADP'!$E$2:$E2766,'Yahoo ADP'!$B$2:$B2766=$B2513,$C2513='Yahoo ADP'!$C$2:$C2766,$D2513='Yahoo ADP'!$D$2:$D2766))"),"-")</f>
        <v>-</v>
      </c>
      <c r="G2513" s="27">
        <v>2511.0</v>
      </c>
      <c r="H2513" s="8">
        <f t="shared" si="1"/>
        <v>-1</v>
      </c>
    </row>
    <row r="2514">
      <c r="A2514" s="10">
        <v>2513.0</v>
      </c>
      <c r="B2514" s="11" t="s">
        <v>5353</v>
      </c>
      <c r="C2514" s="10" t="s">
        <v>39</v>
      </c>
      <c r="D2514" s="10" t="s">
        <v>42</v>
      </c>
      <c r="E2514" s="13" t="str">
        <f>IFERROR(__xludf.DUMMYFUNCTION("ifna(filter('Yahoo ADP'!$A$2:$A2766,'Yahoo ADP'!$B$2:$B2766=$B2514,$C2514='Yahoo ADP'!$C$2:$C2766,$D2514='Yahoo ADP'!$D$2:$D2766))"),"")</f>
        <v/>
      </c>
      <c r="F2514" s="13" t="str">
        <f>IFERROR(__xludf.DUMMYFUNCTION("ifna(filter('Yahoo ADP'!$E$2:$E2766,'Yahoo ADP'!$B$2:$B2766=$B2514,$C2514='Yahoo ADP'!$C$2:$C2766,$D2514='Yahoo ADP'!$D$2:$D2766))"),"-")</f>
        <v>-</v>
      </c>
      <c r="G2514" s="27">
        <v>2512.0</v>
      </c>
      <c r="H2514" s="8">
        <f t="shared" si="1"/>
        <v>-1</v>
      </c>
    </row>
    <row r="2515">
      <c r="A2515" s="10">
        <v>2514.0</v>
      </c>
      <c r="B2515" s="11" t="s">
        <v>5354</v>
      </c>
      <c r="C2515" s="10" t="s">
        <v>17</v>
      </c>
      <c r="D2515" s="10" t="s">
        <v>206</v>
      </c>
      <c r="E2515" s="13" t="str">
        <f>IFERROR(__xludf.DUMMYFUNCTION("ifna(filter('Yahoo ADP'!$A$2:$A2766,'Yahoo ADP'!$B$2:$B2766=$B2515,$C2515='Yahoo ADP'!$C$2:$C2766,$D2515='Yahoo ADP'!$D$2:$D2766))"),"")</f>
        <v/>
      </c>
      <c r="F2515" s="13" t="str">
        <f>IFERROR(__xludf.DUMMYFUNCTION("ifna(filter('Yahoo ADP'!$E$2:$E2766,'Yahoo ADP'!$B$2:$B2766=$B2515,$C2515='Yahoo ADP'!$C$2:$C2766,$D2515='Yahoo ADP'!$D$2:$D2766))"),"-")</f>
        <v>-</v>
      </c>
      <c r="G2515" s="27">
        <v>2513.0</v>
      </c>
      <c r="H2515" s="8">
        <f t="shared" si="1"/>
        <v>-1</v>
      </c>
    </row>
    <row r="2516">
      <c r="A2516" s="10">
        <v>2515.0</v>
      </c>
      <c r="B2516" s="11" t="s">
        <v>5355</v>
      </c>
      <c r="C2516" s="10" t="s">
        <v>39</v>
      </c>
      <c r="D2516" s="10" t="s">
        <v>122</v>
      </c>
      <c r="E2516" s="13" t="str">
        <f>IFERROR(__xludf.DUMMYFUNCTION("ifna(filter('Yahoo ADP'!$A$2:$A2766,'Yahoo ADP'!$B$2:$B2766=$B2516,$C2516='Yahoo ADP'!$C$2:$C2766,$D2516='Yahoo ADP'!$D$2:$D2766))"),"")</f>
        <v/>
      </c>
      <c r="F2516" s="13" t="str">
        <f>IFERROR(__xludf.DUMMYFUNCTION("ifna(filter('Yahoo ADP'!$E$2:$E2766,'Yahoo ADP'!$B$2:$B2766=$B2516,$C2516='Yahoo ADP'!$C$2:$C2766,$D2516='Yahoo ADP'!$D$2:$D2766))"),"-")</f>
        <v>-</v>
      </c>
      <c r="G2516" s="27">
        <v>2514.0</v>
      </c>
      <c r="H2516" s="8">
        <f t="shared" si="1"/>
        <v>-1</v>
      </c>
    </row>
    <row r="2517">
      <c r="A2517" s="10">
        <v>2516.0</v>
      </c>
      <c r="B2517" s="11" t="s">
        <v>5356</v>
      </c>
      <c r="C2517" s="10" t="s">
        <v>14</v>
      </c>
      <c r="D2517" s="10" t="s">
        <v>23</v>
      </c>
      <c r="E2517" s="13" t="str">
        <f>IFERROR(__xludf.DUMMYFUNCTION("ifna(filter('Yahoo ADP'!$A$2:$A2766,'Yahoo ADP'!$B$2:$B2766=$B2517,$C2517='Yahoo ADP'!$C$2:$C2766,$D2517='Yahoo ADP'!$D$2:$D2766))"),"")</f>
        <v/>
      </c>
      <c r="F2517" s="13" t="str">
        <f>IFERROR(__xludf.DUMMYFUNCTION("ifna(filter('Yahoo ADP'!$E$2:$E2766,'Yahoo ADP'!$B$2:$B2766=$B2517,$C2517='Yahoo ADP'!$C$2:$C2766,$D2517='Yahoo ADP'!$D$2:$D2766))"),"-")</f>
        <v>-</v>
      </c>
      <c r="G2517" s="27">
        <v>2515.0</v>
      </c>
      <c r="H2517" s="8">
        <f t="shared" si="1"/>
        <v>-1</v>
      </c>
    </row>
    <row r="2518">
      <c r="A2518" s="10">
        <v>2517.0</v>
      </c>
      <c r="B2518" s="11" t="s">
        <v>5357</v>
      </c>
      <c r="C2518" s="10" t="s">
        <v>11</v>
      </c>
      <c r="D2518" s="10" t="s">
        <v>71</v>
      </c>
      <c r="E2518" s="13" t="str">
        <f>IFERROR(__xludf.DUMMYFUNCTION("ifna(filter('Yahoo ADP'!$A$2:$A2766,'Yahoo ADP'!$B$2:$B2766=$B2518,$C2518='Yahoo ADP'!$C$2:$C2766,$D2518='Yahoo ADP'!$D$2:$D2766))"),"")</f>
        <v/>
      </c>
      <c r="F2518" s="13" t="str">
        <f>IFERROR(__xludf.DUMMYFUNCTION("ifna(filter('Yahoo ADP'!$E$2:$E2766,'Yahoo ADP'!$B$2:$B2766=$B2518,$C2518='Yahoo ADP'!$C$2:$C2766,$D2518='Yahoo ADP'!$D$2:$D2766))"),"-")</f>
        <v>-</v>
      </c>
      <c r="G2518" s="27">
        <v>2516.0</v>
      </c>
      <c r="H2518" s="8">
        <f t="shared" si="1"/>
        <v>-1</v>
      </c>
    </row>
    <row r="2519">
      <c r="A2519" s="10">
        <v>2518.0</v>
      </c>
      <c r="B2519" s="11" t="s">
        <v>5358</v>
      </c>
      <c r="C2519" s="10" t="s">
        <v>39</v>
      </c>
      <c r="D2519" s="10" t="s">
        <v>34</v>
      </c>
      <c r="E2519" s="13" t="str">
        <f>IFERROR(__xludf.DUMMYFUNCTION("ifna(filter('Yahoo ADP'!$A$2:$A2766,'Yahoo ADP'!$B$2:$B2766=$B2519,$C2519='Yahoo ADP'!$C$2:$C2766,$D2519='Yahoo ADP'!$D$2:$D2766))"),"")</f>
        <v/>
      </c>
      <c r="F2519" s="13" t="str">
        <f>IFERROR(__xludf.DUMMYFUNCTION("ifna(filter('Yahoo ADP'!$E$2:$E2766,'Yahoo ADP'!$B$2:$B2766=$B2519,$C2519='Yahoo ADP'!$C$2:$C2766,$D2519='Yahoo ADP'!$D$2:$D2766))"),"-")</f>
        <v>-</v>
      </c>
      <c r="G2519" s="27">
        <v>2517.0</v>
      </c>
      <c r="H2519" s="8">
        <f t="shared" si="1"/>
        <v>-1</v>
      </c>
    </row>
    <row r="2520">
      <c r="A2520" s="10">
        <v>2519.0</v>
      </c>
      <c r="B2520" s="11" t="s">
        <v>5359</v>
      </c>
      <c r="C2520" s="10" t="s">
        <v>89</v>
      </c>
      <c r="D2520" s="10" t="s">
        <v>129</v>
      </c>
      <c r="E2520" s="13" t="str">
        <f>IFERROR(__xludf.DUMMYFUNCTION("ifna(filter('Yahoo ADP'!$A$2:$A2766,'Yahoo ADP'!$B$2:$B2766=$B2520,$C2520='Yahoo ADP'!$C$2:$C2766,$D2520='Yahoo ADP'!$D$2:$D2766))"),"")</f>
        <v/>
      </c>
      <c r="F2520" s="13" t="str">
        <f>IFERROR(__xludf.DUMMYFUNCTION("ifna(filter('Yahoo ADP'!$E$2:$E2766,'Yahoo ADP'!$B$2:$B2766=$B2520,$C2520='Yahoo ADP'!$C$2:$C2766,$D2520='Yahoo ADP'!$D$2:$D2766))"),"-")</f>
        <v>-</v>
      </c>
      <c r="G2520" s="27">
        <v>2518.0</v>
      </c>
      <c r="H2520" s="8">
        <f t="shared" si="1"/>
        <v>-1</v>
      </c>
    </row>
    <row r="2521">
      <c r="A2521" s="10">
        <v>2520.0</v>
      </c>
      <c r="B2521" s="11" t="s">
        <v>5360</v>
      </c>
      <c r="C2521" s="10" t="s">
        <v>11</v>
      </c>
      <c r="D2521" s="10" t="s">
        <v>42</v>
      </c>
      <c r="E2521" s="13" t="str">
        <f>IFERROR(__xludf.DUMMYFUNCTION("ifna(filter('Yahoo ADP'!$A$2:$A2766,'Yahoo ADP'!$B$2:$B2766=$B2521,$C2521='Yahoo ADP'!$C$2:$C2766,$D2521='Yahoo ADP'!$D$2:$D2766))"),"")</f>
        <v/>
      </c>
      <c r="F2521" s="13" t="str">
        <f>IFERROR(__xludf.DUMMYFUNCTION("ifna(filter('Yahoo ADP'!$E$2:$E2766,'Yahoo ADP'!$B$2:$B2766=$B2521,$C2521='Yahoo ADP'!$C$2:$C2766,$D2521='Yahoo ADP'!$D$2:$D2766))"),"-")</f>
        <v>-</v>
      </c>
      <c r="G2521" s="27">
        <v>2519.0</v>
      </c>
      <c r="H2521" s="8">
        <f t="shared" si="1"/>
        <v>-1</v>
      </c>
    </row>
    <row r="2522">
      <c r="A2522" s="10">
        <v>2521.0</v>
      </c>
      <c r="B2522" s="11" t="s">
        <v>5361</v>
      </c>
      <c r="C2522" s="10" t="s">
        <v>63</v>
      </c>
      <c r="D2522" s="10" t="s">
        <v>206</v>
      </c>
      <c r="E2522" s="13" t="str">
        <f>IFERROR(__xludf.DUMMYFUNCTION("ifna(filter('Yahoo ADP'!$A$2:$A2766,'Yahoo ADP'!$B$2:$B2766=$B2522,$C2522='Yahoo ADP'!$C$2:$C2766,$D2522='Yahoo ADP'!$D$2:$D2766))"),"")</f>
        <v/>
      </c>
      <c r="F2522" s="13" t="str">
        <f>IFERROR(__xludf.DUMMYFUNCTION("ifna(filter('Yahoo ADP'!$E$2:$E2766,'Yahoo ADP'!$B$2:$B2766=$B2522,$C2522='Yahoo ADP'!$C$2:$C2766,$D2522='Yahoo ADP'!$D$2:$D2766))"),"-")</f>
        <v>-</v>
      </c>
      <c r="G2522" s="27">
        <v>2520.0</v>
      </c>
      <c r="H2522" s="8">
        <f t="shared" si="1"/>
        <v>-1</v>
      </c>
    </row>
    <row r="2523">
      <c r="A2523" s="10">
        <v>2522.0</v>
      </c>
      <c r="B2523" s="11" t="s">
        <v>5362</v>
      </c>
      <c r="C2523" s="10" t="s">
        <v>55</v>
      </c>
      <c r="D2523" s="10" t="s">
        <v>206</v>
      </c>
      <c r="E2523" s="13" t="str">
        <f>IFERROR(__xludf.DUMMYFUNCTION("ifna(filter('Yahoo ADP'!$A$2:$A2766,'Yahoo ADP'!$B$2:$B2766=$B2523,$C2523='Yahoo ADP'!$C$2:$C2766,$D2523='Yahoo ADP'!$D$2:$D2766))"),"")</f>
        <v/>
      </c>
      <c r="F2523" s="13" t="str">
        <f>IFERROR(__xludf.DUMMYFUNCTION("ifna(filter('Yahoo ADP'!$E$2:$E2766,'Yahoo ADP'!$B$2:$B2766=$B2523,$C2523='Yahoo ADP'!$C$2:$C2766,$D2523='Yahoo ADP'!$D$2:$D2766))"),"-")</f>
        <v>-</v>
      </c>
      <c r="G2523" s="27">
        <v>2521.0</v>
      </c>
      <c r="H2523" s="8">
        <f t="shared" si="1"/>
        <v>-1</v>
      </c>
    </row>
    <row r="2524">
      <c r="A2524" s="10">
        <v>2523.0</v>
      </c>
      <c r="B2524" s="11" t="s">
        <v>5363</v>
      </c>
      <c r="C2524" s="10" t="s">
        <v>14</v>
      </c>
      <c r="D2524" s="10" t="s">
        <v>90</v>
      </c>
      <c r="E2524" s="13" t="str">
        <f>IFERROR(__xludf.DUMMYFUNCTION("ifna(filter('Yahoo ADP'!$A$2:$A2766,'Yahoo ADP'!$B$2:$B2766=$B2524,$C2524='Yahoo ADP'!$C$2:$C2766,$D2524='Yahoo ADP'!$D$2:$D2766))"),"")</f>
        <v/>
      </c>
      <c r="F2524" s="13" t="str">
        <f>IFERROR(__xludf.DUMMYFUNCTION("ifna(filter('Yahoo ADP'!$E$2:$E2766,'Yahoo ADP'!$B$2:$B2766=$B2524,$C2524='Yahoo ADP'!$C$2:$C2766,$D2524='Yahoo ADP'!$D$2:$D2766))"),"-")</f>
        <v>-</v>
      </c>
      <c r="G2524" s="27">
        <v>2522.0</v>
      </c>
      <c r="H2524" s="8">
        <f t="shared" si="1"/>
        <v>-1</v>
      </c>
    </row>
    <row r="2525">
      <c r="A2525" s="10">
        <v>2524.0</v>
      </c>
      <c r="B2525" s="11" t="s">
        <v>5364</v>
      </c>
      <c r="C2525" s="10" t="s">
        <v>39</v>
      </c>
      <c r="D2525" s="10" t="s">
        <v>99</v>
      </c>
      <c r="E2525" s="13" t="str">
        <f>IFERROR(__xludf.DUMMYFUNCTION("ifna(filter('Yahoo ADP'!$A$2:$A2766,'Yahoo ADP'!$B$2:$B2766=$B2525,$C2525='Yahoo ADP'!$C$2:$C2766,$D2525='Yahoo ADP'!$D$2:$D2766))"),"")</f>
        <v/>
      </c>
      <c r="F2525" s="13" t="str">
        <f>IFERROR(__xludf.DUMMYFUNCTION("ifna(filter('Yahoo ADP'!$E$2:$E2766,'Yahoo ADP'!$B$2:$B2766=$B2525,$C2525='Yahoo ADP'!$C$2:$C2766,$D2525='Yahoo ADP'!$D$2:$D2766))"),"-")</f>
        <v>-</v>
      </c>
      <c r="G2525" s="27">
        <v>2523.0</v>
      </c>
      <c r="H2525" s="8">
        <f t="shared" si="1"/>
        <v>-1</v>
      </c>
    </row>
    <row r="2526">
      <c r="A2526" s="10">
        <v>2525.0</v>
      </c>
      <c r="B2526" s="11" t="s">
        <v>5365</v>
      </c>
      <c r="C2526" s="10" t="s">
        <v>20</v>
      </c>
      <c r="D2526" s="10" t="s">
        <v>18</v>
      </c>
      <c r="E2526" s="13" t="str">
        <f>IFERROR(__xludf.DUMMYFUNCTION("ifna(filter('Yahoo ADP'!$A$2:$A2766,'Yahoo ADP'!$B$2:$B2766=$B2526,$C2526='Yahoo ADP'!$C$2:$C2766,$D2526='Yahoo ADP'!$D$2:$D2766))"),"")</f>
        <v/>
      </c>
      <c r="F2526" s="13" t="str">
        <f>IFERROR(__xludf.DUMMYFUNCTION("ifna(filter('Yahoo ADP'!$E$2:$E2766,'Yahoo ADP'!$B$2:$B2766=$B2526,$C2526='Yahoo ADP'!$C$2:$C2766,$D2526='Yahoo ADP'!$D$2:$D2766))"),"-")</f>
        <v>-</v>
      </c>
      <c r="G2526" s="27">
        <v>2524.0</v>
      </c>
      <c r="H2526" s="8">
        <f t="shared" si="1"/>
        <v>-1</v>
      </c>
    </row>
    <row r="2527">
      <c r="A2527" s="10">
        <v>2526.0</v>
      </c>
      <c r="B2527" s="11" t="s">
        <v>5366</v>
      </c>
      <c r="C2527" s="10" t="s">
        <v>48</v>
      </c>
      <c r="D2527" s="10" t="s">
        <v>122</v>
      </c>
      <c r="E2527" s="13" t="str">
        <f>IFERROR(__xludf.DUMMYFUNCTION("ifna(filter('Yahoo ADP'!$A$2:$A2766,'Yahoo ADP'!$B$2:$B2766=$B2527,$C2527='Yahoo ADP'!$C$2:$C2766,$D2527='Yahoo ADP'!$D$2:$D2766))"),"")</f>
        <v/>
      </c>
      <c r="F2527" s="13" t="str">
        <f>IFERROR(__xludf.DUMMYFUNCTION("ifna(filter('Yahoo ADP'!$E$2:$E2766,'Yahoo ADP'!$B$2:$B2766=$B2527,$C2527='Yahoo ADP'!$C$2:$C2766,$D2527='Yahoo ADP'!$D$2:$D2766))"),"-")</f>
        <v>-</v>
      </c>
      <c r="G2527" s="27">
        <v>2525.0</v>
      </c>
      <c r="H2527" s="8">
        <f t="shared" si="1"/>
        <v>-1</v>
      </c>
    </row>
    <row r="2528">
      <c r="A2528" s="10">
        <v>2527.0</v>
      </c>
      <c r="B2528" s="11" t="s">
        <v>5367</v>
      </c>
      <c r="C2528" s="10" t="s">
        <v>17</v>
      </c>
      <c r="D2528" s="10" t="s">
        <v>105</v>
      </c>
      <c r="E2528" s="13" t="str">
        <f>IFERROR(__xludf.DUMMYFUNCTION("ifna(filter('Yahoo ADP'!$A$2:$A2766,'Yahoo ADP'!$B$2:$B2766=$B2528,$C2528='Yahoo ADP'!$C$2:$C2766,$D2528='Yahoo ADP'!$D$2:$D2766))"),"")</f>
        <v/>
      </c>
      <c r="F2528" s="13" t="str">
        <f>IFERROR(__xludf.DUMMYFUNCTION("ifna(filter('Yahoo ADP'!$E$2:$E2766,'Yahoo ADP'!$B$2:$B2766=$B2528,$C2528='Yahoo ADP'!$C$2:$C2766,$D2528='Yahoo ADP'!$D$2:$D2766))"),"-")</f>
        <v>-</v>
      </c>
      <c r="G2528" s="27">
        <v>2526.0</v>
      </c>
      <c r="H2528" s="8">
        <f t="shared" si="1"/>
        <v>-1</v>
      </c>
    </row>
    <row r="2529">
      <c r="A2529" s="10">
        <v>2528.0</v>
      </c>
      <c r="B2529" s="11" t="s">
        <v>5368</v>
      </c>
      <c r="C2529" s="10" t="s">
        <v>240</v>
      </c>
      <c r="D2529" s="10" t="s">
        <v>137</v>
      </c>
      <c r="E2529" s="13" t="str">
        <f>IFERROR(__xludf.DUMMYFUNCTION("ifna(filter('Yahoo ADP'!$A$2:$A2766,'Yahoo ADP'!$B$2:$B2766=$B2529,$C2529='Yahoo ADP'!$C$2:$C2766,$D2529='Yahoo ADP'!$D$2:$D2766))"),"")</f>
        <v/>
      </c>
      <c r="F2529" s="13" t="str">
        <f>IFERROR(__xludf.DUMMYFUNCTION("ifna(filter('Yahoo ADP'!$E$2:$E2766,'Yahoo ADP'!$B$2:$B2766=$B2529,$C2529='Yahoo ADP'!$C$2:$C2766,$D2529='Yahoo ADP'!$D$2:$D2766))"),"-")</f>
        <v>-</v>
      </c>
      <c r="G2529" s="27">
        <v>2527.0</v>
      </c>
      <c r="H2529" s="8">
        <f t="shared" si="1"/>
        <v>-1</v>
      </c>
    </row>
    <row r="2530">
      <c r="A2530" s="10">
        <v>2529.0</v>
      </c>
      <c r="B2530" s="11" t="s">
        <v>5369</v>
      </c>
      <c r="C2530" s="10" t="s">
        <v>14</v>
      </c>
      <c r="D2530" s="10" t="s">
        <v>34</v>
      </c>
      <c r="E2530" s="13" t="str">
        <f>IFERROR(__xludf.DUMMYFUNCTION("ifna(filter('Yahoo ADP'!$A$2:$A2766,'Yahoo ADP'!$B$2:$B2766=$B2530,$C2530='Yahoo ADP'!$C$2:$C2766,$D2530='Yahoo ADP'!$D$2:$D2766))"),"")</f>
        <v/>
      </c>
      <c r="F2530" s="13" t="str">
        <f>IFERROR(__xludf.DUMMYFUNCTION("ifna(filter('Yahoo ADP'!$E$2:$E2766,'Yahoo ADP'!$B$2:$B2766=$B2530,$C2530='Yahoo ADP'!$C$2:$C2766,$D2530='Yahoo ADP'!$D$2:$D2766))"),"-")</f>
        <v>-</v>
      </c>
      <c r="G2530" s="27">
        <v>2528.0</v>
      </c>
      <c r="H2530" s="8">
        <f t="shared" si="1"/>
        <v>-1</v>
      </c>
    </row>
    <row r="2531">
      <c r="A2531" s="10">
        <v>2530.0</v>
      </c>
      <c r="B2531" s="11" t="s">
        <v>5370</v>
      </c>
      <c r="C2531" s="10" t="s">
        <v>11</v>
      </c>
      <c r="D2531" s="10" t="s">
        <v>99</v>
      </c>
      <c r="E2531" s="13" t="str">
        <f>IFERROR(__xludf.DUMMYFUNCTION("ifna(filter('Yahoo ADP'!$A$2:$A2766,'Yahoo ADP'!$B$2:$B2766=$B2531,$C2531='Yahoo ADP'!$C$2:$C2766,$D2531='Yahoo ADP'!$D$2:$D2766))"),"")</f>
        <v/>
      </c>
      <c r="F2531" s="13" t="str">
        <f>IFERROR(__xludf.DUMMYFUNCTION("ifna(filter('Yahoo ADP'!$E$2:$E2766,'Yahoo ADP'!$B$2:$B2766=$B2531,$C2531='Yahoo ADP'!$C$2:$C2766,$D2531='Yahoo ADP'!$D$2:$D2766))"),"-")</f>
        <v>-</v>
      </c>
      <c r="G2531" s="27">
        <v>2529.0</v>
      </c>
      <c r="H2531" s="8">
        <f t="shared" si="1"/>
        <v>-1</v>
      </c>
    </row>
    <row r="2532">
      <c r="A2532" s="10">
        <v>2531.0</v>
      </c>
      <c r="B2532" s="11" t="s">
        <v>5371</v>
      </c>
      <c r="C2532" s="10" t="s">
        <v>55</v>
      </c>
      <c r="D2532" s="10" t="s">
        <v>122</v>
      </c>
      <c r="E2532" s="13" t="str">
        <f>IFERROR(__xludf.DUMMYFUNCTION("ifna(filter('Yahoo ADP'!$A$2:$A2766,'Yahoo ADP'!$B$2:$B2766=$B2532,$C2532='Yahoo ADP'!$C$2:$C2766,$D2532='Yahoo ADP'!$D$2:$D2766))"),"")</f>
        <v/>
      </c>
      <c r="F2532" s="13" t="str">
        <f>IFERROR(__xludf.DUMMYFUNCTION("ifna(filter('Yahoo ADP'!$E$2:$E2766,'Yahoo ADP'!$B$2:$B2766=$B2532,$C2532='Yahoo ADP'!$C$2:$C2766,$D2532='Yahoo ADP'!$D$2:$D2766))"),"-")</f>
        <v>-</v>
      </c>
      <c r="G2532" s="27">
        <v>2530.0</v>
      </c>
      <c r="H2532" s="8">
        <f t="shared" si="1"/>
        <v>-1</v>
      </c>
    </row>
    <row r="2533">
      <c r="A2533" s="10">
        <v>2532.0</v>
      </c>
      <c r="B2533" s="11" t="s">
        <v>5372</v>
      </c>
      <c r="C2533" s="10" t="s">
        <v>39</v>
      </c>
      <c r="D2533" s="10" t="s">
        <v>71</v>
      </c>
      <c r="E2533" s="13" t="str">
        <f>IFERROR(__xludf.DUMMYFUNCTION("ifna(filter('Yahoo ADP'!$A$2:$A2766,'Yahoo ADP'!$B$2:$B2766=$B2533,$C2533='Yahoo ADP'!$C$2:$C2766,$D2533='Yahoo ADP'!$D$2:$D2766))"),"")</f>
        <v/>
      </c>
      <c r="F2533" s="13" t="str">
        <f>IFERROR(__xludf.DUMMYFUNCTION("ifna(filter('Yahoo ADP'!$E$2:$E2766,'Yahoo ADP'!$B$2:$B2766=$B2533,$C2533='Yahoo ADP'!$C$2:$C2766,$D2533='Yahoo ADP'!$D$2:$D2766))"),"-")</f>
        <v>-</v>
      </c>
      <c r="G2533" s="27">
        <v>2531.0</v>
      </c>
      <c r="H2533" s="8">
        <f t="shared" si="1"/>
        <v>-1</v>
      </c>
    </row>
    <row r="2534">
      <c r="A2534" s="10">
        <v>2533.0</v>
      </c>
      <c r="B2534" s="11" t="s">
        <v>5373</v>
      </c>
      <c r="C2534" s="10" t="s">
        <v>55</v>
      </c>
      <c r="D2534" s="10" t="s">
        <v>27</v>
      </c>
      <c r="E2534" s="13" t="str">
        <f>IFERROR(__xludf.DUMMYFUNCTION("ifna(filter('Yahoo ADP'!$A$2:$A2766,'Yahoo ADP'!$B$2:$B2766=$B2534,$C2534='Yahoo ADP'!$C$2:$C2766,$D2534='Yahoo ADP'!$D$2:$D2766))"),"")</f>
        <v/>
      </c>
      <c r="F2534" s="13" t="str">
        <f>IFERROR(__xludf.DUMMYFUNCTION("ifna(filter('Yahoo ADP'!$E$2:$E2766,'Yahoo ADP'!$B$2:$B2766=$B2534,$C2534='Yahoo ADP'!$C$2:$C2766,$D2534='Yahoo ADP'!$D$2:$D2766))"),"-")</f>
        <v>-</v>
      </c>
      <c r="G2534" s="27">
        <v>2532.0</v>
      </c>
      <c r="H2534" s="8">
        <f t="shared" si="1"/>
        <v>-1</v>
      </c>
    </row>
    <row r="2535">
      <c r="A2535" s="10">
        <v>2534.0</v>
      </c>
      <c r="B2535" s="11" t="s">
        <v>5374</v>
      </c>
      <c r="C2535" s="10" t="s">
        <v>39</v>
      </c>
      <c r="D2535" s="10" t="s">
        <v>137</v>
      </c>
      <c r="E2535" s="13" t="str">
        <f>IFERROR(__xludf.DUMMYFUNCTION("ifna(filter('Yahoo ADP'!$A$2:$A2766,'Yahoo ADP'!$B$2:$B2766=$B2535,$C2535='Yahoo ADP'!$C$2:$C2766,$D2535='Yahoo ADP'!$D$2:$D2766))"),"")</f>
        <v/>
      </c>
      <c r="F2535" s="13" t="str">
        <f>IFERROR(__xludf.DUMMYFUNCTION("ifna(filter('Yahoo ADP'!$E$2:$E2766,'Yahoo ADP'!$B$2:$B2766=$B2535,$C2535='Yahoo ADP'!$C$2:$C2766,$D2535='Yahoo ADP'!$D$2:$D2766))"),"-")</f>
        <v>-</v>
      </c>
      <c r="G2535" s="27">
        <v>2533.0</v>
      </c>
      <c r="H2535" s="8">
        <f t="shared" si="1"/>
        <v>-1</v>
      </c>
    </row>
    <row r="2536">
      <c r="A2536" s="10">
        <v>2535.0</v>
      </c>
      <c r="B2536" s="11" t="s">
        <v>5375</v>
      </c>
      <c r="C2536" s="10" t="s">
        <v>14</v>
      </c>
      <c r="D2536" s="10" t="s">
        <v>25</v>
      </c>
      <c r="E2536" s="13" t="str">
        <f>IFERROR(__xludf.DUMMYFUNCTION("ifna(filter('Yahoo ADP'!$A$2:$A2766,'Yahoo ADP'!$B$2:$B2766=$B2536,$C2536='Yahoo ADP'!$C$2:$C2766,$D2536='Yahoo ADP'!$D$2:$D2766))"),"")</f>
        <v/>
      </c>
      <c r="F2536" s="13" t="str">
        <f>IFERROR(__xludf.DUMMYFUNCTION("ifna(filter('Yahoo ADP'!$E$2:$E2766,'Yahoo ADP'!$B$2:$B2766=$B2536,$C2536='Yahoo ADP'!$C$2:$C2766,$D2536='Yahoo ADP'!$D$2:$D2766))"),"-")</f>
        <v>-</v>
      </c>
      <c r="G2536" s="27">
        <v>2534.0</v>
      </c>
      <c r="H2536" s="8">
        <f t="shared" si="1"/>
        <v>-1</v>
      </c>
    </row>
    <row r="2537">
      <c r="A2537" s="10">
        <v>2536.0</v>
      </c>
      <c r="B2537" s="11" t="s">
        <v>5376</v>
      </c>
      <c r="C2537" s="10" t="s">
        <v>8</v>
      </c>
      <c r="D2537" s="10" t="s">
        <v>25</v>
      </c>
      <c r="E2537" s="13" t="str">
        <f>IFERROR(__xludf.DUMMYFUNCTION("ifna(filter('Yahoo ADP'!$A$2:$A2766,'Yahoo ADP'!$B$2:$B2766=$B2537,$C2537='Yahoo ADP'!$C$2:$C2766,$D2537='Yahoo ADP'!$D$2:$D2766))"),"")</f>
        <v/>
      </c>
      <c r="F2537" s="13" t="str">
        <f>IFERROR(__xludf.DUMMYFUNCTION("ifna(filter('Yahoo ADP'!$E$2:$E2766,'Yahoo ADP'!$B$2:$B2766=$B2537,$C2537='Yahoo ADP'!$C$2:$C2766,$D2537='Yahoo ADP'!$D$2:$D2766))"),"-")</f>
        <v>-</v>
      </c>
      <c r="G2537" s="27">
        <v>2535.0</v>
      </c>
      <c r="H2537" s="8">
        <f t="shared" si="1"/>
        <v>-1</v>
      </c>
    </row>
    <row r="2538">
      <c r="A2538" s="10">
        <v>2537.0</v>
      </c>
      <c r="B2538" s="11" t="s">
        <v>5377</v>
      </c>
      <c r="C2538" s="10" t="s">
        <v>20</v>
      </c>
      <c r="D2538" s="10" t="s">
        <v>25</v>
      </c>
      <c r="E2538" s="13" t="str">
        <f>IFERROR(__xludf.DUMMYFUNCTION("ifna(filter('Yahoo ADP'!$A$2:$A2766,'Yahoo ADP'!$B$2:$B2766=$B2538,$C2538='Yahoo ADP'!$C$2:$C2766,$D2538='Yahoo ADP'!$D$2:$D2766))"),"")</f>
        <v/>
      </c>
      <c r="F2538" s="13" t="str">
        <f>IFERROR(__xludf.DUMMYFUNCTION("ifna(filter('Yahoo ADP'!$E$2:$E2766,'Yahoo ADP'!$B$2:$B2766=$B2538,$C2538='Yahoo ADP'!$C$2:$C2766,$D2538='Yahoo ADP'!$D$2:$D2766))"),"-")</f>
        <v>-</v>
      </c>
      <c r="G2538" s="27">
        <v>2536.0</v>
      </c>
      <c r="H2538" s="8">
        <f t="shared" si="1"/>
        <v>-1</v>
      </c>
    </row>
    <row r="2539">
      <c r="A2539" s="10">
        <v>2538.0</v>
      </c>
      <c r="B2539" s="11" t="s">
        <v>5378</v>
      </c>
      <c r="C2539" s="10" t="s">
        <v>55</v>
      </c>
      <c r="D2539" s="10" t="s">
        <v>82</v>
      </c>
      <c r="E2539" s="13" t="str">
        <f>IFERROR(__xludf.DUMMYFUNCTION("ifna(filter('Yahoo ADP'!$A$2:$A2766,'Yahoo ADP'!$B$2:$B2766=$B2539,$C2539='Yahoo ADP'!$C$2:$C2766,$D2539='Yahoo ADP'!$D$2:$D2766))"),"")</f>
        <v/>
      </c>
      <c r="F2539" s="13" t="str">
        <f>IFERROR(__xludf.DUMMYFUNCTION("ifna(filter('Yahoo ADP'!$E$2:$E2766,'Yahoo ADP'!$B$2:$B2766=$B2539,$C2539='Yahoo ADP'!$C$2:$C2766,$D2539='Yahoo ADP'!$D$2:$D2766))"),"-")</f>
        <v>-</v>
      </c>
      <c r="G2539" s="27">
        <v>2537.0</v>
      </c>
      <c r="H2539" s="8">
        <f t="shared" si="1"/>
        <v>-1</v>
      </c>
    </row>
    <row r="2540">
      <c r="A2540" s="10">
        <v>2539.0</v>
      </c>
      <c r="B2540" s="11" t="s">
        <v>5379</v>
      </c>
      <c r="C2540" s="10" t="s">
        <v>14</v>
      </c>
      <c r="D2540" s="10" t="s">
        <v>137</v>
      </c>
      <c r="E2540" s="13" t="str">
        <f>IFERROR(__xludf.DUMMYFUNCTION("ifna(filter('Yahoo ADP'!$A$2:$A2766,'Yahoo ADP'!$B$2:$B2766=$B2540,$C2540='Yahoo ADP'!$C$2:$C2766,$D2540='Yahoo ADP'!$D$2:$D2766))"),"")</f>
        <v/>
      </c>
      <c r="F2540" s="13" t="str">
        <f>IFERROR(__xludf.DUMMYFUNCTION("ifna(filter('Yahoo ADP'!$E$2:$E2766,'Yahoo ADP'!$B$2:$B2766=$B2540,$C2540='Yahoo ADP'!$C$2:$C2766,$D2540='Yahoo ADP'!$D$2:$D2766))"),"-")</f>
        <v>-</v>
      </c>
      <c r="G2540" s="27">
        <v>2538.0</v>
      </c>
      <c r="H2540" s="8">
        <f t="shared" si="1"/>
        <v>-1</v>
      </c>
    </row>
    <row r="2541">
      <c r="A2541" s="10">
        <v>2540.0</v>
      </c>
      <c r="B2541" s="11" t="s">
        <v>5380</v>
      </c>
      <c r="C2541" s="10" t="s">
        <v>89</v>
      </c>
      <c r="D2541" s="10" t="s">
        <v>140</v>
      </c>
      <c r="E2541" s="13" t="str">
        <f>IFERROR(__xludf.DUMMYFUNCTION("ifna(filter('Yahoo ADP'!$A$2:$A2766,'Yahoo ADP'!$B$2:$B2766=$B2541,$C2541='Yahoo ADP'!$C$2:$C2766,$D2541='Yahoo ADP'!$D$2:$D2766))"),"")</f>
        <v/>
      </c>
      <c r="F2541" s="13" t="str">
        <f>IFERROR(__xludf.DUMMYFUNCTION("ifna(filter('Yahoo ADP'!$E$2:$E2766,'Yahoo ADP'!$B$2:$B2766=$B2541,$C2541='Yahoo ADP'!$C$2:$C2766,$D2541='Yahoo ADP'!$D$2:$D2766))"),"-")</f>
        <v>-</v>
      </c>
      <c r="G2541" s="27">
        <v>2539.0</v>
      </c>
      <c r="H2541" s="8">
        <f t="shared" si="1"/>
        <v>-1</v>
      </c>
    </row>
    <row r="2542">
      <c r="A2542" s="10">
        <v>2541.0</v>
      </c>
      <c r="B2542" s="11" t="s">
        <v>5381</v>
      </c>
      <c r="C2542" s="10" t="s">
        <v>14</v>
      </c>
      <c r="D2542" s="10" t="s">
        <v>12</v>
      </c>
      <c r="E2542" s="13" t="str">
        <f>IFERROR(__xludf.DUMMYFUNCTION("ifna(filter('Yahoo ADP'!$A$2:$A2766,'Yahoo ADP'!$B$2:$B2766=$B2542,$C2542='Yahoo ADP'!$C$2:$C2766,$D2542='Yahoo ADP'!$D$2:$D2766))"),"")</f>
        <v/>
      </c>
      <c r="F2542" s="13" t="str">
        <f>IFERROR(__xludf.DUMMYFUNCTION("ifna(filter('Yahoo ADP'!$E$2:$E2766,'Yahoo ADP'!$B$2:$B2766=$B2542,$C2542='Yahoo ADP'!$C$2:$C2766,$D2542='Yahoo ADP'!$D$2:$D2766))"),"-")</f>
        <v>-</v>
      </c>
      <c r="G2542" s="27">
        <v>2540.0</v>
      </c>
      <c r="H2542" s="8">
        <f t="shared" si="1"/>
        <v>-1</v>
      </c>
    </row>
    <row r="2543">
      <c r="A2543" s="10">
        <v>2542.0</v>
      </c>
      <c r="B2543" s="11" t="s">
        <v>5382</v>
      </c>
      <c r="C2543" s="10" t="s">
        <v>39</v>
      </c>
      <c r="D2543" s="10" t="s">
        <v>49</v>
      </c>
      <c r="E2543" s="13" t="str">
        <f>IFERROR(__xludf.DUMMYFUNCTION("ifna(filter('Yahoo ADP'!$A$2:$A2766,'Yahoo ADP'!$B$2:$B2766=$B2543,$C2543='Yahoo ADP'!$C$2:$C2766,$D2543='Yahoo ADP'!$D$2:$D2766))"),"")</f>
        <v/>
      </c>
      <c r="F2543" s="13" t="str">
        <f>IFERROR(__xludf.DUMMYFUNCTION("ifna(filter('Yahoo ADP'!$E$2:$E2766,'Yahoo ADP'!$B$2:$B2766=$B2543,$C2543='Yahoo ADP'!$C$2:$C2766,$D2543='Yahoo ADP'!$D$2:$D2766))"),"-")</f>
        <v>-</v>
      </c>
      <c r="G2543" s="27">
        <v>2541.0</v>
      </c>
      <c r="H2543" s="8">
        <f t="shared" si="1"/>
        <v>-1</v>
      </c>
    </row>
    <row r="2544">
      <c r="A2544" s="10">
        <v>2543.0</v>
      </c>
      <c r="B2544" s="11" t="s">
        <v>5383</v>
      </c>
      <c r="C2544" s="10" t="s">
        <v>77</v>
      </c>
      <c r="D2544" s="10" t="s">
        <v>23</v>
      </c>
      <c r="E2544" s="13" t="str">
        <f>IFERROR(__xludf.DUMMYFUNCTION("ifna(filter('Yahoo ADP'!$A$2:$A2766,'Yahoo ADP'!$B$2:$B2766=$B2544,$C2544='Yahoo ADP'!$C$2:$C2766,$D2544='Yahoo ADP'!$D$2:$D2766))"),"")</f>
        <v/>
      </c>
      <c r="F2544" s="13" t="str">
        <f>IFERROR(__xludf.DUMMYFUNCTION("ifna(filter('Yahoo ADP'!$E$2:$E2766,'Yahoo ADP'!$B$2:$B2766=$B2544,$C2544='Yahoo ADP'!$C$2:$C2766,$D2544='Yahoo ADP'!$D$2:$D2766))"),"-")</f>
        <v>-</v>
      </c>
      <c r="G2544" s="27">
        <v>2542.0</v>
      </c>
      <c r="H2544" s="8">
        <f t="shared" si="1"/>
        <v>-1</v>
      </c>
    </row>
    <row r="2545">
      <c r="A2545" s="10">
        <v>2544.0</v>
      </c>
      <c r="B2545" s="11" t="s">
        <v>5384</v>
      </c>
      <c r="C2545" s="10" t="s">
        <v>17</v>
      </c>
      <c r="D2545" s="10" t="s">
        <v>137</v>
      </c>
      <c r="E2545" s="13" t="str">
        <f>IFERROR(__xludf.DUMMYFUNCTION("ifna(filter('Yahoo ADP'!$A$2:$A2766,'Yahoo ADP'!$B$2:$B2766=$B2545,$C2545='Yahoo ADP'!$C$2:$C2766,$D2545='Yahoo ADP'!$D$2:$D2766))"),"")</f>
        <v/>
      </c>
      <c r="F2545" s="13" t="str">
        <f>IFERROR(__xludf.DUMMYFUNCTION("ifna(filter('Yahoo ADP'!$E$2:$E2766,'Yahoo ADP'!$B$2:$B2766=$B2545,$C2545='Yahoo ADP'!$C$2:$C2766,$D2545='Yahoo ADP'!$D$2:$D2766))"),"-")</f>
        <v>-</v>
      </c>
      <c r="G2545" s="27">
        <v>2543.0</v>
      </c>
      <c r="H2545" s="8">
        <f t="shared" si="1"/>
        <v>-1</v>
      </c>
    </row>
    <row r="2546">
      <c r="A2546" s="10">
        <v>2545.0</v>
      </c>
      <c r="B2546" s="11" t="s">
        <v>5385</v>
      </c>
      <c r="C2546" s="10" t="s">
        <v>2642</v>
      </c>
      <c r="D2546" s="10" t="s">
        <v>25</v>
      </c>
      <c r="E2546" s="13" t="str">
        <f>IFERROR(__xludf.DUMMYFUNCTION("ifna(filter('Yahoo ADP'!$A$2:$A2766,'Yahoo ADP'!$B$2:$B2766=$B2546,$C2546='Yahoo ADP'!$C$2:$C2766,$D2546='Yahoo ADP'!$D$2:$D2766))"),"")</f>
        <v/>
      </c>
      <c r="F2546" s="13" t="str">
        <f>IFERROR(__xludf.DUMMYFUNCTION("ifna(filter('Yahoo ADP'!$E$2:$E2766,'Yahoo ADP'!$B$2:$B2766=$B2546,$C2546='Yahoo ADP'!$C$2:$C2766,$D2546='Yahoo ADP'!$D$2:$D2766))"),"-")</f>
        <v>-</v>
      </c>
      <c r="G2546" s="27">
        <v>2544.0</v>
      </c>
      <c r="H2546" s="8">
        <f t="shared" si="1"/>
        <v>-1</v>
      </c>
    </row>
    <row r="2547">
      <c r="A2547" s="10">
        <v>2546.0</v>
      </c>
      <c r="B2547" s="11" t="s">
        <v>5386</v>
      </c>
      <c r="C2547" s="10" t="s">
        <v>20</v>
      </c>
      <c r="D2547" s="10" t="s">
        <v>42</v>
      </c>
      <c r="E2547" s="13" t="str">
        <f>IFERROR(__xludf.DUMMYFUNCTION("ifna(filter('Yahoo ADP'!$A$2:$A2766,'Yahoo ADP'!$B$2:$B2766=$B2547,$C2547='Yahoo ADP'!$C$2:$C2766,$D2547='Yahoo ADP'!$D$2:$D2766))"),"")</f>
        <v/>
      </c>
      <c r="F2547" s="13" t="str">
        <f>IFERROR(__xludf.DUMMYFUNCTION("ifna(filter('Yahoo ADP'!$E$2:$E2766,'Yahoo ADP'!$B$2:$B2766=$B2547,$C2547='Yahoo ADP'!$C$2:$C2766,$D2547='Yahoo ADP'!$D$2:$D2766))"),"-")</f>
        <v>-</v>
      </c>
      <c r="G2547" s="27">
        <v>2545.0</v>
      </c>
      <c r="H2547" s="8">
        <f t="shared" si="1"/>
        <v>-1</v>
      </c>
    </row>
    <row r="2548">
      <c r="A2548" s="10">
        <v>2547.0</v>
      </c>
      <c r="B2548" s="11" t="s">
        <v>5387</v>
      </c>
      <c r="C2548" s="10" t="s">
        <v>150</v>
      </c>
      <c r="D2548" s="10" t="s">
        <v>95</v>
      </c>
      <c r="E2548" s="13" t="str">
        <f>IFERROR(__xludf.DUMMYFUNCTION("ifna(filter('Yahoo ADP'!$A$2:$A2766,'Yahoo ADP'!$B$2:$B2766=$B2548,$C2548='Yahoo ADP'!$C$2:$C2766,$D2548='Yahoo ADP'!$D$2:$D2766))"),"")</f>
        <v/>
      </c>
      <c r="F2548" s="13" t="str">
        <f>IFERROR(__xludf.DUMMYFUNCTION("ifna(filter('Yahoo ADP'!$E$2:$E2766,'Yahoo ADP'!$B$2:$B2766=$B2548,$C2548='Yahoo ADP'!$C$2:$C2766,$D2548='Yahoo ADP'!$D$2:$D2766))"),"-")</f>
        <v>-</v>
      </c>
      <c r="G2548" s="27">
        <v>2546.0</v>
      </c>
      <c r="H2548" s="8">
        <f t="shared" si="1"/>
        <v>-1</v>
      </c>
    </row>
    <row r="2549">
      <c r="A2549" s="10">
        <v>2548.0</v>
      </c>
      <c r="B2549" s="11" t="s">
        <v>5388</v>
      </c>
      <c r="C2549" s="10" t="s">
        <v>55</v>
      </c>
      <c r="D2549" s="10" t="s">
        <v>49</v>
      </c>
      <c r="E2549" s="13" t="str">
        <f>IFERROR(__xludf.DUMMYFUNCTION("ifna(filter('Yahoo ADP'!$A$2:$A2766,'Yahoo ADP'!$B$2:$B2766=$B2549,$C2549='Yahoo ADP'!$C$2:$C2766,$D2549='Yahoo ADP'!$D$2:$D2766))"),"")</f>
        <v/>
      </c>
      <c r="F2549" s="13" t="str">
        <f>IFERROR(__xludf.DUMMYFUNCTION("ifna(filter('Yahoo ADP'!$E$2:$E2766,'Yahoo ADP'!$B$2:$B2766=$B2549,$C2549='Yahoo ADP'!$C$2:$C2766,$D2549='Yahoo ADP'!$D$2:$D2766))"),"-")</f>
        <v>-</v>
      </c>
      <c r="G2549" s="27">
        <v>2547.0</v>
      </c>
      <c r="H2549" s="8">
        <f t="shared" si="1"/>
        <v>-1</v>
      </c>
    </row>
    <row r="2550">
      <c r="A2550" s="10">
        <v>2549.0</v>
      </c>
      <c r="B2550" s="11" t="s">
        <v>5389</v>
      </c>
      <c r="C2550" s="10" t="s">
        <v>39</v>
      </c>
      <c r="D2550" s="10" t="s">
        <v>12</v>
      </c>
      <c r="E2550" s="13" t="str">
        <f>IFERROR(__xludf.DUMMYFUNCTION("ifna(filter('Yahoo ADP'!$A$2:$A2766,'Yahoo ADP'!$B$2:$B2766=$B2550,$C2550='Yahoo ADP'!$C$2:$C2766,$D2550='Yahoo ADP'!$D$2:$D2766))"),"")</f>
        <v/>
      </c>
      <c r="F2550" s="13" t="str">
        <f>IFERROR(__xludf.DUMMYFUNCTION("ifna(filter('Yahoo ADP'!$E$2:$E2766,'Yahoo ADP'!$B$2:$B2766=$B2550,$C2550='Yahoo ADP'!$C$2:$C2766,$D2550='Yahoo ADP'!$D$2:$D2766))"),"-")</f>
        <v>-</v>
      </c>
      <c r="G2550" s="27">
        <v>2548.0</v>
      </c>
      <c r="H2550" s="8">
        <f t="shared" si="1"/>
        <v>-1</v>
      </c>
    </row>
    <row r="2551">
      <c r="A2551" s="10">
        <v>2550.0</v>
      </c>
      <c r="B2551" s="11" t="s">
        <v>5390</v>
      </c>
      <c r="C2551" s="10" t="s">
        <v>39</v>
      </c>
      <c r="D2551" s="10" t="s">
        <v>73</v>
      </c>
      <c r="E2551" s="13" t="str">
        <f>IFERROR(__xludf.DUMMYFUNCTION("ifna(filter('Yahoo ADP'!$A$2:$A2766,'Yahoo ADP'!$B$2:$B2766=$B2551,$C2551='Yahoo ADP'!$C$2:$C2766,$D2551='Yahoo ADP'!$D$2:$D2766))"),"")</f>
        <v/>
      </c>
      <c r="F2551" s="13" t="str">
        <f>IFERROR(__xludf.DUMMYFUNCTION("ifna(filter('Yahoo ADP'!$E$2:$E2766,'Yahoo ADP'!$B$2:$B2766=$B2551,$C2551='Yahoo ADP'!$C$2:$C2766,$D2551='Yahoo ADP'!$D$2:$D2766))"),"-")</f>
        <v>-</v>
      </c>
      <c r="G2551" s="27">
        <v>2549.0</v>
      </c>
      <c r="H2551" s="8">
        <f t="shared" si="1"/>
        <v>-1</v>
      </c>
    </row>
    <row r="2552">
      <c r="A2552" s="10">
        <v>2551.0</v>
      </c>
      <c r="B2552" s="11" t="s">
        <v>5391</v>
      </c>
      <c r="C2552" s="10" t="s">
        <v>14</v>
      </c>
      <c r="D2552" s="10" t="s">
        <v>85</v>
      </c>
      <c r="E2552" s="13" t="str">
        <f>IFERROR(__xludf.DUMMYFUNCTION("ifna(filter('Yahoo ADP'!$A$2:$A2766,'Yahoo ADP'!$B$2:$B2766=$B2552,$C2552='Yahoo ADP'!$C$2:$C2766,$D2552='Yahoo ADP'!$D$2:$D2766))"),"")</f>
        <v/>
      </c>
      <c r="F2552" s="13" t="str">
        <f>IFERROR(__xludf.DUMMYFUNCTION("ifna(filter('Yahoo ADP'!$E$2:$E2766,'Yahoo ADP'!$B$2:$B2766=$B2552,$C2552='Yahoo ADP'!$C$2:$C2766,$D2552='Yahoo ADP'!$D$2:$D2766))"),"-")</f>
        <v>-</v>
      </c>
      <c r="G2552" s="27">
        <v>2550.0</v>
      </c>
      <c r="H2552" s="8">
        <f t="shared" si="1"/>
        <v>-1</v>
      </c>
    </row>
    <row r="2553">
      <c r="A2553" s="10">
        <v>2552.0</v>
      </c>
      <c r="B2553" s="11" t="s">
        <v>5392</v>
      </c>
      <c r="C2553" s="10" t="s">
        <v>14</v>
      </c>
      <c r="D2553" s="10" t="s">
        <v>90</v>
      </c>
      <c r="E2553" s="13" t="str">
        <f>IFERROR(__xludf.DUMMYFUNCTION("ifna(filter('Yahoo ADP'!$A$2:$A2766,'Yahoo ADP'!$B$2:$B2766=$B2553,$C2553='Yahoo ADP'!$C$2:$C2766,$D2553='Yahoo ADP'!$D$2:$D2766))"),"")</f>
        <v/>
      </c>
      <c r="F2553" s="13" t="str">
        <f>IFERROR(__xludf.DUMMYFUNCTION("ifna(filter('Yahoo ADP'!$E$2:$E2766,'Yahoo ADP'!$B$2:$B2766=$B2553,$C2553='Yahoo ADP'!$C$2:$C2766,$D2553='Yahoo ADP'!$D$2:$D2766))"),"-")</f>
        <v>-</v>
      </c>
      <c r="G2553" s="27">
        <v>2551.0</v>
      </c>
      <c r="H2553" s="8">
        <f t="shared" si="1"/>
        <v>-1</v>
      </c>
    </row>
    <row r="2554">
      <c r="A2554" s="10">
        <v>2553.0</v>
      </c>
      <c r="B2554" s="11" t="s">
        <v>5393</v>
      </c>
      <c r="C2554" s="10" t="s">
        <v>77</v>
      </c>
      <c r="D2554" s="10" t="s">
        <v>9</v>
      </c>
      <c r="E2554" s="13" t="str">
        <f>IFERROR(__xludf.DUMMYFUNCTION("ifna(filter('Yahoo ADP'!$A$2:$A2766,'Yahoo ADP'!$B$2:$B2766=$B2554,$C2554='Yahoo ADP'!$C$2:$C2766,$D2554='Yahoo ADP'!$D$2:$D2766))"),"")</f>
        <v/>
      </c>
      <c r="F2554" s="13" t="str">
        <f>IFERROR(__xludf.DUMMYFUNCTION("ifna(filter('Yahoo ADP'!$E$2:$E2766,'Yahoo ADP'!$B$2:$B2766=$B2554,$C2554='Yahoo ADP'!$C$2:$C2766,$D2554='Yahoo ADP'!$D$2:$D2766))"),"-")</f>
        <v>-</v>
      </c>
      <c r="G2554" s="27">
        <v>2552.0</v>
      </c>
      <c r="H2554" s="8">
        <f t="shared" si="1"/>
        <v>-1</v>
      </c>
    </row>
    <row r="2555">
      <c r="A2555" s="10">
        <v>2554.0</v>
      </c>
      <c r="B2555" s="11" t="s">
        <v>5394</v>
      </c>
      <c r="C2555" s="10" t="s">
        <v>55</v>
      </c>
      <c r="D2555" s="10" t="s">
        <v>25</v>
      </c>
      <c r="E2555" s="13" t="str">
        <f>IFERROR(__xludf.DUMMYFUNCTION("ifna(filter('Yahoo ADP'!$A$2:$A2766,'Yahoo ADP'!$B$2:$B2766=$B2555,$C2555='Yahoo ADP'!$C$2:$C2766,$D2555='Yahoo ADP'!$D$2:$D2766))"),"")</f>
        <v/>
      </c>
      <c r="F2555" s="13" t="str">
        <f>IFERROR(__xludf.DUMMYFUNCTION("ifna(filter('Yahoo ADP'!$E$2:$E2766,'Yahoo ADP'!$B$2:$B2766=$B2555,$C2555='Yahoo ADP'!$C$2:$C2766,$D2555='Yahoo ADP'!$D$2:$D2766))"),"")</f>
        <v/>
      </c>
      <c r="G2555" s="27">
        <v>2553.0</v>
      </c>
      <c r="H2555" s="8">
        <f t="shared" si="1"/>
        <v>-1</v>
      </c>
    </row>
    <row r="2556">
      <c r="A2556" s="10">
        <v>2555.0</v>
      </c>
      <c r="B2556" s="11" t="s">
        <v>5395</v>
      </c>
      <c r="C2556" s="10" t="s">
        <v>14</v>
      </c>
      <c r="D2556" s="10" t="s">
        <v>71</v>
      </c>
      <c r="E2556" s="13" t="str">
        <f>IFERROR(__xludf.DUMMYFUNCTION("ifna(filter('Yahoo ADP'!$A$2:$A2766,'Yahoo ADP'!$B$2:$B2766=$B2556,$C2556='Yahoo ADP'!$C$2:$C2766,$D2556='Yahoo ADP'!$D$2:$D2766))"),"")</f>
        <v/>
      </c>
      <c r="F2556" s="13" t="str">
        <f>IFERROR(__xludf.DUMMYFUNCTION("ifna(filter('Yahoo ADP'!$E$2:$E2766,'Yahoo ADP'!$B$2:$B2766=$B2556,$C2556='Yahoo ADP'!$C$2:$C2766,$D2556='Yahoo ADP'!$D$2:$D2766))"),"-")</f>
        <v>-</v>
      </c>
      <c r="G2556" s="27">
        <v>2554.0</v>
      </c>
      <c r="H2556" s="8">
        <f t="shared" si="1"/>
        <v>-1</v>
      </c>
    </row>
    <row r="2557">
      <c r="A2557" s="10">
        <v>2556.0</v>
      </c>
      <c r="B2557" s="11" t="s">
        <v>5396</v>
      </c>
      <c r="C2557" s="10" t="s">
        <v>77</v>
      </c>
      <c r="D2557" s="10" t="s">
        <v>9</v>
      </c>
      <c r="E2557" s="13" t="str">
        <f>IFERROR(__xludf.DUMMYFUNCTION("ifna(filter('Yahoo ADP'!$A$2:$A2766,'Yahoo ADP'!$B$2:$B2766=$B2557,$C2557='Yahoo ADP'!$C$2:$C2766,$D2557='Yahoo ADP'!$D$2:$D2766))"),"")</f>
        <v/>
      </c>
      <c r="F2557" s="13" t="str">
        <f>IFERROR(__xludf.DUMMYFUNCTION("ifna(filter('Yahoo ADP'!$E$2:$E2766,'Yahoo ADP'!$B$2:$B2766=$B2557,$C2557='Yahoo ADP'!$C$2:$C2766,$D2557='Yahoo ADP'!$D$2:$D2766))"),"-")</f>
        <v>-</v>
      </c>
      <c r="G2557" s="27">
        <v>2555.0</v>
      </c>
      <c r="H2557" s="8">
        <f t="shared" si="1"/>
        <v>-1</v>
      </c>
    </row>
    <row r="2558">
      <c r="A2558" s="10">
        <v>2557.0</v>
      </c>
      <c r="B2558" s="11" t="s">
        <v>5397</v>
      </c>
      <c r="C2558" s="10" t="s">
        <v>39</v>
      </c>
      <c r="D2558" s="10" t="s">
        <v>36</v>
      </c>
      <c r="E2558" s="13" t="str">
        <f>IFERROR(__xludf.DUMMYFUNCTION("ifna(filter('Yahoo ADP'!$A$2:$A2766,'Yahoo ADP'!$B$2:$B2766=$B2558,$C2558='Yahoo ADP'!$C$2:$C2766,$D2558='Yahoo ADP'!$D$2:$D2766))"),"")</f>
        <v/>
      </c>
      <c r="F2558" s="13" t="str">
        <f>IFERROR(__xludf.DUMMYFUNCTION("ifna(filter('Yahoo ADP'!$E$2:$E2766,'Yahoo ADP'!$B$2:$B2766=$B2558,$C2558='Yahoo ADP'!$C$2:$C2766,$D2558='Yahoo ADP'!$D$2:$D2766))"),"-")</f>
        <v>-</v>
      </c>
      <c r="G2558" s="27">
        <v>2556.0</v>
      </c>
      <c r="H2558" s="8">
        <f t="shared" si="1"/>
        <v>-1</v>
      </c>
    </row>
    <row r="2559">
      <c r="A2559" s="10">
        <v>2558.0</v>
      </c>
      <c r="B2559" s="11" t="s">
        <v>5398</v>
      </c>
      <c r="C2559" s="10" t="s">
        <v>77</v>
      </c>
      <c r="D2559" s="10" t="s">
        <v>34</v>
      </c>
      <c r="E2559" s="13" t="str">
        <f>IFERROR(__xludf.DUMMYFUNCTION("ifna(filter('Yahoo ADP'!$A$2:$A2766,'Yahoo ADP'!$B$2:$B2766=$B2559,$C2559='Yahoo ADP'!$C$2:$C2766,$D2559='Yahoo ADP'!$D$2:$D2766))"),"")</f>
        <v/>
      </c>
      <c r="F2559" s="13" t="str">
        <f>IFERROR(__xludf.DUMMYFUNCTION("ifna(filter('Yahoo ADP'!$E$2:$E2766,'Yahoo ADP'!$B$2:$B2766=$B2559,$C2559='Yahoo ADP'!$C$2:$C2766,$D2559='Yahoo ADP'!$D$2:$D2766))"),"-")</f>
        <v>-</v>
      </c>
      <c r="G2559" s="27">
        <v>2557.0</v>
      </c>
      <c r="H2559" s="8">
        <f t="shared" si="1"/>
        <v>-1</v>
      </c>
    </row>
    <row r="2560">
      <c r="A2560" s="10">
        <v>2559.0</v>
      </c>
      <c r="B2560" s="11" t="s">
        <v>5399</v>
      </c>
      <c r="C2560" s="10" t="s">
        <v>8</v>
      </c>
      <c r="D2560" s="10" t="s">
        <v>25</v>
      </c>
      <c r="E2560" s="13" t="str">
        <f>IFERROR(__xludf.DUMMYFUNCTION("ifna(filter('Yahoo ADP'!$A$2:$A2766,'Yahoo ADP'!$B$2:$B2766=$B2560,$C2560='Yahoo ADP'!$C$2:$C2766,$D2560='Yahoo ADP'!$D$2:$D2766))"),"")</f>
        <v/>
      </c>
      <c r="F2560" s="13" t="str">
        <f>IFERROR(__xludf.DUMMYFUNCTION("ifna(filter('Yahoo ADP'!$E$2:$E2766,'Yahoo ADP'!$B$2:$B2766=$B2560,$C2560='Yahoo ADP'!$C$2:$C2766,$D2560='Yahoo ADP'!$D$2:$D2766))"),"-")</f>
        <v>-</v>
      </c>
      <c r="G2560" s="27">
        <v>2558.0</v>
      </c>
      <c r="H2560" s="8">
        <f t="shared" si="1"/>
        <v>-1</v>
      </c>
    </row>
    <row r="2561">
      <c r="A2561" s="10">
        <v>2560.0</v>
      </c>
      <c r="B2561" s="11" t="s">
        <v>5400</v>
      </c>
      <c r="C2561" s="10" t="s">
        <v>11</v>
      </c>
      <c r="D2561" s="10" t="s">
        <v>12</v>
      </c>
      <c r="E2561" s="13" t="str">
        <f>IFERROR(__xludf.DUMMYFUNCTION("ifna(filter('Yahoo ADP'!$A$2:$A2766,'Yahoo ADP'!$B$2:$B2766=$B2561,$C2561='Yahoo ADP'!$C$2:$C2766,$D2561='Yahoo ADP'!$D$2:$D2766))"),"")</f>
        <v/>
      </c>
      <c r="F2561" s="13" t="str">
        <f>IFERROR(__xludf.DUMMYFUNCTION("ifna(filter('Yahoo ADP'!$E$2:$E2766,'Yahoo ADP'!$B$2:$B2766=$B2561,$C2561='Yahoo ADP'!$C$2:$C2766,$D2561='Yahoo ADP'!$D$2:$D2766))"),"-")</f>
        <v>-</v>
      </c>
      <c r="G2561" s="27">
        <v>2559.0</v>
      </c>
      <c r="H2561" s="8">
        <f t="shared" si="1"/>
        <v>-1</v>
      </c>
    </row>
    <row r="2562">
      <c r="A2562" s="10">
        <v>2561.0</v>
      </c>
      <c r="B2562" s="11" t="s">
        <v>5401</v>
      </c>
      <c r="C2562" s="10" t="s">
        <v>77</v>
      </c>
      <c r="D2562" s="10" t="s">
        <v>105</v>
      </c>
      <c r="E2562" s="13" t="str">
        <f>IFERROR(__xludf.DUMMYFUNCTION("ifna(filter('Yahoo ADP'!$A$2:$A2766,'Yahoo ADP'!$B$2:$B2766=$B2562,$C2562='Yahoo ADP'!$C$2:$C2766,$D2562='Yahoo ADP'!$D$2:$D2766))"),"")</f>
        <v/>
      </c>
      <c r="F2562" s="13" t="str">
        <f>IFERROR(__xludf.DUMMYFUNCTION("ifna(filter('Yahoo ADP'!$E$2:$E2766,'Yahoo ADP'!$B$2:$B2766=$B2562,$C2562='Yahoo ADP'!$C$2:$C2766,$D2562='Yahoo ADP'!$D$2:$D2766))"),"-")</f>
        <v>-</v>
      </c>
      <c r="G2562" s="27">
        <v>2560.0</v>
      </c>
      <c r="H2562" s="8">
        <f t="shared" si="1"/>
        <v>-1</v>
      </c>
    </row>
    <row r="2563">
      <c r="A2563" s="10">
        <v>2562.0</v>
      </c>
      <c r="B2563" s="11" t="s">
        <v>5402</v>
      </c>
      <c r="C2563" s="10" t="s">
        <v>17</v>
      </c>
      <c r="D2563" s="10" t="s">
        <v>46</v>
      </c>
      <c r="E2563" s="13" t="str">
        <f>IFERROR(__xludf.DUMMYFUNCTION("ifna(filter('Yahoo ADP'!$A$2:$A2766,'Yahoo ADP'!$B$2:$B2766=$B2563,$C2563='Yahoo ADP'!$C$2:$C2766,$D2563='Yahoo ADP'!$D$2:$D2766))"),"")</f>
        <v/>
      </c>
      <c r="F2563" s="13" t="str">
        <f>IFERROR(__xludf.DUMMYFUNCTION("ifna(filter('Yahoo ADP'!$E$2:$E2766,'Yahoo ADP'!$B$2:$B2766=$B2563,$C2563='Yahoo ADP'!$C$2:$C2766,$D2563='Yahoo ADP'!$D$2:$D2766))"),"-")</f>
        <v>-</v>
      </c>
      <c r="G2563" s="27">
        <v>2561.0</v>
      </c>
      <c r="H2563" s="8">
        <f t="shared" si="1"/>
        <v>-1</v>
      </c>
    </row>
    <row r="2564">
      <c r="A2564" s="10">
        <v>2563.0</v>
      </c>
      <c r="B2564" s="11" t="s">
        <v>5403</v>
      </c>
      <c r="C2564" s="10" t="s">
        <v>39</v>
      </c>
      <c r="D2564" s="10" t="s">
        <v>95</v>
      </c>
      <c r="E2564" s="13" t="str">
        <f>IFERROR(__xludf.DUMMYFUNCTION("ifna(filter('Yahoo ADP'!$A$2:$A2766,'Yahoo ADP'!$B$2:$B2766=$B2564,$C2564='Yahoo ADP'!$C$2:$C2766,$D2564='Yahoo ADP'!$D$2:$D2766))"),"")</f>
        <v/>
      </c>
      <c r="F2564" s="13" t="str">
        <f>IFERROR(__xludf.DUMMYFUNCTION("ifna(filter('Yahoo ADP'!$E$2:$E2766,'Yahoo ADP'!$B$2:$B2766=$B2564,$C2564='Yahoo ADP'!$C$2:$C2766,$D2564='Yahoo ADP'!$D$2:$D2766))"),"-")</f>
        <v>-</v>
      </c>
      <c r="G2564" s="27">
        <v>2562.0</v>
      </c>
      <c r="H2564" s="8">
        <f t="shared" si="1"/>
        <v>-1</v>
      </c>
    </row>
    <row r="2565">
      <c r="A2565" s="10">
        <v>2564.0</v>
      </c>
      <c r="B2565" s="11" t="s">
        <v>5404</v>
      </c>
      <c r="C2565" s="10" t="s">
        <v>14</v>
      </c>
      <c r="D2565" s="10" t="s">
        <v>71</v>
      </c>
      <c r="E2565" s="13" t="str">
        <f>IFERROR(__xludf.DUMMYFUNCTION("ifna(filter('Yahoo ADP'!$A$2:$A2766,'Yahoo ADP'!$B$2:$B2766=$B2565,$C2565='Yahoo ADP'!$C$2:$C2766,$D2565='Yahoo ADP'!$D$2:$D2766))"),"")</f>
        <v/>
      </c>
      <c r="F2565" s="13" t="str">
        <f>IFERROR(__xludf.DUMMYFUNCTION("ifna(filter('Yahoo ADP'!$E$2:$E2766,'Yahoo ADP'!$B$2:$B2766=$B2565,$C2565='Yahoo ADP'!$C$2:$C2766,$D2565='Yahoo ADP'!$D$2:$D2766))"),"")</f>
        <v/>
      </c>
      <c r="G2565" s="27">
        <v>2563.0</v>
      </c>
      <c r="H2565" s="8">
        <f t="shared" si="1"/>
        <v>-1</v>
      </c>
    </row>
    <row r="2566">
      <c r="A2566" s="10">
        <v>2565.0</v>
      </c>
      <c r="B2566" s="11" t="s">
        <v>5405</v>
      </c>
      <c r="C2566" s="10" t="s">
        <v>39</v>
      </c>
      <c r="D2566" s="10" t="s">
        <v>206</v>
      </c>
      <c r="E2566" s="13" t="str">
        <f>IFERROR(__xludf.DUMMYFUNCTION("ifna(filter('Yahoo ADP'!$A$2:$A2766,'Yahoo ADP'!$B$2:$B2766=$B2566,$C2566='Yahoo ADP'!$C$2:$C2766,$D2566='Yahoo ADP'!$D$2:$D2766))"),"")</f>
        <v/>
      </c>
      <c r="F2566" s="13" t="str">
        <f>IFERROR(__xludf.DUMMYFUNCTION("ifna(filter('Yahoo ADP'!$E$2:$E2766,'Yahoo ADP'!$B$2:$B2766=$B2566,$C2566='Yahoo ADP'!$C$2:$C2766,$D2566='Yahoo ADP'!$D$2:$D2766))"),"-")</f>
        <v>-</v>
      </c>
      <c r="G2566" s="27">
        <v>2564.0</v>
      </c>
      <c r="H2566" s="8">
        <f t="shared" si="1"/>
        <v>-1</v>
      </c>
    </row>
    <row r="2567">
      <c r="A2567" s="10">
        <v>2566.0</v>
      </c>
      <c r="B2567" s="11" t="s">
        <v>5406</v>
      </c>
      <c r="C2567" s="10" t="s">
        <v>77</v>
      </c>
      <c r="D2567" s="10" t="s">
        <v>85</v>
      </c>
      <c r="E2567" s="13" t="str">
        <f>IFERROR(__xludf.DUMMYFUNCTION("ifna(filter('Yahoo ADP'!$A$2:$A2766,'Yahoo ADP'!$B$2:$B2766=$B2567,$C2567='Yahoo ADP'!$C$2:$C2766,$D2567='Yahoo ADP'!$D$2:$D2766))"),"")</f>
        <v/>
      </c>
      <c r="F2567" s="13" t="str">
        <f>IFERROR(__xludf.DUMMYFUNCTION("ifna(filter('Yahoo ADP'!$E$2:$E2766,'Yahoo ADP'!$B$2:$B2766=$B2567,$C2567='Yahoo ADP'!$C$2:$C2766,$D2567='Yahoo ADP'!$D$2:$D2766))"),"-")</f>
        <v>-</v>
      </c>
      <c r="G2567" s="27">
        <v>2565.0</v>
      </c>
      <c r="H2567" s="8">
        <f t="shared" si="1"/>
        <v>-1</v>
      </c>
    </row>
    <row r="2568">
      <c r="A2568" s="10">
        <v>2567.0</v>
      </c>
      <c r="B2568" s="11" t="s">
        <v>5407</v>
      </c>
      <c r="C2568" s="10" t="s">
        <v>39</v>
      </c>
      <c r="D2568" s="10" t="s">
        <v>46</v>
      </c>
      <c r="E2568" s="13" t="str">
        <f>IFERROR(__xludf.DUMMYFUNCTION("ifna(filter('Yahoo ADP'!$A$2:$A2766,'Yahoo ADP'!$B$2:$B2766=$B2568,$C2568='Yahoo ADP'!$C$2:$C2766,$D2568='Yahoo ADP'!$D$2:$D2766))"),"")</f>
        <v/>
      </c>
      <c r="F2568" s="13" t="str">
        <f>IFERROR(__xludf.DUMMYFUNCTION("ifna(filter('Yahoo ADP'!$E$2:$E2766,'Yahoo ADP'!$B$2:$B2766=$B2568,$C2568='Yahoo ADP'!$C$2:$C2766,$D2568='Yahoo ADP'!$D$2:$D2766))"),"-")</f>
        <v>-</v>
      </c>
      <c r="G2568" s="27">
        <v>2566.0</v>
      </c>
      <c r="H2568" s="8">
        <f t="shared" si="1"/>
        <v>-1</v>
      </c>
    </row>
    <row r="2569">
      <c r="A2569" s="10">
        <v>2568.0</v>
      </c>
      <c r="B2569" s="11" t="s">
        <v>5408</v>
      </c>
      <c r="C2569" s="10" t="s">
        <v>14</v>
      </c>
      <c r="D2569" s="10" t="s">
        <v>31</v>
      </c>
      <c r="E2569" s="13" t="str">
        <f>IFERROR(__xludf.DUMMYFUNCTION("ifna(filter('Yahoo ADP'!$A$2:$A2766,'Yahoo ADP'!$B$2:$B2766=$B2569,$C2569='Yahoo ADP'!$C$2:$C2766,$D2569='Yahoo ADP'!$D$2:$D2766))"),"")</f>
        <v/>
      </c>
      <c r="F2569" s="13" t="str">
        <f>IFERROR(__xludf.DUMMYFUNCTION("ifna(filter('Yahoo ADP'!$E$2:$E2766,'Yahoo ADP'!$B$2:$B2766=$B2569,$C2569='Yahoo ADP'!$C$2:$C2766,$D2569='Yahoo ADP'!$D$2:$D2766))"),"-")</f>
        <v>-</v>
      </c>
      <c r="G2569" s="27">
        <v>2567.0</v>
      </c>
      <c r="H2569" s="8">
        <f t="shared" si="1"/>
        <v>-1</v>
      </c>
    </row>
    <row r="2570">
      <c r="A2570" s="10">
        <v>2569.0</v>
      </c>
      <c r="B2570" s="11" t="s">
        <v>5409</v>
      </c>
      <c r="C2570" s="10" t="s">
        <v>8</v>
      </c>
      <c r="D2570" s="10" t="s">
        <v>15</v>
      </c>
      <c r="E2570" s="13" t="str">
        <f>IFERROR(__xludf.DUMMYFUNCTION("ifna(filter('Yahoo ADP'!$A$2:$A2766,'Yahoo ADP'!$B$2:$B2766=$B2570,$C2570='Yahoo ADP'!$C$2:$C2766,$D2570='Yahoo ADP'!$D$2:$D2766))"),"")</f>
        <v/>
      </c>
      <c r="F2570" s="13" t="str">
        <f>IFERROR(__xludf.DUMMYFUNCTION("ifna(filter('Yahoo ADP'!$E$2:$E2766,'Yahoo ADP'!$B$2:$B2766=$B2570,$C2570='Yahoo ADP'!$C$2:$C2766,$D2570='Yahoo ADP'!$D$2:$D2766))"),"-")</f>
        <v>-</v>
      </c>
      <c r="G2570" s="27">
        <v>2568.0</v>
      </c>
      <c r="H2570" s="8">
        <f t="shared" si="1"/>
        <v>-1</v>
      </c>
    </row>
    <row r="2571">
      <c r="A2571" s="10">
        <v>2570.0</v>
      </c>
      <c r="B2571" s="11" t="s">
        <v>5410</v>
      </c>
      <c r="C2571" s="10" t="s">
        <v>20</v>
      </c>
      <c r="D2571" s="10" t="s">
        <v>67</v>
      </c>
      <c r="E2571" s="13" t="str">
        <f>IFERROR(__xludf.DUMMYFUNCTION("ifna(filter('Yahoo ADP'!$A$2:$A2766,'Yahoo ADP'!$B$2:$B2766=$B2571,$C2571='Yahoo ADP'!$C$2:$C2766,$D2571='Yahoo ADP'!$D$2:$D2766))"),"")</f>
        <v/>
      </c>
      <c r="F2571" s="13" t="str">
        <f>IFERROR(__xludf.DUMMYFUNCTION("ifna(filter('Yahoo ADP'!$E$2:$E2766,'Yahoo ADP'!$B$2:$B2766=$B2571,$C2571='Yahoo ADP'!$C$2:$C2766,$D2571='Yahoo ADP'!$D$2:$D2766))"),"-")</f>
        <v>-</v>
      </c>
      <c r="G2571" s="27">
        <v>2569.0</v>
      </c>
      <c r="H2571" s="8">
        <f t="shared" si="1"/>
        <v>-1</v>
      </c>
    </row>
    <row r="2572">
      <c r="A2572" s="10">
        <v>2571.0</v>
      </c>
      <c r="B2572" s="11" t="s">
        <v>5411</v>
      </c>
      <c r="C2572" s="10" t="s">
        <v>11</v>
      </c>
      <c r="D2572" s="10" t="s">
        <v>15</v>
      </c>
      <c r="E2572" s="13" t="str">
        <f>IFERROR(__xludf.DUMMYFUNCTION("ifna(filter('Yahoo ADP'!$A$2:$A2766,'Yahoo ADP'!$B$2:$B2766=$B2572,$C2572='Yahoo ADP'!$C$2:$C2766,$D2572='Yahoo ADP'!$D$2:$D2766))"),"")</f>
        <v/>
      </c>
      <c r="F2572" s="13" t="str">
        <f>IFERROR(__xludf.DUMMYFUNCTION("ifna(filter('Yahoo ADP'!$E$2:$E2766,'Yahoo ADP'!$B$2:$B2766=$B2572,$C2572='Yahoo ADP'!$C$2:$C2766,$D2572='Yahoo ADP'!$D$2:$D2766))"),"-")</f>
        <v>-</v>
      </c>
      <c r="G2572" s="27">
        <v>2570.0</v>
      </c>
      <c r="H2572" s="8">
        <f t="shared" si="1"/>
        <v>-1</v>
      </c>
    </row>
    <row r="2573">
      <c r="A2573" s="10">
        <v>2572.0</v>
      </c>
      <c r="B2573" s="11" t="s">
        <v>5412</v>
      </c>
      <c r="C2573" s="10" t="s">
        <v>14</v>
      </c>
      <c r="D2573" s="10" t="s">
        <v>31</v>
      </c>
      <c r="E2573" s="13" t="str">
        <f>IFERROR(__xludf.DUMMYFUNCTION("ifna(filter('Yahoo ADP'!$A$2:$A2766,'Yahoo ADP'!$B$2:$B2766=$B2573,$C2573='Yahoo ADP'!$C$2:$C2766,$D2573='Yahoo ADP'!$D$2:$D2766))"),"")</f>
        <v/>
      </c>
      <c r="F2573" s="13" t="str">
        <f>IFERROR(__xludf.DUMMYFUNCTION("ifna(filter('Yahoo ADP'!$E$2:$E2766,'Yahoo ADP'!$B$2:$B2766=$B2573,$C2573='Yahoo ADP'!$C$2:$C2766,$D2573='Yahoo ADP'!$D$2:$D2766))"),"-")</f>
        <v>-</v>
      </c>
      <c r="G2573" s="27">
        <v>2571.0</v>
      </c>
      <c r="H2573" s="8">
        <f t="shared" si="1"/>
        <v>-1</v>
      </c>
    </row>
    <row r="2574">
      <c r="A2574" s="10">
        <v>2573.0</v>
      </c>
      <c r="B2574" s="11" t="s">
        <v>5413</v>
      </c>
      <c r="C2574" s="10" t="s">
        <v>17</v>
      </c>
      <c r="D2574" s="10" t="s">
        <v>120</v>
      </c>
      <c r="E2574" s="13" t="str">
        <f>IFERROR(__xludf.DUMMYFUNCTION("ifna(filter('Yahoo ADP'!$A$2:$A2766,'Yahoo ADP'!$B$2:$B2766=$B2574,$C2574='Yahoo ADP'!$C$2:$C2766,$D2574='Yahoo ADP'!$D$2:$D2766))"),"")</f>
        <v/>
      </c>
      <c r="F2574" s="13" t="str">
        <f>IFERROR(__xludf.DUMMYFUNCTION("ifna(filter('Yahoo ADP'!$E$2:$E2766,'Yahoo ADP'!$B$2:$B2766=$B2574,$C2574='Yahoo ADP'!$C$2:$C2766,$D2574='Yahoo ADP'!$D$2:$D2766))"),"-")</f>
        <v>-</v>
      </c>
      <c r="G2574" s="27">
        <v>2572.0</v>
      </c>
      <c r="H2574" s="8">
        <f t="shared" si="1"/>
        <v>-1</v>
      </c>
    </row>
    <row r="2575">
      <c r="A2575" s="10">
        <v>2574.0</v>
      </c>
      <c r="B2575" s="11" t="s">
        <v>5414</v>
      </c>
      <c r="C2575" s="10" t="s">
        <v>11</v>
      </c>
      <c r="D2575" s="10" t="s">
        <v>122</v>
      </c>
      <c r="E2575" s="13" t="str">
        <f>IFERROR(__xludf.DUMMYFUNCTION("ifna(filter('Yahoo ADP'!$A$2:$A2766,'Yahoo ADP'!$B$2:$B2766=$B2575,$C2575='Yahoo ADP'!$C$2:$C2766,$D2575='Yahoo ADP'!$D$2:$D2766))"),"")</f>
        <v/>
      </c>
      <c r="F2575" s="13" t="str">
        <f>IFERROR(__xludf.DUMMYFUNCTION("ifna(filter('Yahoo ADP'!$E$2:$E2766,'Yahoo ADP'!$B$2:$B2766=$B2575,$C2575='Yahoo ADP'!$C$2:$C2766,$D2575='Yahoo ADP'!$D$2:$D2766))"),"-")</f>
        <v>-</v>
      </c>
      <c r="G2575" s="27">
        <v>2573.0</v>
      </c>
      <c r="H2575" s="8">
        <f t="shared" si="1"/>
        <v>-1</v>
      </c>
    </row>
    <row r="2576">
      <c r="A2576" s="10">
        <v>2575.0</v>
      </c>
      <c r="B2576" s="11" t="s">
        <v>5415</v>
      </c>
      <c r="C2576" s="10" t="s">
        <v>39</v>
      </c>
      <c r="D2576" s="10" t="s">
        <v>23</v>
      </c>
      <c r="E2576" s="13" t="str">
        <f>IFERROR(__xludf.DUMMYFUNCTION("ifna(filter('Yahoo ADP'!$A$2:$A2766,'Yahoo ADP'!$B$2:$B2766=$B2576,$C2576='Yahoo ADP'!$C$2:$C2766,$D2576='Yahoo ADP'!$D$2:$D2766))"),"")</f>
        <v/>
      </c>
      <c r="F2576" s="13" t="str">
        <f>IFERROR(__xludf.DUMMYFUNCTION("ifna(filter('Yahoo ADP'!$E$2:$E2766,'Yahoo ADP'!$B$2:$B2766=$B2576,$C2576='Yahoo ADP'!$C$2:$C2766,$D2576='Yahoo ADP'!$D$2:$D2766))"),"-")</f>
        <v>-</v>
      </c>
      <c r="G2576" s="27">
        <v>2574.0</v>
      </c>
      <c r="H2576" s="8">
        <f t="shared" si="1"/>
        <v>-1</v>
      </c>
    </row>
    <row r="2577">
      <c r="A2577" s="10">
        <v>2576.0</v>
      </c>
      <c r="B2577" s="11" t="s">
        <v>5416</v>
      </c>
      <c r="C2577" s="10" t="s">
        <v>14</v>
      </c>
      <c r="D2577" s="10" t="s">
        <v>67</v>
      </c>
      <c r="E2577" s="13" t="str">
        <f>IFERROR(__xludf.DUMMYFUNCTION("ifna(filter('Yahoo ADP'!$A$2:$A2766,'Yahoo ADP'!$B$2:$B2766=$B2577,$C2577='Yahoo ADP'!$C$2:$C2766,$D2577='Yahoo ADP'!$D$2:$D2766))"),"")</f>
        <v/>
      </c>
      <c r="F2577" s="13" t="str">
        <f>IFERROR(__xludf.DUMMYFUNCTION("ifna(filter('Yahoo ADP'!$E$2:$E2766,'Yahoo ADP'!$B$2:$B2766=$B2577,$C2577='Yahoo ADP'!$C$2:$C2766,$D2577='Yahoo ADP'!$D$2:$D2766))"),"-")</f>
        <v>-</v>
      </c>
      <c r="G2577" s="27">
        <v>2575.0</v>
      </c>
      <c r="H2577" s="8">
        <f t="shared" si="1"/>
        <v>-1</v>
      </c>
    </row>
    <row r="2578">
      <c r="A2578" s="10">
        <v>2577.0</v>
      </c>
      <c r="B2578" s="11" t="s">
        <v>5417</v>
      </c>
      <c r="C2578" s="10" t="s">
        <v>39</v>
      </c>
      <c r="D2578" s="10" t="s">
        <v>137</v>
      </c>
      <c r="E2578" s="13" t="str">
        <f>IFERROR(__xludf.DUMMYFUNCTION("ifna(filter('Yahoo ADP'!$A$2:$A2766,'Yahoo ADP'!$B$2:$B2766=$B2578,$C2578='Yahoo ADP'!$C$2:$C2766,$D2578='Yahoo ADP'!$D$2:$D2766))"),"")</f>
        <v/>
      </c>
      <c r="F2578" s="13" t="str">
        <f>IFERROR(__xludf.DUMMYFUNCTION("ifna(filter('Yahoo ADP'!$E$2:$E2766,'Yahoo ADP'!$B$2:$B2766=$B2578,$C2578='Yahoo ADP'!$C$2:$C2766,$D2578='Yahoo ADP'!$D$2:$D2766))"),"-")</f>
        <v>-</v>
      </c>
      <c r="G2578" s="27">
        <v>2576.0</v>
      </c>
      <c r="H2578" s="8">
        <f t="shared" si="1"/>
        <v>-1</v>
      </c>
    </row>
    <row r="2579">
      <c r="A2579" s="10">
        <v>2578.0</v>
      </c>
      <c r="B2579" s="11" t="s">
        <v>5418</v>
      </c>
      <c r="C2579" s="10" t="s">
        <v>14</v>
      </c>
      <c r="D2579" s="10" t="s">
        <v>12</v>
      </c>
      <c r="E2579" s="13" t="str">
        <f>IFERROR(__xludf.DUMMYFUNCTION("ifna(filter('Yahoo ADP'!$A$2:$A2766,'Yahoo ADP'!$B$2:$B2766=$B2579,$C2579='Yahoo ADP'!$C$2:$C2766,$D2579='Yahoo ADP'!$D$2:$D2766))"),"")</f>
        <v/>
      </c>
      <c r="F2579" s="13" t="str">
        <f>IFERROR(__xludf.DUMMYFUNCTION("ifna(filter('Yahoo ADP'!$E$2:$E2766,'Yahoo ADP'!$B$2:$B2766=$B2579,$C2579='Yahoo ADP'!$C$2:$C2766,$D2579='Yahoo ADP'!$D$2:$D2766))"),"-")</f>
        <v>-</v>
      </c>
      <c r="G2579" s="27">
        <v>2577.0</v>
      </c>
      <c r="H2579" s="8">
        <f t="shared" si="1"/>
        <v>-1</v>
      </c>
    </row>
    <row r="2580">
      <c r="A2580" s="10">
        <v>2579.0</v>
      </c>
      <c r="B2580" s="11" t="s">
        <v>5419</v>
      </c>
      <c r="C2580" s="10" t="s">
        <v>14</v>
      </c>
      <c r="D2580" s="10" t="s">
        <v>12</v>
      </c>
      <c r="E2580" s="13" t="str">
        <f>IFERROR(__xludf.DUMMYFUNCTION("ifna(filter('Yahoo ADP'!$A$2:$A2766,'Yahoo ADP'!$B$2:$B2766=$B2580,$C2580='Yahoo ADP'!$C$2:$C2766,$D2580='Yahoo ADP'!$D$2:$D2766))"),"")</f>
        <v/>
      </c>
      <c r="F2580" s="13" t="str">
        <f>IFERROR(__xludf.DUMMYFUNCTION("ifna(filter('Yahoo ADP'!$E$2:$E2766,'Yahoo ADP'!$B$2:$B2766=$B2580,$C2580='Yahoo ADP'!$C$2:$C2766,$D2580='Yahoo ADP'!$D$2:$D2766))"),"-")</f>
        <v>-</v>
      </c>
      <c r="G2580" s="27">
        <v>2578.0</v>
      </c>
      <c r="H2580" s="8">
        <f t="shared" si="1"/>
        <v>-1</v>
      </c>
    </row>
    <row r="2581">
      <c r="A2581" s="10">
        <v>2580.0</v>
      </c>
      <c r="B2581" s="11" t="s">
        <v>5420</v>
      </c>
      <c r="C2581" s="10" t="s">
        <v>39</v>
      </c>
      <c r="D2581" s="10" t="s">
        <v>129</v>
      </c>
      <c r="E2581" s="13" t="str">
        <f>IFERROR(__xludf.DUMMYFUNCTION("ifna(filter('Yahoo ADP'!$A$2:$A2766,'Yahoo ADP'!$B$2:$B2766=$B2581,$C2581='Yahoo ADP'!$C$2:$C2766,$D2581='Yahoo ADP'!$D$2:$D2766))"),"")</f>
        <v/>
      </c>
      <c r="F2581" s="13" t="str">
        <f>IFERROR(__xludf.DUMMYFUNCTION("ifna(filter('Yahoo ADP'!$E$2:$E2766,'Yahoo ADP'!$B$2:$B2766=$B2581,$C2581='Yahoo ADP'!$C$2:$C2766,$D2581='Yahoo ADP'!$D$2:$D2766))"),"-")</f>
        <v>-</v>
      </c>
      <c r="G2581" s="27">
        <v>2580.0</v>
      </c>
      <c r="H2581" s="8">
        <f t="shared" si="1"/>
        <v>0</v>
      </c>
    </row>
    <row r="2582">
      <c r="A2582" s="10">
        <v>2581.0</v>
      </c>
      <c r="B2582" s="11" t="s">
        <v>5421</v>
      </c>
      <c r="C2582" s="10" t="s">
        <v>8</v>
      </c>
      <c r="D2582" s="10" t="s">
        <v>137</v>
      </c>
      <c r="E2582" s="13" t="str">
        <f>IFERROR(__xludf.DUMMYFUNCTION("ifna(filter('Yahoo ADP'!$A$2:$A2766,'Yahoo ADP'!$B$2:$B2766=$B2582,$C2582='Yahoo ADP'!$C$2:$C2766,$D2582='Yahoo ADP'!$D$2:$D2766))"),"")</f>
        <v/>
      </c>
      <c r="F2582" s="13" t="str">
        <f>IFERROR(__xludf.DUMMYFUNCTION("ifna(filter('Yahoo ADP'!$E$2:$E2766,'Yahoo ADP'!$B$2:$B2766=$B2582,$C2582='Yahoo ADP'!$C$2:$C2766,$D2582='Yahoo ADP'!$D$2:$D2766))"),"-")</f>
        <v>-</v>
      </c>
      <c r="G2582" s="27">
        <v>2581.0</v>
      </c>
      <c r="H2582" s="8">
        <f t="shared" si="1"/>
        <v>0</v>
      </c>
    </row>
    <row r="2583">
      <c r="A2583" s="10">
        <v>2582.0</v>
      </c>
      <c r="B2583" s="11" t="s">
        <v>5422</v>
      </c>
      <c r="C2583" s="10" t="s">
        <v>48</v>
      </c>
      <c r="D2583" s="10" t="s">
        <v>90</v>
      </c>
      <c r="E2583" s="13" t="str">
        <f>IFERROR(__xludf.DUMMYFUNCTION("ifna(filter('Yahoo ADP'!$A$2:$A2766,'Yahoo ADP'!$B$2:$B2766=$B2583,$C2583='Yahoo ADP'!$C$2:$C2766,$D2583='Yahoo ADP'!$D$2:$D2766))"),"")</f>
        <v/>
      </c>
      <c r="F2583" s="13" t="str">
        <f>IFERROR(__xludf.DUMMYFUNCTION("ifna(filter('Yahoo ADP'!$E$2:$E2766,'Yahoo ADP'!$B$2:$B2766=$B2583,$C2583='Yahoo ADP'!$C$2:$C2766,$D2583='Yahoo ADP'!$D$2:$D2766))"),"-")</f>
        <v>-</v>
      </c>
      <c r="G2583" s="27">
        <v>2582.0</v>
      </c>
      <c r="H2583" s="8">
        <f t="shared" si="1"/>
        <v>0</v>
      </c>
    </row>
    <row r="2584">
      <c r="A2584" s="10">
        <v>2583.0</v>
      </c>
      <c r="B2584" s="11" t="s">
        <v>5423</v>
      </c>
      <c r="C2584" s="10" t="s">
        <v>17</v>
      </c>
      <c r="D2584" s="10" t="s">
        <v>25</v>
      </c>
      <c r="E2584" s="13" t="str">
        <f>IFERROR(__xludf.DUMMYFUNCTION("ifna(filter('Yahoo ADP'!$A$2:$A2766,'Yahoo ADP'!$B$2:$B2766=$B2584,$C2584='Yahoo ADP'!$C$2:$C2766,$D2584='Yahoo ADP'!$D$2:$D2766))"),"")</f>
        <v/>
      </c>
      <c r="F2584" s="13" t="str">
        <f>IFERROR(__xludf.DUMMYFUNCTION("ifna(filter('Yahoo ADP'!$E$2:$E2766,'Yahoo ADP'!$B$2:$B2766=$B2584,$C2584='Yahoo ADP'!$C$2:$C2766,$D2584='Yahoo ADP'!$D$2:$D2766))"),"-")</f>
        <v>-</v>
      </c>
      <c r="G2584" s="27">
        <v>2583.0</v>
      </c>
      <c r="H2584" s="8">
        <f t="shared" si="1"/>
        <v>0</v>
      </c>
    </row>
    <row r="2585">
      <c r="A2585" s="10">
        <v>2584.0</v>
      </c>
      <c r="B2585" s="11" t="s">
        <v>5424</v>
      </c>
      <c r="C2585" s="10" t="s">
        <v>11</v>
      </c>
      <c r="D2585" s="10" t="s">
        <v>36</v>
      </c>
      <c r="E2585" s="13" t="str">
        <f>IFERROR(__xludf.DUMMYFUNCTION("ifna(filter('Yahoo ADP'!$A$2:$A2766,'Yahoo ADP'!$B$2:$B2766=$B2585,$C2585='Yahoo ADP'!$C$2:$C2766,$D2585='Yahoo ADP'!$D$2:$D2766))"),"")</f>
        <v/>
      </c>
      <c r="F2585" s="13" t="str">
        <f>IFERROR(__xludf.DUMMYFUNCTION("ifna(filter('Yahoo ADP'!$E$2:$E2766,'Yahoo ADP'!$B$2:$B2766=$B2585,$C2585='Yahoo ADP'!$C$2:$C2766,$D2585='Yahoo ADP'!$D$2:$D2766))"),"-")</f>
        <v>-</v>
      </c>
      <c r="G2585" s="27">
        <v>2584.0</v>
      </c>
      <c r="H2585" s="8">
        <f t="shared" si="1"/>
        <v>0</v>
      </c>
    </row>
    <row r="2586">
      <c r="A2586" s="10">
        <v>2585.0</v>
      </c>
      <c r="B2586" s="11" t="s">
        <v>5425</v>
      </c>
      <c r="C2586" s="10" t="s">
        <v>11</v>
      </c>
      <c r="D2586" s="10" t="s">
        <v>82</v>
      </c>
      <c r="E2586" s="13" t="str">
        <f>IFERROR(__xludf.DUMMYFUNCTION("ifna(filter('Yahoo ADP'!$A$2:$A2766,'Yahoo ADP'!$B$2:$B2766=$B2586,$C2586='Yahoo ADP'!$C$2:$C2766,$D2586='Yahoo ADP'!$D$2:$D2766))"),"")</f>
        <v/>
      </c>
      <c r="F2586" s="13" t="str">
        <f>IFERROR(__xludf.DUMMYFUNCTION("ifna(filter('Yahoo ADP'!$E$2:$E2766,'Yahoo ADP'!$B$2:$B2766=$B2586,$C2586='Yahoo ADP'!$C$2:$C2766,$D2586='Yahoo ADP'!$D$2:$D2766))"),"-")</f>
        <v>-</v>
      </c>
      <c r="G2586" s="27">
        <v>2585.0</v>
      </c>
      <c r="H2586" s="8">
        <f t="shared" si="1"/>
        <v>0</v>
      </c>
    </row>
    <row r="2587">
      <c r="A2587" s="10">
        <v>2586.0</v>
      </c>
      <c r="B2587" s="11" t="s">
        <v>5426</v>
      </c>
      <c r="C2587" s="10" t="s">
        <v>55</v>
      </c>
      <c r="D2587" s="10" t="s">
        <v>140</v>
      </c>
      <c r="E2587" s="13" t="str">
        <f>IFERROR(__xludf.DUMMYFUNCTION("ifna(filter('Yahoo ADP'!$A$2:$A2766,'Yahoo ADP'!$B$2:$B2766=$B2587,$C2587='Yahoo ADP'!$C$2:$C2766,$D2587='Yahoo ADP'!$D$2:$D2766))"),"")</f>
        <v/>
      </c>
      <c r="F2587" s="13" t="str">
        <f>IFERROR(__xludf.DUMMYFUNCTION("ifna(filter('Yahoo ADP'!$E$2:$E2766,'Yahoo ADP'!$B$2:$B2766=$B2587,$C2587='Yahoo ADP'!$C$2:$C2766,$D2587='Yahoo ADP'!$D$2:$D2766))"),"-")</f>
        <v>-</v>
      </c>
      <c r="G2587" s="27">
        <v>2586.0</v>
      </c>
      <c r="H2587" s="8">
        <f t="shared" si="1"/>
        <v>0</v>
      </c>
    </row>
    <row r="2588">
      <c r="A2588" s="10">
        <v>2587.0</v>
      </c>
      <c r="B2588" s="11" t="s">
        <v>5427</v>
      </c>
      <c r="C2588" s="10" t="s">
        <v>17</v>
      </c>
      <c r="D2588" s="10" t="s">
        <v>71</v>
      </c>
      <c r="E2588" s="13" t="str">
        <f>IFERROR(__xludf.DUMMYFUNCTION("ifna(filter('Yahoo ADP'!$A$2:$A2766,'Yahoo ADP'!$B$2:$B2766=$B2588,$C2588='Yahoo ADP'!$C$2:$C2766,$D2588='Yahoo ADP'!$D$2:$D2766))"),"")</f>
        <v/>
      </c>
      <c r="F2588" s="13" t="str">
        <f>IFERROR(__xludf.DUMMYFUNCTION("ifna(filter('Yahoo ADP'!$E$2:$E2766,'Yahoo ADP'!$B$2:$B2766=$B2588,$C2588='Yahoo ADP'!$C$2:$C2766,$D2588='Yahoo ADP'!$D$2:$D2766))"),"-")</f>
        <v>-</v>
      </c>
      <c r="G2588" s="27">
        <v>2587.0</v>
      </c>
      <c r="H2588" s="8">
        <f t="shared" si="1"/>
        <v>0</v>
      </c>
    </row>
    <row r="2589">
      <c r="A2589" s="10">
        <v>2588.0</v>
      </c>
      <c r="B2589" s="11" t="s">
        <v>5428</v>
      </c>
      <c r="C2589" s="10" t="s">
        <v>55</v>
      </c>
      <c r="D2589" s="10" t="s">
        <v>25</v>
      </c>
      <c r="E2589" s="13" t="str">
        <f>IFERROR(__xludf.DUMMYFUNCTION("ifna(filter('Yahoo ADP'!$A$2:$A2766,'Yahoo ADP'!$B$2:$B2766=$B2589,$C2589='Yahoo ADP'!$C$2:$C2766,$D2589='Yahoo ADP'!$D$2:$D2766))"),"")</f>
        <v/>
      </c>
      <c r="F2589" s="13" t="str">
        <f>IFERROR(__xludf.DUMMYFUNCTION("ifna(filter('Yahoo ADP'!$E$2:$E2766,'Yahoo ADP'!$B$2:$B2766=$B2589,$C2589='Yahoo ADP'!$C$2:$C2766,$D2589='Yahoo ADP'!$D$2:$D2766))"),"-")</f>
        <v>-</v>
      </c>
      <c r="G2589" s="27">
        <v>2588.0</v>
      </c>
      <c r="H2589" s="8">
        <f t="shared" si="1"/>
        <v>0</v>
      </c>
    </row>
    <row r="2590">
      <c r="A2590" s="10">
        <v>2589.0</v>
      </c>
      <c r="B2590" s="11" t="s">
        <v>5429</v>
      </c>
      <c r="C2590" s="10" t="s">
        <v>77</v>
      </c>
      <c r="D2590" s="10" t="s">
        <v>113</v>
      </c>
      <c r="E2590" s="13" t="str">
        <f>IFERROR(__xludf.DUMMYFUNCTION("ifna(filter('Yahoo ADP'!$A$2:$A2766,'Yahoo ADP'!$B$2:$B2766=$B2590,$C2590='Yahoo ADP'!$C$2:$C2766,$D2590='Yahoo ADP'!$D$2:$D2766))"),"")</f>
        <v/>
      </c>
      <c r="F2590" s="13" t="str">
        <f>IFERROR(__xludf.DUMMYFUNCTION("ifna(filter('Yahoo ADP'!$E$2:$E2766,'Yahoo ADP'!$B$2:$B2766=$B2590,$C2590='Yahoo ADP'!$C$2:$C2766,$D2590='Yahoo ADP'!$D$2:$D2766))"),"-")</f>
        <v>-</v>
      </c>
      <c r="G2590" s="27">
        <v>2589.0</v>
      </c>
      <c r="H2590" s="8">
        <f t="shared" si="1"/>
        <v>0</v>
      </c>
    </row>
    <row r="2591">
      <c r="A2591" s="10">
        <v>2590.0</v>
      </c>
      <c r="B2591" s="11" t="s">
        <v>3177</v>
      </c>
      <c r="C2591" s="10" t="s">
        <v>240</v>
      </c>
      <c r="D2591" s="10" t="s">
        <v>137</v>
      </c>
      <c r="E2591" s="13" t="str">
        <f>IFERROR(__xludf.DUMMYFUNCTION("ifna(filter('Yahoo ADP'!$A$2:$A2766,'Yahoo ADP'!$B$2:$B2766=$B2591,$C2591='Yahoo ADP'!$C$2:$C2766,$D2591='Yahoo ADP'!$D$2:$D2766))"),"")</f>
        <v/>
      </c>
      <c r="F2591" s="13" t="str">
        <f>IFERROR(__xludf.DUMMYFUNCTION("ifna(filter('Yahoo ADP'!$E$2:$E2766,'Yahoo ADP'!$B$2:$B2766=$B2591,$C2591='Yahoo ADP'!$C$2:$C2766,$D2591='Yahoo ADP'!$D$2:$D2766))"),"-")</f>
        <v>-</v>
      </c>
      <c r="G2591" s="27">
        <v>2590.0</v>
      </c>
      <c r="H2591" s="8">
        <f t="shared" si="1"/>
        <v>0</v>
      </c>
    </row>
    <row r="2592">
      <c r="A2592" s="10">
        <v>2591.0</v>
      </c>
      <c r="B2592" s="11" t="s">
        <v>5430</v>
      </c>
      <c r="C2592" s="10" t="s">
        <v>39</v>
      </c>
      <c r="D2592" s="10" t="s">
        <v>9</v>
      </c>
      <c r="E2592" s="13" t="str">
        <f>IFERROR(__xludf.DUMMYFUNCTION("ifna(filter('Yahoo ADP'!$A$2:$A2766,'Yahoo ADP'!$B$2:$B2766=$B2592,$C2592='Yahoo ADP'!$C$2:$C2766,$D2592='Yahoo ADP'!$D$2:$D2766))"),"")</f>
        <v/>
      </c>
      <c r="F2592" s="13" t="str">
        <f>IFERROR(__xludf.DUMMYFUNCTION("ifna(filter('Yahoo ADP'!$E$2:$E2766,'Yahoo ADP'!$B$2:$B2766=$B2592,$C2592='Yahoo ADP'!$C$2:$C2766,$D2592='Yahoo ADP'!$D$2:$D2766))"),"-")</f>
        <v>-</v>
      </c>
      <c r="G2592" s="27">
        <v>2591.0</v>
      </c>
      <c r="H2592" s="8">
        <f t="shared" si="1"/>
        <v>0</v>
      </c>
    </row>
    <row r="2593">
      <c r="A2593" s="10">
        <v>2592.0</v>
      </c>
      <c r="B2593" s="11" t="s">
        <v>5431</v>
      </c>
      <c r="C2593" s="10" t="s">
        <v>77</v>
      </c>
      <c r="D2593" s="10" t="s">
        <v>52</v>
      </c>
      <c r="E2593" s="13" t="str">
        <f>IFERROR(__xludf.DUMMYFUNCTION("ifna(filter('Yahoo ADP'!$A$2:$A2766,'Yahoo ADP'!$B$2:$B2766=$B2593,$C2593='Yahoo ADP'!$C$2:$C2766,$D2593='Yahoo ADP'!$D$2:$D2766))"),"")</f>
        <v/>
      </c>
      <c r="F2593" s="13" t="str">
        <f>IFERROR(__xludf.DUMMYFUNCTION("ifna(filter('Yahoo ADP'!$E$2:$E2766,'Yahoo ADP'!$B$2:$B2766=$B2593,$C2593='Yahoo ADP'!$C$2:$C2766,$D2593='Yahoo ADP'!$D$2:$D2766))"),"-")</f>
        <v>-</v>
      </c>
      <c r="G2593" s="27">
        <v>2592.0</v>
      </c>
      <c r="H2593" s="8">
        <f t="shared" si="1"/>
        <v>0</v>
      </c>
    </row>
    <row r="2594">
      <c r="A2594" s="10">
        <v>2593.0</v>
      </c>
      <c r="B2594" s="11" t="s">
        <v>5432</v>
      </c>
      <c r="C2594" s="10" t="s">
        <v>11</v>
      </c>
      <c r="D2594" s="10" t="s">
        <v>15</v>
      </c>
      <c r="E2594" s="13" t="str">
        <f>IFERROR(__xludf.DUMMYFUNCTION("ifna(filter('Yahoo ADP'!$A$2:$A2766,'Yahoo ADP'!$B$2:$B2766=$B2594,$C2594='Yahoo ADP'!$C$2:$C2766,$D2594='Yahoo ADP'!$D$2:$D2766))"),"")</f>
        <v/>
      </c>
      <c r="F2594" s="13" t="str">
        <f>IFERROR(__xludf.DUMMYFUNCTION("ifna(filter('Yahoo ADP'!$E$2:$E2766,'Yahoo ADP'!$B$2:$B2766=$B2594,$C2594='Yahoo ADP'!$C$2:$C2766,$D2594='Yahoo ADP'!$D$2:$D2766))"),"-")</f>
        <v>-</v>
      </c>
      <c r="G2594" s="27">
        <v>2593.0</v>
      </c>
      <c r="H2594" s="8">
        <f t="shared" si="1"/>
        <v>0</v>
      </c>
    </row>
    <row r="2595">
      <c r="A2595" s="10">
        <v>2594.0</v>
      </c>
      <c r="B2595" s="11" t="s">
        <v>5433</v>
      </c>
      <c r="C2595" s="10" t="s">
        <v>14</v>
      </c>
      <c r="D2595" s="10" t="s">
        <v>42</v>
      </c>
      <c r="E2595" s="13" t="str">
        <f>IFERROR(__xludf.DUMMYFUNCTION("ifna(filter('Yahoo ADP'!$A$2:$A2766,'Yahoo ADP'!$B$2:$B2766=$B2595,$C2595='Yahoo ADP'!$C$2:$C2766,$D2595='Yahoo ADP'!$D$2:$D2766))"),"")</f>
        <v/>
      </c>
      <c r="F2595" s="13" t="str">
        <f>IFERROR(__xludf.DUMMYFUNCTION("ifna(filter('Yahoo ADP'!$E$2:$E2766,'Yahoo ADP'!$B$2:$B2766=$B2595,$C2595='Yahoo ADP'!$C$2:$C2766,$D2595='Yahoo ADP'!$D$2:$D2766))"),"-")</f>
        <v>-</v>
      </c>
      <c r="G2595" s="27">
        <v>2594.0</v>
      </c>
      <c r="H2595" s="8">
        <f t="shared" si="1"/>
        <v>0</v>
      </c>
    </row>
    <row r="2596">
      <c r="A2596" s="10">
        <v>2595.0</v>
      </c>
      <c r="B2596" s="11" t="s">
        <v>5434</v>
      </c>
      <c r="C2596" s="10" t="s">
        <v>14</v>
      </c>
      <c r="D2596" s="10" t="s">
        <v>23</v>
      </c>
      <c r="E2596" s="13" t="str">
        <f>IFERROR(__xludf.DUMMYFUNCTION("ifna(filter('Yahoo ADP'!$A$2:$A2766,'Yahoo ADP'!$B$2:$B2766=$B2596,$C2596='Yahoo ADP'!$C$2:$C2766,$D2596='Yahoo ADP'!$D$2:$D2766))"),"")</f>
        <v/>
      </c>
      <c r="F2596" s="13" t="str">
        <f>IFERROR(__xludf.DUMMYFUNCTION("ifna(filter('Yahoo ADP'!$E$2:$E2766,'Yahoo ADP'!$B$2:$B2766=$B2596,$C2596='Yahoo ADP'!$C$2:$C2766,$D2596='Yahoo ADP'!$D$2:$D2766))"),"-")</f>
        <v>-</v>
      </c>
      <c r="G2596" s="27">
        <v>2595.0</v>
      </c>
      <c r="H2596" s="8">
        <f t="shared" si="1"/>
        <v>0</v>
      </c>
    </row>
    <row r="2597">
      <c r="A2597" s="10">
        <v>2596.0</v>
      </c>
      <c r="B2597" s="11" t="s">
        <v>5435</v>
      </c>
      <c r="C2597" s="10" t="s">
        <v>39</v>
      </c>
      <c r="D2597" s="10" t="s">
        <v>95</v>
      </c>
      <c r="E2597" s="13" t="str">
        <f>IFERROR(__xludf.DUMMYFUNCTION("ifna(filter('Yahoo ADP'!$A$2:$A2766,'Yahoo ADP'!$B$2:$B2766=$B2597,$C2597='Yahoo ADP'!$C$2:$C2766,$D2597='Yahoo ADP'!$D$2:$D2766))"),"")</f>
        <v/>
      </c>
      <c r="F2597" s="13" t="str">
        <f>IFERROR(__xludf.DUMMYFUNCTION("ifna(filter('Yahoo ADP'!$E$2:$E2766,'Yahoo ADP'!$B$2:$B2766=$B2597,$C2597='Yahoo ADP'!$C$2:$C2766,$D2597='Yahoo ADP'!$D$2:$D2766))"),"-")</f>
        <v>-</v>
      </c>
      <c r="G2597" s="27">
        <v>2596.0</v>
      </c>
      <c r="H2597" s="8">
        <f t="shared" si="1"/>
        <v>0</v>
      </c>
    </row>
    <row r="2598">
      <c r="A2598" s="10">
        <v>2597.0</v>
      </c>
      <c r="B2598" s="11" t="s">
        <v>5436</v>
      </c>
      <c r="C2598" s="10" t="s">
        <v>87</v>
      </c>
      <c r="D2598" s="10" t="s">
        <v>120</v>
      </c>
      <c r="E2598" s="13" t="str">
        <f>IFERROR(__xludf.DUMMYFUNCTION("ifna(filter('Yahoo ADP'!$A$2:$A2766,'Yahoo ADP'!$B$2:$B2766=$B2598,$C2598='Yahoo ADP'!$C$2:$C2766,$D2598='Yahoo ADP'!$D$2:$D2766))"),"")</f>
        <v/>
      </c>
      <c r="F2598" s="13" t="str">
        <f>IFERROR(__xludf.DUMMYFUNCTION("ifna(filter('Yahoo ADP'!$E$2:$E2766,'Yahoo ADP'!$B$2:$B2766=$B2598,$C2598='Yahoo ADP'!$C$2:$C2766,$D2598='Yahoo ADP'!$D$2:$D2766))"),"-")</f>
        <v>-</v>
      </c>
      <c r="G2598" s="27">
        <v>2597.0</v>
      </c>
      <c r="H2598" s="8">
        <f t="shared" si="1"/>
        <v>0</v>
      </c>
    </row>
    <row r="2599">
      <c r="A2599" s="10">
        <v>2598.0</v>
      </c>
      <c r="B2599" s="11" t="s">
        <v>5437</v>
      </c>
      <c r="C2599" s="10" t="s">
        <v>55</v>
      </c>
      <c r="D2599" s="10" t="s">
        <v>27</v>
      </c>
      <c r="E2599" s="13" t="str">
        <f>IFERROR(__xludf.DUMMYFUNCTION("ifna(filter('Yahoo ADP'!$A$2:$A2766,'Yahoo ADP'!$B$2:$B2766=$B2599,$C2599='Yahoo ADP'!$C$2:$C2766,$D2599='Yahoo ADP'!$D$2:$D2766))"),"")</f>
        <v/>
      </c>
      <c r="F2599" s="13" t="str">
        <f>IFERROR(__xludf.DUMMYFUNCTION("ifna(filter('Yahoo ADP'!$E$2:$E2766,'Yahoo ADP'!$B$2:$B2766=$B2599,$C2599='Yahoo ADP'!$C$2:$C2766,$D2599='Yahoo ADP'!$D$2:$D2766))"),"-")</f>
        <v>-</v>
      </c>
      <c r="G2599" s="27">
        <v>2598.0</v>
      </c>
      <c r="H2599" s="8">
        <f t="shared" si="1"/>
        <v>0</v>
      </c>
    </row>
    <row r="2600">
      <c r="A2600" s="10">
        <v>2599.0</v>
      </c>
      <c r="B2600" s="11" t="s">
        <v>5438</v>
      </c>
      <c r="C2600" s="10" t="s">
        <v>14</v>
      </c>
      <c r="D2600" s="10" t="s">
        <v>85</v>
      </c>
      <c r="E2600" s="13" t="str">
        <f>IFERROR(__xludf.DUMMYFUNCTION("ifna(filter('Yahoo ADP'!$A$2:$A2766,'Yahoo ADP'!$B$2:$B2766=$B2600,$C2600='Yahoo ADP'!$C$2:$C2766,$D2600='Yahoo ADP'!$D$2:$D2766))"),"")</f>
        <v/>
      </c>
      <c r="F2600" s="13" t="str">
        <f>IFERROR(__xludf.DUMMYFUNCTION("ifna(filter('Yahoo ADP'!$E$2:$E2766,'Yahoo ADP'!$B$2:$B2766=$B2600,$C2600='Yahoo ADP'!$C$2:$C2766,$D2600='Yahoo ADP'!$D$2:$D2766))"),"-")</f>
        <v>-</v>
      </c>
      <c r="G2600" s="27">
        <v>2599.0</v>
      </c>
      <c r="H2600" s="8">
        <f t="shared" si="1"/>
        <v>0</v>
      </c>
    </row>
    <row r="2601">
      <c r="A2601" s="10">
        <v>2600.0</v>
      </c>
      <c r="B2601" s="11" t="s">
        <v>5439</v>
      </c>
      <c r="C2601" s="10" t="s">
        <v>39</v>
      </c>
      <c r="D2601" s="10" t="s">
        <v>99</v>
      </c>
      <c r="E2601" s="13" t="str">
        <f>IFERROR(__xludf.DUMMYFUNCTION("ifna(filter('Yahoo ADP'!$A$2:$A2766,'Yahoo ADP'!$B$2:$B2766=$B2601,$C2601='Yahoo ADP'!$C$2:$C2766,$D2601='Yahoo ADP'!$D$2:$D2766))"),"")</f>
        <v/>
      </c>
      <c r="F2601" s="13" t="str">
        <f>IFERROR(__xludf.DUMMYFUNCTION("ifna(filter('Yahoo ADP'!$E$2:$E2766,'Yahoo ADP'!$B$2:$B2766=$B2601,$C2601='Yahoo ADP'!$C$2:$C2766,$D2601='Yahoo ADP'!$D$2:$D2766))"),"-")</f>
        <v>-</v>
      </c>
      <c r="G2601" s="27">
        <v>2600.0</v>
      </c>
      <c r="H2601" s="8">
        <f t="shared" si="1"/>
        <v>0</v>
      </c>
    </row>
    <row r="2602">
      <c r="A2602" s="10">
        <v>2601.0</v>
      </c>
      <c r="B2602" s="11" t="s">
        <v>5440</v>
      </c>
      <c r="C2602" s="10" t="s">
        <v>136</v>
      </c>
      <c r="D2602" s="10" t="s">
        <v>140</v>
      </c>
      <c r="E2602" s="13" t="str">
        <f>IFERROR(__xludf.DUMMYFUNCTION("ifna(filter('Yahoo ADP'!$A$2:$A2766,'Yahoo ADP'!$B$2:$B2766=$B2602,$C2602='Yahoo ADP'!$C$2:$C2766,$D2602='Yahoo ADP'!$D$2:$D2766))"),"")</f>
        <v/>
      </c>
      <c r="F2602" s="13" t="str">
        <f>IFERROR(__xludf.DUMMYFUNCTION("ifna(filter('Yahoo ADP'!$E$2:$E2766,'Yahoo ADP'!$B$2:$B2766=$B2602,$C2602='Yahoo ADP'!$C$2:$C2766,$D2602='Yahoo ADP'!$D$2:$D2766))"),"-")</f>
        <v>-</v>
      </c>
      <c r="G2602" s="27">
        <v>2601.0</v>
      </c>
      <c r="H2602" s="8">
        <f t="shared" si="1"/>
        <v>0</v>
      </c>
    </row>
    <row r="2603">
      <c r="A2603" s="10">
        <v>2602.0</v>
      </c>
      <c r="B2603" s="11" t="s">
        <v>5441</v>
      </c>
      <c r="C2603" s="10" t="s">
        <v>39</v>
      </c>
      <c r="D2603" s="10" t="s">
        <v>206</v>
      </c>
      <c r="E2603" s="13" t="str">
        <f>IFERROR(__xludf.DUMMYFUNCTION("ifna(filter('Yahoo ADP'!$A$2:$A2766,'Yahoo ADP'!$B$2:$B2766=$B2603,$C2603='Yahoo ADP'!$C$2:$C2766,$D2603='Yahoo ADP'!$D$2:$D2766))"),"")</f>
        <v/>
      </c>
      <c r="F2603" s="13" t="str">
        <f>IFERROR(__xludf.DUMMYFUNCTION("ifna(filter('Yahoo ADP'!$E$2:$E2766,'Yahoo ADP'!$B$2:$B2766=$B2603,$C2603='Yahoo ADP'!$C$2:$C2766,$D2603='Yahoo ADP'!$D$2:$D2766))"),"-")</f>
        <v>-</v>
      </c>
      <c r="G2603" s="27">
        <v>2602.0</v>
      </c>
      <c r="H2603" s="8">
        <f t="shared" si="1"/>
        <v>0</v>
      </c>
    </row>
    <row r="2604">
      <c r="A2604" s="10">
        <v>2603.0</v>
      </c>
      <c r="B2604" s="11" t="s">
        <v>5442</v>
      </c>
      <c r="C2604" s="10" t="s">
        <v>39</v>
      </c>
      <c r="D2604" s="10" t="s">
        <v>18</v>
      </c>
      <c r="E2604" s="13" t="str">
        <f>IFERROR(__xludf.DUMMYFUNCTION("ifna(filter('Yahoo ADP'!$A$2:$A2766,'Yahoo ADP'!$B$2:$B2766=$B2604,$C2604='Yahoo ADP'!$C$2:$C2766,$D2604='Yahoo ADP'!$D$2:$D2766))"),"")</f>
        <v/>
      </c>
      <c r="F2604" s="13" t="str">
        <f>IFERROR(__xludf.DUMMYFUNCTION("ifna(filter('Yahoo ADP'!$E$2:$E2766,'Yahoo ADP'!$B$2:$B2766=$B2604,$C2604='Yahoo ADP'!$C$2:$C2766,$D2604='Yahoo ADP'!$D$2:$D2766))"),"-")</f>
        <v>-</v>
      </c>
      <c r="G2604" s="27">
        <v>2603.0</v>
      </c>
      <c r="H2604" s="8">
        <f t="shared" si="1"/>
        <v>0</v>
      </c>
    </row>
    <row r="2605">
      <c r="A2605" s="10">
        <v>2604.0</v>
      </c>
      <c r="B2605" s="11" t="s">
        <v>5443</v>
      </c>
      <c r="C2605" s="10" t="s">
        <v>20</v>
      </c>
      <c r="D2605" s="10" t="s">
        <v>105</v>
      </c>
      <c r="E2605" s="13" t="str">
        <f>IFERROR(__xludf.DUMMYFUNCTION("ifna(filter('Yahoo ADP'!$A$2:$A2766,'Yahoo ADP'!$B$2:$B2766=$B2605,$C2605='Yahoo ADP'!$C$2:$C2766,$D2605='Yahoo ADP'!$D$2:$D2766))"),"")</f>
        <v/>
      </c>
      <c r="F2605" s="13" t="str">
        <f>IFERROR(__xludf.DUMMYFUNCTION("ifna(filter('Yahoo ADP'!$E$2:$E2766,'Yahoo ADP'!$B$2:$B2766=$B2605,$C2605='Yahoo ADP'!$C$2:$C2766,$D2605='Yahoo ADP'!$D$2:$D2766))"),"-")</f>
        <v>-</v>
      </c>
      <c r="G2605" s="27">
        <v>2604.0</v>
      </c>
      <c r="H2605" s="8">
        <f t="shared" si="1"/>
        <v>0</v>
      </c>
    </row>
    <row r="2606">
      <c r="A2606" s="10">
        <v>2605.0</v>
      </c>
      <c r="B2606" s="11" t="s">
        <v>5444</v>
      </c>
      <c r="C2606" s="10" t="s">
        <v>39</v>
      </c>
      <c r="D2606" s="10" t="s">
        <v>42</v>
      </c>
      <c r="E2606" s="13" t="str">
        <f>IFERROR(__xludf.DUMMYFUNCTION("ifna(filter('Yahoo ADP'!$A$2:$A2766,'Yahoo ADP'!$B$2:$B2766=$B2606,$C2606='Yahoo ADP'!$C$2:$C2766,$D2606='Yahoo ADP'!$D$2:$D2766))"),"")</f>
        <v/>
      </c>
      <c r="F2606" s="13" t="str">
        <f>IFERROR(__xludf.DUMMYFUNCTION("ifna(filter('Yahoo ADP'!$E$2:$E2766,'Yahoo ADP'!$B$2:$B2766=$B2606,$C2606='Yahoo ADP'!$C$2:$C2766,$D2606='Yahoo ADP'!$D$2:$D2766))"),"-")</f>
        <v>-</v>
      </c>
      <c r="G2606" s="27">
        <v>2605.0</v>
      </c>
      <c r="H2606" s="8">
        <f t="shared" si="1"/>
        <v>0</v>
      </c>
    </row>
    <row r="2607">
      <c r="A2607" s="10">
        <v>2606.0</v>
      </c>
      <c r="B2607" s="11" t="s">
        <v>5445</v>
      </c>
      <c r="C2607" s="10" t="s">
        <v>14</v>
      </c>
      <c r="D2607" s="10" t="s">
        <v>67</v>
      </c>
      <c r="E2607" s="13" t="str">
        <f>IFERROR(__xludf.DUMMYFUNCTION("ifna(filter('Yahoo ADP'!$A$2:$A2766,'Yahoo ADP'!$B$2:$B2766=$B2607,$C2607='Yahoo ADP'!$C$2:$C2766,$D2607='Yahoo ADP'!$D$2:$D2766))"),"")</f>
        <v/>
      </c>
      <c r="F2607" s="13" t="str">
        <f>IFERROR(__xludf.DUMMYFUNCTION("ifna(filter('Yahoo ADP'!$E$2:$E2766,'Yahoo ADP'!$B$2:$B2766=$B2607,$C2607='Yahoo ADP'!$C$2:$C2766,$D2607='Yahoo ADP'!$D$2:$D2766))"),"-")</f>
        <v>-</v>
      </c>
      <c r="G2607" s="27">
        <v>2606.0</v>
      </c>
      <c r="H2607" s="8">
        <f t="shared" si="1"/>
        <v>0</v>
      </c>
    </row>
    <row r="2608">
      <c r="A2608" s="10">
        <v>2607.0</v>
      </c>
      <c r="B2608" s="11" t="s">
        <v>5446</v>
      </c>
      <c r="C2608" s="10" t="s">
        <v>14</v>
      </c>
      <c r="D2608" s="10" t="s">
        <v>12</v>
      </c>
      <c r="E2608" s="13" t="str">
        <f>IFERROR(__xludf.DUMMYFUNCTION("ifna(filter('Yahoo ADP'!$A$2:$A2766,'Yahoo ADP'!$B$2:$B2766=$B2608,$C2608='Yahoo ADP'!$C$2:$C2766,$D2608='Yahoo ADP'!$D$2:$D2766))"),"")</f>
        <v/>
      </c>
      <c r="F2608" s="13" t="str">
        <f>IFERROR(__xludf.DUMMYFUNCTION("ifna(filter('Yahoo ADP'!$E$2:$E2766,'Yahoo ADP'!$B$2:$B2766=$B2608,$C2608='Yahoo ADP'!$C$2:$C2766,$D2608='Yahoo ADP'!$D$2:$D2766))"),"-")</f>
        <v>-</v>
      </c>
      <c r="G2608" s="27">
        <v>2607.0</v>
      </c>
      <c r="H2608" s="8">
        <f t="shared" si="1"/>
        <v>0</v>
      </c>
    </row>
    <row r="2609">
      <c r="A2609" s="10">
        <v>2608.0</v>
      </c>
      <c r="B2609" s="11" t="s">
        <v>5447</v>
      </c>
      <c r="C2609" s="10" t="s">
        <v>14</v>
      </c>
      <c r="D2609" s="10" t="s">
        <v>42</v>
      </c>
      <c r="E2609" s="13" t="str">
        <f>IFERROR(__xludf.DUMMYFUNCTION("ifna(filter('Yahoo ADP'!$A$2:$A2766,'Yahoo ADP'!$B$2:$B2766=$B2609,$C2609='Yahoo ADP'!$C$2:$C2766,$D2609='Yahoo ADP'!$D$2:$D2766))"),"")</f>
        <v/>
      </c>
      <c r="F2609" s="13" t="str">
        <f>IFERROR(__xludf.DUMMYFUNCTION("ifna(filter('Yahoo ADP'!$E$2:$E2766,'Yahoo ADP'!$B$2:$B2766=$B2609,$C2609='Yahoo ADP'!$C$2:$C2766,$D2609='Yahoo ADP'!$D$2:$D2766))"),"-")</f>
        <v>-</v>
      </c>
      <c r="G2609" s="27">
        <v>2608.0</v>
      </c>
      <c r="H2609" s="8">
        <f t="shared" si="1"/>
        <v>0</v>
      </c>
    </row>
    <row r="2610">
      <c r="A2610" s="10">
        <v>2609.0</v>
      </c>
      <c r="B2610" s="11" t="s">
        <v>5448</v>
      </c>
      <c r="C2610" s="10" t="s">
        <v>17</v>
      </c>
      <c r="D2610" s="10" t="s">
        <v>129</v>
      </c>
      <c r="E2610" s="13" t="str">
        <f>IFERROR(__xludf.DUMMYFUNCTION("ifna(filter('Yahoo ADP'!$A$2:$A2766,'Yahoo ADP'!$B$2:$B2766=$B2610,$C2610='Yahoo ADP'!$C$2:$C2766,$D2610='Yahoo ADP'!$D$2:$D2766))"),"")</f>
        <v/>
      </c>
      <c r="F2610" s="13" t="str">
        <f>IFERROR(__xludf.DUMMYFUNCTION("ifna(filter('Yahoo ADP'!$E$2:$E2766,'Yahoo ADP'!$B$2:$B2766=$B2610,$C2610='Yahoo ADP'!$C$2:$C2766,$D2610='Yahoo ADP'!$D$2:$D2766))"),"-")</f>
        <v>-</v>
      </c>
      <c r="G2610" s="27">
        <v>2609.0</v>
      </c>
      <c r="H2610" s="8">
        <f t="shared" si="1"/>
        <v>0</v>
      </c>
    </row>
    <row r="2611">
      <c r="A2611" s="10">
        <v>2610.0</v>
      </c>
      <c r="B2611" s="11" t="s">
        <v>5449</v>
      </c>
      <c r="C2611" s="10" t="s">
        <v>240</v>
      </c>
      <c r="D2611" s="10" t="s">
        <v>206</v>
      </c>
      <c r="E2611" s="13" t="str">
        <f>IFERROR(__xludf.DUMMYFUNCTION("ifna(filter('Yahoo ADP'!$A$2:$A2766,'Yahoo ADP'!$B$2:$B2766=$B2611,$C2611='Yahoo ADP'!$C$2:$C2766,$D2611='Yahoo ADP'!$D$2:$D2766))"),"")</f>
        <v/>
      </c>
      <c r="F2611" s="13" t="str">
        <f>IFERROR(__xludf.DUMMYFUNCTION("ifna(filter('Yahoo ADP'!$E$2:$E2766,'Yahoo ADP'!$B$2:$B2766=$B2611,$C2611='Yahoo ADP'!$C$2:$C2766,$D2611='Yahoo ADP'!$D$2:$D2766))"),"-")</f>
        <v>-</v>
      </c>
      <c r="G2611" s="27">
        <v>2610.0</v>
      </c>
      <c r="H2611" s="8">
        <f t="shared" si="1"/>
        <v>0</v>
      </c>
    </row>
    <row r="2612">
      <c r="A2612" s="10">
        <v>2611.0</v>
      </c>
      <c r="B2612" s="11" t="s">
        <v>5450</v>
      </c>
      <c r="C2612" s="10" t="s">
        <v>17</v>
      </c>
      <c r="D2612" s="10" t="s">
        <v>9</v>
      </c>
      <c r="E2612" s="13" t="str">
        <f>IFERROR(__xludf.DUMMYFUNCTION("ifna(filter('Yahoo ADP'!$A$2:$A2766,'Yahoo ADP'!$B$2:$B2766=$B2612,$C2612='Yahoo ADP'!$C$2:$C2766,$D2612='Yahoo ADP'!$D$2:$D2766))"),"")</f>
        <v/>
      </c>
      <c r="F2612" s="13" t="str">
        <f>IFERROR(__xludf.DUMMYFUNCTION("ifna(filter('Yahoo ADP'!$E$2:$E2766,'Yahoo ADP'!$B$2:$B2766=$B2612,$C2612='Yahoo ADP'!$C$2:$C2766,$D2612='Yahoo ADP'!$D$2:$D2766))"),"-")</f>
        <v>-</v>
      </c>
      <c r="G2612" s="27">
        <v>2611.0</v>
      </c>
      <c r="H2612" s="8">
        <f t="shared" si="1"/>
        <v>0</v>
      </c>
    </row>
    <row r="2613">
      <c r="A2613" s="10">
        <v>2612.0</v>
      </c>
      <c r="B2613" s="11" t="s">
        <v>5451</v>
      </c>
      <c r="C2613" s="10" t="s">
        <v>17</v>
      </c>
      <c r="D2613" s="10" t="s">
        <v>85</v>
      </c>
      <c r="E2613" s="13" t="str">
        <f>IFERROR(__xludf.DUMMYFUNCTION("ifna(filter('Yahoo ADP'!$A$2:$A2766,'Yahoo ADP'!$B$2:$B2766=$B2613,$C2613='Yahoo ADP'!$C$2:$C2766,$D2613='Yahoo ADP'!$D$2:$D2766))"),"")</f>
        <v/>
      </c>
      <c r="F2613" s="13" t="str">
        <f>IFERROR(__xludf.DUMMYFUNCTION("ifna(filter('Yahoo ADP'!$E$2:$E2766,'Yahoo ADP'!$B$2:$B2766=$B2613,$C2613='Yahoo ADP'!$C$2:$C2766,$D2613='Yahoo ADP'!$D$2:$D2766))"),"")</f>
        <v/>
      </c>
      <c r="G2613" s="27">
        <v>2612.0</v>
      </c>
      <c r="H2613" s="8">
        <f t="shared" si="1"/>
        <v>0</v>
      </c>
    </row>
    <row r="2614">
      <c r="A2614" s="10">
        <v>2613.0</v>
      </c>
      <c r="B2614" s="11" t="s">
        <v>5452</v>
      </c>
      <c r="C2614" s="10" t="s">
        <v>77</v>
      </c>
      <c r="D2614" s="10" t="s">
        <v>140</v>
      </c>
      <c r="E2614" s="13" t="str">
        <f>IFERROR(__xludf.DUMMYFUNCTION("ifna(filter('Yahoo ADP'!$A$2:$A2766,'Yahoo ADP'!$B$2:$B2766=$B2614,$C2614='Yahoo ADP'!$C$2:$C2766,$D2614='Yahoo ADP'!$D$2:$D2766))"),"")</f>
        <v/>
      </c>
      <c r="F2614" s="13" t="str">
        <f>IFERROR(__xludf.DUMMYFUNCTION("ifna(filter('Yahoo ADP'!$E$2:$E2766,'Yahoo ADP'!$B$2:$B2766=$B2614,$C2614='Yahoo ADP'!$C$2:$C2766,$D2614='Yahoo ADP'!$D$2:$D2766))"),"-")</f>
        <v>-</v>
      </c>
      <c r="G2614" s="27">
        <v>2613.0</v>
      </c>
      <c r="H2614" s="8">
        <f t="shared" si="1"/>
        <v>0</v>
      </c>
    </row>
    <row r="2615">
      <c r="A2615" s="10">
        <v>2614.0</v>
      </c>
      <c r="B2615" s="11" t="s">
        <v>5453</v>
      </c>
      <c r="C2615" s="10" t="s">
        <v>77</v>
      </c>
      <c r="D2615" s="10" t="s">
        <v>120</v>
      </c>
      <c r="E2615" s="13" t="str">
        <f>IFERROR(__xludf.DUMMYFUNCTION("ifna(filter('Yahoo ADP'!$A$2:$A2766,'Yahoo ADP'!$B$2:$B2766=$B2615,$C2615='Yahoo ADP'!$C$2:$C2766,$D2615='Yahoo ADP'!$D$2:$D2766))"),"")</f>
        <v/>
      </c>
      <c r="F2615" s="13" t="str">
        <f>IFERROR(__xludf.DUMMYFUNCTION("ifna(filter('Yahoo ADP'!$E$2:$E2766,'Yahoo ADP'!$B$2:$B2766=$B2615,$C2615='Yahoo ADP'!$C$2:$C2766,$D2615='Yahoo ADP'!$D$2:$D2766))"),"-")</f>
        <v>-</v>
      </c>
      <c r="G2615" s="27">
        <v>2614.0</v>
      </c>
      <c r="H2615" s="8">
        <f t="shared" si="1"/>
        <v>0</v>
      </c>
    </row>
    <row r="2616">
      <c r="A2616" s="10">
        <v>2615.0</v>
      </c>
      <c r="B2616" s="11" t="s">
        <v>5454</v>
      </c>
      <c r="C2616" s="10" t="s">
        <v>55</v>
      </c>
      <c r="D2616" s="10" t="s">
        <v>113</v>
      </c>
      <c r="E2616" s="13" t="str">
        <f>IFERROR(__xludf.DUMMYFUNCTION("ifna(filter('Yahoo ADP'!$A$2:$A2766,'Yahoo ADP'!$B$2:$B2766=$B2616,$C2616='Yahoo ADP'!$C$2:$C2766,$D2616='Yahoo ADP'!$D$2:$D2766))"),"")</f>
        <v/>
      </c>
      <c r="F2616" s="13" t="str">
        <f>IFERROR(__xludf.DUMMYFUNCTION("ifna(filter('Yahoo ADP'!$E$2:$E2766,'Yahoo ADP'!$B$2:$B2766=$B2616,$C2616='Yahoo ADP'!$C$2:$C2766,$D2616='Yahoo ADP'!$D$2:$D2766))"),"-")</f>
        <v>-</v>
      </c>
      <c r="G2616" s="27">
        <v>2615.0</v>
      </c>
      <c r="H2616" s="8">
        <f t="shared" si="1"/>
        <v>0</v>
      </c>
    </row>
    <row r="2617">
      <c r="A2617" s="10">
        <v>2616.0</v>
      </c>
      <c r="B2617" s="11" t="s">
        <v>5455</v>
      </c>
      <c r="C2617" s="10" t="s">
        <v>14</v>
      </c>
      <c r="D2617" s="10" t="s">
        <v>73</v>
      </c>
      <c r="E2617" s="13" t="str">
        <f>IFERROR(__xludf.DUMMYFUNCTION("ifna(filter('Yahoo ADP'!$A$2:$A2766,'Yahoo ADP'!$B$2:$B2766=$B2617,$C2617='Yahoo ADP'!$C$2:$C2766,$D2617='Yahoo ADP'!$D$2:$D2766))"),"")</f>
        <v/>
      </c>
      <c r="F2617" s="13" t="str">
        <f>IFERROR(__xludf.DUMMYFUNCTION("ifna(filter('Yahoo ADP'!$E$2:$E2766,'Yahoo ADP'!$B$2:$B2766=$B2617,$C2617='Yahoo ADP'!$C$2:$C2766,$D2617='Yahoo ADP'!$D$2:$D2766))"),"-")</f>
        <v>-</v>
      </c>
      <c r="G2617" s="27">
        <v>2616.0</v>
      </c>
      <c r="H2617" s="8">
        <f t="shared" si="1"/>
        <v>0</v>
      </c>
    </row>
    <row r="2618">
      <c r="A2618" s="10">
        <v>2617.0</v>
      </c>
      <c r="B2618" s="11" t="s">
        <v>5456</v>
      </c>
      <c r="C2618" s="10" t="s">
        <v>11</v>
      </c>
      <c r="D2618" s="10" t="s">
        <v>73</v>
      </c>
      <c r="E2618" s="13" t="str">
        <f>IFERROR(__xludf.DUMMYFUNCTION("ifna(filter('Yahoo ADP'!$A$2:$A2766,'Yahoo ADP'!$B$2:$B2766=$B2618,$C2618='Yahoo ADP'!$C$2:$C2766,$D2618='Yahoo ADP'!$D$2:$D2766))"),"")</f>
        <v/>
      </c>
      <c r="F2618" s="13" t="str">
        <f>IFERROR(__xludf.DUMMYFUNCTION("ifna(filter('Yahoo ADP'!$E$2:$E2766,'Yahoo ADP'!$B$2:$B2766=$B2618,$C2618='Yahoo ADP'!$C$2:$C2766,$D2618='Yahoo ADP'!$D$2:$D2766))"),"-")</f>
        <v>-</v>
      </c>
      <c r="G2618" s="27">
        <v>2617.0</v>
      </c>
      <c r="H2618" s="8">
        <f t="shared" si="1"/>
        <v>0</v>
      </c>
    </row>
    <row r="2619">
      <c r="A2619" s="10">
        <v>2618.0</v>
      </c>
      <c r="B2619" s="11" t="s">
        <v>5457</v>
      </c>
      <c r="C2619" s="10" t="s">
        <v>39</v>
      </c>
      <c r="D2619" s="10" t="s">
        <v>52</v>
      </c>
      <c r="E2619" s="13" t="str">
        <f>IFERROR(__xludf.DUMMYFUNCTION("ifna(filter('Yahoo ADP'!$A$2:$A2766,'Yahoo ADP'!$B$2:$B2766=$B2619,$C2619='Yahoo ADP'!$C$2:$C2766,$D2619='Yahoo ADP'!$D$2:$D2766))"),"")</f>
        <v/>
      </c>
      <c r="F2619" s="13" t="str">
        <f>IFERROR(__xludf.DUMMYFUNCTION("ifna(filter('Yahoo ADP'!$E$2:$E2766,'Yahoo ADP'!$B$2:$B2766=$B2619,$C2619='Yahoo ADP'!$C$2:$C2766,$D2619='Yahoo ADP'!$D$2:$D2766))"),"-")</f>
        <v>-</v>
      </c>
      <c r="G2619" s="27">
        <v>2618.0</v>
      </c>
      <c r="H2619" s="8">
        <f t="shared" si="1"/>
        <v>0</v>
      </c>
    </row>
    <row r="2620">
      <c r="A2620" s="10">
        <v>2619.0</v>
      </c>
      <c r="B2620" s="11" t="s">
        <v>5458</v>
      </c>
      <c r="C2620" s="10" t="s">
        <v>48</v>
      </c>
      <c r="D2620" s="10" t="s">
        <v>12</v>
      </c>
      <c r="E2620" s="13" t="str">
        <f>IFERROR(__xludf.DUMMYFUNCTION("ifna(filter('Yahoo ADP'!$A$2:$A2766,'Yahoo ADP'!$B$2:$B2766=$B2620,$C2620='Yahoo ADP'!$C$2:$C2766,$D2620='Yahoo ADP'!$D$2:$D2766))"),"")</f>
        <v/>
      </c>
      <c r="F2620" s="13" t="str">
        <f>IFERROR(__xludf.DUMMYFUNCTION("ifna(filter('Yahoo ADP'!$E$2:$E2766,'Yahoo ADP'!$B$2:$B2766=$B2620,$C2620='Yahoo ADP'!$C$2:$C2766,$D2620='Yahoo ADP'!$D$2:$D2766))"),"-")</f>
        <v>-</v>
      </c>
      <c r="G2620" s="27">
        <v>2619.0</v>
      </c>
      <c r="H2620" s="8">
        <f t="shared" si="1"/>
        <v>0</v>
      </c>
    </row>
    <row r="2621">
      <c r="A2621" s="10">
        <v>2620.0</v>
      </c>
      <c r="B2621" s="11" t="s">
        <v>5459</v>
      </c>
      <c r="C2621" s="10" t="s">
        <v>2717</v>
      </c>
      <c r="D2621" s="10" t="s">
        <v>122</v>
      </c>
      <c r="E2621" s="13" t="str">
        <f>IFERROR(__xludf.DUMMYFUNCTION("ifna(filter('Yahoo ADP'!$A$2:$A2766,'Yahoo ADP'!$B$2:$B2766=$B2621,$C2621='Yahoo ADP'!$C$2:$C2766,$D2621='Yahoo ADP'!$D$2:$D2766))"),"")</f>
        <v/>
      </c>
      <c r="F2621" s="13" t="str">
        <f>IFERROR(__xludf.DUMMYFUNCTION("ifna(filter('Yahoo ADP'!$E$2:$E2766,'Yahoo ADP'!$B$2:$B2766=$B2621,$C2621='Yahoo ADP'!$C$2:$C2766,$D2621='Yahoo ADP'!$D$2:$D2766))"),"-")</f>
        <v>-</v>
      </c>
      <c r="G2621" s="27">
        <v>2620.0</v>
      </c>
      <c r="H2621" s="8">
        <f t="shared" si="1"/>
        <v>0</v>
      </c>
    </row>
    <row r="2622">
      <c r="A2622" s="10">
        <v>2621.0</v>
      </c>
      <c r="B2622" s="11" t="s">
        <v>5460</v>
      </c>
      <c r="C2622" s="10" t="s">
        <v>14</v>
      </c>
      <c r="D2622" s="10" t="s">
        <v>120</v>
      </c>
      <c r="E2622" s="13" t="str">
        <f>IFERROR(__xludf.DUMMYFUNCTION("ifna(filter('Yahoo ADP'!$A$2:$A2766,'Yahoo ADP'!$B$2:$B2766=$B2622,$C2622='Yahoo ADP'!$C$2:$C2766,$D2622='Yahoo ADP'!$D$2:$D2766))"),"")</f>
        <v/>
      </c>
      <c r="F2622" s="13" t="str">
        <f>IFERROR(__xludf.DUMMYFUNCTION("ifna(filter('Yahoo ADP'!$E$2:$E2766,'Yahoo ADP'!$B$2:$B2766=$B2622,$C2622='Yahoo ADP'!$C$2:$C2766,$D2622='Yahoo ADP'!$D$2:$D2766))"),"-")</f>
        <v>-</v>
      </c>
      <c r="G2622" s="27">
        <v>2621.0</v>
      </c>
      <c r="H2622" s="8">
        <f t="shared" si="1"/>
        <v>0</v>
      </c>
    </row>
    <row r="2623">
      <c r="A2623" s="10">
        <v>2622.0</v>
      </c>
      <c r="B2623" s="11" t="s">
        <v>5461</v>
      </c>
      <c r="C2623" s="10" t="s">
        <v>77</v>
      </c>
      <c r="D2623" s="10" t="s">
        <v>27</v>
      </c>
      <c r="E2623" s="13" t="str">
        <f>IFERROR(__xludf.DUMMYFUNCTION("ifna(filter('Yahoo ADP'!$A$2:$A2766,'Yahoo ADP'!$B$2:$B2766=$B2623,$C2623='Yahoo ADP'!$C$2:$C2766,$D2623='Yahoo ADP'!$D$2:$D2766))"),"")</f>
        <v/>
      </c>
      <c r="F2623" s="13" t="str">
        <f>IFERROR(__xludf.DUMMYFUNCTION("ifna(filter('Yahoo ADP'!$E$2:$E2766,'Yahoo ADP'!$B$2:$B2766=$B2623,$C2623='Yahoo ADP'!$C$2:$C2766,$D2623='Yahoo ADP'!$D$2:$D2766))"),"-")</f>
        <v>-</v>
      </c>
      <c r="G2623" s="27">
        <v>2622.0</v>
      </c>
      <c r="H2623" s="8">
        <f t="shared" si="1"/>
        <v>0</v>
      </c>
    </row>
    <row r="2624">
      <c r="A2624" s="10">
        <v>2623.0</v>
      </c>
      <c r="B2624" s="11" t="s">
        <v>5462</v>
      </c>
      <c r="C2624" s="10" t="s">
        <v>48</v>
      </c>
      <c r="D2624" s="10" t="s">
        <v>99</v>
      </c>
      <c r="E2624" s="13" t="str">
        <f>IFERROR(__xludf.DUMMYFUNCTION("ifna(filter('Yahoo ADP'!$A$2:$A2766,'Yahoo ADP'!$B$2:$B2766=$B2624,$C2624='Yahoo ADP'!$C$2:$C2766,$D2624='Yahoo ADP'!$D$2:$D2766))"),"")</f>
        <v/>
      </c>
      <c r="F2624" s="13" t="str">
        <f>IFERROR(__xludf.DUMMYFUNCTION("ifna(filter('Yahoo ADP'!$E$2:$E2766,'Yahoo ADP'!$B$2:$B2766=$B2624,$C2624='Yahoo ADP'!$C$2:$C2766,$D2624='Yahoo ADP'!$D$2:$D2766))"),"-")</f>
        <v>-</v>
      </c>
      <c r="G2624" s="27">
        <v>2623.0</v>
      </c>
      <c r="H2624" s="8">
        <f t="shared" si="1"/>
        <v>0</v>
      </c>
    </row>
    <row r="2625">
      <c r="A2625" s="10">
        <v>2624.0</v>
      </c>
      <c r="B2625" s="11" t="s">
        <v>5463</v>
      </c>
      <c r="C2625" s="10" t="s">
        <v>14</v>
      </c>
      <c r="D2625" s="10" t="s">
        <v>120</v>
      </c>
      <c r="E2625" s="13" t="str">
        <f>IFERROR(__xludf.DUMMYFUNCTION("ifna(filter('Yahoo ADP'!$A$2:$A2766,'Yahoo ADP'!$B$2:$B2766=$B2625,$C2625='Yahoo ADP'!$C$2:$C2766,$D2625='Yahoo ADP'!$D$2:$D2766))"),"")</f>
        <v/>
      </c>
      <c r="F2625" s="13" t="str">
        <f>IFERROR(__xludf.DUMMYFUNCTION("ifna(filter('Yahoo ADP'!$E$2:$E2766,'Yahoo ADP'!$B$2:$B2766=$B2625,$C2625='Yahoo ADP'!$C$2:$C2766,$D2625='Yahoo ADP'!$D$2:$D2766))"),"-")</f>
        <v>-</v>
      </c>
      <c r="G2625" s="27">
        <v>2624.0</v>
      </c>
      <c r="H2625" s="8">
        <f t="shared" si="1"/>
        <v>0</v>
      </c>
    </row>
    <row r="2626">
      <c r="A2626" s="10">
        <v>2625.0</v>
      </c>
      <c r="B2626" s="11" t="s">
        <v>5464</v>
      </c>
      <c r="C2626" s="10" t="s">
        <v>20</v>
      </c>
      <c r="D2626" s="10" t="s">
        <v>206</v>
      </c>
      <c r="E2626" s="13" t="str">
        <f>IFERROR(__xludf.DUMMYFUNCTION("ifna(filter('Yahoo ADP'!$A$2:$A2766,'Yahoo ADP'!$B$2:$B2766=$B2626,$C2626='Yahoo ADP'!$C$2:$C2766,$D2626='Yahoo ADP'!$D$2:$D2766))"),"")</f>
        <v/>
      </c>
      <c r="F2626" s="13" t="str">
        <f>IFERROR(__xludf.DUMMYFUNCTION("ifna(filter('Yahoo ADP'!$E$2:$E2766,'Yahoo ADP'!$B$2:$B2766=$B2626,$C2626='Yahoo ADP'!$C$2:$C2766,$D2626='Yahoo ADP'!$D$2:$D2766))"),"-")</f>
        <v>-</v>
      </c>
      <c r="G2626" s="27">
        <v>2625.0</v>
      </c>
      <c r="H2626" s="8">
        <f t="shared" si="1"/>
        <v>0</v>
      </c>
    </row>
    <row r="2627">
      <c r="A2627" s="10">
        <v>2626.0</v>
      </c>
      <c r="B2627" s="11" t="s">
        <v>5465</v>
      </c>
      <c r="C2627" s="10" t="s">
        <v>14</v>
      </c>
      <c r="D2627" s="10" t="s">
        <v>18</v>
      </c>
      <c r="E2627" s="13" t="str">
        <f>IFERROR(__xludf.DUMMYFUNCTION("ifna(filter('Yahoo ADP'!$A$2:$A2766,'Yahoo ADP'!$B$2:$B2766=$B2627,$C2627='Yahoo ADP'!$C$2:$C2766,$D2627='Yahoo ADP'!$D$2:$D2766))"),"")</f>
        <v/>
      </c>
      <c r="F2627" s="13" t="str">
        <f>IFERROR(__xludf.DUMMYFUNCTION("ifna(filter('Yahoo ADP'!$E$2:$E2766,'Yahoo ADP'!$B$2:$B2766=$B2627,$C2627='Yahoo ADP'!$C$2:$C2766,$D2627='Yahoo ADP'!$D$2:$D2766))"),"-")</f>
        <v>-</v>
      </c>
      <c r="G2627" s="27">
        <v>2626.0</v>
      </c>
      <c r="H2627" s="8">
        <f t="shared" si="1"/>
        <v>0</v>
      </c>
    </row>
    <row r="2628">
      <c r="A2628" s="10">
        <v>2627.0</v>
      </c>
      <c r="B2628" s="11" t="s">
        <v>5466</v>
      </c>
      <c r="C2628" s="10" t="s">
        <v>77</v>
      </c>
      <c r="D2628" s="10" t="s">
        <v>99</v>
      </c>
      <c r="E2628" s="13" t="str">
        <f>IFERROR(__xludf.DUMMYFUNCTION("ifna(filter('Yahoo ADP'!$A$2:$A2766,'Yahoo ADP'!$B$2:$B2766=$B2628,$C2628='Yahoo ADP'!$C$2:$C2766,$D2628='Yahoo ADP'!$D$2:$D2766))"),"")</f>
        <v/>
      </c>
      <c r="F2628" s="13" t="str">
        <f>IFERROR(__xludf.DUMMYFUNCTION("ifna(filter('Yahoo ADP'!$E$2:$E2766,'Yahoo ADP'!$B$2:$B2766=$B2628,$C2628='Yahoo ADP'!$C$2:$C2766,$D2628='Yahoo ADP'!$D$2:$D2766))"),"-")</f>
        <v>-</v>
      </c>
      <c r="G2628" s="27">
        <v>2627.0</v>
      </c>
      <c r="H2628" s="8">
        <f t="shared" si="1"/>
        <v>0</v>
      </c>
    </row>
    <row r="2629">
      <c r="A2629" s="10">
        <v>2628.0</v>
      </c>
      <c r="B2629" s="11" t="s">
        <v>5467</v>
      </c>
      <c r="C2629" s="10" t="s">
        <v>17</v>
      </c>
      <c r="D2629" s="10" t="s">
        <v>52</v>
      </c>
      <c r="E2629" s="13" t="str">
        <f>IFERROR(__xludf.DUMMYFUNCTION("ifna(filter('Yahoo ADP'!$A$2:$A2766,'Yahoo ADP'!$B$2:$B2766=$B2629,$C2629='Yahoo ADP'!$C$2:$C2766,$D2629='Yahoo ADP'!$D$2:$D2766))"),"")</f>
        <v/>
      </c>
      <c r="F2629" s="13" t="str">
        <f>IFERROR(__xludf.DUMMYFUNCTION("ifna(filter('Yahoo ADP'!$E$2:$E2766,'Yahoo ADP'!$B$2:$B2766=$B2629,$C2629='Yahoo ADP'!$C$2:$C2766,$D2629='Yahoo ADP'!$D$2:$D2766))"),"-")</f>
        <v>-</v>
      </c>
      <c r="G2629" s="27">
        <v>2628.0</v>
      </c>
      <c r="H2629" s="8">
        <f t="shared" si="1"/>
        <v>0</v>
      </c>
    </row>
    <row r="2630">
      <c r="A2630" s="10">
        <v>2629.0</v>
      </c>
      <c r="B2630" s="11" t="s">
        <v>5468</v>
      </c>
      <c r="C2630" s="10" t="s">
        <v>39</v>
      </c>
      <c r="D2630" s="10" t="s">
        <v>9</v>
      </c>
      <c r="E2630" s="13" t="str">
        <f>IFERROR(__xludf.DUMMYFUNCTION("ifna(filter('Yahoo ADP'!$A$2:$A2766,'Yahoo ADP'!$B$2:$B2766=$B2630,$C2630='Yahoo ADP'!$C$2:$C2766,$D2630='Yahoo ADP'!$D$2:$D2766))"),"")</f>
        <v/>
      </c>
      <c r="F2630" s="13" t="str">
        <f>IFERROR(__xludf.DUMMYFUNCTION("ifna(filter('Yahoo ADP'!$E$2:$E2766,'Yahoo ADP'!$B$2:$B2766=$B2630,$C2630='Yahoo ADP'!$C$2:$C2766,$D2630='Yahoo ADP'!$D$2:$D2766))"),"-")</f>
        <v>-</v>
      </c>
      <c r="G2630" s="27">
        <v>2629.0</v>
      </c>
      <c r="H2630" s="8">
        <f t="shared" si="1"/>
        <v>0</v>
      </c>
    </row>
    <row r="2631">
      <c r="A2631" s="10">
        <v>2630.0</v>
      </c>
      <c r="B2631" s="11" t="s">
        <v>5469</v>
      </c>
      <c r="C2631" s="10" t="s">
        <v>77</v>
      </c>
      <c r="D2631" s="10" t="s">
        <v>90</v>
      </c>
      <c r="E2631" s="13" t="str">
        <f>IFERROR(__xludf.DUMMYFUNCTION("ifna(filter('Yahoo ADP'!$A$2:$A2766,'Yahoo ADP'!$B$2:$B2766=$B2631,$C2631='Yahoo ADP'!$C$2:$C2766,$D2631='Yahoo ADP'!$D$2:$D2766))"),"")</f>
        <v/>
      </c>
      <c r="F2631" s="13" t="str">
        <f>IFERROR(__xludf.DUMMYFUNCTION("ifna(filter('Yahoo ADP'!$E$2:$E2766,'Yahoo ADP'!$B$2:$B2766=$B2631,$C2631='Yahoo ADP'!$C$2:$C2766,$D2631='Yahoo ADP'!$D$2:$D2766))"),"-")</f>
        <v>-</v>
      </c>
      <c r="G2631" s="27">
        <v>2630.0</v>
      </c>
      <c r="H2631" s="8">
        <f t="shared" si="1"/>
        <v>0</v>
      </c>
    </row>
    <row r="2632">
      <c r="A2632" s="10">
        <v>2631.0</v>
      </c>
      <c r="B2632" s="11" t="s">
        <v>5470</v>
      </c>
      <c r="C2632" s="10" t="s">
        <v>20</v>
      </c>
      <c r="D2632" s="10" t="s">
        <v>67</v>
      </c>
      <c r="E2632" s="13" t="str">
        <f>IFERROR(__xludf.DUMMYFUNCTION("ifna(filter('Yahoo ADP'!$A$2:$A2766,'Yahoo ADP'!$B$2:$B2766=$B2632,$C2632='Yahoo ADP'!$C$2:$C2766,$D2632='Yahoo ADP'!$D$2:$D2766))"),"")</f>
        <v/>
      </c>
      <c r="F2632" s="13" t="str">
        <f>IFERROR(__xludf.DUMMYFUNCTION("ifna(filter('Yahoo ADP'!$E$2:$E2766,'Yahoo ADP'!$B$2:$B2766=$B2632,$C2632='Yahoo ADP'!$C$2:$C2766,$D2632='Yahoo ADP'!$D$2:$D2766))"),"-")</f>
        <v>-</v>
      </c>
      <c r="G2632" s="27">
        <v>2631.0</v>
      </c>
      <c r="H2632" s="8">
        <f t="shared" si="1"/>
        <v>0</v>
      </c>
    </row>
    <row r="2633">
      <c r="A2633" s="10">
        <v>2632.0</v>
      </c>
      <c r="B2633" s="11" t="s">
        <v>5471</v>
      </c>
      <c r="C2633" s="10" t="s">
        <v>14</v>
      </c>
      <c r="D2633" s="10" t="s">
        <v>46</v>
      </c>
      <c r="E2633" s="13" t="str">
        <f>IFERROR(__xludf.DUMMYFUNCTION("ifna(filter('Yahoo ADP'!$A$2:$A2766,'Yahoo ADP'!$B$2:$B2766=$B2633,$C2633='Yahoo ADP'!$C$2:$C2766,$D2633='Yahoo ADP'!$D$2:$D2766))"),"")</f>
        <v/>
      </c>
      <c r="F2633" s="13" t="str">
        <f>IFERROR(__xludf.DUMMYFUNCTION("ifna(filter('Yahoo ADP'!$E$2:$E2766,'Yahoo ADP'!$B$2:$B2766=$B2633,$C2633='Yahoo ADP'!$C$2:$C2766,$D2633='Yahoo ADP'!$D$2:$D2766))"),"-")</f>
        <v>-</v>
      </c>
      <c r="G2633" s="27">
        <v>2632.0</v>
      </c>
      <c r="H2633" s="8">
        <f t="shared" si="1"/>
        <v>0</v>
      </c>
    </row>
    <row r="2634">
      <c r="A2634" s="10">
        <v>2633.0</v>
      </c>
      <c r="B2634" s="11" t="s">
        <v>5472</v>
      </c>
      <c r="C2634" s="10" t="s">
        <v>39</v>
      </c>
      <c r="D2634" s="10" t="s">
        <v>9</v>
      </c>
      <c r="E2634" s="13" t="str">
        <f>IFERROR(__xludf.DUMMYFUNCTION("ifna(filter('Yahoo ADP'!$A$2:$A2766,'Yahoo ADP'!$B$2:$B2766=$B2634,$C2634='Yahoo ADP'!$C$2:$C2766,$D2634='Yahoo ADP'!$D$2:$D2766))"),"")</f>
        <v/>
      </c>
      <c r="F2634" s="13" t="str">
        <f>IFERROR(__xludf.DUMMYFUNCTION("ifna(filter('Yahoo ADP'!$E$2:$E2766,'Yahoo ADP'!$B$2:$B2766=$B2634,$C2634='Yahoo ADP'!$C$2:$C2766,$D2634='Yahoo ADP'!$D$2:$D2766))"),"-")</f>
        <v>-</v>
      </c>
      <c r="G2634" s="27">
        <v>2633.0</v>
      </c>
      <c r="H2634" s="8">
        <f t="shared" si="1"/>
        <v>0</v>
      </c>
    </row>
    <row r="2635">
      <c r="A2635" s="10">
        <v>2634.0</v>
      </c>
      <c r="B2635" s="11" t="s">
        <v>5473</v>
      </c>
      <c r="C2635" s="10" t="s">
        <v>470</v>
      </c>
      <c r="D2635" s="10" t="s">
        <v>18</v>
      </c>
      <c r="E2635" s="13" t="str">
        <f>IFERROR(__xludf.DUMMYFUNCTION("ifna(filter('Yahoo ADP'!$A$2:$A2766,'Yahoo ADP'!$B$2:$B2766=$B2635,$C2635='Yahoo ADP'!$C$2:$C2766,$D2635='Yahoo ADP'!$D$2:$D2766))"),"")</f>
        <v/>
      </c>
      <c r="F2635" s="13" t="str">
        <f>IFERROR(__xludf.DUMMYFUNCTION("ifna(filter('Yahoo ADP'!$E$2:$E2766,'Yahoo ADP'!$B$2:$B2766=$B2635,$C2635='Yahoo ADP'!$C$2:$C2766,$D2635='Yahoo ADP'!$D$2:$D2766))"),"-")</f>
        <v>-</v>
      </c>
      <c r="G2635" s="27">
        <v>2634.0</v>
      </c>
      <c r="H2635" s="8">
        <f t="shared" si="1"/>
        <v>0</v>
      </c>
    </row>
    <row r="2636">
      <c r="A2636" s="10">
        <v>2635.0</v>
      </c>
      <c r="B2636" s="11" t="s">
        <v>5474</v>
      </c>
      <c r="C2636" s="10" t="s">
        <v>48</v>
      </c>
      <c r="D2636" s="10" t="s">
        <v>9</v>
      </c>
      <c r="E2636" s="13" t="str">
        <f>IFERROR(__xludf.DUMMYFUNCTION("ifna(filter('Yahoo ADP'!$A$2:$A2766,'Yahoo ADP'!$B$2:$B2766=$B2636,$C2636='Yahoo ADP'!$C$2:$C2766,$D2636='Yahoo ADP'!$D$2:$D2766))"),"")</f>
        <v/>
      </c>
      <c r="F2636" s="13" t="str">
        <f>IFERROR(__xludf.DUMMYFUNCTION("ifna(filter('Yahoo ADP'!$E$2:$E2766,'Yahoo ADP'!$B$2:$B2766=$B2636,$C2636='Yahoo ADP'!$C$2:$C2766,$D2636='Yahoo ADP'!$D$2:$D2766))"),"-")</f>
        <v>-</v>
      </c>
      <c r="G2636" s="27">
        <v>2635.0</v>
      </c>
      <c r="H2636" s="8">
        <f t="shared" si="1"/>
        <v>0</v>
      </c>
    </row>
    <row r="2637">
      <c r="A2637" s="10">
        <v>2636.0</v>
      </c>
      <c r="B2637" s="11" t="s">
        <v>5475</v>
      </c>
      <c r="C2637" s="10" t="s">
        <v>14</v>
      </c>
      <c r="D2637" s="10" t="s">
        <v>85</v>
      </c>
      <c r="E2637" s="13" t="str">
        <f>IFERROR(__xludf.DUMMYFUNCTION("ifna(filter('Yahoo ADP'!$A$2:$A2766,'Yahoo ADP'!$B$2:$B2766=$B2637,$C2637='Yahoo ADP'!$C$2:$C2766,$D2637='Yahoo ADP'!$D$2:$D2766))"),"")</f>
        <v/>
      </c>
      <c r="F2637" s="13" t="str">
        <f>IFERROR(__xludf.DUMMYFUNCTION("ifna(filter('Yahoo ADP'!$E$2:$E2766,'Yahoo ADP'!$B$2:$B2766=$B2637,$C2637='Yahoo ADP'!$C$2:$C2766,$D2637='Yahoo ADP'!$D$2:$D2766))"),"-")</f>
        <v>-</v>
      </c>
      <c r="G2637" s="27">
        <v>2636.0</v>
      </c>
      <c r="H2637" s="8">
        <f t="shared" si="1"/>
        <v>0</v>
      </c>
    </row>
    <row r="2638">
      <c r="A2638" s="10">
        <v>2637.0</v>
      </c>
      <c r="B2638" s="11" t="s">
        <v>5476</v>
      </c>
      <c r="C2638" s="10" t="s">
        <v>11</v>
      </c>
      <c r="D2638" s="10" t="s">
        <v>27</v>
      </c>
      <c r="E2638" s="13" t="str">
        <f>IFERROR(__xludf.DUMMYFUNCTION("ifna(filter('Yahoo ADP'!$A$2:$A2766,'Yahoo ADP'!$B$2:$B2766=$B2638,$C2638='Yahoo ADP'!$C$2:$C2766,$D2638='Yahoo ADP'!$D$2:$D2766))"),"")</f>
        <v/>
      </c>
      <c r="F2638" s="13" t="str">
        <f>IFERROR(__xludf.DUMMYFUNCTION("ifna(filter('Yahoo ADP'!$E$2:$E2766,'Yahoo ADP'!$B$2:$B2766=$B2638,$C2638='Yahoo ADP'!$C$2:$C2766,$D2638='Yahoo ADP'!$D$2:$D2766))"),"-")</f>
        <v>-</v>
      </c>
      <c r="G2638" s="27">
        <v>2637.0</v>
      </c>
      <c r="H2638" s="8">
        <f t="shared" si="1"/>
        <v>0</v>
      </c>
    </row>
    <row r="2639">
      <c r="A2639" s="10">
        <v>2638.0</v>
      </c>
      <c r="B2639" s="11" t="s">
        <v>5477</v>
      </c>
      <c r="C2639" s="10" t="s">
        <v>14</v>
      </c>
      <c r="D2639" s="10" t="s">
        <v>15</v>
      </c>
      <c r="E2639" s="13" t="str">
        <f>IFERROR(__xludf.DUMMYFUNCTION("ifna(filter('Yahoo ADP'!$A$2:$A2766,'Yahoo ADP'!$B$2:$B2766=$B2639,$C2639='Yahoo ADP'!$C$2:$C2766,$D2639='Yahoo ADP'!$D$2:$D2766))"),"")</f>
        <v/>
      </c>
      <c r="F2639" s="13" t="str">
        <f>IFERROR(__xludf.DUMMYFUNCTION("ifna(filter('Yahoo ADP'!$E$2:$E2766,'Yahoo ADP'!$B$2:$B2766=$B2639,$C2639='Yahoo ADP'!$C$2:$C2766,$D2639='Yahoo ADP'!$D$2:$D2766))"),"-")</f>
        <v>-</v>
      </c>
      <c r="G2639" s="27">
        <v>2638.0</v>
      </c>
      <c r="H2639" s="8">
        <f t="shared" si="1"/>
        <v>0</v>
      </c>
    </row>
    <row r="2640">
      <c r="A2640" s="10">
        <v>2639.0</v>
      </c>
      <c r="B2640" s="11" t="s">
        <v>5478</v>
      </c>
      <c r="C2640" s="10" t="s">
        <v>11</v>
      </c>
      <c r="D2640" s="10" t="s">
        <v>120</v>
      </c>
      <c r="E2640" s="13" t="str">
        <f>IFERROR(__xludf.DUMMYFUNCTION("ifna(filter('Yahoo ADP'!$A$2:$A2766,'Yahoo ADP'!$B$2:$B2766=$B2640,$C2640='Yahoo ADP'!$C$2:$C2766,$D2640='Yahoo ADP'!$D$2:$D2766))"),"")</f>
        <v/>
      </c>
      <c r="F2640" s="13" t="str">
        <f>IFERROR(__xludf.DUMMYFUNCTION("ifna(filter('Yahoo ADP'!$E$2:$E2766,'Yahoo ADP'!$B$2:$B2766=$B2640,$C2640='Yahoo ADP'!$C$2:$C2766,$D2640='Yahoo ADP'!$D$2:$D2766))"),"-")</f>
        <v>-</v>
      </c>
      <c r="G2640" s="27">
        <v>2639.0</v>
      </c>
      <c r="H2640" s="8">
        <f t="shared" si="1"/>
        <v>0</v>
      </c>
    </row>
    <row r="2641">
      <c r="A2641" s="10">
        <v>2640.0</v>
      </c>
      <c r="B2641" s="11" t="s">
        <v>5479</v>
      </c>
      <c r="C2641" s="10" t="s">
        <v>14</v>
      </c>
      <c r="D2641" s="10" t="s">
        <v>113</v>
      </c>
      <c r="E2641" s="13" t="str">
        <f>IFERROR(__xludf.DUMMYFUNCTION("ifna(filter('Yahoo ADP'!$A$2:$A2766,'Yahoo ADP'!$B$2:$B2766=$B2641,$C2641='Yahoo ADP'!$C$2:$C2766,$D2641='Yahoo ADP'!$D$2:$D2766))"),"")</f>
        <v/>
      </c>
      <c r="F2641" s="13" t="str">
        <f>IFERROR(__xludf.DUMMYFUNCTION("ifna(filter('Yahoo ADP'!$E$2:$E2766,'Yahoo ADP'!$B$2:$B2766=$B2641,$C2641='Yahoo ADP'!$C$2:$C2766,$D2641='Yahoo ADP'!$D$2:$D2766))"),"-")</f>
        <v>-</v>
      </c>
      <c r="G2641" s="27">
        <v>2640.0</v>
      </c>
      <c r="H2641" s="8">
        <f t="shared" si="1"/>
        <v>0</v>
      </c>
    </row>
    <row r="2642">
      <c r="A2642" s="10">
        <v>2641.0</v>
      </c>
      <c r="B2642" s="11" t="s">
        <v>5480</v>
      </c>
      <c r="C2642" s="10" t="s">
        <v>17</v>
      </c>
      <c r="D2642" s="10" t="s">
        <v>27</v>
      </c>
      <c r="E2642" s="13" t="str">
        <f>IFERROR(__xludf.DUMMYFUNCTION("ifna(filter('Yahoo ADP'!$A$2:$A2766,'Yahoo ADP'!$B$2:$B2766=$B2642,$C2642='Yahoo ADP'!$C$2:$C2766,$D2642='Yahoo ADP'!$D$2:$D2766))"),"")</f>
        <v/>
      </c>
      <c r="F2642" s="13" t="str">
        <f>IFERROR(__xludf.DUMMYFUNCTION("ifna(filter('Yahoo ADP'!$E$2:$E2766,'Yahoo ADP'!$B$2:$B2766=$B2642,$C2642='Yahoo ADP'!$C$2:$C2766,$D2642='Yahoo ADP'!$D$2:$D2766))"),"-")</f>
        <v>-</v>
      </c>
      <c r="G2642" s="27">
        <v>2641.0</v>
      </c>
      <c r="H2642" s="8">
        <f t="shared" si="1"/>
        <v>0</v>
      </c>
    </row>
    <row r="2643">
      <c r="A2643" s="10">
        <v>2642.0</v>
      </c>
      <c r="B2643" s="11" t="s">
        <v>5481</v>
      </c>
      <c r="C2643" s="10" t="s">
        <v>77</v>
      </c>
      <c r="D2643" s="10" t="s">
        <v>206</v>
      </c>
      <c r="E2643" s="13" t="str">
        <f>IFERROR(__xludf.DUMMYFUNCTION("ifna(filter('Yahoo ADP'!$A$2:$A2766,'Yahoo ADP'!$B$2:$B2766=$B2643,$C2643='Yahoo ADP'!$C$2:$C2766,$D2643='Yahoo ADP'!$D$2:$D2766))"),"")</f>
        <v/>
      </c>
      <c r="F2643" s="13" t="str">
        <f>IFERROR(__xludf.DUMMYFUNCTION("ifna(filter('Yahoo ADP'!$E$2:$E2766,'Yahoo ADP'!$B$2:$B2766=$B2643,$C2643='Yahoo ADP'!$C$2:$C2766,$D2643='Yahoo ADP'!$D$2:$D2766))"),"-")</f>
        <v>-</v>
      </c>
      <c r="G2643" s="27">
        <v>2642.0</v>
      </c>
      <c r="H2643" s="8">
        <f t="shared" si="1"/>
        <v>0</v>
      </c>
    </row>
    <row r="2644">
      <c r="A2644" s="10">
        <v>2643.0</v>
      </c>
      <c r="B2644" s="11" t="s">
        <v>5482</v>
      </c>
      <c r="C2644" s="10" t="s">
        <v>39</v>
      </c>
      <c r="D2644" s="10" t="s">
        <v>46</v>
      </c>
      <c r="E2644" s="13" t="str">
        <f>IFERROR(__xludf.DUMMYFUNCTION("ifna(filter('Yahoo ADP'!$A$2:$A2766,'Yahoo ADP'!$B$2:$B2766=$B2644,$C2644='Yahoo ADP'!$C$2:$C2766,$D2644='Yahoo ADP'!$D$2:$D2766))"),"")</f>
        <v/>
      </c>
      <c r="F2644" s="13" t="str">
        <f>IFERROR(__xludf.DUMMYFUNCTION("ifna(filter('Yahoo ADP'!$E$2:$E2766,'Yahoo ADP'!$B$2:$B2766=$B2644,$C2644='Yahoo ADP'!$C$2:$C2766,$D2644='Yahoo ADP'!$D$2:$D2766))"),"-")</f>
        <v>-</v>
      </c>
      <c r="G2644" s="27">
        <v>2643.0</v>
      </c>
      <c r="H2644" s="8">
        <f t="shared" si="1"/>
        <v>0</v>
      </c>
    </row>
    <row r="2645">
      <c r="A2645" s="10">
        <v>2644.0</v>
      </c>
      <c r="B2645" s="11" t="s">
        <v>5483</v>
      </c>
      <c r="C2645" s="10" t="s">
        <v>48</v>
      </c>
      <c r="D2645" s="10" t="s">
        <v>42</v>
      </c>
      <c r="E2645" s="13" t="str">
        <f>IFERROR(__xludf.DUMMYFUNCTION("ifna(filter('Yahoo ADP'!$A$2:$A2766,'Yahoo ADP'!$B$2:$B2766=$B2645,$C2645='Yahoo ADP'!$C$2:$C2766,$D2645='Yahoo ADP'!$D$2:$D2766))"),"")</f>
        <v/>
      </c>
      <c r="F2645" s="13" t="str">
        <f>IFERROR(__xludf.DUMMYFUNCTION("ifna(filter('Yahoo ADP'!$E$2:$E2766,'Yahoo ADP'!$B$2:$B2766=$B2645,$C2645='Yahoo ADP'!$C$2:$C2766,$D2645='Yahoo ADP'!$D$2:$D2766))"),"-")</f>
        <v>-</v>
      </c>
      <c r="G2645" s="27">
        <v>2644.0</v>
      </c>
      <c r="H2645" s="8">
        <f t="shared" si="1"/>
        <v>0</v>
      </c>
    </row>
    <row r="2646">
      <c r="A2646" s="10">
        <v>2645.0</v>
      </c>
      <c r="B2646" s="11" t="s">
        <v>5484</v>
      </c>
      <c r="C2646" s="10" t="s">
        <v>77</v>
      </c>
      <c r="D2646" s="10" t="s">
        <v>113</v>
      </c>
      <c r="E2646" s="13" t="str">
        <f>IFERROR(__xludf.DUMMYFUNCTION("ifna(filter('Yahoo ADP'!$A$2:$A2766,'Yahoo ADP'!$B$2:$B2766=$B2646,$C2646='Yahoo ADP'!$C$2:$C2766,$D2646='Yahoo ADP'!$D$2:$D2766))"),"")</f>
        <v/>
      </c>
      <c r="F2646" s="13" t="str">
        <f>IFERROR(__xludf.DUMMYFUNCTION("ifna(filter('Yahoo ADP'!$E$2:$E2766,'Yahoo ADP'!$B$2:$B2766=$B2646,$C2646='Yahoo ADP'!$C$2:$C2766,$D2646='Yahoo ADP'!$D$2:$D2766))"),"-")</f>
        <v>-</v>
      </c>
      <c r="G2646" s="27">
        <v>2645.0</v>
      </c>
      <c r="H2646" s="8">
        <f t="shared" si="1"/>
        <v>0</v>
      </c>
    </row>
    <row r="2647">
      <c r="A2647" s="10">
        <v>2646.0</v>
      </c>
      <c r="B2647" s="11" t="s">
        <v>5082</v>
      </c>
      <c r="C2647" s="10" t="s">
        <v>39</v>
      </c>
      <c r="D2647" s="10" t="s">
        <v>36</v>
      </c>
      <c r="E2647" s="13" t="str">
        <f>IFERROR(__xludf.DUMMYFUNCTION("ifna(filter('Yahoo ADP'!$A$2:$A2766,'Yahoo ADP'!$B$2:$B2766=$B2647,$C2647='Yahoo ADP'!$C$2:$C2766,$D2647='Yahoo ADP'!$D$2:$D2766))"),"")</f>
        <v/>
      </c>
      <c r="F2647" s="13" t="str">
        <f>IFERROR(__xludf.DUMMYFUNCTION("ifna(filter('Yahoo ADP'!$E$2:$E2766,'Yahoo ADP'!$B$2:$B2766=$B2647,$C2647='Yahoo ADP'!$C$2:$C2766,$D2647='Yahoo ADP'!$D$2:$D2766))"),"-")</f>
        <v>-</v>
      </c>
      <c r="G2647" s="27">
        <v>2646.0</v>
      </c>
      <c r="H2647" s="8">
        <f t="shared" si="1"/>
        <v>0</v>
      </c>
    </row>
    <row r="2648">
      <c r="A2648" s="10">
        <v>2647.0</v>
      </c>
      <c r="B2648" s="11" t="s">
        <v>5485</v>
      </c>
      <c r="C2648" s="10" t="s">
        <v>77</v>
      </c>
      <c r="D2648" s="10" t="s">
        <v>129</v>
      </c>
      <c r="E2648" s="13" t="str">
        <f>IFERROR(__xludf.DUMMYFUNCTION("ifna(filter('Yahoo ADP'!$A$2:$A2766,'Yahoo ADP'!$B$2:$B2766=$B2648,$C2648='Yahoo ADP'!$C$2:$C2766,$D2648='Yahoo ADP'!$D$2:$D2766))"),"")</f>
        <v/>
      </c>
      <c r="F2648" s="13" t="str">
        <f>IFERROR(__xludf.DUMMYFUNCTION("ifna(filter('Yahoo ADP'!$E$2:$E2766,'Yahoo ADP'!$B$2:$B2766=$B2648,$C2648='Yahoo ADP'!$C$2:$C2766,$D2648='Yahoo ADP'!$D$2:$D2766))"),"-")</f>
        <v>-</v>
      </c>
      <c r="G2648" s="27">
        <v>2647.0</v>
      </c>
      <c r="H2648" s="8">
        <f t="shared" si="1"/>
        <v>0</v>
      </c>
    </row>
    <row r="2649">
      <c r="A2649" s="10">
        <v>2648.0</v>
      </c>
      <c r="B2649" s="11" t="s">
        <v>5486</v>
      </c>
      <c r="C2649" s="10" t="s">
        <v>14</v>
      </c>
      <c r="D2649" s="10" t="s">
        <v>206</v>
      </c>
      <c r="E2649" s="13" t="str">
        <f>IFERROR(__xludf.DUMMYFUNCTION("ifna(filter('Yahoo ADP'!$A$2:$A2766,'Yahoo ADP'!$B$2:$B2766=$B2649,$C2649='Yahoo ADP'!$C$2:$C2766,$D2649='Yahoo ADP'!$D$2:$D2766))"),"")</f>
        <v/>
      </c>
      <c r="F2649" s="13" t="str">
        <f>IFERROR(__xludf.DUMMYFUNCTION("ifna(filter('Yahoo ADP'!$E$2:$E2766,'Yahoo ADP'!$B$2:$B2766=$B2649,$C2649='Yahoo ADP'!$C$2:$C2766,$D2649='Yahoo ADP'!$D$2:$D2766))"),"-")</f>
        <v>-</v>
      </c>
      <c r="G2649" s="27">
        <v>2648.0</v>
      </c>
      <c r="H2649" s="8">
        <f t="shared" si="1"/>
        <v>0</v>
      </c>
    </row>
    <row r="2650">
      <c r="A2650" s="10">
        <v>2649.0</v>
      </c>
      <c r="B2650" s="11" t="s">
        <v>5487</v>
      </c>
      <c r="C2650" s="10" t="s">
        <v>77</v>
      </c>
      <c r="D2650" s="10" t="s">
        <v>85</v>
      </c>
      <c r="E2650" s="13" t="str">
        <f>IFERROR(__xludf.DUMMYFUNCTION("ifna(filter('Yahoo ADP'!$A$2:$A2766,'Yahoo ADP'!$B$2:$B2766=$B2650,$C2650='Yahoo ADP'!$C$2:$C2766,$D2650='Yahoo ADP'!$D$2:$D2766))"),"")</f>
        <v/>
      </c>
      <c r="F2650" s="13" t="str">
        <f>IFERROR(__xludf.DUMMYFUNCTION("ifna(filter('Yahoo ADP'!$E$2:$E2766,'Yahoo ADP'!$B$2:$B2766=$B2650,$C2650='Yahoo ADP'!$C$2:$C2766,$D2650='Yahoo ADP'!$D$2:$D2766))"),"-")</f>
        <v>-</v>
      </c>
      <c r="G2650" s="27">
        <v>2649.0</v>
      </c>
      <c r="H2650" s="8">
        <f t="shared" si="1"/>
        <v>0</v>
      </c>
    </row>
    <row r="2651">
      <c r="A2651" s="10">
        <v>2650.0</v>
      </c>
      <c r="B2651" s="11" t="s">
        <v>5488</v>
      </c>
      <c r="C2651" s="10" t="s">
        <v>14</v>
      </c>
      <c r="D2651" s="10" t="s">
        <v>90</v>
      </c>
      <c r="E2651" s="13" t="str">
        <f>IFERROR(__xludf.DUMMYFUNCTION("ifna(filter('Yahoo ADP'!$A$2:$A2766,'Yahoo ADP'!$B$2:$B2766=$B2651,$C2651='Yahoo ADP'!$C$2:$C2766,$D2651='Yahoo ADP'!$D$2:$D2766))"),"")</f>
        <v/>
      </c>
      <c r="F2651" s="13" t="str">
        <f>IFERROR(__xludf.DUMMYFUNCTION("ifna(filter('Yahoo ADP'!$E$2:$E2766,'Yahoo ADP'!$B$2:$B2766=$B2651,$C2651='Yahoo ADP'!$C$2:$C2766,$D2651='Yahoo ADP'!$D$2:$D2766))"),"-")</f>
        <v>-</v>
      </c>
      <c r="G2651" s="27">
        <v>2650.0</v>
      </c>
      <c r="H2651" s="8">
        <f t="shared" si="1"/>
        <v>0</v>
      </c>
    </row>
    <row r="2652">
      <c r="A2652" s="10">
        <v>2651.0</v>
      </c>
      <c r="B2652" s="11" t="s">
        <v>5489</v>
      </c>
      <c r="C2652" s="10" t="s">
        <v>240</v>
      </c>
      <c r="D2652" s="10" t="s">
        <v>46</v>
      </c>
      <c r="E2652" s="13" t="str">
        <f>IFERROR(__xludf.DUMMYFUNCTION("ifna(filter('Yahoo ADP'!$A$2:$A2766,'Yahoo ADP'!$B$2:$B2766=$B2652,$C2652='Yahoo ADP'!$C$2:$C2766,$D2652='Yahoo ADP'!$D$2:$D2766))"),"")</f>
        <v/>
      </c>
      <c r="F2652" s="13" t="str">
        <f>IFERROR(__xludf.DUMMYFUNCTION("ifna(filter('Yahoo ADP'!$E$2:$E2766,'Yahoo ADP'!$B$2:$B2766=$B2652,$C2652='Yahoo ADP'!$C$2:$C2766,$D2652='Yahoo ADP'!$D$2:$D2766))"),"-")</f>
        <v>-</v>
      </c>
      <c r="G2652" s="27">
        <v>2651.0</v>
      </c>
      <c r="H2652" s="8">
        <f t="shared" si="1"/>
        <v>0</v>
      </c>
    </row>
    <row r="2653">
      <c r="A2653" s="10">
        <v>2652.0</v>
      </c>
      <c r="B2653" s="11" t="s">
        <v>5490</v>
      </c>
      <c r="C2653" s="10" t="s">
        <v>11</v>
      </c>
      <c r="D2653" s="10" t="s">
        <v>46</v>
      </c>
      <c r="E2653" s="13" t="str">
        <f>IFERROR(__xludf.DUMMYFUNCTION("ifna(filter('Yahoo ADP'!$A$2:$A2766,'Yahoo ADP'!$B$2:$B2766=$B2653,$C2653='Yahoo ADP'!$C$2:$C2766,$D2653='Yahoo ADP'!$D$2:$D2766))"),"")</f>
        <v/>
      </c>
      <c r="F2653" s="13" t="str">
        <f>IFERROR(__xludf.DUMMYFUNCTION("ifna(filter('Yahoo ADP'!$E$2:$E2766,'Yahoo ADP'!$B$2:$B2766=$B2653,$C2653='Yahoo ADP'!$C$2:$C2766,$D2653='Yahoo ADP'!$D$2:$D2766))"),"-")</f>
        <v>-</v>
      </c>
      <c r="G2653" s="27">
        <v>2652.0</v>
      </c>
      <c r="H2653" s="8">
        <f t="shared" si="1"/>
        <v>0</v>
      </c>
    </row>
    <row r="2654">
      <c r="A2654" s="10">
        <v>2653.0</v>
      </c>
      <c r="B2654" s="11" t="s">
        <v>5491</v>
      </c>
      <c r="C2654" s="10" t="s">
        <v>346</v>
      </c>
      <c r="D2654" s="10" t="s">
        <v>15</v>
      </c>
      <c r="E2654" s="13" t="str">
        <f>IFERROR(__xludf.DUMMYFUNCTION("ifna(filter('Yahoo ADP'!$A$2:$A2766,'Yahoo ADP'!$B$2:$B2766=$B2654,$C2654='Yahoo ADP'!$C$2:$C2766,$D2654='Yahoo ADP'!$D$2:$D2766))"),"")</f>
        <v/>
      </c>
      <c r="F2654" s="13" t="str">
        <f>IFERROR(__xludf.DUMMYFUNCTION("ifna(filter('Yahoo ADP'!$E$2:$E2766,'Yahoo ADP'!$B$2:$B2766=$B2654,$C2654='Yahoo ADP'!$C$2:$C2766,$D2654='Yahoo ADP'!$D$2:$D2766))"),"-")</f>
        <v>-</v>
      </c>
      <c r="G2654" s="27">
        <v>2653.0</v>
      </c>
      <c r="H2654" s="8">
        <f t="shared" si="1"/>
        <v>0</v>
      </c>
    </row>
    <row r="2655">
      <c r="A2655" s="10">
        <v>2654.0</v>
      </c>
      <c r="B2655" s="11" t="s">
        <v>5492</v>
      </c>
      <c r="C2655" s="10" t="s">
        <v>136</v>
      </c>
      <c r="D2655" s="10" t="s">
        <v>82</v>
      </c>
      <c r="E2655" s="13" t="str">
        <f>IFERROR(__xludf.DUMMYFUNCTION("ifna(filter('Yahoo ADP'!$A$2:$A2766,'Yahoo ADP'!$B$2:$B2766=$B2655,$C2655='Yahoo ADP'!$C$2:$C2766,$D2655='Yahoo ADP'!$D$2:$D2766))"),"")</f>
        <v/>
      </c>
      <c r="F2655" s="13" t="str">
        <f>IFERROR(__xludf.DUMMYFUNCTION("ifna(filter('Yahoo ADP'!$E$2:$E2766,'Yahoo ADP'!$B$2:$B2766=$B2655,$C2655='Yahoo ADP'!$C$2:$C2766,$D2655='Yahoo ADP'!$D$2:$D2766))"),"-")</f>
        <v>-</v>
      </c>
      <c r="G2655" s="27">
        <v>2654.0</v>
      </c>
      <c r="H2655" s="8">
        <f t="shared" si="1"/>
        <v>0</v>
      </c>
    </row>
    <row r="2656">
      <c r="A2656" s="10">
        <v>2655.0</v>
      </c>
      <c r="B2656" s="11" t="s">
        <v>5493</v>
      </c>
      <c r="C2656" s="10" t="s">
        <v>14</v>
      </c>
      <c r="D2656" s="10" t="s">
        <v>99</v>
      </c>
      <c r="E2656" s="13" t="str">
        <f>IFERROR(__xludf.DUMMYFUNCTION("ifna(filter('Yahoo ADP'!$A$2:$A2766,'Yahoo ADP'!$B$2:$B2766=$B2656,$C2656='Yahoo ADP'!$C$2:$C2766,$D2656='Yahoo ADP'!$D$2:$D2766))"),"")</f>
        <v/>
      </c>
      <c r="F2656" s="13" t="str">
        <f>IFERROR(__xludf.DUMMYFUNCTION("ifna(filter('Yahoo ADP'!$E$2:$E2766,'Yahoo ADP'!$B$2:$B2766=$B2656,$C2656='Yahoo ADP'!$C$2:$C2766,$D2656='Yahoo ADP'!$D$2:$D2766))"),"-")</f>
        <v>-</v>
      </c>
      <c r="G2656" s="27">
        <v>2655.0</v>
      </c>
      <c r="H2656" s="8">
        <f t="shared" si="1"/>
        <v>0</v>
      </c>
    </row>
    <row r="2657">
      <c r="A2657" s="10">
        <v>2656.0</v>
      </c>
      <c r="B2657" s="11" t="s">
        <v>5494</v>
      </c>
      <c r="C2657" s="10" t="s">
        <v>20</v>
      </c>
      <c r="D2657" s="10" t="s">
        <v>122</v>
      </c>
      <c r="E2657" s="13" t="str">
        <f>IFERROR(__xludf.DUMMYFUNCTION("ifna(filter('Yahoo ADP'!$A$2:$A2766,'Yahoo ADP'!$B$2:$B2766=$B2657,$C2657='Yahoo ADP'!$C$2:$C2766,$D2657='Yahoo ADP'!$D$2:$D2766))"),"")</f>
        <v/>
      </c>
      <c r="F2657" s="13" t="str">
        <f>IFERROR(__xludf.DUMMYFUNCTION("ifna(filter('Yahoo ADP'!$E$2:$E2766,'Yahoo ADP'!$B$2:$B2766=$B2657,$C2657='Yahoo ADP'!$C$2:$C2766,$D2657='Yahoo ADP'!$D$2:$D2766))"),"-")</f>
        <v>-</v>
      </c>
      <c r="G2657" s="27">
        <v>2656.0</v>
      </c>
      <c r="H2657" s="8">
        <f t="shared" si="1"/>
        <v>0</v>
      </c>
    </row>
    <row r="2658">
      <c r="A2658" s="10">
        <v>2657.0</v>
      </c>
      <c r="B2658" s="11" t="s">
        <v>5495</v>
      </c>
      <c r="C2658" s="10" t="s">
        <v>11</v>
      </c>
      <c r="D2658" s="10" t="s">
        <v>9</v>
      </c>
      <c r="E2658" s="13" t="str">
        <f>IFERROR(__xludf.DUMMYFUNCTION("ifna(filter('Yahoo ADP'!$A$2:$A2766,'Yahoo ADP'!$B$2:$B2766=$B2658,$C2658='Yahoo ADP'!$C$2:$C2766,$D2658='Yahoo ADP'!$D$2:$D2766))"),"")</f>
        <v/>
      </c>
      <c r="F2658" s="13" t="str">
        <f>IFERROR(__xludf.DUMMYFUNCTION("ifna(filter('Yahoo ADP'!$E$2:$E2766,'Yahoo ADP'!$B$2:$B2766=$B2658,$C2658='Yahoo ADP'!$C$2:$C2766,$D2658='Yahoo ADP'!$D$2:$D2766))"),"-")</f>
        <v>-</v>
      </c>
      <c r="G2658" s="27">
        <v>2657.0</v>
      </c>
      <c r="H2658" s="8">
        <f t="shared" si="1"/>
        <v>0</v>
      </c>
    </row>
    <row r="2659">
      <c r="A2659" s="10">
        <v>2658.0</v>
      </c>
      <c r="B2659" s="11" t="s">
        <v>5496</v>
      </c>
      <c r="C2659" s="10" t="s">
        <v>48</v>
      </c>
      <c r="D2659" s="10" t="s">
        <v>9</v>
      </c>
      <c r="E2659" s="13" t="str">
        <f>IFERROR(__xludf.DUMMYFUNCTION("ifna(filter('Yahoo ADP'!$A$2:$A2766,'Yahoo ADP'!$B$2:$B2766=$B2659,$C2659='Yahoo ADP'!$C$2:$C2766,$D2659='Yahoo ADP'!$D$2:$D2766))"),"")</f>
        <v/>
      </c>
      <c r="F2659" s="13" t="str">
        <f>IFERROR(__xludf.DUMMYFUNCTION("ifna(filter('Yahoo ADP'!$E$2:$E2766,'Yahoo ADP'!$B$2:$B2766=$B2659,$C2659='Yahoo ADP'!$C$2:$C2766,$D2659='Yahoo ADP'!$D$2:$D2766))"),"-")</f>
        <v>-</v>
      </c>
      <c r="G2659" s="27">
        <v>2658.0</v>
      </c>
      <c r="H2659" s="8">
        <f t="shared" si="1"/>
        <v>0</v>
      </c>
    </row>
    <row r="2660">
      <c r="A2660" s="10">
        <v>2659.0</v>
      </c>
      <c r="B2660" s="11" t="s">
        <v>5497</v>
      </c>
      <c r="C2660" s="10" t="s">
        <v>77</v>
      </c>
      <c r="D2660" s="10" t="s">
        <v>12</v>
      </c>
      <c r="E2660" s="13" t="str">
        <f>IFERROR(__xludf.DUMMYFUNCTION("ifna(filter('Yahoo ADP'!$A$2:$A2766,'Yahoo ADP'!$B$2:$B2766=$B2660,$C2660='Yahoo ADP'!$C$2:$C2766,$D2660='Yahoo ADP'!$D$2:$D2766))"),"")</f>
        <v/>
      </c>
      <c r="F2660" s="13" t="str">
        <f>IFERROR(__xludf.DUMMYFUNCTION("ifna(filter('Yahoo ADP'!$E$2:$E2766,'Yahoo ADP'!$B$2:$B2766=$B2660,$C2660='Yahoo ADP'!$C$2:$C2766,$D2660='Yahoo ADP'!$D$2:$D2766))"),"-")</f>
        <v>-</v>
      </c>
      <c r="G2660" s="27">
        <v>2659.0</v>
      </c>
      <c r="H2660" s="8">
        <f t="shared" si="1"/>
        <v>0</v>
      </c>
    </row>
    <row r="2661">
      <c r="A2661" s="10">
        <v>2660.0</v>
      </c>
      <c r="B2661" s="11" t="s">
        <v>5498</v>
      </c>
      <c r="C2661" s="10" t="s">
        <v>11</v>
      </c>
      <c r="D2661" s="10" t="s">
        <v>42</v>
      </c>
      <c r="E2661" s="13" t="str">
        <f>IFERROR(__xludf.DUMMYFUNCTION("ifna(filter('Yahoo ADP'!$A$2:$A2766,'Yahoo ADP'!$B$2:$B2766=$B2661,$C2661='Yahoo ADP'!$C$2:$C2766,$D2661='Yahoo ADP'!$D$2:$D2766))"),"")</f>
        <v/>
      </c>
      <c r="F2661" s="13" t="str">
        <f>IFERROR(__xludf.DUMMYFUNCTION("ifna(filter('Yahoo ADP'!$E$2:$E2766,'Yahoo ADP'!$B$2:$B2766=$B2661,$C2661='Yahoo ADP'!$C$2:$C2766,$D2661='Yahoo ADP'!$D$2:$D2766))"),"-")</f>
        <v>-</v>
      </c>
      <c r="G2661" s="27">
        <v>2660.0</v>
      </c>
      <c r="H2661" s="8">
        <f t="shared" si="1"/>
        <v>0</v>
      </c>
    </row>
    <row r="2662">
      <c r="A2662" s="10">
        <v>2661.0</v>
      </c>
      <c r="B2662" s="11" t="s">
        <v>5499</v>
      </c>
      <c r="C2662" s="10" t="s">
        <v>17</v>
      </c>
      <c r="D2662" s="10" t="s">
        <v>99</v>
      </c>
      <c r="E2662" s="13" t="str">
        <f>IFERROR(__xludf.DUMMYFUNCTION("ifna(filter('Yahoo ADP'!$A$2:$A2766,'Yahoo ADP'!$B$2:$B2766=$B2662,$C2662='Yahoo ADP'!$C$2:$C2766,$D2662='Yahoo ADP'!$D$2:$D2766))"),"")</f>
        <v/>
      </c>
      <c r="F2662" s="13" t="str">
        <f>IFERROR(__xludf.DUMMYFUNCTION("ifna(filter('Yahoo ADP'!$E$2:$E2766,'Yahoo ADP'!$B$2:$B2766=$B2662,$C2662='Yahoo ADP'!$C$2:$C2766,$D2662='Yahoo ADP'!$D$2:$D2766))"),"-")</f>
        <v>-</v>
      </c>
      <c r="G2662" s="27">
        <v>2661.0</v>
      </c>
      <c r="H2662" s="8">
        <f t="shared" si="1"/>
        <v>0</v>
      </c>
    </row>
    <row r="2663">
      <c r="A2663" s="10">
        <v>2662.0</v>
      </c>
      <c r="B2663" s="11" t="s">
        <v>5500</v>
      </c>
      <c r="C2663" s="10" t="s">
        <v>8</v>
      </c>
      <c r="D2663" s="10" t="s">
        <v>27</v>
      </c>
      <c r="E2663" s="13" t="str">
        <f>IFERROR(__xludf.DUMMYFUNCTION("ifna(filter('Yahoo ADP'!$A$2:$A2766,'Yahoo ADP'!$B$2:$B2766=$B2663,$C2663='Yahoo ADP'!$C$2:$C2766,$D2663='Yahoo ADP'!$D$2:$D2766))"),"")</f>
        <v/>
      </c>
      <c r="F2663" s="13" t="str">
        <f>IFERROR(__xludf.DUMMYFUNCTION("ifna(filter('Yahoo ADP'!$E$2:$E2766,'Yahoo ADP'!$B$2:$B2766=$B2663,$C2663='Yahoo ADP'!$C$2:$C2766,$D2663='Yahoo ADP'!$D$2:$D2766))"),"-")</f>
        <v>-</v>
      </c>
      <c r="G2663" s="27">
        <v>2662.0</v>
      </c>
      <c r="H2663" s="8">
        <f t="shared" si="1"/>
        <v>0</v>
      </c>
    </row>
    <row r="2664">
      <c r="A2664" s="10">
        <v>2663.0</v>
      </c>
      <c r="B2664" s="11" t="s">
        <v>5501</v>
      </c>
      <c r="C2664" s="10" t="s">
        <v>14</v>
      </c>
      <c r="D2664" s="10" t="s">
        <v>85</v>
      </c>
      <c r="E2664" s="13" t="str">
        <f>IFERROR(__xludf.DUMMYFUNCTION("ifna(filter('Yahoo ADP'!$A$2:$A2766,'Yahoo ADP'!$B$2:$B2766=$B2664,$C2664='Yahoo ADP'!$C$2:$C2766,$D2664='Yahoo ADP'!$D$2:$D2766))"),"")</f>
        <v/>
      </c>
      <c r="F2664" s="13" t="str">
        <f>IFERROR(__xludf.DUMMYFUNCTION("ifna(filter('Yahoo ADP'!$E$2:$E2766,'Yahoo ADP'!$B$2:$B2766=$B2664,$C2664='Yahoo ADP'!$C$2:$C2766,$D2664='Yahoo ADP'!$D$2:$D2766))"),"-")</f>
        <v>-</v>
      </c>
      <c r="G2664" s="27">
        <v>2663.0</v>
      </c>
      <c r="H2664" s="8">
        <f t="shared" si="1"/>
        <v>0</v>
      </c>
    </row>
    <row r="2665">
      <c r="A2665" s="10">
        <v>2664.0</v>
      </c>
      <c r="B2665" s="11" t="s">
        <v>5502</v>
      </c>
      <c r="C2665" s="10" t="s">
        <v>17</v>
      </c>
      <c r="D2665" s="10" t="s">
        <v>49</v>
      </c>
      <c r="E2665" s="13" t="str">
        <f>IFERROR(__xludf.DUMMYFUNCTION("ifna(filter('Yahoo ADP'!$A$2:$A2766,'Yahoo ADP'!$B$2:$B2766=$B2665,$C2665='Yahoo ADP'!$C$2:$C2766,$D2665='Yahoo ADP'!$D$2:$D2766))"),"")</f>
        <v/>
      </c>
      <c r="F2665" s="13" t="str">
        <f>IFERROR(__xludf.DUMMYFUNCTION("ifna(filter('Yahoo ADP'!$E$2:$E2766,'Yahoo ADP'!$B$2:$B2766=$B2665,$C2665='Yahoo ADP'!$C$2:$C2766,$D2665='Yahoo ADP'!$D$2:$D2766))"),"-")</f>
        <v>-</v>
      </c>
      <c r="G2665" s="27">
        <v>2664.0</v>
      </c>
      <c r="H2665" s="8">
        <f t="shared" si="1"/>
        <v>0</v>
      </c>
    </row>
    <row r="2666">
      <c r="A2666" s="10">
        <v>2665.0</v>
      </c>
      <c r="B2666" s="11" t="s">
        <v>5503</v>
      </c>
      <c r="C2666" s="10" t="s">
        <v>77</v>
      </c>
      <c r="D2666" s="10" t="s">
        <v>129</v>
      </c>
      <c r="E2666" s="13" t="str">
        <f>IFERROR(__xludf.DUMMYFUNCTION("ifna(filter('Yahoo ADP'!$A$2:$A2766,'Yahoo ADP'!$B$2:$B2766=$B2666,$C2666='Yahoo ADP'!$C$2:$C2766,$D2666='Yahoo ADP'!$D$2:$D2766))"),"")</f>
        <v/>
      </c>
      <c r="F2666" s="13" t="str">
        <f>IFERROR(__xludf.DUMMYFUNCTION("ifna(filter('Yahoo ADP'!$E$2:$E2766,'Yahoo ADP'!$B$2:$B2766=$B2666,$C2666='Yahoo ADP'!$C$2:$C2766,$D2666='Yahoo ADP'!$D$2:$D2766))"),"-")</f>
        <v>-</v>
      </c>
      <c r="G2666" s="27">
        <v>2665.0</v>
      </c>
      <c r="H2666" s="8">
        <f t="shared" si="1"/>
        <v>0</v>
      </c>
    </row>
    <row r="2667">
      <c r="A2667" s="10">
        <v>2666.0</v>
      </c>
      <c r="B2667" s="11" t="s">
        <v>5504</v>
      </c>
      <c r="C2667" s="10" t="s">
        <v>48</v>
      </c>
      <c r="D2667" s="10" t="s">
        <v>36</v>
      </c>
      <c r="E2667" s="13" t="str">
        <f>IFERROR(__xludf.DUMMYFUNCTION("ifna(filter('Yahoo ADP'!$A$2:$A2766,'Yahoo ADP'!$B$2:$B2766=$B2667,$C2667='Yahoo ADP'!$C$2:$C2766,$D2667='Yahoo ADP'!$D$2:$D2766))"),"")</f>
        <v/>
      </c>
      <c r="F2667" s="13" t="str">
        <f>IFERROR(__xludf.DUMMYFUNCTION("ifna(filter('Yahoo ADP'!$E$2:$E2766,'Yahoo ADP'!$B$2:$B2766=$B2667,$C2667='Yahoo ADP'!$C$2:$C2766,$D2667='Yahoo ADP'!$D$2:$D2766))"),"-")</f>
        <v>-</v>
      </c>
      <c r="G2667" s="27">
        <v>2666.0</v>
      </c>
      <c r="H2667" s="8">
        <f t="shared" si="1"/>
        <v>0</v>
      </c>
    </row>
    <row r="2668">
      <c r="A2668" s="10">
        <v>2667.0</v>
      </c>
      <c r="B2668" s="11" t="s">
        <v>5505</v>
      </c>
      <c r="C2668" s="10" t="s">
        <v>48</v>
      </c>
      <c r="D2668" s="10" t="s">
        <v>137</v>
      </c>
      <c r="E2668" s="13" t="str">
        <f>IFERROR(__xludf.DUMMYFUNCTION("ifna(filter('Yahoo ADP'!$A$2:$A2766,'Yahoo ADP'!$B$2:$B2766=$B2668,$C2668='Yahoo ADP'!$C$2:$C2766,$D2668='Yahoo ADP'!$D$2:$D2766))"),"")</f>
        <v/>
      </c>
      <c r="F2668" s="13" t="str">
        <f>IFERROR(__xludf.DUMMYFUNCTION("ifna(filter('Yahoo ADP'!$E$2:$E2766,'Yahoo ADP'!$B$2:$B2766=$B2668,$C2668='Yahoo ADP'!$C$2:$C2766,$D2668='Yahoo ADP'!$D$2:$D2766))"),"-")</f>
        <v>-</v>
      </c>
      <c r="G2668" s="27">
        <v>2667.0</v>
      </c>
      <c r="H2668" s="8">
        <f t="shared" si="1"/>
        <v>0</v>
      </c>
    </row>
    <row r="2669">
      <c r="A2669" s="10">
        <v>2668.0</v>
      </c>
      <c r="B2669" s="11" t="s">
        <v>5506</v>
      </c>
      <c r="C2669" s="10" t="s">
        <v>39</v>
      </c>
      <c r="D2669" s="10" t="s">
        <v>137</v>
      </c>
      <c r="E2669" s="13" t="str">
        <f>IFERROR(__xludf.DUMMYFUNCTION("ifna(filter('Yahoo ADP'!$A$2:$A2766,'Yahoo ADP'!$B$2:$B2766=$B2669,$C2669='Yahoo ADP'!$C$2:$C2766,$D2669='Yahoo ADP'!$D$2:$D2766))"),"")</f>
        <v/>
      </c>
      <c r="F2669" s="13" t="str">
        <f>IFERROR(__xludf.DUMMYFUNCTION("ifna(filter('Yahoo ADP'!$E$2:$E2766,'Yahoo ADP'!$B$2:$B2766=$B2669,$C2669='Yahoo ADP'!$C$2:$C2766,$D2669='Yahoo ADP'!$D$2:$D2766))"),"")</f>
        <v/>
      </c>
      <c r="G2669" s="27">
        <v>2668.0</v>
      </c>
      <c r="H2669" s="8">
        <f t="shared" si="1"/>
        <v>0</v>
      </c>
    </row>
    <row r="2670">
      <c r="A2670" s="10">
        <v>2669.0</v>
      </c>
      <c r="B2670" s="11" t="s">
        <v>5507</v>
      </c>
      <c r="C2670" s="10" t="s">
        <v>14</v>
      </c>
      <c r="D2670" s="10" t="s">
        <v>73</v>
      </c>
      <c r="E2670" s="13" t="str">
        <f>IFERROR(__xludf.DUMMYFUNCTION("ifna(filter('Yahoo ADP'!$A$2:$A2766,'Yahoo ADP'!$B$2:$B2766=$B2670,$C2670='Yahoo ADP'!$C$2:$C2766,$D2670='Yahoo ADP'!$D$2:$D2766))"),"")</f>
        <v/>
      </c>
      <c r="F2670" s="13" t="str">
        <f>IFERROR(__xludf.DUMMYFUNCTION("ifna(filter('Yahoo ADP'!$E$2:$E2766,'Yahoo ADP'!$B$2:$B2766=$B2670,$C2670='Yahoo ADP'!$C$2:$C2766,$D2670='Yahoo ADP'!$D$2:$D2766))"),"-")</f>
        <v>-</v>
      </c>
      <c r="G2670" s="27">
        <v>2669.0</v>
      </c>
      <c r="H2670" s="8">
        <f t="shared" si="1"/>
        <v>0</v>
      </c>
    </row>
    <row r="2671">
      <c r="A2671" s="10">
        <v>2670.0</v>
      </c>
      <c r="B2671" s="11" t="s">
        <v>5508</v>
      </c>
      <c r="C2671" s="10" t="s">
        <v>77</v>
      </c>
      <c r="D2671" s="10" t="s">
        <v>85</v>
      </c>
      <c r="E2671" s="13" t="str">
        <f>IFERROR(__xludf.DUMMYFUNCTION("ifna(filter('Yahoo ADP'!$A$2:$A2766,'Yahoo ADP'!$B$2:$B2766=$B2671,$C2671='Yahoo ADP'!$C$2:$C2766,$D2671='Yahoo ADP'!$D$2:$D2766))"),"")</f>
        <v/>
      </c>
      <c r="F2671" s="13" t="str">
        <f>IFERROR(__xludf.DUMMYFUNCTION("ifna(filter('Yahoo ADP'!$E$2:$E2766,'Yahoo ADP'!$B$2:$B2766=$B2671,$C2671='Yahoo ADP'!$C$2:$C2766,$D2671='Yahoo ADP'!$D$2:$D2766))"),"-")</f>
        <v>-</v>
      </c>
      <c r="G2671" s="27">
        <v>2670.0</v>
      </c>
      <c r="H2671" s="8">
        <f t="shared" si="1"/>
        <v>0</v>
      </c>
    </row>
    <row r="2672">
      <c r="A2672" s="10">
        <v>2671.0</v>
      </c>
      <c r="B2672" s="11" t="s">
        <v>5509</v>
      </c>
      <c r="C2672" s="10" t="s">
        <v>346</v>
      </c>
      <c r="D2672" s="10" t="s">
        <v>18</v>
      </c>
      <c r="E2672" s="13" t="str">
        <f>IFERROR(__xludf.DUMMYFUNCTION("ifna(filter('Yahoo ADP'!$A$2:$A2766,'Yahoo ADP'!$B$2:$B2766=$B2672,$C2672='Yahoo ADP'!$C$2:$C2766,$D2672='Yahoo ADP'!$D$2:$D2766))"),"")</f>
        <v/>
      </c>
      <c r="F2672" s="13" t="str">
        <f>IFERROR(__xludf.DUMMYFUNCTION("ifna(filter('Yahoo ADP'!$E$2:$E2766,'Yahoo ADP'!$B$2:$B2766=$B2672,$C2672='Yahoo ADP'!$C$2:$C2766,$D2672='Yahoo ADP'!$D$2:$D2766))"),"-")</f>
        <v>-</v>
      </c>
      <c r="G2672" s="27">
        <v>2671.0</v>
      </c>
      <c r="H2672" s="8">
        <f t="shared" si="1"/>
        <v>0</v>
      </c>
    </row>
    <row r="2673">
      <c r="A2673" s="10">
        <v>2672.0</v>
      </c>
      <c r="B2673" s="11" t="s">
        <v>5510</v>
      </c>
      <c r="C2673" s="10" t="s">
        <v>39</v>
      </c>
      <c r="D2673" s="10" t="s">
        <v>36</v>
      </c>
      <c r="E2673" s="13" t="str">
        <f>IFERROR(__xludf.DUMMYFUNCTION("ifna(filter('Yahoo ADP'!$A$2:$A2766,'Yahoo ADP'!$B$2:$B2766=$B2673,$C2673='Yahoo ADP'!$C$2:$C2766,$D2673='Yahoo ADP'!$D$2:$D2766))"),"")</f>
        <v/>
      </c>
      <c r="F2673" s="13" t="str">
        <f>IFERROR(__xludf.DUMMYFUNCTION("ifna(filter('Yahoo ADP'!$E$2:$E2766,'Yahoo ADP'!$B$2:$B2766=$B2673,$C2673='Yahoo ADP'!$C$2:$C2766,$D2673='Yahoo ADP'!$D$2:$D2766))"),"-")</f>
        <v>-</v>
      </c>
      <c r="G2673" s="27">
        <v>2672.0</v>
      </c>
      <c r="H2673" s="8">
        <f t="shared" si="1"/>
        <v>0</v>
      </c>
    </row>
    <row r="2674">
      <c r="A2674" s="10">
        <v>2673.0</v>
      </c>
      <c r="B2674" s="11" t="s">
        <v>5511</v>
      </c>
      <c r="C2674" s="10" t="s">
        <v>11</v>
      </c>
      <c r="D2674" s="10" t="s">
        <v>129</v>
      </c>
      <c r="E2674" s="13" t="str">
        <f>IFERROR(__xludf.DUMMYFUNCTION("ifna(filter('Yahoo ADP'!$A$2:$A2766,'Yahoo ADP'!$B$2:$B2766=$B2674,$C2674='Yahoo ADP'!$C$2:$C2766,$D2674='Yahoo ADP'!$D$2:$D2766))"),"")</f>
        <v/>
      </c>
      <c r="F2674" s="13" t="str">
        <f>IFERROR(__xludf.DUMMYFUNCTION("ifna(filter('Yahoo ADP'!$E$2:$E2766,'Yahoo ADP'!$B$2:$B2766=$B2674,$C2674='Yahoo ADP'!$C$2:$C2766,$D2674='Yahoo ADP'!$D$2:$D2766))"),"-")</f>
        <v>-</v>
      </c>
      <c r="G2674" s="27">
        <v>2673.0</v>
      </c>
      <c r="H2674" s="8">
        <f t="shared" si="1"/>
        <v>0</v>
      </c>
    </row>
    <row r="2675">
      <c r="A2675" s="10">
        <v>2674.0</v>
      </c>
      <c r="B2675" s="11" t="s">
        <v>5512</v>
      </c>
      <c r="C2675" s="10" t="s">
        <v>39</v>
      </c>
      <c r="D2675" s="10" t="s">
        <v>85</v>
      </c>
      <c r="E2675" s="13" t="str">
        <f>IFERROR(__xludf.DUMMYFUNCTION("ifna(filter('Yahoo ADP'!$A$2:$A2766,'Yahoo ADP'!$B$2:$B2766=$B2675,$C2675='Yahoo ADP'!$C$2:$C2766,$D2675='Yahoo ADP'!$D$2:$D2766))"),"")</f>
        <v/>
      </c>
      <c r="F2675" s="13" t="str">
        <f>IFERROR(__xludf.DUMMYFUNCTION("ifna(filter('Yahoo ADP'!$E$2:$E2766,'Yahoo ADP'!$B$2:$B2766=$B2675,$C2675='Yahoo ADP'!$C$2:$C2766,$D2675='Yahoo ADP'!$D$2:$D2766))"),"-")</f>
        <v>-</v>
      </c>
      <c r="G2675" s="27">
        <v>2674.0</v>
      </c>
      <c r="H2675" s="8">
        <f t="shared" si="1"/>
        <v>0</v>
      </c>
    </row>
    <row r="2676">
      <c r="A2676" s="10">
        <v>2675.0</v>
      </c>
      <c r="B2676" s="11" t="s">
        <v>5513</v>
      </c>
      <c r="C2676" s="10" t="s">
        <v>77</v>
      </c>
      <c r="D2676" s="10" t="s">
        <v>206</v>
      </c>
      <c r="E2676" s="13" t="str">
        <f>IFERROR(__xludf.DUMMYFUNCTION("ifna(filter('Yahoo ADP'!$A$2:$A2766,'Yahoo ADP'!$B$2:$B2766=$B2676,$C2676='Yahoo ADP'!$C$2:$C2766,$D2676='Yahoo ADP'!$D$2:$D2766))"),"")</f>
        <v/>
      </c>
      <c r="F2676" s="13" t="str">
        <f>IFERROR(__xludf.DUMMYFUNCTION("ifna(filter('Yahoo ADP'!$E$2:$E2766,'Yahoo ADP'!$B$2:$B2766=$B2676,$C2676='Yahoo ADP'!$C$2:$C2766,$D2676='Yahoo ADP'!$D$2:$D2766))"),"-")</f>
        <v>-</v>
      </c>
      <c r="G2676" s="27">
        <v>2675.0</v>
      </c>
      <c r="H2676" s="8">
        <f t="shared" si="1"/>
        <v>0</v>
      </c>
    </row>
    <row r="2677">
      <c r="A2677" s="10">
        <v>2676.0</v>
      </c>
      <c r="B2677" s="11" t="s">
        <v>5514</v>
      </c>
      <c r="C2677" s="10" t="s">
        <v>136</v>
      </c>
      <c r="D2677" s="10" t="s">
        <v>15</v>
      </c>
      <c r="E2677" s="13" t="str">
        <f>IFERROR(__xludf.DUMMYFUNCTION("ifna(filter('Yahoo ADP'!$A$2:$A2766,'Yahoo ADP'!$B$2:$B2766=$B2677,$C2677='Yahoo ADP'!$C$2:$C2766,$D2677='Yahoo ADP'!$D$2:$D2766))"),"")</f>
        <v/>
      </c>
      <c r="F2677" s="13" t="str">
        <f>IFERROR(__xludf.DUMMYFUNCTION("ifna(filter('Yahoo ADP'!$E$2:$E2766,'Yahoo ADP'!$B$2:$B2766=$B2677,$C2677='Yahoo ADP'!$C$2:$C2766,$D2677='Yahoo ADP'!$D$2:$D2766))"),"-")</f>
        <v>-</v>
      </c>
      <c r="G2677" s="27">
        <v>2676.0</v>
      </c>
      <c r="H2677" s="8">
        <f t="shared" si="1"/>
        <v>0</v>
      </c>
    </row>
    <row r="2678">
      <c r="A2678" s="10">
        <v>2677.0</v>
      </c>
      <c r="B2678" s="11" t="s">
        <v>5515</v>
      </c>
      <c r="C2678" s="10" t="s">
        <v>39</v>
      </c>
      <c r="D2678" s="10" t="s">
        <v>140</v>
      </c>
      <c r="E2678" s="13" t="str">
        <f>IFERROR(__xludf.DUMMYFUNCTION("ifna(filter('Yahoo ADP'!$A$2:$A2766,'Yahoo ADP'!$B$2:$B2766=$B2678,$C2678='Yahoo ADP'!$C$2:$C2766,$D2678='Yahoo ADP'!$D$2:$D2766))"),"")</f>
        <v/>
      </c>
      <c r="F2678" s="13" t="str">
        <f>IFERROR(__xludf.DUMMYFUNCTION("ifna(filter('Yahoo ADP'!$E$2:$E2766,'Yahoo ADP'!$B$2:$B2766=$B2678,$C2678='Yahoo ADP'!$C$2:$C2766,$D2678='Yahoo ADP'!$D$2:$D2766))"),"-")</f>
        <v>-</v>
      </c>
      <c r="G2678" s="27">
        <v>2677.0</v>
      </c>
      <c r="H2678" s="8">
        <f t="shared" si="1"/>
        <v>0</v>
      </c>
    </row>
    <row r="2679">
      <c r="A2679" s="10">
        <v>2678.0</v>
      </c>
      <c r="B2679" s="11" t="s">
        <v>5516</v>
      </c>
      <c r="C2679" s="10" t="s">
        <v>33</v>
      </c>
      <c r="D2679" s="10" t="s">
        <v>27</v>
      </c>
      <c r="E2679" s="13" t="str">
        <f>IFERROR(__xludf.DUMMYFUNCTION("ifna(filter('Yahoo ADP'!$A$2:$A2766,'Yahoo ADP'!$B$2:$B2766=$B2679,$C2679='Yahoo ADP'!$C$2:$C2766,$D2679='Yahoo ADP'!$D$2:$D2766))"),"")</f>
        <v/>
      </c>
      <c r="F2679" s="13" t="str">
        <f>IFERROR(__xludf.DUMMYFUNCTION("ifna(filter('Yahoo ADP'!$E$2:$E2766,'Yahoo ADP'!$B$2:$B2766=$B2679,$C2679='Yahoo ADP'!$C$2:$C2766,$D2679='Yahoo ADP'!$D$2:$D2766))"),"-")</f>
        <v>-</v>
      </c>
      <c r="G2679" s="27">
        <v>2678.0</v>
      </c>
      <c r="H2679" s="8">
        <f t="shared" si="1"/>
        <v>0</v>
      </c>
    </row>
    <row r="2680">
      <c r="A2680" s="10">
        <v>2679.0</v>
      </c>
      <c r="B2680" s="11" t="s">
        <v>5517</v>
      </c>
      <c r="C2680" s="10" t="s">
        <v>77</v>
      </c>
      <c r="D2680" s="10" t="s">
        <v>137</v>
      </c>
      <c r="E2680" s="13" t="str">
        <f>IFERROR(__xludf.DUMMYFUNCTION("ifna(filter('Yahoo ADP'!$A$2:$A2766,'Yahoo ADP'!$B$2:$B2766=$B2680,$C2680='Yahoo ADP'!$C$2:$C2766,$D2680='Yahoo ADP'!$D$2:$D2766))"),"")</f>
        <v/>
      </c>
      <c r="F2680" s="13" t="str">
        <f>IFERROR(__xludf.DUMMYFUNCTION("ifna(filter('Yahoo ADP'!$E$2:$E2766,'Yahoo ADP'!$B$2:$B2766=$B2680,$C2680='Yahoo ADP'!$C$2:$C2766,$D2680='Yahoo ADP'!$D$2:$D2766))"),"-")</f>
        <v>-</v>
      </c>
      <c r="G2680" s="27">
        <v>2679.0</v>
      </c>
      <c r="H2680" s="8">
        <f t="shared" si="1"/>
        <v>0</v>
      </c>
    </row>
    <row r="2681">
      <c r="A2681" s="10">
        <v>2680.0</v>
      </c>
      <c r="B2681" s="11" t="s">
        <v>5518</v>
      </c>
      <c r="C2681" s="10" t="s">
        <v>240</v>
      </c>
      <c r="D2681" s="10" t="s">
        <v>206</v>
      </c>
      <c r="E2681" s="13" t="str">
        <f>IFERROR(__xludf.DUMMYFUNCTION("ifna(filter('Yahoo ADP'!$A$2:$A2766,'Yahoo ADP'!$B$2:$B2766=$B2681,$C2681='Yahoo ADP'!$C$2:$C2766,$D2681='Yahoo ADP'!$D$2:$D2766))"),"")</f>
        <v/>
      </c>
      <c r="F2681" s="13" t="str">
        <f>IFERROR(__xludf.DUMMYFUNCTION("ifna(filter('Yahoo ADP'!$E$2:$E2766,'Yahoo ADP'!$B$2:$B2766=$B2681,$C2681='Yahoo ADP'!$C$2:$C2766,$D2681='Yahoo ADP'!$D$2:$D2766))"),"-")</f>
        <v>-</v>
      </c>
      <c r="G2681" s="27">
        <v>2680.0</v>
      </c>
      <c r="H2681" s="8">
        <f t="shared" si="1"/>
        <v>0</v>
      </c>
    </row>
    <row r="2682">
      <c r="A2682" s="10">
        <v>2681.0</v>
      </c>
      <c r="B2682" s="11" t="s">
        <v>5519</v>
      </c>
      <c r="C2682" s="10" t="s">
        <v>39</v>
      </c>
      <c r="D2682" s="10" t="s">
        <v>18</v>
      </c>
      <c r="E2682" s="13" t="str">
        <f>IFERROR(__xludf.DUMMYFUNCTION("ifna(filter('Yahoo ADP'!$A$2:$A2766,'Yahoo ADP'!$B$2:$B2766=$B2682,$C2682='Yahoo ADP'!$C$2:$C2766,$D2682='Yahoo ADP'!$D$2:$D2766))"),"")</f>
        <v/>
      </c>
      <c r="F2682" s="13" t="str">
        <f>IFERROR(__xludf.DUMMYFUNCTION("ifna(filter('Yahoo ADP'!$E$2:$E2766,'Yahoo ADP'!$B$2:$B2766=$B2682,$C2682='Yahoo ADP'!$C$2:$C2766,$D2682='Yahoo ADP'!$D$2:$D2766))"),"-")</f>
        <v>-</v>
      </c>
      <c r="G2682" s="27">
        <v>2681.0</v>
      </c>
      <c r="H2682" s="8">
        <f t="shared" si="1"/>
        <v>0</v>
      </c>
    </row>
    <row r="2683">
      <c r="A2683" s="10">
        <v>2682.0</v>
      </c>
      <c r="B2683" s="11" t="s">
        <v>5520</v>
      </c>
      <c r="C2683" s="10" t="s">
        <v>14</v>
      </c>
      <c r="D2683" s="10" t="s">
        <v>15</v>
      </c>
      <c r="E2683" s="13" t="str">
        <f>IFERROR(__xludf.DUMMYFUNCTION("ifna(filter('Yahoo ADP'!$A$2:$A2766,'Yahoo ADP'!$B$2:$B2766=$B2683,$C2683='Yahoo ADP'!$C$2:$C2766,$D2683='Yahoo ADP'!$D$2:$D2766))"),"")</f>
        <v/>
      </c>
      <c r="F2683" s="13" t="str">
        <f>IFERROR(__xludf.DUMMYFUNCTION("ifna(filter('Yahoo ADP'!$E$2:$E2766,'Yahoo ADP'!$B$2:$B2766=$B2683,$C2683='Yahoo ADP'!$C$2:$C2766,$D2683='Yahoo ADP'!$D$2:$D2766))"),"-")</f>
        <v>-</v>
      </c>
      <c r="G2683" s="27">
        <v>2682.0</v>
      </c>
      <c r="H2683" s="8">
        <f t="shared" si="1"/>
        <v>0</v>
      </c>
    </row>
    <row r="2684">
      <c r="A2684" s="10">
        <v>2683.0</v>
      </c>
      <c r="B2684" s="11" t="s">
        <v>5521</v>
      </c>
      <c r="C2684" s="10" t="s">
        <v>8</v>
      </c>
      <c r="D2684" s="10" t="s">
        <v>67</v>
      </c>
      <c r="E2684" s="13" t="str">
        <f>IFERROR(__xludf.DUMMYFUNCTION("ifna(filter('Yahoo ADP'!$A$2:$A2766,'Yahoo ADP'!$B$2:$B2766=$B2684,$C2684='Yahoo ADP'!$C$2:$C2766,$D2684='Yahoo ADP'!$D$2:$D2766))"),"")</f>
        <v/>
      </c>
      <c r="F2684" s="13" t="str">
        <f>IFERROR(__xludf.DUMMYFUNCTION("ifna(filter('Yahoo ADP'!$E$2:$E2766,'Yahoo ADP'!$B$2:$B2766=$B2684,$C2684='Yahoo ADP'!$C$2:$C2766,$D2684='Yahoo ADP'!$D$2:$D2766))"),"-")</f>
        <v>-</v>
      </c>
      <c r="G2684" s="27">
        <v>2683.0</v>
      </c>
      <c r="H2684" s="8">
        <f t="shared" si="1"/>
        <v>0</v>
      </c>
    </row>
    <row r="2685">
      <c r="A2685" s="10">
        <v>2684.0</v>
      </c>
      <c r="B2685" s="11" t="s">
        <v>5522</v>
      </c>
      <c r="C2685" s="10" t="s">
        <v>14</v>
      </c>
      <c r="D2685" s="10" t="s">
        <v>18</v>
      </c>
      <c r="E2685" s="13" t="str">
        <f>IFERROR(__xludf.DUMMYFUNCTION("ifna(filter('Yahoo ADP'!$A$2:$A2766,'Yahoo ADP'!$B$2:$B2766=$B2685,$C2685='Yahoo ADP'!$C$2:$C2766,$D2685='Yahoo ADP'!$D$2:$D2766))"),"")</f>
        <v/>
      </c>
      <c r="F2685" s="13" t="str">
        <f>IFERROR(__xludf.DUMMYFUNCTION("ifna(filter('Yahoo ADP'!$E$2:$E2766,'Yahoo ADP'!$B$2:$B2766=$B2685,$C2685='Yahoo ADP'!$C$2:$C2766,$D2685='Yahoo ADP'!$D$2:$D2766))"),"-")</f>
        <v>-</v>
      </c>
      <c r="G2685" s="27">
        <v>2684.0</v>
      </c>
      <c r="H2685" s="8">
        <f t="shared" si="1"/>
        <v>0</v>
      </c>
    </row>
    <row r="2686">
      <c r="A2686" s="10">
        <v>2685.0</v>
      </c>
      <c r="B2686" s="11" t="s">
        <v>5523</v>
      </c>
      <c r="C2686" s="10" t="s">
        <v>77</v>
      </c>
      <c r="D2686" s="10" t="s">
        <v>46</v>
      </c>
      <c r="E2686" s="13" t="str">
        <f>IFERROR(__xludf.DUMMYFUNCTION("ifna(filter('Yahoo ADP'!$A$2:$A2766,'Yahoo ADP'!$B$2:$B2766=$B2686,$C2686='Yahoo ADP'!$C$2:$C2766,$D2686='Yahoo ADP'!$D$2:$D2766))"),"")</f>
        <v/>
      </c>
      <c r="F2686" s="13" t="str">
        <f>IFERROR(__xludf.DUMMYFUNCTION("ifna(filter('Yahoo ADP'!$E$2:$E2766,'Yahoo ADP'!$B$2:$B2766=$B2686,$C2686='Yahoo ADP'!$C$2:$C2766,$D2686='Yahoo ADP'!$D$2:$D2766))"),"-")</f>
        <v>-</v>
      </c>
      <c r="G2686" s="27">
        <v>2685.0</v>
      </c>
      <c r="H2686" s="8">
        <f t="shared" si="1"/>
        <v>0</v>
      </c>
    </row>
    <row r="2687">
      <c r="A2687" s="10">
        <v>2686.0</v>
      </c>
      <c r="B2687" s="11" t="s">
        <v>5524</v>
      </c>
      <c r="C2687" s="10" t="s">
        <v>1857</v>
      </c>
      <c r="D2687" s="10" t="s">
        <v>129</v>
      </c>
      <c r="E2687" s="13" t="str">
        <f>IFERROR(__xludf.DUMMYFUNCTION("ifna(filter('Yahoo ADP'!$A$2:$A2766,'Yahoo ADP'!$B$2:$B2766=$B2687,$C2687='Yahoo ADP'!$C$2:$C2766,$D2687='Yahoo ADP'!$D$2:$D2766))"),"")</f>
        <v/>
      </c>
      <c r="F2687" s="13" t="str">
        <f>IFERROR(__xludf.DUMMYFUNCTION("ifna(filter('Yahoo ADP'!$E$2:$E2766,'Yahoo ADP'!$B$2:$B2766=$B2687,$C2687='Yahoo ADP'!$C$2:$C2766,$D2687='Yahoo ADP'!$D$2:$D2766))"),"-")</f>
        <v>-</v>
      </c>
      <c r="G2687" s="27">
        <v>2686.0</v>
      </c>
      <c r="H2687" s="8">
        <f t="shared" si="1"/>
        <v>0</v>
      </c>
    </row>
    <row r="2688">
      <c r="A2688" s="10">
        <v>2687.0</v>
      </c>
      <c r="B2688" s="11" t="s">
        <v>5525</v>
      </c>
      <c r="C2688" s="10" t="s">
        <v>77</v>
      </c>
      <c r="D2688" s="10" t="s">
        <v>49</v>
      </c>
      <c r="E2688" s="13" t="str">
        <f>IFERROR(__xludf.DUMMYFUNCTION("ifna(filter('Yahoo ADP'!$A$2:$A2766,'Yahoo ADP'!$B$2:$B2766=$B2688,$C2688='Yahoo ADP'!$C$2:$C2766,$D2688='Yahoo ADP'!$D$2:$D2766))"),"")</f>
        <v/>
      </c>
      <c r="F2688" s="13" t="str">
        <f>IFERROR(__xludf.DUMMYFUNCTION("ifna(filter('Yahoo ADP'!$E$2:$E2766,'Yahoo ADP'!$B$2:$B2766=$B2688,$C2688='Yahoo ADP'!$C$2:$C2766,$D2688='Yahoo ADP'!$D$2:$D2766))"),"-")</f>
        <v>-</v>
      </c>
      <c r="G2688" s="27">
        <v>2687.0</v>
      </c>
      <c r="H2688" s="8">
        <f t="shared" si="1"/>
        <v>0</v>
      </c>
    </row>
    <row r="2689">
      <c r="A2689" s="10">
        <v>2688.0</v>
      </c>
      <c r="B2689" s="11" t="s">
        <v>5526</v>
      </c>
      <c r="C2689" s="10" t="s">
        <v>48</v>
      </c>
      <c r="D2689" s="10" t="s">
        <v>113</v>
      </c>
      <c r="E2689" s="13" t="str">
        <f>IFERROR(__xludf.DUMMYFUNCTION("ifna(filter('Yahoo ADP'!$A$2:$A2766,'Yahoo ADP'!$B$2:$B2766=$B2689,$C2689='Yahoo ADP'!$C$2:$C2766,$D2689='Yahoo ADP'!$D$2:$D2766))"),"")</f>
        <v/>
      </c>
      <c r="F2689" s="13" t="str">
        <f>IFERROR(__xludf.DUMMYFUNCTION("ifna(filter('Yahoo ADP'!$E$2:$E2766,'Yahoo ADP'!$B$2:$B2766=$B2689,$C2689='Yahoo ADP'!$C$2:$C2766,$D2689='Yahoo ADP'!$D$2:$D2766))"),"-")</f>
        <v>-</v>
      </c>
      <c r="G2689" s="27">
        <v>2688.0</v>
      </c>
      <c r="H2689" s="8">
        <f t="shared" si="1"/>
        <v>0</v>
      </c>
    </row>
    <row r="2690">
      <c r="A2690" s="10">
        <v>2689.0</v>
      </c>
      <c r="B2690" s="11" t="s">
        <v>5527</v>
      </c>
      <c r="C2690" s="10" t="s">
        <v>77</v>
      </c>
      <c r="D2690" s="10" t="s">
        <v>137</v>
      </c>
      <c r="E2690" s="13" t="str">
        <f>IFERROR(__xludf.DUMMYFUNCTION("ifna(filter('Yahoo ADP'!$A$2:$A2766,'Yahoo ADP'!$B$2:$B2766=$B2690,$C2690='Yahoo ADP'!$C$2:$C2766,$D2690='Yahoo ADP'!$D$2:$D2766))"),"")</f>
        <v/>
      </c>
      <c r="F2690" s="13" t="str">
        <f>IFERROR(__xludf.DUMMYFUNCTION("ifna(filter('Yahoo ADP'!$E$2:$E2766,'Yahoo ADP'!$B$2:$B2766=$B2690,$C2690='Yahoo ADP'!$C$2:$C2766,$D2690='Yahoo ADP'!$D$2:$D2766))"),"-")</f>
        <v>-</v>
      </c>
      <c r="G2690" s="27">
        <v>2689.0</v>
      </c>
      <c r="H2690" s="8">
        <f t="shared" si="1"/>
        <v>0</v>
      </c>
    </row>
    <row r="2691">
      <c r="A2691" s="10">
        <v>2690.0</v>
      </c>
      <c r="B2691" s="11" t="s">
        <v>5528</v>
      </c>
      <c r="C2691" s="10" t="s">
        <v>48</v>
      </c>
      <c r="D2691" s="10" t="s">
        <v>36</v>
      </c>
      <c r="E2691" s="13" t="str">
        <f>IFERROR(__xludf.DUMMYFUNCTION("ifna(filter('Yahoo ADP'!$A$2:$A2766,'Yahoo ADP'!$B$2:$B2766=$B2691,$C2691='Yahoo ADP'!$C$2:$C2766,$D2691='Yahoo ADP'!$D$2:$D2766))"),"")</f>
        <v/>
      </c>
      <c r="F2691" s="13" t="str">
        <f>IFERROR(__xludf.DUMMYFUNCTION("ifna(filter('Yahoo ADP'!$E$2:$E2766,'Yahoo ADP'!$B$2:$B2766=$B2691,$C2691='Yahoo ADP'!$C$2:$C2766,$D2691='Yahoo ADP'!$D$2:$D2766))"),"-")</f>
        <v>-</v>
      </c>
      <c r="G2691" s="27">
        <v>2690.0</v>
      </c>
      <c r="H2691" s="8">
        <f t="shared" si="1"/>
        <v>0</v>
      </c>
    </row>
    <row r="2692">
      <c r="A2692" s="10">
        <v>2691.0</v>
      </c>
      <c r="B2692" s="11" t="s">
        <v>5529</v>
      </c>
      <c r="C2692" s="10" t="s">
        <v>39</v>
      </c>
      <c r="D2692" s="10" t="s">
        <v>99</v>
      </c>
      <c r="E2692" s="13" t="str">
        <f>IFERROR(__xludf.DUMMYFUNCTION("ifna(filter('Yahoo ADP'!$A$2:$A2766,'Yahoo ADP'!$B$2:$B2766=$B2692,$C2692='Yahoo ADP'!$C$2:$C2766,$D2692='Yahoo ADP'!$D$2:$D2766))"),"")</f>
        <v/>
      </c>
      <c r="F2692" s="13" t="str">
        <f>IFERROR(__xludf.DUMMYFUNCTION("ifna(filter('Yahoo ADP'!$E$2:$E2766,'Yahoo ADP'!$B$2:$B2766=$B2692,$C2692='Yahoo ADP'!$C$2:$C2766,$D2692='Yahoo ADP'!$D$2:$D2766))"),"-")</f>
        <v>-</v>
      </c>
      <c r="G2692" s="27">
        <v>2691.0</v>
      </c>
      <c r="H2692" s="8">
        <f t="shared" si="1"/>
        <v>0</v>
      </c>
    </row>
    <row r="2693">
      <c r="A2693" s="10">
        <v>2692.0</v>
      </c>
      <c r="B2693" s="11" t="s">
        <v>5530</v>
      </c>
      <c r="C2693" s="10" t="s">
        <v>77</v>
      </c>
      <c r="D2693" s="10" t="s">
        <v>71</v>
      </c>
      <c r="E2693" s="13" t="str">
        <f>IFERROR(__xludf.DUMMYFUNCTION("ifna(filter('Yahoo ADP'!$A$2:$A2766,'Yahoo ADP'!$B$2:$B2766=$B2693,$C2693='Yahoo ADP'!$C$2:$C2766,$D2693='Yahoo ADP'!$D$2:$D2766))"),"")</f>
        <v/>
      </c>
      <c r="F2693" s="13" t="str">
        <f>IFERROR(__xludf.DUMMYFUNCTION("ifna(filter('Yahoo ADP'!$E$2:$E2766,'Yahoo ADP'!$B$2:$B2766=$B2693,$C2693='Yahoo ADP'!$C$2:$C2766,$D2693='Yahoo ADP'!$D$2:$D2766))"),"-")</f>
        <v>-</v>
      </c>
      <c r="G2693" s="27">
        <v>2692.0</v>
      </c>
      <c r="H2693" s="8">
        <f t="shared" si="1"/>
        <v>0</v>
      </c>
    </row>
    <row r="2694">
      <c r="A2694" s="10">
        <v>2693.0</v>
      </c>
      <c r="B2694" s="11" t="s">
        <v>5531</v>
      </c>
      <c r="C2694" s="10" t="s">
        <v>77</v>
      </c>
      <c r="D2694" s="10" t="s">
        <v>206</v>
      </c>
      <c r="E2694" s="13" t="str">
        <f>IFERROR(__xludf.DUMMYFUNCTION("ifna(filter('Yahoo ADP'!$A$2:$A2766,'Yahoo ADP'!$B$2:$B2766=$B2694,$C2694='Yahoo ADP'!$C$2:$C2766,$D2694='Yahoo ADP'!$D$2:$D2766))"),"")</f>
        <v/>
      </c>
      <c r="F2694" s="13" t="str">
        <f>IFERROR(__xludf.DUMMYFUNCTION("ifna(filter('Yahoo ADP'!$E$2:$E2766,'Yahoo ADP'!$B$2:$B2766=$B2694,$C2694='Yahoo ADP'!$C$2:$C2766,$D2694='Yahoo ADP'!$D$2:$D2766))"),"-")</f>
        <v>-</v>
      </c>
      <c r="G2694" s="27">
        <v>2693.0</v>
      </c>
      <c r="H2694" s="8">
        <f t="shared" si="1"/>
        <v>0</v>
      </c>
    </row>
    <row r="2695">
      <c r="A2695" s="10">
        <v>2694.0</v>
      </c>
      <c r="B2695" s="11" t="s">
        <v>5532</v>
      </c>
      <c r="C2695" s="10" t="s">
        <v>77</v>
      </c>
      <c r="D2695" s="10" t="s">
        <v>31</v>
      </c>
      <c r="E2695" s="13" t="str">
        <f>IFERROR(__xludf.DUMMYFUNCTION("ifna(filter('Yahoo ADP'!$A$2:$A2766,'Yahoo ADP'!$B$2:$B2766=$B2695,$C2695='Yahoo ADP'!$C$2:$C2766,$D2695='Yahoo ADP'!$D$2:$D2766))"),"")</f>
        <v/>
      </c>
      <c r="F2695" s="13" t="str">
        <f>IFERROR(__xludf.DUMMYFUNCTION("ifna(filter('Yahoo ADP'!$E$2:$E2766,'Yahoo ADP'!$B$2:$B2766=$B2695,$C2695='Yahoo ADP'!$C$2:$C2766,$D2695='Yahoo ADP'!$D$2:$D2766))"),"-")</f>
        <v>-</v>
      </c>
      <c r="G2695" s="27">
        <v>2694.0</v>
      </c>
      <c r="H2695" s="8">
        <f t="shared" si="1"/>
        <v>0</v>
      </c>
    </row>
    <row r="2696">
      <c r="A2696" s="10">
        <v>2695.0</v>
      </c>
      <c r="B2696" s="11" t="s">
        <v>5533</v>
      </c>
      <c r="C2696" s="10" t="s">
        <v>8</v>
      </c>
      <c r="D2696" s="10" t="s">
        <v>73</v>
      </c>
      <c r="E2696" s="13" t="str">
        <f>IFERROR(__xludf.DUMMYFUNCTION("ifna(filter('Yahoo ADP'!$A$2:$A2766,'Yahoo ADP'!$B$2:$B2766=$B2696,$C2696='Yahoo ADP'!$C$2:$C2766,$D2696='Yahoo ADP'!$D$2:$D2766))"),"")</f>
        <v/>
      </c>
      <c r="F2696" s="13" t="str">
        <f>IFERROR(__xludf.DUMMYFUNCTION("ifna(filter('Yahoo ADP'!$E$2:$E2766,'Yahoo ADP'!$B$2:$B2766=$B2696,$C2696='Yahoo ADP'!$C$2:$C2766,$D2696='Yahoo ADP'!$D$2:$D2766))"),"-")</f>
        <v>-</v>
      </c>
      <c r="G2696" s="27">
        <v>2695.0</v>
      </c>
      <c r="H2696" s="8">
        <f t="shared" si="1"/>
        <v>0</v>
      </c>
    </row>
    <row r="2697">
      <c r="A2697" s="10">
        <v>2696.0</v>
      </c>
      <c r="B2697" s="11" t="s">
        <v>5534</v>
      </c>
      <c r="C2697" s="10" t="s">
        <v>11</v>
      </c>
      <c r="D2697" s="10" t="s">
        <v>140</v>
      </c>
      <c r="E2697" s="13" t="str">
        <f>IFERROR(__xludf.DUMMYFUNCTION("ifna(filter('Yahoo ADP'!$A$2:$A2766,'Yahoo ADP'!$B$2:$B2766=$B2697,$C2697='Yahoo ADP'!$C$2:$C2766,$D2697='Yahoo ADP'!$D$2:$D2766))"),"")</f>
        <v/>
      </c>
      <c r="F2697" s="13" t="str">
        <f>IFERROR(__xludf.DUMMYFUNCTION("ifna(filter('Yahoo ADP'!$E$2:$E2766,'Yahoo ADP'!$B$2:$B2766=$B2697,$C2697='Yahoo ADP'!$C$2:$C2766,$D2697='Yahoo ADP'!$D$2:$D2766))"),"-")</f>
        <v>-</v>
      </c>
      <c r="G2697" s="27">
        <v>2696.0</v>
      </c>
      <c r="H2697" s="8">
        <f t="shared" si="1"/>
        <v>0</v>
      </c>
    </row>
    <row r="2698">
      <c r="A2698" s="10">
        <v>2697.0</v>
      </c>
      <c r="B2698" s="11" t="s">
        <v>5535</v>
      </c>
      <c r="C2698" s="10" t="s">
        <v>240</v>
      </c>
      <c r="D2698" s="10" t="s">
        <v>85</v>
      </c>
      <c r="E2698" s="13" t="str">
        <f>IFERROR(__xludf.DUMMYFUNCTION("ifna(filter('Yahoo ADP'!$A$2:$A2766,'Yahoo ADP'!$B$2:$B2766=$B2698,$C2698='Yahoo ADP'!$C$2:$C2766,$D2698='Yahoo ADP'!$D$2:$D2766))"),"")</f>
        <v/>
      </c>
      <c r="F2698" s="13" t="str">
        <f>IFERROR(__xludf.DUMMYFUNCTION("ifna(filter('Yahoo ADP'!$E$2:$E2766,'Yahoo ADP'!$B$2:$B2766=$B2698,$C2698='Yahoo ADP'!$C$2:$C2766,$D2698='Yahoo ADP'!$D$2:$D2766))"),"-")</f>
        <v>-</v>
      </c>
      <c r="G2698" s="27">
        <v>2697.0</v>
      </c>
      <c r="H2698" s="8">
        <f t="shared" si="1"/>
        <v>0</v>
      </c>
    </row>
    <row r="2699">
      <c r="A2699" s="10">
        <v>2698.0</v>
      </c>
      <c r="B2699" s="11" t="s">
        <v>5536</v>
      </c>
      <c r="C2699" s="10" t="s">
        <v>176</v>
      </c>
      <c r="D2699" s="10" t="s">
        <v>85</v>
      </c>
      <c r="E2699" s="13" t="str">
        <f>IFERROR(__xludf.DUMMYFUNCTION("ifna(filter('Yahoo ADP'!$A$2:$A2766,'Yahoo ADP'!$B$2:$B2766=$B2699,$C2699='Yahoo ADP'!$C$2:$C2766,$D2699='Yahoo ADP'!$D$2:$D2766))"),"")</f>
        <v/>
      </c>
      <c r="F2699" s="13" t="str">
        <f>IFERROR(__xludf.DUMMYFUNCTION("ifna(filter('Yahoo ADP'!$E$2:$E2766,'Yahoo ADP'!$B$2:$B2766=$B2699,$C2699='Yahoo ADP'!$C$2:$C2766,$D2699='Yahoo ADP'!$D$2:$D2766))"),"-")</f>
        <v>-</v>
      </c>
      <c r="G2699" s="27">
        <v>2698.0</v>
      </c>
      <c r="H2699" s="8">
        <f t="shared" si="1"/>
        <v>0</v>
      </c>
    </row>
    <row r="2700">
      <c r="A2700" s="10">
        <v>2699.0</v>
      </c>
      <c r="B2700" s="11" t="s">
        <v>5537</v>
      </c>
      <c r="C2700" s="10" t="s">
        <v>77</v>
      </c>
      <c r="D2700" s="10" t="s">
        <v>90</v>
      </c>
      <c r="E2700" s="13" t="str">
        <f>IFERROR(__xludf.DUMMYFUNCTION("ifna(filter('Yahoo ADP'!$A$2:$A2766,'Yahoo ADP'!$B$2:$B2766=$B2700,$C2700='Yahoo ADP'!$C$2:$C2766,$D2700='Yahoo ADP'!$D$2:$D2766))"),"")</f>
        <v/>
      </c>
      <c r="F2700" s="13" t="str">
        <f>IFERROR(__xludf.DUMMYFUNCTION("ifna(filter('Yahoo ADP'!$E$2:$E2766,'Yahoo ADP'!$B$2:$B2766=$B2700,$C2700='Yahoo ADP'!$C$2:$C2766,$D2700='Yahoo ADP'!$D$2:$D2766))"),"-")</f>
        <v>-</v>
      </c>
      <c r="G2700" s="27">
        <v>2699.0</v>
      </c>
      <c r="H2700" s="8">
        <f t="shared" si="1"/>
        <v>0</v>
      </c>
    </row>
    <row r="2701">
      <c r="A2701" s="10">
        <v>2700.0</v>
      </c>
      <c r="B2701" s="11" t="s">
        <v>5538</v>
      </c>
      <c r="C2701" s="10" t="s">
        <v>77</v>
      </c>
      <c r="D2701" s="10" t="s">
        <v>95</v>
      </c>
      <c r="E2701" s="13" t="str">
        <f>IFERROR(__xludf.DUMMYFUNCTION("ifna(filter('Yahoo ADP'!$A$2:$A2766,'Yahoo ADP'!$B$2:$B2766=$B2701,$C2701='Yahoo ADP'!$C$2:$C2766,$D2701='Yahoo ADP'!$D$2:$D2766))"),"")</f>
        <v/>
      </c>
      <c r="F2701" s="13" t="str">
        <f>IFERROR(__xludf.DUMMYFUNCTION("ifna(filter('Yahoo ADP'!$E$2:$E2766,'Yahoo ADP'!$B$2:$B2766=$B2701,$C2701='Yahoo ADP'!$C$2:$C2766,$D2701='Yahoo ADP'!$D$2:$D2766))"),"-")</f>
        <v>-</v>
      </c>
      <c r="G2701" s="27">
        <v>2700.0</v>
      </c>
      <c r="H2701" s="8">
        <f t="shared" si="1"/>
        <v>0</v>
      </c>
    </row>
    <row r="2702">
      <c r="A2702" s="10">
        <v>2701.0</v>
      </c>
      <c r="B2702" s="11" t="s">
        <v>5539</v>
      </c>
      <c r="C2702" s="10" t="s">
        <v>33</v>
      </c>
      <c r="D2702" s="10" t="s">
        <v>36</v>
      </c>
      <c r="E2702" s="13" t="str">
        <f>IFERROR(__xludf.DUMMYFUNCTION("ifna(filter('Yahoo ADP'!$A$2:$A2766,'Yahoo ADP'!$B$2:$B2766=$B2702,$C2702='Yahoo ADP'!$C$2:$C2766,$D2702='Yahoo ADP'!$D$2:$D2766))"),"")</f>
        <v/>
      </c>
      <c r="F2702" s="13" t="str">
        <f>IFERROR(__xludf.DUMMYFUNCTION("ifna(filter('Yahoo ADP'!$E$2:$E2766,'Yahoo ADP'!$B$2:$B2766=$B2702,$C2702='Yahoo ADP'!$C$2:$C2766,$D2702='Yahoo ADP'!$D$2:$D2766))"),"-")</f>
        <v>-</v>
      </c>
      <c r="G2702" s="27">
        <v>2701.0</v>
      </c>
      <c r="H2702" s="8">
        <f t="shared" si="1"/>
        <v>0</v>
      </c>
    </row>
    <row r="2703">
      <c r="A2703" s="10">
        <v>2702.0</v>
      </c>
      <c r="B2703" s="11" t="s">
        <v>5540</v>
      </c>
      <c r="C2703" s="10" t="s">
        <v>17</v>
      </c>
      <c r="D2703" s="10" t="s">
        <v>129</v>
      </c>
      <c r="E2703" s="13" t="str">
        <f>IFERROR(__xludf.DUMMYFUNCTION("ifna(filter('Yahoo ADP'!$A$2:$A2766,'Yahoo ADP'!$B$2:$B2766=$B2703,$C2703='Yahoo ADP'!$C$2:$C2766,$D2703='Yahoo ADP'!$D$2:$D2766))"),"")</f>
        <v/>
      </c>
      <c r="F2703" s="13" t="str">
        <f>IFERROR(__xludf.DUMMYFUNCTION("ifna(filter('Yahoo ADP'!$E$2:$E2766,'Yahoo ADP'!$B$2:$B2766=$B2703,$C2703='Yahoo ADP'!$C$2:$C2766,$D2703='Yahoo ADP'!$D$2:$D2766))"),"-")</f>
        <v>-</v>
      </c>
      <c r="G2703" s="27">
        <v>2702.0</v>
      </c>
      <c r="H2703" s="8">
        <f t="shared" si="1"/>
        <v>0</v>
      </c>
    </row>
    <row r="2704">
      <c r="A2704" s="10">
        <v>2703.0</v>
      </c>
      <c r="B2704" s="11" t="s">
        <v>5541</v>
      </c>
      <c r="C2704" s="10" t="s">
        <v>148</v>
      </c>
      <c r="D2704" s="10" t="s">
        <v>18</v>
      </c>
      <c r="E2704" s="13" t="str">
        <f>IFERROR(__xludf.DUMMYFUNCTION("ifna(filter('Yahoo ADP'!$A$2:$A2766,'Yahoo ADP'!$B$2:$B2766=$B2704,$C2704='Yahoo ADP'!$C$2:$C2766,$D2704='Yahoo ADP'!$D$2:$D2766))"),"")</f>
        <v/>
      </c>
      <c r="F2704" s="13" t="str">
        <f>IFERROR(__xludf.DUMMYFUNCTION("ifna(filter('Yahoo ADP'!$E$2:$E2766,'Yahoo ADP'!$B$2:$B2766=$B2704,$C2704='Yahoo ADP'!$C$2:$C2766,$D2704='Yahoo ADP'!$D$2:$D2766))"),"-")</f>
        <v>-</v>
      </c>
      <c r="G2704" s="27">
        <v>2703.0</v>
      </c>
      <c r="H2704" s="8">
        <f t="shared" si="1"/>
        <v>0</v>
      </c>
    </row>
    <row r="2705">
      <c r="A2705" s="10">
        <v>2704.0</v>
      </c>
      <c r="B2705" s="11" t="s">
        <v>5542</v>
      </c>
      <c r="C2705" s="10" t="s">
        <v>17</v>
      </c>
      <c r="D2705" s="10" t="s">
        <v>137</v>
      </c>
      <c r="E2705" s="13" t="str">
        <f>IFERROR(__xludf.DUMMYFUNCTION("ifna(filter('Yahoo ADP'!$A$2:$A2766,'Yahoo ADP'!$B$2:$B2766=$B2705,$C2705='Yahoo ADP'!$C$2:$C2766,$D2705='Yahoo ADP'!$D$2:$D2766))"),"")</f>
        <v/>
      </c>
      <c r="F2705" s="13" t="str">
        <f>IFERROR(__xludf.DUMMYFUNCTION("ifna(filter('Yahoo ADP'!$E$2:$E2766,'Yahoo ADP'!$B$2:$B2766=$B2705,$C2705='Yahoo ADP'!$C$2:$C2766,$D2705='Yahoo ADP'!$D$2:$D2766))"),"-")</f>
        <v>-</v>
      </c>
      <c r="G2705" s="27">
        <v>2704.0</v>
      </c>
      <c r="H2705" s="8">
        <f t="shared" si="1"/>
        <v>0</v>
      </c>
    </row>
    <row r="2706">
      <c r="A2706" s="10">
        <v>2705.0</v>
      </c>
      <c r="B2706" s="11" t="s">
        <v>5543</v>
      </c>
      <c r="C2706" s="10" t="s">
        <v>240</v>
      </c>
      <c r="D2706" s="10" t="s">
        <v>36</v>
      </c>
      <c r="E2706" s="13" t="str">
        <f>IFERROR(__xludf.DUMMYFUNCTION("ifna(filter('Yahoo ADP'!$A$2:$A2766,'Yahoo ADP'!$B$2:$B2766=$B2706,$C2706='Yahoo ADP'!$C$2:$C2766,$D2706='Yahoo ADP'!$D$2:$D2766))"),"")</f>
        <v/>
      </c>
      <c r="F2706" s="13" t="str">
        <f>IFERROR(__xludf.DUMMYFUNCTION("ifna(filter('Yahoo ADP'!$E$2:$E2766,'Yahoo ADP'!$B$2:$B2766=$B2706,$C2706='Yahoo ADP'!$C$2:$C2766,$D2706='Yahoo ADP'!$D$2:$D2766))"),"-")</f>
        <v>-</v>
      </c>
      <c r="G2706" s="27">
        <v>2705.0</v>
      </c>
      <c r="H2706" s="8">
        <f t="shared" si="1"/>
        <v>0</v>
      </c>
    </row>
    <row r="2707">
      <c r="A2707" s="10">
        <v>2706.0</v>
      </c>
      <c r="B2707" s="11" t="s">
        <v>5544</v>
      </c>
      <c r="C2707" s="10" t="s">
        <v>48</v>
      </c>
      <c r="D2707" s="10" t="s">
        <v>73</v>
      </c>
      <c r="E2707" s="13" t="str">
        <f>IFERROR(__xludf.DUMMYFUNCTION("ifna(filter('Yahoo ADP'!$A$2:$A2766,'Yahoo ADP'!$B$2:$B2766=$B2707,$C2707='Yahoo ADP'!$C$2:$C2766,$D2707='Yahoo ADP'!$D$2:$D2766))"),"")</f>
        <v/>
      </c>
      <c r="F2707" s="13" t="str">
        <f>IFERROR(__xludf.DUMMYFUNCTION("ifna(filter('Yahoo ADP'!$E$2:$E2766,'Yahoo ADP'!$B$2:$B2766=$B2707,$C2707='Yahoo ADP'!$C$2:$C2766,$D2707='Yahoo ADP'!$D$2:$D2766))"),"-")</f>
        <v>-</v>
      </c>
      <c r="G2707" s="27">
        <v>2706.0</v>
      </c>
      <c r="H2707" s="8">
        <f t="shared" si="1"/>
        <v>0</v>
      </c>
    </row>
    <row r="2708">
      <c r="A2708" s="10">
        <v>2707.0</v>
      </c>
      <c r="B2708" s="11" t="s">
        <v>5545</v>
      </c>
      <c r="C2708" s="10" t="s">
        <v>48</v>
      </c>
      <c r="D2708" s="10" t="s">
        <v>73</v>
      </c>
      <c r="E2708" s="13" t="str">
        <f>IFERROR(__xludf.DUMMYFUNCTION("ifna(filter('Yahoo ADP'!$A$2:$A2766,'Yahoo ADP'!$B$2:$B2766=$B2708,$C2708='Yahoo ADP'!$C$2:$C2766,$D2708='Yahoo ADP'!$D$2:$D2766))"),"")</f>
        <v/>
      </c>
      <c r="F2708" s="13" t="str">
        <f>IFERROR(__xludf.DUMMYFUNCTION("ifna(filter('Yahoo ADP'!$E$2:$E2766,'Yahoo ADP'!$B$2:$B2766=$B2708,$C2708='Yahoo ADP'!$C$2:$C2766,$D2708='Yahoo ADP'!$D$2:$D2766))"),"-")</f>
        <v>-</v>
      </c>
      <c r="G2708" s="27">
        <v>2707.0</v>
      </c>
      <c r="H2708" s="8">
        <f t="shared" si="1"/>
        <v>0</v>
      </c>
    </row>
    <row r="2709">
      <c r="A2709" s="10">
        <v>2708.0</v>
      </c>
      <c r="B2709" s="11" t="s">
        <v>5546</v>
      </c>
      <c r="C2709" s="10" t="s">
        <v>39</v>
      </c>
      <c r="D2709" s="10" t="s">
        <v>31</v>
      </c>
      <c r="E2709" s="13" t="str">
        <f>IFERROR(__xludf.DUMMYFUNCTION("ifna(filter('Yahoo ADP'!$A$2:$A2766,'Yahoo ADP'!$B$2:$B2766=$B2709,$C2709='Yahoo ADP'!$C$2:$C2766,$D2709='Yahoo ADP'!$D$2:$D2766))"),"")</f>
        <v/>
      </c>
      <c r="F2709" s="13" t="str">
        <f>IFERROR(__xludf.DUMMYFUNCTION("ifna(filter('Yahoo ADP'!$E$2:$E2766,'Yahoo ADP'!$B$2:$B2766=$B2709,$C2709='Yahoo ADP'!$C$2:$C2766,$D2709='Yahoo ADP'!$D$2:$D2766))"),"-")</f>
        <v>-</v>
      </c>
      <c r="G2709" s="27">
        <v>2708.0</v>
      </c>
      <c r="H2709" s="8">
        <f t="shared" si="1"/>
        <v>0</v>
      </c>
    </row>
    <row r="2710">
      <c r="A2710" s="10">
        <v>2709.0</v>
      </c>
      <c r="B2710" s="11" t="s">
        <v>5547</v>
      </c>
      <c r="C2710" s="10" t="s">
        <v>17</v>
      </c>
      <c r="D2710" s="10" t="s">
        <v>71</v>
      </c>
      <c r="E2710" s="13" t="str">
        <f>IFERROR(__xludf.DUMMYFUNCTION("ifna(filter('Yahoo ADP'!$A$2:$A2766,'Yahoo ADP'!$B$2:$B2766=$B2710,$C2710='Yahoo ADP'!$C$2:$C2766,$D2710='Yahoo ADP'!$D$2:$D2766))"),"")</f>
        <v/>
      </c>
      <c r="F2710" s="13" t="str">
        <f>IFERROR(__xludf.DUMMYFUNCTION("ifna(filter('Yahoo ADP'!$E$2:$E2766,'Yahoo ADP'!$B$2:$B2766=$B2710,$C2710='Yahoo ADP'!$C$2:$C2766,$D2710='Yahoo ADP'!$D$2:$D2766))"),"-")</f>
        <v>-</v>
      </c>
      <c r="G2710" s="27">
        <v>2709.0</v>
      </c>
      <c r="H2710" s="8">
        <f t="shared" si="1"/>
        <v>0</v>
      </c>
    </row>
    <row r="2711">
      <c r="A2711" s="10">
        <v>2710.0</v>
      </c>
      <c r="B2711" s="11" t="s">
        <v>5548</v>
      </c>
      <c r="C2711" s="10" t="s">
        <v>11</v>
      </c>
      <c r="D2711" s="10" t="s">
        <v>71</v>
      </c>
      <c r="E2711" s="13" t="str">
        <f>IFERROR(__xludf.DUMMYFUNCTION("ifna(filter('Yahoo ADP'!$A$2:$A2766,'Yahoo ADP'!$B$2:$B2766=$B2711,$C2711='Yahoo ADP'!$C$2:$C2766,$D2711='Yahoo ADP'!$D$2:$D2766))"),"")</f>
        <v/>
      </c>
      <c r="F2711" s="13" t="str">
        <f>IFERROR(__xludf.DUMMYFUNCTION("ifna(filter('Yahoo ADP'!$E$2:$E2766,'Yahoo ADP'!$B$2:$B2766=$B2711,$C2711='Yahoo ADP'!$C$2:$C2766,$D2711='Yahoo ADP'!$D$2:$D2766))"),"-")</f>
        <v>-</v>
      </c>
      <c r="G2711" s="27">
        <v>2710.0</v>
      </c>
      <c r="H2711" s="8">
        <f t="shared" si="1"/>
        <v>0</v>
      </c>
    </row>
    <row r="2712">
      <c r="A2712" s="10">
        <v>2711.0</v>
      </c>
      <c r="B2712" s="11" t="s">
        <v>5549</v>
      </c>
      <c r="C2712" s="10" t="s">
        <v>77</v>
      </c>
      <c r="D2712" s="10" t="s">
        <v>85</v>
      </c>
      <c r="E2712" s="13" t="str">
        <f>IFERROR(__xludf.DUMMYFUNCTION("ifna(filter('Yahoo ADP'!$A$2:$A2766,'Yahoo ADP'!$B$2:$B2766=$B2712,$C2712='Yahoo ADP'!$C$2:$C2766,$D2712='Yahoo ADP'!$D$2:$D2766))"),"")</f>
        <v/>
      </c>
      <c r="F2712" s="13" t="str">
        <f>IFERROR(__xludf.DUMMYFUNCTION("ifna(filter('Yahoo ADP'!$E$2:$E2766,'Yahoo ADP'!$B$2:$B2766=$B2712,$C2712='Yahoo ADP'!$C$2:$C2766,$D2712='Yahoo ADP'!$D$2:$D2766))"),"-")</f>
        <v>-</v>
      </c>
      <c r="G2712" s="27">
        <v>2711.0</v>
      </c>
      <c r="H2712" s="8">
        <f t="shared" si="1"/>
        <v>0</v>
      </c>
    </row>
    <row r="2713">
      <c r="A2713" s="10">
        <v>2712.0</v>
      </c>
      <c r="B2713" s="11" t="s">
        <v>5550</v>
      </c>
      <c r="C2713" s="10" t="s">
        <v>33</v>
      </c>
      <c r="D2713" s="10" t="s">
        <v>113</v>
      </c>
      <c r="E2713" s="13" t="str">
        <f>IFERROR(__xludf.DUMMYFUNCTION("ifna(filter('Yahoo ADP'!$A$2:$A2766,'Yahoo ADP'!$B$2:$B2766=$B2713,$C2713='Yahoo ADP'!$C$2:$C2766,$D2713='Yahoo ADP'!$D$2:$D2766))"),"")</f>
        <v/>
      </c>
      <c r="F2713" s="13" t="str">
        <f>IFERROR(__xludf.DUMMYFUNCTION("ifna(filter('Yahoo ADP'!$E$2:$E2766,'Yahoo ADP'!$B$2:$B2766=$B2713,$C2713='Yahoo ADP'!$C$2:$C2766,$D2713='Yahoo ADP'!$D$2:$D2766))"),"-")</f>
        <v>-</v>
      </c>
      <c r="G2713" s="27">
        <v>2712.0</v>
      </c>
      <c r="H2713" s="8">
        <f t="shared" si="1"/>
        <v>0</v>
      </c>
    </row>
    <row r="2714">
      <c r="A2714" s="10">
        <v>2713.0</v>
      </c>
      <c r="B2714" s="11" t="s">
        <v>5551</v>
      </c>
      <c r="C2714" s="10" t="s">
        <v>39</v>
      </c>
      <c r="D2714" s="10" t="s">
        <v>82</v>
      </c>
      <c r="E2714" s="13" t="str">
        <f>IFERROR(__xludf.DUMMYFUNCTION("ifna(filter('Yahoo ADP'!$A$2:$A2766,'Yahoo ADP'!$B$2:$B2766=$B2714,$C2714='Yahoo ADP'!$C$2:$C2766,$D2714='Yahoo ADP'!$D$2:$D2766))"),"")</f>
        <v/>
      </c>
      <c r="F2714" s="13" t="str">
        <f>IFERROR(__xludf.DUMMYFUNCTION("ifna(filter('Yahoo ADP'!$E$2:$E2766,'Yahoo ADP'!$B$2:$B2766=$B2714,$C2714='Yahoo ADP'!$C$2:$C2766,$D2714='Yahoo ADP'!$D$2:$D2766))"),"-")</f>
        <v>-</v>
      </c>
      <c r="G2714" s="27">
        <v>2713.0</v>
      </c>
      <c r="H2714" s="8">
        <f t="shared" si="1"/>
        <v>0</v>
      </c>
    </row>
    <row r="2715">
      <c r="A2715" s="10">
        <v>2714.0</v>
      </c>
      <c r="B2715" s="11" t="s">
        <v>5552</v>
      </c>
      <c r="C2715" s="10" t="s">
        <v>77</v>
      </c>
      <c r="D2715" s="10" t="s">
        <v>73</v>
      </c>
      <c r="E2715" s="13" t="str">
        <f>IFERROR(__xludf.DUMMYFUNCTION("ifna(filter('Yahoo ADP'!$A$2:$A2766,'Yahoo ADP'!$B$2:$B2766=$B2715,$C2715='Yahoo ADP'!$C$2:$C2766,$D2715='Yahoo ADP'!$D$2:$D2766))"),"")</f>
        <v/>
      </c>
      <c r="F2715" s="13" t="str">
        <f>IFERROR(__xludf.DUMMYFUNCTION("ifna(filter('Yahoo ADP'!$E$2:$E2766,'Yahoo ADP'!$B$2:$B2766=$B2715,$C2715='Yahoo ADP'!$C$2:$C2766,$D2715='Yahoo ADP'!$D$2:$D2766))"),"-")</f>
        <v>-</v>
      </c>
      <c r="G2715" s="27" t="s">
        <v>2897</v>
      </c>
      <c r="H2715" s="8" t="str">
        <f t="shared" si="1"/>
        <v/>
      </c>
    </row>
    <row r="2716">
      <c r="A2716" s="10">
        <v>2715.0</v>
      </c>
      <c r="B2716" s="11" t="s">
        <v>5553</v>
      </c>
      <c r="C2716" s="10" t="s">
        <v>77</v>
      </c>
      <c r="D2716" s="10" t="s">
        <v>99</v>
      </c>
      <c r="E2716" s="13" t="str">
        <f>IFERROR(__xludf.DUMMYFUNCTION("ifna(filter('Yahoo ADP'!$A$2:$A2766,'Yahoo ADP'!$B$2:$B2766=$B2716,$C2716='Yahoo ADP'!$C$2:$C2766,$D2716='Yahoo ADP'!$D$2:$D2766))"),"")</f>
        <v/>
      </c>
      <c r="F2716" s="13" t="str">
        <f>IFERROR(__xludf.DUMMYFUNCTION("ifna(filter('Yahoo ADP'!$E$2:$E2766,'Yahoo ADP'!$B$2:$B2766=$B2716,$C2716='Yahoo ADP'!$C$2:$C2766,$D2716='Yahoo ADP'!$D$2:$D2766))"),"-")</f>
        <v>-</v>
      </c>
      <c r="G2716" s="27">
        <v>2715.0</v>
      </c>
      <c r="H2716" s="8">
        <f t="shared" si="1"/>
        <v>0</v>
      </c>
    </row>
    <row r="2717">
      <c r="A2717" s="10">
        <v>2716.0</v>
      </c>
      <c r="B2717" s="11" t="s">
        <v>5554</v>
      </c>
      <c r="C2717" s="10" t="s">
        <v>55</v>
      </c>
      <c r="D2717" s="10" t="s">
        <v>36</v>
      </c>
      <c r="E2717" s="13" t="str">
        <f>IFERROR(__xludf.DUMMYFUNCTION("ifna(filter('Yahoo ADP'!$A$2:$A2766,'Yahoo ADP'!$B$2:$B2766=$B2717,$C2717='Yahoo ADP'!$C$2:$C2766,$D2717='Yahoo ADP'!$D$2:$D2766))"),"")</f>
        <v/>
      </c>
      <c r="F2717" s="13" t="str">
        <f>IFERROR(__xludf.DUMMYFUNCTION("ifna(filter('Yahoo ADP'!$E$2:$E2766,'Yahoo ADP'!$B$2:$B2766=$B2717,$C2717='Yahoo ADP'!$C$2:$C2766,$D2717='Yahoo ADP'!$D$2:$D2766))"),"-")</f>
        <v>-</v>
      </c>
      <c r="G2717" s="27">
        <v>2716.0</v>
      </c>
      <c r="H2717" s="8">
        <f t="shared" si="1"/>
        <v>0</v>
      </c>
    </row>
    <row r="2718">
      <c r="A2718" s="10">
        <v>2717.0</v>
      </c>
      <c r="B2718" s="11" t="s">
        <v>5555</v>
      </c>
      <c r="C2718" s="10" t="s">
        <v>48</v>
      </c>
      <c r="D2718" s="10" t="s">
        <v>206</v>
      </c>
      <c r="E2718" s="13" t="str">
        <f>IFERROR(__xludf.DUMMYFUNCTION("ifna(filter('Yahoo ADP'!$A$2:$A2766,'Yahoo ADP'!$B$2:$B2766=$B2718,$C2718='Yahoo ADP'!$C$2:$C2766,$D2718='Yahoo ADP'!$D$2:$D2766))"),"")</f>
        <v/>
      </c>
      <c r="F2718" s="13" t="str">
        <f>IFERROR(__xludf.DUMMYFUNCTION("ifna(filter('Yahoo ADP'!$E$2:$E2766,'Yahoo ADP'!$B$2:$B2766=$B2718,$C2718='Yahoo ADP'!$C$2:$C2766,$D2718='Yahoo ADP'!$D$2:$D2766))"),"-")</f>
        <v>-</v>
      </c>
      <c r="G2718" s="27">
        <v>2717.0</v>
      </c>
      <c r="H2718" s="8">
        <f t="shared" si="1"/>
        <v>0</v>
      </c>
    </row>
    <row r="2719">
      <c r="A2719" s="10">
        <v>2718.0</v>
      </c>
      <c r="B2719" s="11" t="s">
        <v>5556</v>
      </c>
      <c r="C2719" s="10" t="s">
        <v>55</v>
      </c>
      <c r="D2719" s="10" t="s">
        <v>46</v>
      </c>
      <c r="E2719" s="13" t="str">
        <f>IFERROR(__xludf.DUMMYFUNCTION("ifna(filter('Yahoo ADP'!$A$2:$A2766,'Yahoo ADP'!$B$2:$B2766=$B2719,$C2719='Yahoo ADP'!$C$2:$C2766,$D2719='Yahoo ADP'!$D$2:$D2766))"),"")</f>
        <v/>
      </c>
      <c r="F2719" s="13" t="str">
        <f>IFERROR(__xludf.DUMMYFUNCTION("ifna(filter('Yahoo ADP'!$E$2:$E2766,'Yahoo ADP'!$B$2:$B2766=$B2719,$C2719='Yahoo ADP'!$C$2:$C2766,$D2719='Yahoo ADP'!$D$2:$D2766))"),"-")</f>
        <v>-</v>
      </c>
      <c r="G2719" s="27">
        <v>2718.0</v>
      </c>
      <c r="H2719" s="8">
        <f t="shared" si="1"/>
        <v>0</v>
      </c>
    </row>
    <row r="2720">
      <c r="A2720" s="10">
        <v>2719.0</v>
      </c>
      <c r="B2720" s="11" t="s">
        <v>5557</v>
      </c>
      <c r="C2720" s="10" t="s">
        <v>33</v>
      </c>
      <c r="D2720" s="10" t="s">
        <v>71</v>
      </c>
      <c r="E2720" s="13" t="str">
        <f>IFERROR(__xludf.DUMMYFUNCTION("ifna(filter('Yahoo ADP'!$A$2:$A2766,'Yahoo ADP'!$B$2:$B2766=$B2720,$C2720='Yahoo ADP'!$C$2:$C2766,$D2720='Yahoo ADP'!$D$2:$D2766))"),"")</f>
        <v/>
      </c>
      <c r="F2720" s="13" t="str">
        <f>IFERROR(__xludf.DUMMYFUNCTION("ifna(filter('Yahoo ADP'!$E$2:$E2766,'Yahoo ADP'!$B$2:$B2766=$B2720,$C2720='Yahoo ADP'!$C$2:$C2766,$D2720='Yahoo ADP'!$D$2:$D2766))"),"-")</f>
        <v>-</v>
      </c>
      <c r="G2720" s="27">
        <v>2719.0</v>
      </c>
      <c r="H2720" s="8">
        <f t="shared" si="1"/>
        <v>0</v>
      </c>
    </row>
    <row r="2721">
      <c r="A2721" s="10">
        <v>2720.0</v>
      </c>
      <c r="B2721" s="11" t="s">
        <v>5558</v>
      </c>
      <c r="C2721" s="10" t="s">
        <v>11</v>
      </c>
      <c r="D2721" s="10" t="s">
        <v>71</v>
      </c>
      <c r="E2721" s="13" t="str">
        <f>IFERROR(__xludf.DUMMYFUNCTION("ifna(filter('Yahoo ADP'!$A$2:$A2766,'Yahoo ADP'!$B$2:$B2766=$B2721,$C2721='Yahoo ADP'!$C$2:$C2766,$D2721='Yahoo ADP'!$D$2:$D2766))"),"")</f>
        <v/>
      </c>
      <c r="F2721" s="13" t="str">
        <f>IFERROR(__xludf.DUMMYFUNCTION("ifna(filter('Yahoo ADP'!$E$2:$E2766,'Yahoo ADP'!$B$2:$B2766=$B2721,$C2721='Yahoo ADP'!$C$2:$C2766,$D2721='Yahoo ADP'!$D$2:$D2766))"),"-")</f>
        <v>-</v>
      </c>
      <c r="G2721" s="27">
        <v>2720.0</v>
      </c>
      <c r="H2721" s="8">
        <f t="shared" si="1"/>
        <v>0</v>
      </c>
    </row>
    <row r="2722">
      <c r="A2722" s="10">
        <v>2721.0</v>
      </c>
      <c r="B2722" s="11" t="s">
        <v>5559</v>
      </c>
      <c r="C2722" s="10" t="s">
        <v>55</v>
      </c>
      <c r="D2722" s="10" t="s">
        <v>105</v>
      </c>
      <c r="E2722" s="13" t="str">
        <f>IFERROR(__xludf.DUMMYFUNCTION("ifna(filter('Yahoo ADP'!$A$2:$A2766,'Yahoo ADP'!$B$2:$B2766=$B2722,$C2722='Yahoo ADP'!$C$2:$C2766,$D2722='Yahoo ADP'!$D$2:$D2766))"),"")</f>
        <v/>
      </c>
      <c r="F2722" s="13" t="str">
        <f>IFERROR(__xludf.DUMMYFUNCTION("ifna(filter('Yahoo ADP'!$E$2:$E2766,'Yahoo ADP'!$B$2:$B2766=$B2722,$C2722='Yahoo ADP'!$C$2:$C2766,$D2722='Yahoo ADP'!$D$2:$D2766))"),"-")</f>
        <v>-</v>
      </c>
      <c r="G2722" s="27">
        <v>2721.0</v>
      </c>
      <c r="H2722" s="8">
        <f t="shared" si="1"/>
        <v>0</v>
      </c>
    </row>
    <row r="2723">
      <c r="A2723" s="10">
        <v>2722.0</v>
      </c>
      <c r="B2723" s="11" t="s">
        <v>5560</v>
      </c>
      <c r="C2723" s="10" t="s">
        <v>48</v>
      </c>
      <c r="D2723" s="10" t="s">
        <v>34</v>
      </c>
      <c r="E2723" s="13" t="str">
        <f>IFERROR(__xludf.DUMMYFUNCTION("ifna(filter('Yahoo ADP'!$A$2:$A2766,'Yahoo ADP'!$B$2:$B2766=$B2723,$C2723='Yahoo ADP'!$C$2:$C2766,$D2723='Yahoo ADP'!$D$2:$D2766))"),"")</f>
        <v/>
      </c>
      <c r="F2723" s="13" t="str">
        <f>IFERROR(__xludf.DUMMYFUNCTION("ifna(filter('Yahoo ADP'!$E$2:$E2766,'Yahoo ADP'!$B$2:$B2766=$B2723,$C2723='Yahoo ADP'!$C$2:$C2766,$D2723='Yahoo ADP'!$D$2:$D2766))"),"-")</f>
        <v>-</v>
      </c>
      <c r="G2723" s="27">
        <v>2722.0</v>
      </c>
      <c r="H2723" s="8">
        <f t="shared" si="1"/>
        <v>0</v>
      </c>
    </row>
    <row r="2724">
      <c r="A2724" s="10">
        <v>2723.0</v>
      </c>
      <c r="B2724" s="11" t="s">
        <v>5561</v>
      </c>
      <c r="C2724" s="10" t="s">
        <v>20</v>
      </c>
      <c r="D2724" s="10" t="s">
        <v>23</v>
      </c>
      <c r="E2724" s="13" t="str">
        <f>IFERROR(__xludf.DUMMYFUNCTION("ifna(filter('Yahoo ADP'!$A$2:$A2766,'Yahoo ADP'!$B$2:$B2766=$B2724,$C2724='Yahoo ADP'!$C$2:$C2766,$D2724='Yahoo ADP'!$D$2:$D2766))"),"")</f>
        <v/>
      </c>
      <c r="F2724" s="13" t="str">
        <f>IFERROR(__xludf.DUMMYFUNCTION("ifna(filter('Yahoo ADP'!$E$2:$E2766,'Yahoo ADP'!$B$2:$B2766=$B2724,$C2724='Yahoo ADP'!$C$2:$C2766,$D2724='Yahoo ADP'!$D$2:$D2766))"),"-")</f>
        <v>-</v>
      </c>
      <c r="G2724" s="27">
        <v>2723.0</v>
      </c>
      <c r="H2724" s="8">
        <f t="shared" si="1"/>
        <v>0</v>
      </c>
    </row>
    <row r="2725">
      <c r="A2725" s="10">
        <v>2724.0</v>
      </c>
      <c r="B2725" s="11" t="s">
        <v>5562</v>
      </c>
      <c r="C2725" s="10" t="s">
        <v>77</v>
      </c>
      <c r="D2725" s="10" t="s">
        <v>67</v>
      </c>
      <c r="E2725" s="13" t="str">
        <f>IFERROR(__xludf.DUMMYFUNCTION("ifna(filter('Yahoo ADP'!$A$2:$A2766,'Yahoo ADP'!$B$2:$B2766=$B2725,$C2725='Yahoo ADP'!$C$2:$C2766,$D2725='Yahoo ADP'!$D$2:$D2766))"),"")</f>
        <v/>
      </c>
      <c r="F2725" s="13" t="str">
        <f>IFERROR(__xludf.DUMMYFUNCTION("ifna(filter('Yahoo ADP'!$E$2:$E2766,'Yahoo ADP'!$B$2:$B2766=$B2725,$C2725='Yahoo ADP'!$C$2:$C2766,$D2725='Yahoo ADP'!$D$2:$D2766))"),"-")</f>
        <v>-</v>
      </c>
      <c r="G2725" s="27">
        <v>2724.0</v>
      </c>
      <c r="H2725" s="8">
        <f t="shared" si="1"/>
        <v>0</v>
      </c>
    </row>
    <row r="2726">
      <c r="A2726" s="10">
        <v>2725.0</v>
      </c>
      <c r="B2726" s="11" t="s">
        <v>5563</v>
      </c>
      <c r="C2726" s="10" t="s">
        <v>33</v>
      </c>
      <c r="D2726" s="10" t="s">
        <v>95</v>
      </c>
      <c r="E2726" s="13" t="str">
        <f>IFERROR(__xludf.DUMMYFUNCTION("ifna(filter('Yahoo ADP'!$A$2:$A2766,'Yahoo ADP'!$B$2:$B2766=$B2726,$C2726='Yahoo ADP'!$C$2:$C2766,$D2726='Yahoo ADP'!$D$2:$D2766))"),"")</f>
        <v/>
      </c>
      <c r="F2726" s="13" t="str">
        <f>IFERROR(__xludf.DUMMYFUNCTION("ifna(filter('Yahoo ADP'!$E$2:$E2766,'Yahoo ADP'!$B$2:$B2766=$B2726,$C2726='Yahoo ADP'!$C$2:$C2766,$D2726='Yahoo ADP'!$D$2:$D2766))"),"-")</f>
        <v>-</v>
      </c>
      <c r="G2726" s="27">
        <v>2725.0</v>
      </c>
      <c r="H2726" s="8">
        <f t="shared" si="1"/>
        <v>0</v>
      </c>
    </row>
    <row r="2727">
      <c r="A2727" s="10">
        <v>2726.0</v>
      </c>
      <c r="B2727" s="11" t="s">
        <v>5564</v>
      </c>
      <c r="C2727" s="10" t="s">
        <v>48</v>
      </c>
      <c r="D2727" s="10" t="s">
        <v>140</v>
      </c>
      <c r="E2727" s="13" t="str">
        <f>IFERROR(__xludf.DUMMYFUNCTION("ifna(filter('Yahoo ADP'!$A$2:$A2766,'Yahoo ADP'!$B$2:$B2766=$B2727,$C2727='Yahoo ADP'!$C$2:$C2766,$D2727='Yahoo ADP'!$D$2:$D2766))"),"")</f>
        <v/>
      </c>
      <c r="F2727" s="13" t="str">
        <f>IFERROR(__xludf.DUMMYFUNCTION("ifna(filter('Yahoo ADP'!$E$2:$E2766,'Yahoo ADP'!$B$2:$B2766=$B2727,$C2727='Yahoo ADP'!$C$2:$C2766,$D2727='Yahoo ADP'!$D$2:$D2766))"),"-")</f>
        <v>-</v>
      </c>
      <c r="G2727" s="27">
        <v>2726.0</v>
      </c>
      <c r="H2727" s="8">
        <f t="shared" si="1"/>
        <v>0</v>
      </c>
    </row>
    <row r="2728">
      <c r="A2728" s="10">
        <v>2727.0</v>
      </c>
      <c r="B2728" s="11" t="s">
        <v>5565</v>
      </c>
      <c r="C2728" s="10" t="s">
        <v>14</v>
      </c>
      <c r="D2728" s="10" t="s">
        <v>120</v>
      </c>
      <c r="E2728" s="13" t="str">
        <f>IFERROR(__xludf.DUMMYFUNCTION("ifna(filter('Yahoo ADP'!$A$2:$A2766,'Yahoo ADP'!$B$2:$B2766=$B2728,$C2728='Yahoo ADP'!$C$2:$C2766,$D2728='Yahoo ADP'!$D$2:$D2766))"),"")</f>
        <v/>
      </c>
      <c r="F2728" s="13" t="str">
        <f>IFERROR(__xludf.DUMMYFUNCTION("ifna(filter('Yahoo ADP'!$E$2:$E2766,'Yahoo ADP'!$B$2:$B2766=$B2728,$C2728='Yahoo ADP'!$C$2:$C2766,$D2728='Yahoo ADP'!$D$2:$D2766))"),"-")</f>
        <v>-</v>
      </c>
      <c r="G2728" s="27">
        <v>2727.0</v>
      </c>
      <c r="H2728" s="8">
        <f t="shared" si="1"/>
        <v>0</v>
      </c>
    </row>
    <row r="2729">
      <c r="A2729" s="10">
        <v>2728.0</v>
      </c>
      <c r="B2729" s="11" t="s">
        <v>5566</v>
      </c>
      <c r="C2729" s="10" t="s">
        <v>77</v>
      </c>
      <c r="D2729" s="10" t="s">
        <v>90</v>
      </c>
      <c r="E2729" s="13" t="str">
        <f>IFERROR(__xludf.DUMMYFUNCTION("ifna(filter('Yahoo ADP'!$A$2:$A2766,'Yahoo ADP'!$B$2:$B2766=$B2729,$C2729='Yahoo ADP'!$C$2:$C2766,$D2729='Yahoo ADP'!$D$2:$D2766))"),"")</f>
        <v/>
      </c>
      <c r="F2729" s="13" t="str">
        <f>IFERROR(__xludf.DUMMYFUNCTION("ifna(filter('Yahoo ADP'!$E$2:$E2766,'Yahoo ADP'!$B$2:$B2766=$B2729,$C2729='Yahoo ADP'!$C$2:$C2766,$D2729='Yahoo ADP'!$D$2:$D2766))"),"-")</f>
        <v>-</v>
      </c>
      <c r="G2729" s="27" t="s">
        <v>2897</v>
      </c>
      <c r="H2729" s="8" t="str">
        <f t="shared" si="1"/>
        <v/>
      </c>
    </row>
    <row r="2730">
      <c r="A2730" s="10">
        <v>2729.0</v>
      </c>
      <c r="B2730" s="11" t="s">
        <v>5567</v>
      </c>
      <c r="C2730" s="10" t="s">
        <v>39</v>
      </c>
      <c r="D2730" s="10" t="s">
        <v>120</v>
      </c>
      <c r="E2730" s="13" t="str">
        <f>IFERROR(__xludf.DUMMYFUNCTION("ifna(filter('Yahoo ADP'!$A$2:$A2766,'Yahoo ADP'!$B$2:$B2766=$B2730,$C2730='Yahoo ADP'!$C$2:$C2766,$D2730='Yahoo ADP'!$D$2:$D2766))"),"")</f>
        <v/>
      </c>
      <c r="F2730" s="13" t="str">
        <f>IFERROR(__xludf.DUMMYFUNCTION("ifna(filter('Yahoo ADP'!$E$2:$E2766,'Yahoo ADP'!$B$2:$B2766=$B2730,$C2730='Yahoo ADP'!$C$2:$C2766,$D2730='Yahoo ADP'!$D$2:$D2766))"),"-")</f>
        <v>-</v>
      </c>
      <c r="G2730" s="27">
        <v>2729.0</v>
      </c>
      <c r="H2730" s="8">
        <f t="shared" si="1"/>
        <v>0</v>
      </c>
    </row>
    <row r="2731">
      <c r="A2731" s="10">
        <v>2730.0</v>
      </c>
      <c r="B2731" s="11" t="s">
        <v>5568</v>
      </c>
      <c r="C2731" s="10" t="s">
        <v>17</v>
      </c>
      <c r="D2731" s="10" t="s">
        <v>36</v>
      </c>
      <c r="E2731" s="13" t="str">
        <f>IFERROR(__xludf.DUMMYFUNCTION("ifna(filter('Yahoo ADP'!$A$2:$A2766,'Yahoo ADP'!$B$2:$B2766=$B2731,$C2731='Yahoo ADP'!$C$2:$C2766,$D2731='Yahoo ADP'!$D$2:$D2766))"),"")</f>
        <v/>
      </c>
      <c r="F2731" s="13" t="str">
        <f>IFERROR(__xludf.DUMMYFUNCTION("ifna(filter('Yahoo ADP'!$E$2:$E2766,'Yahoo ADP'!$B$2:$B2766=$B2731,$C2731='Yahoo ADP'!$C$2:$C2766,$D2731='Yahoo ADP'!$D$2:$D2766))"),"-")</f>
        <v>-</v>
      </c>
      <c r="G2731" s="27">
        <v>2730.0</v>
      </c>
      <c r="H2731" s="8">
        <f t="shared" si="1"/>
        <v>0</v>
      </c>
    </row>
    <row r="2732">
      <c r="A2732" s="10">
        <v>2731.0</v>
      </c>
      <c r="B2732" s="11" t="s">
        <v>5569</v>
      </c>
      <c r="C2732" s="10" t="s">
        <v>14</v>
      </c>
      <c r="D2732" s="10" t="s">
        <v>120</v>
      </c>
      <c r="E2732" s="13" t="str">
        <f>IFERROR(__xludf.DUMMYFUNCTION("ifna(filter('Yahoo ADP'!$A$2:$A2766,'Yahoo ADP'!$B$2:$B2766=$B2732,$C2732='Yahoo ADP'!$C$2:$C2766,$D2732='Yahoo ADP'!$D$2:$D2766))"),"")</f>
        <v/>
      </c>
      <c r="F2732" s="13" t="str">
        <f>IFERROR(__xludf.DUMMYFUNCTION("ifna(filter('Yahoo ADP'!$E$2:$E2766,'Yahoo ADP'!$B$2:$B2766=$B2732,$C2732='Yahoo ADP'!$C$2:$C2766,$D2732='Yahoo ADP'!$D$2:$D2766))"),"-")</f>
        <v>-</v>
      </c>
      <c r="G2732" s="27">
        <v>2731.0</v>
      </c>
      <c r="H2732" s="8">
        <f t="shared" si="1"/>
        <v>0</v>
      </c>
    </row>
    <row r="2733">
      <c r="A2733" s="10">
        <v>2732.0</v>
      </c>
      <c r="B2733" s="11" t="s">
        <v>5570</v>
      </c>
      <c r="C2733" s="10" t="s">
        <v>77</v>
      </c>
      <c r="D2733" s="10" t="s">
        <v>206</v>
      </c>
      <c r="E2733" s="13" t="str">
        <f>IFERROR(__xludf.DUMMYFUNCTION("ifna(filter('Yahoo ADP'!$A$2:$A2766,'Yahoo ADP'!$B$2:$B2766=$B2733,$C2733='Yahoo ADP'!$C$2:$C2766,$D2733='Yahoo ADP'!$D$2:$D2766))"),"")</f>
        <v/>
      </c>
      <c r="F2733" s="13" t="str">
        <f>IFERROR(__xludf.DUMMYFUNCTION("ifna(filter('Yahoo ADP'!$E$2:$E2766,'Yahoo ADP'!$B$2:$B2766=$B2733,$C2733='Yahoo ADP'!$C$2:$C2766,$D2733='Yahoo ADP'!$D$2:$D2766))"),"-")</f>
        <v>-</v>
      </c>
      <c r="G2733" s="27">
        <v>2732.0</v>
      </c>
      <c r="H2733" s="8">
        <f t="shared" si="1"/>
        <v>0</v>
      </c>
    </row>
    <row r="2734">
      <c r="A2734" s="10">
        <v>2733.0</v>
      </c>
      <c r="B2734" s="11" t="s">
        <v>5571</v>
      </c>
      <c r="C2734" s="10" t="s">
        <v>33</v>
      </c>
      <c r="D2734" s="10" t="s">
        <v>31</v>
      </c>
      <c r="E2734" s="13" t="str">
        <f>IFERROR(__xludf.DUMMYFUNCTION("ifna(filter('Yahoo ADP'!$A$2:$A2766,'Yahoo ADP'!$B$2:$B2766=$B2734,$C2734='Yahoo ADP'!$C$2:$C2766,$D2734='Yahoo ADP'!$D$2:$D2766))"),"")</f>
        <v/>
      </c>
      <c r="F2734" s="13" t="str">
        <f>IFERROR(__xludf.DUMMYFUNCTION("ifna(filter('Yahoo ADP'!$E$2:$E2766,'Yahoo ADP'!$B$2:$B2766=$B2734,$C2734='Yahoo ADP'!$C$2:$C2766,$D2734='Yahoo ADP'!$D$2:$D2766))"),"-")</f>
        <v>-</v>
      </c>
      <c r="G2734" s="27">
        <v>2733.0</v>
      </c>
      <c r="H2734" s="8">
        <f t="shared" si="1"/>
        <v>0</v>
      </c>
    </row>
    <row r="2735">
      <c r="A2735" s="10">
        <v>2734.0</v>
      </c>
      <c r="B2735" s="11" t="s">
        <v>5572</v>
      </c>
      <c r="C2735" s="10" t="s">
        <v>77</v>
      </c>
      <c r="D2735" s="10" t="s">
        <v>27</v>
      </c>
      <c r="E2735" s="13" t="str">
        <f>IFERROR(__xludf.DUMMYFUNCTION("ifna(filter('Yahoo ADP'!$A$2:$A2766,'Yahoo ADP'!$B$2:$B2766=$B2735,$C2735='Yahoo ADP'!$C$2:$C2766,$D2735='Yahoo ADP'!$D$2:$D2766))"),"")</f>
        <v/>
      </c>
      <c r="F2735" s="13" t="str">
        <f>IFERROR(__xludf.DUMMYFUNCTION("ifna(filter('Yahoo ADP'!$E$2:$E2766,'Yahoo ADP'!$B$2:$B2766=$B2735,$C2735='Yahoo ADP'!$C$2:$C2766,$D2735='Yahoo ADP'!$D$2:$D2766))"),"-")</f>
        <v>-</v>
      </c>
      <c r="G2735" s="27">
        <v>2734.0</v>
      </c>
      <c r="H2735" s="8">
        <f t="shared" si="1"/>
        <v>0</v>
      </c>
    </row>
    <row r="2736">
      <c r="A2736" s="10">
        <v>2735.0</v>
      </c>
      <c r="B2736" s="11" t="s">
        <v>5573</v>
      </c>
      <c r="C2736" s="10" t="s">
        <v>33</v>
      </c>
      <c r="D2736" s="10" t="s">
        <v>105</v>
      </c>
      <c r="E2736" s="13" t="str">
        <f>IFERROR(__xludf.DUMMYFUNCTION("ifna(filter('Yahoo ADP'!$A$2:$A2766,'Yahoo ADP'!$B$2:$B2766=$B2736,$C2736='Yahoo ADP'!$C$2:$C2766,$D2736='Yahoo ADP'!$D$2:$D2766))"),"")</f>
        <v/>
      </c>
      <c r="F2736" s="13" t="str">
        <f>IFERROR(__xludf.DUMMYFUNCTION("ifna(filter('Yahoo ADP'!$E$2:$E2766,'Yahoo ADP'!$B$2:$B2766=$B2736,$C2736='Yahoo ADP'!$C$2:$C2766,$D2736='Yahoo ADP'!$D$2:$D2766))"),"-")</f>
        <v>-</v>
      </c>
      <c r="G2736" s="27">
        <v>2735.0</v>
      </c>
      <c r="H2736" s="8">
        <f t="shared" si="1"/>
        <v>0</v>
      </c>
    </row>
    <row r="2737">
      <c r="A2737" s="10">
        <v>2736.0</v>
      </c>
      <c r="B2737" s="11" t="s">
        <v>5574</v>
      </c>
      <c r="C2737" s="10" t="s">
        <v>77</v>
      </c>
      <c r="D2737" s="10" t="s">
        <v>23</v>
      </c>
      <c r="E2737" s="13" t="str">
        <f>IFERROR(__xludf.DUMMYFUNCTION("ifna(filter('Yahoo ADP'!$A$2:$A2766,'Yahoo ADP'!$B$2:$B2766=$B2737,$C2737='Yahoo ADP'!$C$2:$C2766,$D2737='Yahoo ADP'!$D$2:$D2766))"),"")</f>
        <v/>
      </c>
      <c r="F2737" s="13" t="str">
        <f>IFERROR(__xludf.DUMMYFUNCTION("ifna(filter('Yahoo ADP'!$E$2:$E2766,'Yahoo ADP'!$B$2:$B2766=$B2737,$C2737='Yahoo ADP'!$C$2:$C2766,$D2737='Yahoo ADP'!$D$2:$D2766))"),"-")</f>
        <v>-</v>
      </c>
      <c r="G2737" s="27">
        <v>2736.0</v>
      </c>
      <c r="H2737" s="8">
        <f t="shared" si="1"/>
        <v>0</v>
      </c>
    </row>
    <row r="2738">
      <c r="A2738" s="10">
        <v>2737.0</v>
      </c>
      <c r="B2738" s="11" t="s">
        <v>5575</v>
      </c>
      <c r="C2738" s="10" t="s">
        <v>33</v>
      </c>
      <c r="D2738" s="10" t="s">
        <v>82</v>
      </c>
      <c r="E2738" s="13" t="str">
        <f>IFERROR(__xludf.DUMMYFUNCTION("ifna(filter('Yahoo ADP'!$A$2:$A2766,'Yahoo ADP'!$B$2:$B2766=$B2738,$C2738='Yahoo ADP'!$C$2:$C2766,$D2738='Yahoo ADP'!$D$2:$D2766))"),"")</f>
        <v/>
      </c>
      <c r="F2738" s="13" t="str">
        <f>IFERROR(__xludf.DUMMYFUNCTION("ifna(filter('Yahoo ADP'!$E$2:$E2766,'Yahoo ADP'!$B$2:$B2766=$B2738,$C2738='Yahoo ADP'!$C$2:$C2766,$D2738='Yahoo ADP'!$D$2:$D2766))"),"-")</f>
        <v>-</v>
      </c>
      <c r="G2738" s="27">
        <v>2737.0</v>
      </c>
      <c r="H2738" s="8">
        <f t="shared" si="1"/>
        <v>0</v>
      </c>
    </row>
    <row r="2739">
      <c r="A2739" s="10">
        <v>2738.0</v>
      </c>
      <c r="B2739" s="11" t="s">
        <v>3949</v>
      </c>
      <c r="C2739" s="10" t="s">
        <v>11</v>
      </c>
      <c r="D2739" s="10" t="s">
        <v>120</v>
      </c>
      <c r="E2739" s="13" t="str">
        <f>IFERROR(__xludf.DUMMYFUNCTION("ifna(filter('Yahoo ADP'!$A$2:$A2766,'Yahoo ADP'!$B$2:$B2766=$B2739,$C2739='Yahoo ADP'!$C$2:$C2766,$D2739='Yahoo ADP'!$D$2:$D2766))"),"")</f>
        <v/>
      </c>
      <c r="F2739" s="13" t="str">
        <f>IFERROR(__xludf.DUMMYFUNCTION("ifna(filter('Yahoo ADP'!$E$2:$E2766,'Yahoo ADP'!$B$2:$B2766=$B2739,$C2739='Yahoo ADP'!$C$2:$C2766,$D2739='Yahoo ADP'!$D$2:$D2766))"),"-")</f>
        <v>-</v>
      </c>
      <c r="G2739" s="27">
        <v>2738.0</v>
      </c>
      <c r="H2739" s="8">
        <f t="shared" si="1"/>
        <v>0</v>
      </c>
    </row>
    <row r="2740">
      <c r="A2740" s="10">
        <v>2739.0</v>
      </c>
      <c r="B2740" s="11" t="s">
        <v>5576</v>
      </c>
      <c r="C2740" s="10" t="s">
        <v>283</v>
      </c>
      <c r="D2740" s="10" t="s">
        <v>206</v>
      </c>
      <c r="E2740" s="13" t="str">
        <f>IFERROR(__xludf.DUMMYFUNCTION("ifna(filter('Yahoo ADP'!$A$2:$A2766,'Yahoo ADP'!$B$2:$B2766=$B2740,$C2740='Yahoo ADP'!$C$2:$C2766,$D2740='Yahoo ADP'!$D$2:$D2766))"),"")</f>
        <v/>
      </c>
      <c r="F2740" s="13" t="str">
        <f>IFERROR(__xludf.DUMMYFUNCTION("ifna(filter('Yahoo ADP'!$E$2:$E2766,'Yahoo ADP'!$B$2:$B2766=$B2740,$C2740='Yahoo ADP'!$C$2:$C2766,$D2740='Yahoo ADP'!$D$2:$D2766))"),"-")</f>
        <v>-</v>
      </c>
      <c r="G2740" s="27">
        <v>2739.0</v>
      </c>
      <c r="H2740" s="8">
        <f t="shared" si="1"/>
        <v>0</v>
      </c>
    </row>
    <row r="2741">
      <c r="A2741" s="10">
        <v>2740.0</v>
      </c>
      <c r="B2741" s="11" t="s">
        <v>5577</v>
      </c>
      <c r="C2741" s="10" t="s">
        <v>17</v>
      </c>
      <c r="D2741" s="10" t="s">
        <v>206</v>
      </c>
      <c r="E2741" s="13" t="str">
        <f>IFERROR(__xludf.DUMMYFUNCTION("ifna(filter('Yahoo ADP'!$A$2:$A2766,'Yahoo ADP'!$B$2:$B2766=$B2741,$C2741='Yahoo ADP'!$C$2:$C2766,$D2741='Yahoo ADP'!$D$2:$D2766))"),"")</f>
        <v/>
      </c>
      <c r="F2741" s="13" t="str">
        <f>IFERROR(__xludf.DUMMYFUNCTION("ifna(filter('Yahoo ADP'!$E$2:$E2766,'Yahoo ADP'!$B$2:$B2766=$B2741,$C2741='Yahoo ADP'!$C$2:$C2766,$D2741='Yahoo ADP'!$D$2:$D2766))"),"-")</f>
        <v>-</v>
      </c>
      <c r="G2741" s="27">
        <v>2740.0</v>
      </c>
      <c r="H2741" s="8">
        <f t="shared" si="1"/>
        <v>0</v>
      </c>
    </row>
    <row r="2742">
      <c r="A2742" s="10">
        <v>2741.0</v>
      </c>
      <c r="B2742" s="11" t="s">
        <v>5578</v>
      </c>
      <c r="C2742" s="10" t="s">
        <v>22</v>
      </c>
      <c r="D2742" s="10" t="s">
        <v>73</v>
      </c>
      <c r="E2742" s="13" t="str">
        <f>IFERROR(__xludf.DUMMYFUNCTION("ifna(filter('Yahoo ADP'!$A$2:$A2766,'Yahoo ADP'!$B$2:$B2766=$B2742,$C2742='Yahoo ADP'!$C$2:$C2766,$D2742='Yahoo ADP'!$D$2:$D2766))"),"")</f>
        <v/>
      </c>
      <c r="F2742" s="13" t="str">
        <f>IFERROR(__xludf.DUMMYFUNCTION("ifna(filter('Yahoo ADP'!$E$2:$E2766,'Yahoo ADP'!$B$2:$B2766=$B2742,$C2742='Yahoo ADP'!$C$2:$C2766,$D2742='Yahoo ADP'!$D$2:$D2766))"),"-")</f>
        <v>-</v>
      </c>
      <c r="G2742" s="27">
        <v>2741.0</v>
      </c>
      <c r="H2742" s="8">
        <f t="shared" si="1"/>
        <v>0</v>
      </c>
    </row>
    <row r="2743">
      <c r="A2743" s="10">
        <v>2742.0</v>
      </c>
      <c r="B2743" s="11" t="s">
        <v>5579</v>
      </c>
      <c r="C2743" s="10" t="s">
        <v>39</v>
      </c>
      <c r="D2743" s="10" t="s">
        <v>120</v>
      </c>
      <c r="E2743" s="13" t="str">
        <f>IFERROR(__xludf.DUMMYFUNCTION("ifna(filter('Yahoo ADP'!$A$2:$A2766,'Yahoo ADP'!$B$2:$B2766=$B2743,$C2743='Yahoo ADP'!$C$2:$C2766,$D2743='Yahoo ADP'!$D$2:$D2766))"),"")</f>
        <v/>
      </c>
      <c r="F2743" s="13" t="str">
        <f>IFERROR(__xludf.DUMMYFUNCTION("ifna(filter('Yahoo ADP'!$E$2:$E2766,'Yahoo ADP'!$B$2:$B2766=$B2743,$C2743='Yahoo ADP'!$C$2:$C2766,$D2743='Yahoo ADP'!$D$2:$D2766))"),"-")</f>
        <v>-</v>
      </c>
      <c r="G2743" s="27">
        <v>2742.0</v>
      </c>
      <c r="H2743" s="8">
        <f t="shared" si="1"/>
        <v>0</v>
      </c>
    </row>
    <row r="2744">
      <c r="A2744" s="10">
        <v>2743.0</v>
      </c>
      <c r="B2744" s="11" t="s">
        <v>5580</v>
      </c>
      <c r="C2744" s="10" t="s">
        <v>33</v>
      </c>
      <c r="D2744" s="10" t="s">
        <v>25</v>
      </c>
      <c r="E2744" s="13" t="str">
        <f>IFERROR(__xludf.DUMMYFUNCTION("ifna(filter('Yahoo ADP'!$A$2:$A2766,'Yahoo ADP'!$B$2:$B2766=$B2744,$C2744='Yahoo ADP'!$C$2:$C2766,$D2744='Yahoo ADP'!$D$2:$D2766))"),"")</f>
        <v/>
      </c>
      <c r="F2744" s="13" t="str">
        <f>IFERROR(__xludf.DUMMYFUNCTION("ifna(filter('Yahoo ADP'!$E$2:$E2766,'Yahoo ADP'!$B$2:$B2766=$B2744,$C2744='Yahoo ADP'!$C$2:$C2766,$D2744='Yahoo ADP'!$D$2:$D2766))"),"-")</f>
        <v>-</v>
      </c>
      <c r="G2744" s="27">
        <v>2743.0</v>
      </c>
      <c r="H2744" s="8">
        <f t="shared" si="1"/>
        <v>0</v>
      </c>
    </row>
    <row r="2745">
      <c r="A2745" s="10">
        <v>2744.0</v>
      </c>
      <c r="B2745" s="11" t="s">
        <v>5581</v>
      </c>
      <c r="C2745" s="10" t="s">
        <v>77</v>
      </c>
      <c r="D2745" s="10" t="s">
        <v>52</v>
      </c>
      <c r="E2745" s="13" t="str">
        <f>IFERROR(__xludf.DUMMYFUNCTION("ifna(filter('Yahoo ADP'!$A$2:$A2766,'Yahoo ADP'!$B$2:$B2766=$B2745,$C2745='Yahoo ADP'!$C$2:$C2766,$D2745='Yahoo ADP'!$D$2:$D2766))"),"")</f>
        <v/>
      </c>
      <c r="F2745" s="13" t="str">
        <f>IFERROR(__xludf.DUMMYFUNCTION("ifna(filter('Yahoo ADP'!$E$2:$E2766,'Yahoo ADP'!$B$2:$B2766=$B2745,$C2745='Yahoo ADP'!$C$2:$C2766,$D2745='Yahoo ADP'!$D$2:$D2766))"),"-")</f>
        <v>-</v>
      </c>
      <c r="G2745" s="27">
        <v>2744.0</v>
      </c>
      <c r="H2745" s="8">
        <f t="shared" si="1"/>
        <v>0</v>
      </c>
    </row>
    <row r="2746">
      <c r="A2746" s="10">
        <v>2745.0</v>
      </c>
      <c r="B2746" s="11" t="s">
        <v>5582</v>
      </c>
      <c r="C2746" s="10" t="s">
        <v>77</v>
      </c>
      <c r="D2746" s="10" t="s">
        <v>206</v>
      </c>
      <c r="E2746" s="13" t="str">
        <f>IFERROR(__xludf.DUMMYFUNCTION("ifna(filter('Yahoo ADP'!$A$2:$A2766,'Yahoo ADP'!$B$2:$B2766=$B2746,$C2746='Yahoo ADP'!$C$2:$C2766,$D2746='Yahoo ADP'!$D$2:$D2766))"),"")</f>
        <v/>
      </c>
      <c r="F2746" s="13" t="str">
        <f>IFERROR(__xludf.DUMMYFUNCTION("ifna(filter('Yahoo ADP'!$E$2:$E2766,'Yahoo ADP'!$B$2:$B2766=$B2746,$C2746='Yahoo ADP'!$C$2:$C2766,$D2746='Yahoo ADP'!$D$2:$D2766))"),"-")</f>
        <v>-</v>
      </c>
      <c r="G2746" s="27">
        <v>2745.0</v>
      </c>
      <c r="H2746" s="8">
        <f t="shared" si="1"/>
        <v>0</v>
      </c>
    </row>
    <row r="2747">
      <c r="A2747" s="10">
        <v>2746.0</v>
      </c>
      <c r="B2747" s="11" t="s">
        <v>5583</v>
      </c>
      <c r="C2747" s="10" t="s">
        <v>33</v>
      </c>
      <c r="D2747" s="10" t="s">
        <v>99</v>
      </c>
      <c r="E2747" s="13" t="str">
        <f>IFERROR(__xludf.DUMMYFUNCTION("ifna(filter('Yahoo ADP'!$A$2:$A2766,'Yahoo ADP'!$B$2:$B2766=$B2747,$C2747='Yahoo ADP'!$C$2:$C2766,$D2747='Yahoo ADP'!$D$2:$D2766))"),"")</f>
        <v/>
      </c>
      <c r="F2747" s="13" t="str">
        <f>IFERROR(__xludf.DUMMYFUNCTION("ifna(filter('Yahoo ADP'!$E$2:$E2766,'Yahoo ADP'!$B$2:$B2766=$B2747,$C2747='Yahoo ADP'!$C$2:$C2766,$D2747='Yahoo ADP'!$D$2:$D2766))"),"-")</f>
        <v>-</v>
      </c>
      <c r="G2747" s="27">
        <v>2746.0</v>
      </c>
      <c r="H2747" s="8">
        <f t="shared" si="1"/>
        <v>0</v>
      </c>
    </row>
    <row r="2748">
      <c r="A2748" s="10">
        <v>2747.0</v>
      </c>
      <c r="B2748" s="11" t="s">
        <v>5584</v>
      </c>
      <c r="C2748" s="10" t="s">
        <v>39</v>
      </c>
      <c r="D2748" s="10" t="s">
        <v>129</v>
      </c>
      <c r="E2748" s="13" t="str">
        <f>IFERROR(__xludf.DUMMYFUNCTION("ifna(filter('Yahoo ADP'!$A$2:$A2766,'Yahoo ADP'!$B$2:$B2766=$B2748,$C2748='Yahoo ADP'!$C$2:$C2766,$D2748='Yahoo ADP'!$D$2:$D2766))"),"")</f>
        <v/>
      </c>
      <c r="F2748" s="13" t="str">
        <f>IFERROR(__xludf.DUMMYFUNCTION("ifna(filter('Yahoo ADP'!$E$2:$E2766,'Yahoo ADP'!$B$2:$B2766=$B2748,$C2748='Yahoo ADP'!$C$2:$C2766,$D2748='Yahoo ADP'!$D$2:$D2766))"),"-")</f>
        <v>-</v>
      </c>
      <c r="G2748" s="27">
        <v>2747.0</v>
      </c>
      <c r="H2748" s="8">
        <f t="shared" si="1"/>
        <v>0</v>
      </c>
    </row>
    <row r="2749">
      <c r="A2749" s="17">
        <v>2748.0</v>
      </c>
      <c r="B2749" s="18" t="s">
        <v>5585</v>
      </c>
      <c r="C2749" s="18" t="s">
        <v>220</v>
      </c>
      <c r="D2749" s="18" t="s">
        <v>73</v>
      </c>
      <c r="E2749" s="13"/>
      <c r="F2749" s="13"/>
      <c r="G2749" s="27">
        <v>2748.0</v>
      </c>
      <c r="H2749" s="8">
        <f t="shared" si="1"/>
        <v>0</v>
      </c>
    </row>
    <row r="2750">
      <c r="A2750" s="19">
        <v>2749.0</v>
      </c>
      <c r="B2750" s="20" t="s">
        <v>5586</v>
      </c>
      <c r="C2750" s="20" t="s">
        <v>240</v>
      </c>
      <c r="D2750" s="20" t="s">
        <v>52</v>
      </c>
      <c r="E2750" s="13"/>
      <c r="F2750" s="13"/>
      <c r="G2750" s="27">
        <v>2749.0</v>
      </c>
      <c r="H2750" s="8">
        <f t="shared" si="1"/>
        <v>0</v>
      </c>
    </row>
    <row r="2751">
      <c r="A2751" s="17">
        <v>2750.0</v>
      </c>
      <c r="B2751" s="18" t="s">
        <v>5587</v>
      </c>
      <c r="C2751" s="18" t="s">
        <v>22</v>
      </c>
      <c r="D2751" s="18" t="s">
        <v>52</v>
      </c>
      <c r="E2751" s="13"/>
      <c r="F2751" s="13"/>
      <c r="G2751" s="27">
        <v>2750.0</v>
      </c>
      <c r="H2751" s="8">
        <f t="shared" si="1"/>
        <v>0</v>
      </c>
    </row>
    <row r="2752">
      <c r="A2752" s="21">
        <v>2751.0</v>
      </c>
      <c r="B2752" s="22" t="s">
        <v>4464</v>
      </c>
      <c r="C2752" s="22" t="s">
        <v>22</v>
      </c>
      <c r="D2752" s="22" t="s">
        <v>42</v>
      </c>
      <c r="E2752" s="13"/>
      <c r="F2752" s="13"/>
      <c r="G2752" s="27" t="s">
        <v>2897</v>
      </c>
      <c r="H2752" s="8" t="str">
        <f t="shared" si="1"/>
        <v/>
      </c>
    </row>
    <row r="2753">
      <c r="A2753" s="23">
        <v>2752.0</v>
      </c>
      <c r="B2753" s="24" t="s">
        <v>5552</v>
      </c>
      <c r="C2753" s="24" t="s">
        <v>77</v>
      </c>
      <c r="D2753" s="24" t="s">
        <v>12</v>
      </c>
      <c r="E2753" s="13"/>
      <c r="F2753" s="13"/>
      <c r="G2753" s="27" t="s">
        <v>2897</v>
      </c>
      <c r="H2753" s="8" t="str">
        <f t="shared" si="1"/>
        <v/>
      </c>
    </row>
    <row r="2754">
      <c r="A2754" s="21">
        <v>2753.0</v>
      </c>
      <c r="B2754" s="22" t="s">
        <v>5547</v>
      </c>
      <c r="C2754" s="22" t="s">
        <v>33</v>
      </c>
      <c r="D2754" s="22" t="s">
        <v>122</v>
      </c>
      <c r="E2754" s="13"/>
      <c r="F2754" s="13"/>
      <c r="G2754" s="27">
        <v>2753.0</v>
      </c>
      <c r="H2754" s="8">
        <f t="shared" si="1"/>
        <v>0</v>
      </c>
    </row>
    <row r="2755">
      <c r="A2755" s="23">
        <v>2754.0</v>
      </c>
      <c r="B2755" s="24" t="s">
        <v>5548</v>
      </c>
      <c r="C2755" s="24" t="s">
        <v>33</v>
      </c>
      <c r="D2755" s="24" t="s">
        <v>71</v>
      </c>
      <c r="E2755" s="13"/>
      <c r="F2755" s="13"/>
      <c r="G2755" s="27">
        <v>2754.0</v>
      </c>
      <c r="H2755" s="8">
        <f t="shared" si="1"/>
        <v>0</v>
      </c>
    </row>
    <row r="2756">
      <c r="A2756" s="21">
        <v>2755.0</v>
      </c>
      <c r="B2756" s="22" t="s">
        <v>5554</v>
      </c>
      <c r="C2756" s="22" t="s">
        <v>14</v>
      </c>
      <c r="D2756" s="22" t="s">
        <v>99</v>
      </c>
      <c r="E2756" s="13"/>
      <c r="F2756" s="13"/>
      <c r="G2756" s="27">
        <v>2755.0</v>
      </c>
      <c r="H2756" s="8">
        <f t="shared" si="1"/>
        <v>0</v>
      </c>
    </row>
    <row r="2757">
      <c r="A2757" s="23">
        <v>2756.0</v>
      </c>
      <c r="B2757" s="24" t="s">
        <v>4502</v>
      </c>
      <c r="C2757" s="24" t="s">
        <v>22</v>
      </c>
      <c r="D2757" s="24" t="s">
        <v>15</v>
      </c>
      <c r="E2757" s="13"/>
      <c r="F2757" s="13"/>
      <c r="G2757" s="27">
        <v>2756.0</v>
      </c>
      <c r="H2757" s="8">
        <f t="shared" si="1"/>
        <v>0</v>
      </c>
    </row>
    <row r="2758">
      <c r="A2758" s="21">
        <v>2757.0</v>
      </c>
      <c r="B2758" s="22" t="s">
        <v>5566</v>
      </c>
      <c r="C2758" s="22" t="s">
        <v>77</v>
      </c>
      <c r="D2758" s="22" t="s">
        <v>90</v>
      </c>
      <c r="E2758" s="13"/>
      <c r="F2758" s="13"/>
      <c r="G2758" s="27" t="s">
        <v>2897</v>
      </c>
      <c r="H2758" s="8" t="str">
        <f t="shared" si="1"/>
        <v/>
      </c>
    </row>
    <row r="2759">
      <c r="A2759" s="23">
        <v>2758.0</v>
      </c>
      <c r="B2759" s="24" t="s">
        <v>2896</v>
      </c>
      <c r="C2759" s="24" t="s">
        <v>22</v>
      </c>
      <c r="D2759" s="24" t="s">
        <v>15</v>
      </c>
      <c r="E2759" s="13"/>
      <c r="F2759" s="13"/>
      <c r="G2759" s="27" t="s">
        <v>2897</v>
      </c>
      <c r="H2759" s="8" t="str">
        <f t="shared" si="1"/>
        <v/>
      </c>
    </row>
    <row r="2760">
      <c r="A2760" s="21">
        <v>2759.0</v>
      </c>
      <c r="B2760" s="22" t="s">
        <v>3124</v>
      </c>
      <c r="C2760" s="22" t="s">
        <v>17</v>
      </c>
      <c r="D2760" s="22" t="s">
        <v>85</v>
      </c>
      <c r="E2760" s="13"/>
      <c r="F2760" s="13"/>
      <c r="G2760" s="27">
        <v>2759.0</v>
      </c>
      <c r="H2760" s="8">
        <f t="shared" si="1"/>
        <v>0</v>
      </c>
    </row>
    <row r="2761">
      <c r="A2761" s="23">
        <v>2760.0</v>
      </c>
      <c r="B2761" s="24" t="s">
        <v>5588</v>
      </c>
      <c r="C2761" s="24" t="s">
        <v>20</v>
      </c>
      <c r="D2761" s="24" t="s">
        <v>73</v>
      </c>
      <c r="E2761" s="13"/>
      <c r="F2761" s="13"/>
      <c r="G2761" s="27">
        <v>2760.0</v>
      </c>
      <c r="H2761" s="8">
        <f t="shared" si="1"/>
        <v>0</v>
      </c>
    </row>
    <row r="2762">
      <c r="A2762" s="21">
        <v>2761.0</v>
      </c>
      <c r="B2762" s="22" t="s">
        <v>4495</v>
      </c>
      <c r="C2762" s="22" t="s">
        <v>22</v>
      </c>
      <c r="D2762" s="22" t="s">
        <v>36</v>
      </c>
      <c r="E2762" s="13"/>
      <c r="F2762" s="13"/>
      <c r="G2762" s="27">
        <v>2761.0</v>
      </c>
      <c r="H2762" s="8">
        <f t="shared" si="1"/>
        <v>0</v>
      </c>
    </row>
    <row r="2763">
      <c r="A2763" s="23">
        <v>2762.0</v>
      </c>
      <c r="B2763" s="24" t="s">
        <v>4544</v>
      </c>
      <c r="C2763" s="24" t="s">
        <v>220</v>
      </c>
      <c r="D2763" s="24" t="s">
        <v>42</v>
      </c>
      <c r="E2763" s="13"/>
      <c r="F2763" s="13"/>
      <c r="G2763" s="27">
        <v>2762.0</v>
      </c>
      <c r="H2763" s="8">
        <f t="shared" si="1"/>
        <v>0</v>
      </c>
    </row>
    <row r="2764">
      <c r="A2764" s="21">
        <v>2763.0</v>
      </c>
      <c r="B2764" s="22" t="s">
        <v>3191</v>
      </c>
      <c r="C2764" s="22" t="s">
        <v>22</v>
      </c>
      <c r="D2764" s="22" t="s">
        <v>113</v>
      </c>
      <c r="E2764" s="13"/>
      <c r="F2764" s="13"/>
      <c r="G2764" s="27">
        <v>2763.0</v>
      </c>
      <c r="H2764" s="8">
        <f t="shared" si="1"/>
        <v>0</v>
      </c>
    </row>
    <row r="2765">
      <c r="A2765" s="23">
        <v>2764.0</v>
      </c>
      <c r="B2765" s="24" t="s">
        <v>4485</v>
      </c>
      <c r="C2765" s="24" t="s">
        <v>22</v>
      </c>
      <c r="D2765" s="24" t="s">
        <v>113</v>
      </c>
      <c r="E2765" s="13"/>
      <c r="F2765" s="13"/>
      <c r="G2765" s="27" t="s">
        <v>2897</v>
      </c>
      <c r="H2765" s="8" t="str">
        <f t="shared" si="1"/>
        <v/>
      </c>
    </row>
    <row r="2766">
      <c r="A2766" s="21">
        <v>2765.0</v>
      </c>
      <c r="B2766" s="22" t="s">
        <v>4700</v>
      </c>
      <c r="C2766" s="22" t="s">
        <v>22</v>
      </c>
      <c r="D2766" s="22" t="s">
        <v>71</v>
      </c>
      <c r="E2766" s="13"/>
      <c r="F2766" s="13"/>
      <c r="G2766" s="27" t="s">
        <v>2897</v>
      </c>
      <c r="H2766" s="8" t="str">
        <f t="shared" si="1"/>
        <v/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8.88"/>
  </cols>
  <sheetData>
    <row r="1" ht="15.75" customHeight="1">
      <c r="A1" s="28" t="s">
        <v>4</v>
      </c>
      <c r="B1" s="28" t="s">
        <v>5589</v>
      </c>
      <c r="C1" s="28" t="s">
        <v>2</v>
      </c>
      <c r="D1" s="28" t="s">
        <v>3</v>
      </c>
      <c r="E1" s="28" t="s">
        <v>5</v>
      </c>
    </row>
    <row r="2" ht="15.75" customHeight="1">
      <c r="A2" s="10">
        <v>1.9</v>
      </c>
      <c r="B2" s="10" t="s">
        <v>5590</v>
      </c>
      <c r="C2" s="10" t="s">
        <v>8</v>
      </c>
      <c r="D2" s="10" t="s">
        <v>9</v>
      </c>
      <c r="E2" s="10">
        <v>52.4</v>
      </c>
    </row>
    <row r="3" ht="15.75" customHeight="1">
      <c r="A3" s="10">
        <v>3.6</v>
      </c>
      <c r="B3" s="10" t="s">
        <v>2851</v>
      </c>
      <c r="C3" s="10" t="s">
        <v>20</v>
      </c>
      <c r="D3" s="10" t="s">
        <v>15</v>
      </c>
      <c r="E3" s="10">
        <v>49.5</v>
      </c>
    </row>
    <row r="4" ht="15.75" customHeight="1">
      <c r="A4" s="10">
        <v>3.6</v>
      </c>
      <c r="B4" s="10" t="s">
        <v>2850</v>
      </c>
      <c r="C4" s="10" t="s">
        <v>17</v>
      </c>
      <c r="D4" s="10" t="s">
        <v>18</v>
      </c>
      <c r="E4" s="10">
        <v>49.7</v>
      </c>
    </row>
    <row r="5" ht="15.75" customHeight="1">
      <c r="A5" s="10">
        <v>4.2</v>
      </c>
      <c r="B5" s="10" t="s">
        <v>2949</v>
      </c>
      <c r="C5" s="10" t="s">
        <v>163</v>
      </c>
      <c r="D5" s="10" t="s">
        <v>52</v>
      </c>
      <c r="E5" s="10">
        <v>51.0</v>
      </c>
    </row>
    <row r="6" ht="15.75" customHeight="1">
      <c r="A6" s="10">
        <v>5.9</v>
      </c>
      <c r="B6" s="10" t="s">
        <v>2849</v>
      </c>
      <c r="C6" s="10" t="s">
        <v>14</v>
      </c>
      <c r="D6" s="10" t="s">
        <v>15</v>
      </c>
      <c r="E6" s="10">
        <v>46.8</v>
      </c>
    </row>
    <row r="7" ht="15.75" customHeight="1">
      <c r="A7" s="10">
        <v>6.4</v>
      </c>
      <c r="B7" s="10" t="s">
        <v>2848</v>
      </c>
      <c r="C7" s="10" t="s">
        <v>11</v>
      </c>
      <c r="D7" s="10" t="s">
        <v>12</v>
      </c>
      <c r="E7" s="10">
        <v>46.8</v>
      </c>
    </row>
    <row r="8" ht="15.75" customHeight="1">
      <c r="A8" s="10">
        <v>9.0</v>
      </c>
      <c r="B8" s="10" t="s">
        <v>2852</v>
      </c>
      <c r="C8" s="10" t="s">
        <v>22</v>
      </c>
      <c r="D8" s="10" t="s">
        <v>23</v>
      </c>
      <c r="E8" s="10">
        <v>43.3</v>
      </c>
    </row>
    <row r="9" ht="15.75" customHeight="1">
      <c r="A9" s="10">
        <v>9.9</v>
      </c>
      <c r="B9" s="10" t="s">
        <v>2855</v>
      </c>
      <c r="C9" s="10" t="s">
        <v>29</v>
      </c>
      <c r="D9" s="10" t="s">
        <v>9</v>
      </c>
      <c r="E9" s="10">
        <v>43.8</v>
      </c>
    </row>
    <row r="10" ht="15.75" customHeight="1">
      <c r="A10" s="10">
        <v>9.9</v>
      </c>
      <c r="B10" s="10" t="s">
        <v>2867</v>
      </c>
      <c r="C10" s="10" t="s">
        <v>17</v>
      </c>
      <c r="D10" s="10" t="s">
        <v>49</v>
      </c>
      <c r="E10" s="10">
        <v>44.7</v>
      </c>
    </row>
    <row r="11" ht="15.75" customHeight="1">
      <c r="A11" s="10">
        <v>10.9</v>
      </c>
      <c r="B11" s="10" t="s">
        <v>2856</v>
      </c>
      <c r="C11" s="10" t="s">
        <v>17</v>
      </c>
      <c r="D11" s="10" t="s">
        <v>31</v>
      </c>
      <c r="E11" s="10">
        <v>42.6</v>
      </c>
    </row>
    <row r="12" ht="15.75" customHeight="1">
      <c r="A12" s="10">
        <v>11.8</v>
      </c>
      <c r="B12" s="10" t="s">
        <v>2860</v>
      </c>
      <c r="C12" s="10" t="s">
        <v>39</v>
      </c>
      <c r="D12" s="10" t="s">
        <v>34</v>
      </c>
      <c r="E12" s="10">
        <v>40.0</v>
      </c>
    </row>
    <row r="13" ht="15.75" customHeight="1">
      <c r="A13" s="10">
        <v>11.8</v>
      </c>
      <c r="B13" s="10" t="s">
        <v>2853</v>
      </c>
      <c r="C13" s="10" t="s">
        <v>22</v>
      </c>
      <c r="D13" s="10" t="s">
        <v>25</v>
      </c>
      <c r="E13" s="10">
        <v>40.3</v>
      </c>
    </row>
    <row r="14" ht="15.75" customHeight="1">
      <c r="A14" s="10">
        <v>12.3</v>
      </c>
      <c r="B14" s="10" t="s">
        <v>2857</v>
      </c>
      <c r="C14" s="10" t="s">
        <v>33</v>
      </c>
      <c r="D14" s="10" t="s">
        <v>34</v>
      </c>
      <c r="E14" s="10">
        <v>40.8</v>
      </c>
    </row>
    <row r="15" ht="15.75" customHeight="1">
      <c r="A15" s="10">
        <v>14.1</v>
      </c>
      <c r="B15" s="10" t="s">
        <v>2859</v>
      </c>
      <c r="C15" s="10" t="s">
        <v>20</v>
      </c>
      <c r="D15" s="10" t="s">
        <v>9</v>
      </c>
      <c r="E15" s="10">
        <v>38.2</v>
      </c>
    </row>
    <row r="16" ht="15.75" customHeight="1">
      <c r="A16" s="10">
        <v>16.4</v>
      </c>
      <c r="B16" s="10" t="s">
        <v>2863</v>
      </c>
      <c r="C16" s="10" t="s">
        <v>22</v>
      </c>
      <c r="D16" s="10" t="s">
        <v>36</v>
      </c>
      <c r="E16" s="10">
        <v>33.9</v>
      </c>
    </row>
    <row r="17" ht="15.75" customHeight="1">
      <c r="A17" s="10">
        <v>16.5</v>
      </c>
      <c r="B17" s="10" t="s">
        <v>2862</v>
      </c>
      <c r="C17" s="10" t="s">
        <v>11</v>
      </c>
      <c r="D17" s="10" t="s">
        <v>42</v>
      </c>
      <c r="E17" s="10">
        <v>34.9</v>
      </c>
    </row>
    <row r="18" ht="15.75" customHeight="1">
      <c r="A18" s="10">
        <v>16.8</v>
      </c>
      <c r="B18" s="10" t="s">
        <v>2854</v>
      </c>
      <c r="C18" s="10" t="s">
        <v>17</v>
      </c>
      <c r="D18" s="10" t="s">
        <v>27</v>
      </c>
      <c r="E18" s="10">
        <v>36.5</v>
      </c>
    </row>
    <row r="19" ht="15.75" customHeight="1">
      <c r="A19" s="10">
        <v>17.9</v>
      </c>
      <c r="B19" s="10" t="s">
        <v>2861</v>
      </c>
      <c r="C19" s="10" t="s">
        <v>22</v>
      </c>
      <c r="D19" s="10" t="s">
        <v>9</v>
      </c>
      <c r="E19" s="10">
        <v>34.3</v>
      </c>
    </row>
    <row r="20" ht="15.75" customHeight="1">
      <c r="A20" s="10">
        <v>20.1</v>
      </c>
      <c r="B20" s="10" t="s">
        <v>2865</v>
      </c>
      <c r="C20" s="10" t="s">
        <v>39</v>
      </c>
      <c r="D20" s="10" t="s">
        <v>46</v>
      </c>
      <c r="E20" s="10">
        <v>34.0</v>
      </c>
    </row>
    <row r="21" ht="15.75" customHeight="1">
      <c r="A21" s="10">
        <v>21.3</v>
      </c>
      <c r="B21" s="10" t="s">
        <v>2858</v>
      </c>
      <c r="C21" s="10" t="s">
        <v>22</v>
      </c>
      <c r="D21" s="10" t="s">
        <v>36</v>
      </c>
      <c r="E21" s="10">
        <v>32.8</v>
      </c>
    </row>
    <row r="22" ht="15.75" customHeight="1">
      <c r="A22" s="10">
        <v>22.7</v>
      </c>
      <c r="B22" s="10" t="s">
        <v>2866</v>
      </c>
      <c r="C22" s="10" t="s">
        <v>48</v>
      </c>
      <c r="D22" s="10" t="s">
        <v>49</v>
      </c>
      <c r="E22" s="10">
        <v>31.6</v>
      </c>
    </row>
    <row r="23" ht="15.75" customHeight="1">
      <c r="A23" s="10">
        <v>23.7</v>
      </c>
      <c r="B23" s="10" t="s">
        <v>2870</v>
      </c>
      <c r="C23" s="10" t="s">
        <v>55</v>
      </c>
      <c r="D23" s="10" t="s">
        <v>27</v>
      </c>
      <c r="E23" s="10">
        <v>31.5</v>
      </c>
    </row>
    <row r="24" ht="15.75" customHeight="1">
      <c r="A24" s="10">
        <v>24.5</v>
      </c>
      <c r="B24" s="10" t="s">
        <v>2869</v>
      </c>
      <c r="C24" s="10" t="s">
        <v>39</v>
      </c>
      <c r="D24" s="10" t="s">
        <v>36</v>
      </c>
      <c r="E24" s="10">
        <v>32.9</v>
      </c>
    </row>
    <row r="25" ht="15.75" customHeight="1">
      <c r="A25" s="10">
        <v>25.0</v>
      </c>
      <c r="B25" s="10" t="s">
        <v>2864</v>
      </c>
      <c r="C25" s="10" t="s">
        <v>22</v>
      </c>
      <c r="D25" s="10" t="s">
        <v>25</v>
      </c>
      <c r="E25" s="10">
        <v>31.1</v>
      </c>
    </row>
    <row r="26" ht="15.75" customHeight="1">
      <c r="A26" s="10">
        <v>27.5</v>
      </c>
      <c r="B26" s="10" t="s">
        <v>2868</v>
      </c>
      <c r="C26" s="10" t="s">
        <v>11</v>
      </c>
      <c r="D26" s="10" t="s">
        <v>52</v>
      </c>
      <c r="E26" s="10">
        <v>29.4</v>
      </c>
    </row>
    <row r="27" ht="15.75" customHeight="1">
      <c r="A27" s="10">
        <v>28.7</v>
      </c>
      <c r="B27" s="10" t="s">
        <v>2877</v>
      </c>
      <c r="C27" s="10" t="s">
        <v>63</v>
      </c>
      <c r="D27" s="10" t="s">
        <v>23</v>
      </c>
      <c r="E27" s="10">
        <v>27.6</v>
      </c>
    </row>
    <row r="28" ht="15.75" customHeight="1">
      <c r="A28" s="10">
        <v>28.8</v>
      </c>
      <c r="B28" s="10" t="s">
        <v>2871</v>
      </c>
      <c r="C28" s="10" t="s">
        <v>22</v>
      </c>
      <c r="D28" s="10" t="s">
        <v>12</v>
      </c>
      <c r="E28" s="10">
        <v>28.7</v>
      </c>
    </row>
    <row r="29" ht="15.75" customHeight="1">
      <c r="A29" s="10">
        <v>29.0</v>
      </c>
      <c r="B29" s="10" t="s">
        <v>2873</v>
      </c>
      <c r="C29" s="10" t="s">
        <v>14</v>
      </c>
      <c r="D29" s="10" t="s">
        <v>42</v>
      </c>
      <c r="E29" s="10">
        <v>27.9</v>
      </c>
    </row>
    <row r="30" ht="15.75" customHeight="1">
      <c r="A30" s="10">
        <v>30.7</v>
      </c>
      <c r="B30" s="10" t="s">
        <v>2902</v>
      </c>
      <c r="C30" s="10" t="s">
        <v>22</v>
      </c>
      <c r="D30" s="10" t="s">
        <v>31</v>
      </c>
      <c r="E30" s="10">
        <v>28.0</v>
      </c>
    </row>
    <row r="31" ht="15.75" customHeight="1">
      <c r="A31" s="10">
        <v>31.0</v>
      </c>
      <c r="B31" s="10" t="s">
        <v>2872</v>
      </c>
      <c r="C31" s="10" t="s">
        <v>14</v>
      </c>
      <c r="D31" s="10" t="s">
        <v>46</v>
      </c>
      <c r="E31" s="10">
        <v>27.6</v>
      </c>
    </row>
    <row r="32" ht="15.75" customHeight="1">
      <c r="A32" s="10">
        <v>32.5</v>
      </c>
      <c r="B32" s="10" t="s">
        <v>2874</v>
      </c>
      <c r="C32" s="10" t="s">
        <v>20</v>
      </c>
      <c r="D32" s="10" t="s">
        <v>49</v>
      </c>
      <c r="E32" s="10">
        <v>26.6</v>
      </c>
    </row>
    <row r="33" ht="15.75" customHeight="1">
      <c r="A33" s="10">
        <v>32.9</v>
      </c>
      <c r="B33" s="10" t="s">
        <v>2881</v>
      </c>
      <c r="C33" s="10" t="s">
        <v>8</v>
      </c>
      <c r="D33" s="10" t="s">
        <v>71</v>
      </c>
      <c r="E33" s="10">
        <v>26.8</v>
      </c>
    </row>
    <row r="34" ht="15.75" customHeight="1">
      <c r="A34" s="10">
        <v>33.6</v>
      </c>
      <c r="B34" s="10" t="s">
        <v>2875</v>
      </c>
      <c r="C34" s="10" t="s">
        <v>22</v>
      </c>
      <c r="D34" s="10" t="s">
        <v>9</v>
      </c>
      <c r="E34" s="10">
        <v>26.9</v>
      </c>
    </row>
    <row r="35" ht="15.75" customHeight="1">
      <c r="A35" s="10">
        <v>35.1</v>
      </c>
      <c r="B35" s="10" t="s">
        <v>2885</v>
      </c>
      <c r="C35" s="10" t="s">
        <v>77</v>
      </c>
      <c r="D35" s="10" t="s">
        <v>67</v>
      </c>
      <c r="E35" s="10">
        <v>25.2</v>
      </c>
    </row>
    <row r="36" ht="15.75" customHeight="1">
      <c r="A36" s="10">
        <v>36.0</v>
      </c>
      <c r="B36" s="10" t="s">
        <v>2879</v>
      </c>
      <c r="C36" s="10" t="s">
        <v>66</v>
      </c>
      <c r="D36" s="10" t="s">
        <v>67</v>
      </c>
      <c r="E36" s="10">
        <v>26.2</v>
      </c>
    </row>
    <row r="37" ht="15.75" customHeight="1">
      <c r="A37" s="10">
        <v>37.0</v>
      </c>
      <c r="B37" s="10" t="s">
        <v>2880</v>
      </c>
      <c r="C37" s="10" t="s">
        <v>69</v>
      </c>
      <c r="D37" s="10" t="s">
        <v>15</v>
      </c>
      <c r="E37" s="10">
        <v>24.8</v>
      </c>
    </row>
    <row r="38" ht="15.75" customHeight="1">
      <c r="A38" s="10">
        <v>40.2</v>
      </c>
      <c r="B38" s="10" t="s">
        <v>2886</v>
      </c>
      <c r="C38" s="10" t="s">
        <v>79</v>
      </c>
      <c r="D38" s="10" t="s">
        <v>25</v>
      </c>
      <c r="E38" s="10">
        <v>23.7</v>
      </c>
    </row>
    <row r="39" ht="15.75" customHeight="1">
      <c r="A39" s="10">
        <v>40.5</v>
      </c>
      <c r="B39" s="10" t="s">
        <v>2884</v>
      </c>
      <c r="C39" s="10" t="s">
        <v>14</v>
      </c>
      <c r="D39" s="10" t="s">
        <v>36</v>
      </c>
      <c r="E39" s="10">
        <v>23.5</v>
      </c>
    </row>
    <row r="40" ht="15.75" customHeight="1">
      <c r="A40" s="10">
        <v>40.6</v>
      </c>
      <c r="B40" s="10" t="s">
        <v>2878</v>
      </c>
      <c r="C40" s="10" t="s">
        <v>14</v>
      </c>
      <c r="D40" s="10" t="s">
        <v>42</v>
      </c>
      <c r="E40" s="10">
        <v>23.9</v>
      </c>
    </row>
    <row r="41" ht="15.75" customHeight="1">
      <c r="A41" s="10">
        <v>42.2</v>
      </c>
      <c r="B41" s="10" t="s">
        <v>2892</v>
      </c>
      <c r="C41" s="10" t="s">
        <v>89</v>
      </c>
      <c r="D41" s="10" t="s">
        <v>90</v>
      </c>
      <c r="E41" s="10">
        <v>23.0</v>
      </c>
    </row>
    <row r="42" ht="15.75" customHeight="1">
      <c r="A42" s="10">
        <v>42.7</v>
      </c>
      <c r="B42" s="10" t="s">
        <v>2882</v>
      </c>
      <c r="C42" s="10" t="s">
        <v>39</v>
      </c>
      <c r="D42" s="10" t="s">
        <v>73</v>
      </c>
      <c r="E42" s="10">
        <v>24.4</v>
      </c>
    </row>
    <row r="43" ht="15.75" customHeight="1">
      <c r="A43" s="10">
        <v>43.1</v>
      </c>
      <c r="B43" s="10" t="s">
        <v>2891</v>
      </c>
      <c r="C43" s="10" t="s">
        <v>87</v>
      </c>
      <c r="D43" s="10" t="s">
        <v>49</v>
      </c>
      <c r="E43" s="10">
        <v>23.7</v>
      </c>
    </row>
    <row r="44" ht="15.75" customHeight="1">
      <c r="A44" s="10">
        <v>45.3</v>
      </c>
      <c r="B44" s="10" t="s">
        <v>2889</v>
      </c>
      <c r="C44" s="10" t="s">
        <v>79</v>
      </c>
      <c r="D44" s="10" t="s">
        <v>46</v>
      </c>
      <c r="E44" s="10">
        <v>22.4</v>
      </c>
    </row>
    <row r="45" ht="15.75" customHeight="1">
      <c r="A45" s="10">
        <v>45.7</v>
      </c>
      <c r="B45" s="10" t="s">
        <v>2876</v>
      </c>
      <c r="C45" s="10" t="s">
        <v>22</v>
      </c>
      <c r="D45" s="10" t="s">
        <v>46</v>
      </c>
      <c r="E45" s="10">
        <v>22.8</v>
      </c>
    </row>
    <row r="46" ht="15.75" customHeight="1">
      <c r="A46" s="10">
        <v>47.0</v>
      </c>
      <c r="B46" s="10" t="s">
        <v>2888</v>
      </c>
      <c r="C46" s="10" t="s">
        <v>20</v>
      </c>
      <c r="D46" s="10" t="s">
        <v>82</v>
      </c>
      <c r="E46" s="10">
        <v>21.2</v>
      </c>
    </row>
    <row r="47" ht="15.75" customHeight="1">
      <c r="A47" s="10">
        <v>48.7</v>
      </c>
      <c r="B47" s="10" t="s">
        <v>2883</v>
      </c>
      <c r="C47" s="10" t="s">
        <v>22</v>
      </c>
      <c r="D47" s="10" t="s">
        <v>31</v>
      </c>
      <c r="E47" s="10">
        <v>22.1</v>
      </c>
    </row>
    <row r="48" ht="15.75" customHeight="1">
      <c r="A48" s="10">
        <v>49.1</v>
      </c>
      <c r="B48" s="10" t="s">
        <v>2913</v>
      </c>
      <c r="C48" s="10" t="s">
        <v>11</v>
      </c>
      <c r="D48" s="10" t="s">
        <v>82</v>
      </c>
      <c r="E48" s="10">
        <v>21.4</v>
      </c>
    </row>
    <row r="49" ht="15.75" customHeight="1">
      <c r="A49" s="10">
        <v>49.7</v>
      </c>
      <c r="B49" s="10" t="s">
        <v>2887</v>
      </c>
      <c r="C49" s="10" t="s">
        <v>17</v>
      </c>
      <c r="D49" s="10" t="s">
        <v>31</v>
      </c>
      <c r="E49" s="10">
        <v>21.8</v>
      </c>
    </row>
    <row r="50" ht="15.75" customHeight="1">
      <c r="A50" s="10">
        <v>51.3</v>
      </c>
      <c r="B50" s="10" t="s">
        <v>2899</v>
      </c>
      <c r="C50" s="10" t="s">
        <v>55</v>
      </c>
      <c r="D50" s="10" t="s">
        <v>46</v>
      </c>
      <c r="E50" s="10">
        <v>21.7</v>
      </c>
    </row>
    <row r="51" ht="15.75" customHeight="1">
      <c r="A51" s="10">
        <v>53.3</v>
      </c>
      <c r="B51" s="10" t="s">
        <v>2896</v>
      </c>
      <c r="C51" s="10" t="s">
        <v>22</v>
      </c>
      <c r="D51" s="10" t="s">
        <v>95</v>
      </c>
      <c r="E51" s="10">
        <v>20.8</v>
      </c>
    </row>
    <row r="52" ht="15.75" customHeight="1">
      <c r="A52" s="10">
        <v>53.5</v>
      </c>
      <c r="B52" s="10" t="s">
        <v>2893</v>
      </c>
      <c r="C52" s="10" t="s">
        <v>69</v>
      </c>
      <c r="D52" s="10" t="s">
        <v>90</v>
      </c>
      <c r="E52" s="10">
        <v>21.4</v>
      </c>
    </row>
    <row r="53" ht="15.75" customHeight="1">
      <c r="A53" s="10">
        <v>54.5</v>
      </c>
      <c r="B53" s="10" t="s">
        <v>2906</v>
      </c>
      <c r="C53" s="10" t="s">
        <v>22</v>
      </c>
      <c r="D53" s="10" t="s">
        <v>46</v>
      </c>
      <c r="E53" s="10">
        <v>21.3</v>
      </c>
    </row>
    <row r="54" ht="15.75" customHeight="1">
      <c r="A54" s="10">
        <v>56.2</v>
      </c>
      <c r="B54" s="10" t="s">
        <v>2890</v>
      </c>
      <c r="C54" s="10" t="s">
        <v>22</v>
      </c>
      <c r="D54" s="10" t="s">
        <v>85</v>
      </c>
      <c r="E54" s="10">
        <v>20.7</v>
      </c>
    </row>
    <row r="55" ht="15.75" customHeight="1">
      <c r="A55" s="10">
        <v>56.2</v>
      </c>
      <c r="B55" s="10" t="s">
        <v>2903</v>
      </c>
      <c r="C55" s="10" t="s">
        <v>20</v>
      </c>
      <c r="D55" s="10" t="s">
        <v>36</v>
      </c>
      <c r="E55" s="10">
        <v>20.0</v>
      </c>
    </row>
    <row r="56" ht="15.75" customHeight="1">
      <c r="A56" s="10">
        <v>57.1</v>
      </c>
      <c r="B56" s="10" t="s">
        <v>2894</v>
      </c>
      <c r="C56" s="10" t="s">
        <v>48</v>
      </c>
      <c r="D56" s="10" t="s">
        <v>27</v>
      </c>
      <c r="E56" s="10">
        <v>20.0</v>
      </c>
    </row>
    <row r="57" ht="15.75" customHeight="1">
      <c r="A57" s="10">
        <v>58.6</v>
      </c>
      <c r="B57" s="10" t="s">
        <v>2920</v>
      </c>
      <c r="C57" s="10" t="s">
        <v>11</v>
      </c>
      <c r="D57" s="10" t="s">
        <v>27</v>
      </c>
      <c r="E57" s="10">
        <v>20.1</v>
      </c>
    </row>
    <row r="58" ht="15.75" customHeight="1">
      <c r="A58" s="10">
        <v>58.8</v>
      </c>
      <c r="B58" s="10" t="s">
        <v>2907</v>
      </c>
      <c r="C58" s="10" t="s">
        <v>69</v>
      </c>
      <c r="D58" s="10" t="s">
        <v>42</v>
      </c>
      <c r="E58" s="10">
        <v>20.1</v>
      </c>
    </row>
    <row r="59" ht="15.75" customHeight="1">
      <c r="A59" s="10">
        <v>59.6</v>
      </c>
      <c r="B59" s="10" t="s">
        <v>3014</v>
      </c>
      <c r="C59" s="10" t="s">
        <v>22</v>
      </c>
      <c r="D59" s="10" t="s">
        <v>42</v>
      </c>
      <c r="E59" s="10">
        <v>19.6</v>
      </c>
    </row>
    <row r="60" ht="15.75" customHeight="1">
      <c r="A60" s="10">
        <v>60.0</v>
      </c>
      <c r="B60" s="10" t="s">
        <v>2905</v>
      </c>
      <c r="C60" s="10" t="s">
        <v>20</v>
      </c>
      <c r="D60" s="10" t="s">
        <v>46</v>
      </c>
      <c r="E60" s="10">
        <v>19.7</v>
      </c>
    </row>
    <row r="61" ht="15.75" customHeight="1">
      <c r="A61" s="10">
        <v>61.3</v>
      </c>
      <c r="B61" s="10" t="s">
        <v>2895</v>
      </c>
      <c r="C61" s="10" t="s">
        <v>39</v>
      </c>
      <c r="D61" s="10" t="s">
        <v>15</v>
      </c>
      <c r="E61" s="10">
        <v>19.8</v>
      </c>
    </row>
    <row r="62" ht="15.75" customHeight="1">
      <c r="A62" s="10">
        <v>62.5</v>
      </c>
      <c r="B62" s="10" t="s">
        <v>2911</v>
      </c>
      <c r="C62" s="10" t="s">
        <v>8</v>
      </c>
      <c r="D62" s="10" t="s">
        <v>113</v>
      </c>
      <c r="E62" s="10">
        <v>19.3</v>
      </c>
    </row>
    <row r="63" ht="15.75" customHeight="1">
      <c r="A63" s="10">
        <v>64.8</v>
      </c>
      <c r="B63" s="10" t="s">
        <v>2909</v>
      </c>
      <c r="C63" s="10" t="s">
        <v>22</v>
      </c>
      <c r="D63" s="10" t="s">
        <v>15</v>
      </c>
      <c r="E63" s="10">
        <v>19.1</v>
      </c>
    </row>
    <row r="64" ht="15.75" customHeight="1">
      <c r="A64" s="10">
        <v>65.6</v>
      </c>
      <c r="B64" s="10" t="s">
        <v>2900</v>
      </c>
      <c r="C64" s="10" t="s">
        <v>39</v>
      </c>
      <c r="D64" s="10" t="s">
        <v>99</v>
      </c>
      <c r="E64" s="10">
        <v>20.3</v>
      </c>
    </row>
    <row r="65" ht="15.75" customHeight="1">
      <c r="A65" s="10">
        <v>66.4</v>
      </c>
      <c r="B65" s="10" t="s">
        <v>2901</v>
      </c>
      <c r="C65" s="10" t="s">
        <v>22</v>
      </c>
      <c r="D65" s="10" t="s">
        <v>25</v>
      </c>
      <c r="E65" s="10">
        <v>19.8</v>
      </c>
    </row>
    <row r="66" ht="15.75" customHeight="1">
      <c r="A66" s="10">
        <v>66.9</v>
      </c>
      <c r="B66" s="10" t="s">
        <v>2915</v>
      </c>
      <c r="C66" s="10" t="s">
        <v>14</v>
      </c>
      <c r="D66" s="10" t="s">
        <v>71</v>
      </c>
      <c r="E66" s="10">
        <v>18.3</v>
      </c>
    </row>
    <row r="67" ht="15.75" customHeight="1">
      <c r="A67" s="10">
        <v>67.6</v>
      </c>
      <c r="B67" s="10" t="s">
        <v>2925</v>
      </c>
      <c r="C67" s="10" t="s">
        <v>22</v>
      </c>
      <c r="D67" s="10" t="s">
        <v>49</v>
      </c>
      <c r="E67" s="10">
        <v>17.8</v>
      </c>
    </row>
    <row r="68" ht="15.75" customHeight="1">
      <c r="A68" s="10">
        <v>69.9</v>
      </c>
      <c r="B68" s="10" t="s">
        <v>2898</v>
      </c>
      <c r="C68" s="10" t="s">
        <v>89</v>
      </c>
      <c r="D68" s="10" t="s">
        <v>67</v>
      </c>
      <c r="E68" s="10">
        <v>19.4</v>
      </c>
    </row>
    <row r="69" ht="15.75" customHeight="1">
      <c r="A69" s="10">
        <v>71.4</v>
      </c>
      <c r="B69" s="10" t="s">
        <v>2944</v>
      </c>
      <c r="C69" s="10" t="s">
        <v>22</v>
      </c>
      <c r="D69" s="10" t="s">
        <v>34</v>
      </c>
      <c r="E69" s="10">
        <v>21.4</v>
      </c>
    </row>
    <row r="70" ht="15.75" customHeight="1">
      <c r="A70" s="10">
        <v>71.5</v>
      </c>
      <c r="B70" s="10" t="s">
        <v>2919</v>
      </c>
      <c r="C70" s="10" t="s">
        <v>69</v>
      </c>
      <c r="D70" s="10" t="s">
        <v>23</v>
      </c>
      <c r="E70" s="10">
        <v>17.8</v>
      </c>
    </row>
    <row r="71" ht="15.75" customHeight="1">
      <c r="A71" s="10">
        <v>72.2</v>
      </c>
      <c r="B71" s="10" t="s">
        <v>3070</v>
      </c>
      <c r="C71" s="10" t="s">
        <v>22</v>
      </c>
      <c r="D71" s="10" t="s">
        <v>82</v>
      </c>
      <c r="E71" s="10">
        <v>18.2</v>
      </c>
    </row>
    <row r="72" ht="15.75" customHeight="1">
      <c r="A72" s="10">
        <v>72.3</v>
      </c>
      <c r="B72" s="10" t="s">
        <v>2937</v>
      </c>
      <c r="C72" s="10" t="s">
        <v>148</v>
      </c>
      <c r="D72" s="10" t="s">
        <v>31</v>
      </c>
      <c r="E72" s="10">
        <v>16.1</v>
      </c>
    </row>
    <row r="73" ht="15.75" customHeight="1">
      <c r="A73" s="10">
        <v>72.9</v>
      </c>
      <c r="B73" s="10" t="s">
        <v>2943</v>
      </c>
      <c r="C73" s="10" t="s">
        <v>14</v>
      </c>
      <c r="D73" s="10" t="s">
        <v>99</v>
      </c>
      <c r="E73" s="10">
        <v>16.7</v>
      </c>
    </row>
    <row r="74" ht="15.75" customHeight="1">
      <c r="A74" s="10">
        <v>74.2</v>
      </c>
      <c r="B74" s="10" t="s">
        <v>2910</v>
      </c>
      <c r="C74" s="10" t="s">
        <v>22</v>
      </c>
      <c r="D74" s="10" t="s">
        <v>15</v>
      </c>
      <c r="E74" s="10">
        <v>17.6</v>
      </c>
    </row>
    <row r="75" ht="15.75" customHeight="1">
      <c r="A75" s="10">
        <v>75.7</v>
      </c>
      <c r="B75" s="10" t="s">
        <v>2932</v>
      </c>
      <c r="C75" s="10" t="s">
        <v>55</v>
      </c>
      <c r="D75" s="10" t="s">
        <v>25</v>
      </c>
      <c r="E75" s="10">
        <v>17.2</v>
      </c>
    </row>
    <row r="76" ht="15.75" customHeight="1">
      <c r="A76" s="10">
        <v>76.1</v>
      </c>
      <c r="B76" s="10" t="s">
        <v>2904</v>
      </c>
      <c r="C76" s="10" t="s">
        <v>104</v>
      </c>
      <c r="D76" s="10" t="s">
        <v>105</v>
      </c>
      <c r="E76" s="10">
        <v>16.6</v>
      </c>
    </row>
    <row r="77" ht="15.75" customHeight="1">
      <c r="A77" s="10">
        <v>76.6</v>
      </c>
      <c r="B77" s="10" t="s">
        <v>2921</v>
      </c>
      <c r="C77" s="10" t="s">
        <v>126</v>
      </c>
      <c r="D77" s="10" t="s">
        <v>90</v>
      </c>
      <c r="E77" s="10">
        <v>16.7</v>
      </c>
    </row>
    <row r="78" ht="15.75" customHeight="1">
      <c r="A78" s="10">
        <v>77.5</v>
      </c>
      <c r="B78" s="10" t="s">
        <v>2908</v>
      </c>
      <c r="C78" s="10" t="s">
        <v>55</v>
      </c>
      <c r="D78" s="10" t="s">
        <v>82</v>
      </c>
      <c r="E78" s="10">
        <v>17.8</v>
      </c>
    </row>
    <row r="79" ht="15.75" customHeight="1">
      <c r="A79" s="10">
        <v>77.8</v>
      </c>
      <c r="B79" s="10" t="s">
        <v>2956</v>
      </c>
      <c r="C79" s="10" t="s">
        <v>22</v>
      </c>
      <c r="D79" s="10" t="s">
        <v>129</v>
      </c>
      <c r="E79" s="10">
        <v>16.8</v>
      </c>
    </row>
    <row r="80" ht="15.75" customHeight="1">
      <c r="A80" s="10">
        <v>79.3</v>
      </c>
      <c r="B80" s="10" t="s">
        <v>2927</v>
      </c>
      <c r="C80" s="10" t="s">
        <v>79</v>
      </c>
      <c r="D80" s="10" t="s">
        <v>34</v>
      </c>
      <c r="E80" s="10">
        <v>15.0</v>
      </c>
    </row>
    <row r="81" ht="15.75" customHeight="1">
      <c r="A81" s="10">
        <v>80.4</v>
      </c>
      <c r="B81" s="10" t="s">
        <v>2924</v>
      </c>
      <c r="C81" s="10" t="s">
        <v>77</v>
      </c>
      <c r="D81" s="10" t="s">
        <v>9</v>
      </c>
      <c r="E81" s="10">
        <v>15.1</v>
      </c>
    </row>
    <row r="82" ht="15.75" customHeight="1">
      <c r="A82" s="10">
        <v>80.6</v>
      </c>
      <c r="B82" s="10" t="s">
        <v>2936</v>
      </c>
      <c r="C82" s="10" t="s">
        <v>11</v>
      </c>
      <c r="D82" s="10" t="s">
        <v>34</v>
      </c>
      <c r="E82" s="10">
        <v>15.6</v>
      </c>
    </row>
    <row r="83" ht="15.75" customHeight="1">
      <c r="A83" s="10">
        <v>83.9</v>
      </c>
      <c r="B83" s="10" t="s">
        <v>2951</v>
      </c>
      <c r="C83" s="10" t="s">
        <v>79</v>
      </c>
      <c r="D83" s="10" t="s">
        <v>23</v>
      </c>
      <c r="E83" s="10">
        <v>14.5</v>
      </c>
    </row>
    <row r="84" ht="15.75" customHeight="1">
      <c r="A84" s="10">
        <v>85.6</v>
      </c>
      <c r="B84" s="10" t="s">
        <v>2914</v>
      </c>
      <c r="C84" s="10" t="s">
        <v>8</v>
      </c>
      <c r="D84" s="10" t="s">
        <v>85</v>
      </c>
      <c r="E84" s="10">
        <v>15.2</v>
      </c>
    </row>
    <row r="85" ht="15.75" customHeight="1">
      <c r="A85" s="10">
        <v>87.7</v>
      </c>
      <c r="B85" s="10" t="s">
        <v>2939</v>
      </c>
      <c r="C85" s="10" t="s">
        <v>39</v>
      </c>
      <c r="D85" s="10" t="s">
        <v>9</v>
      </c>
      <c r="E85" s="10">
        <v>15.1</v>
      </c>
    </row>
    <row r="86" ht="15.75" customHeight="1">
      <c r="A86" s="10">
        <v>88.6</v>
      </c>
      <c r="B86" s="10" t="s">
        <v>2916</v>
      </c>
      <c r="C86" s="10" t="s">
        <v>22</v>
      </c>
      <c r="D86" s="10" t="s">
        <v>49</v>
      </c>
      <c r="E86" s="10">
        <v>14.1</v>
      </c>
    </row>
    <row r="87" ht="15.75" customHeight="1">
      <c r="A87" s="10">
        <v>89.3</v>
      </c>
      <c r="B87" s="10" t="s">
        <v>2923</v>
      </c>
      <c r="C87" s="10" t="s">
        <v>48</v>
      </c>
      <c r="D87" s="10" t="s">
        <v>129</v>
      </c>
      <c r="E87" s="10">
        <v>15.0</v>
      </c>
    </row>
    <row r="88" ht="15.75" customHeight="1">
      <c r="A88" s="10">
        <v>91.0</v>
      </c>
      <c r="B88" s="10" t="s">
        <v>2928</v>
      </c>
      <c r="C88" s="10" t="s">
        <v>22</v>
      </c>
      <c r="D88" s="10" t="s">
        <v>122</v>
      </c>
      <c r="E88" s="10">
        <v>14.3</v>
      </c>
    </row>
    <row r="89" ht="15.75" customHeight="1">
      <c r="A89" s="10">
        <v>91.1</v>
      </c>
      <c r="B89" s="10" t="s">
        <v>2930</v>
      </c>
      <c r="C89" s="10" t="s">
        <v>139</v>
      </c>
      <c r="D89" s="10" t="s">
        <v>140</v>
      </c>
      <c r="E89" s="10">
        <v>13.9</v>
      </c>
    </row>
    <row r="90" ht="15.75" customHeight="1">
      <c r="A90" s="10">
        <v>91.3</v>
      </c>
      <c r="B90" s="10" t="s">
        <v>2917</v>
      </c>
      <c r="C90" s="10" t="s">
        <v>22</v>
      </c>
      <c r="D90" s="10" t="s">
        <v>120</v>
      </c>
      <c r="E90" s="10">
        <v>14.2</v>
      </c>
    </row>
    <row r="91" ht="15.75" customHeight="1">
      <c r="A91" s="10">
        <v>91.4</v>
      </c>
      <c r="B91" s="10" t="s">
        <v>2972</v>
      </c>
      <c r="C91" s="10" t="s">
        <v>189</v>
      </c>
      <c r="D91" s="10" t="s">
        <v>23</v>
      </c>
      <c r="E91" s="10">
        <v>12.5</v>
      </c>
    </row>
    <row r="92" ht="15.75" customHeight="1">
      <c r="A92" s="10">
        <v>91.8</v>
      </c>
      <c r="B92" s="10" t="s">
        <v>2912</v>
      </c>
      <c r="C92" s="10" t="s">
        <v>22</v>
      </c>
      <c r="D92" s="10" t="s">
        <v>52</v>
      </c>
      <c r="E92" s="10">
        <v>14.8</v>
      </c>
    </row>
    <row r="93" ht="15.75" customHeight="1">
      <c r="A93" s="10">
        <v>94.4</v>
      </c>
      <c r="B93" s="10" t="s">
        <v>2926</v>
      </c>
      <c r="C93" s="10" t="s">
        <v>22</v>
      </c>
      <c r="D93" s="10" t="s">
        <v>52</v>
      </c>
      <c r="E93" s="10">
        <v>13.8</v>
      </c>
    </row>
    <row r="94" ht="15.75" customHeight="1">
      <c r="A94" s="10">
        <v>96.6</v>
      </c>
      <c r="B94" s="10" t="s">
        <v>2934</v>
      </c>
      <c r="C94" s="10" t="s">
        <v>22</v>
      </c>
      <c r="D94" s="10" t="s">
        <v>15</v>
      </c>
      <c r="E94" s="10">
        <v>13.5</v>
      </c>
    </row>
    <row r="95" ht="15.75" customHeight="1">
      <c r="A95" s="10">
        <v>97.0</v>
      </c>
      <c r="B95" s="10" t="s">
        <v>2948</v>
      </c>
      <c r="C95" s="10" t="s">
        <v>79</v>
      </c>
      <c r="D95" s="10" t="s">
        <v>27</v>
      </c>
      <c r="E95" s="10">
        <v>11.0</v>
      </c>
    </row>
    <row r="96" ht="15.75" customHeight="1">
      <c r="A96" s="10">
        <v>97.0</v>
      </c>
      <c r="B96" s="10" t="s">
        <v>2940</v>
      </c>
      <c r="C96" s="10" t="s">
        <v>79</v>
      </c>
      <c r="D96" s="10" t="s">
        <v>12</v>
      </c>
      <c r="E96" s="10">
        <v>12.5</v>
      </c>
    </row>
    <row r="97" ht="15.75" customHeight="1">
      <c r="A97" s="10">
        <v>97.1</v>
      </c>
      <c r="B97" s="10" t="s">
        <v>2935</v>
      </c>
      <c r="C97" s="10" t="s">
        <v>17</v>
      </c>
      <c r="D97" s="10" t="s">
        <v>95</v>
      </c>
      <c r="E97" s="10">
        <v>13.2</v>
      </c>
    </row>
    <row r="98" ht="15.75" customHeight="1">
      <c r="A98" s="10">
        <v>99.3</v>
      </c>
      <c r="B98" s="10" t="s">
        <v>2931</v>
      </c>
      <c r="C98" s="10" t="s">
        <v>8</v>
      </c>
      <c r="D98" s="10" t="s">
        <v>99</v>
      </c>
      <c r="E98" s="10">
        <v>12.6</v>
      </c>
    </row>
    <row r="99" ht="15.75" customHeight="1">
      <c r="A99" s="10">
        <v>99.9</v>
      </c>
      <c r="B99" s="10" t="s">
        <v>2918</v>
      </c>
      <c r="C99" s="10" t="s">
        <v>22</v>
      </c>
      <c r="D99" s="10" t="s">
        <v>122</v>
      </c>
      <c r="E99" s="10">
        <v>12.8</v>
      </c>
    </row>
    <row r="100" ht="15.75" customHeight="1">
      <c r="A100" s="10">
        <v>100.2</v>
      </c>
      <c r="B100" s="10" t="s">
        <v>2942</v>
      </c>
      <c r="C100" s="10" t="s">
        <v>55</v>
      </c>
      <c r="D100" s="10" t="s">
        <v>95</v>
      </c>
      <c r="E100" s="10">
        <v>13.1</v>
      </c>
    </row>
    <row r="101" ht="15.75" customHeight="1">
      <c r="A101" s="10">
        <v>100.4</v>
      </c>
      <c r="B101" s="10" t="s">
        <v>2945</v>
      </c>
      <c r="C101" s="10" t="s">
        <v>158</v>
      </c>
      <c r="D101" s="10" t="s">
        <v>34</v>
      </c>
      <c r="E101" s="10">
        <v>13.0</v>
      </c>
    </row>
    <row r="102" ht="15.75" customHeight="1">
      <c r="A102" s="10">
        <v>101.9</v>
      </c>
      <c r="B102" s="10" t="s">
        <v>2929</v>
      </c>
      <c r="C102" s="10" t="s">
        <v>136</v>
      </c>
      <c r="D102" s="10" t="s">
        <v>137</v>
      </c>
      <c r="E102" s="10">
        <v>11.7</v>
      </c>
    </row>
    <row r="103" ht="15.75" customHeight="1">
      <c r="A103" s="10">
        <v>104.2</v>
      </c>
      <c r="B103" s="10" t="s">
        <v>2994</v>
      </c>
      <c r="C103" s="10" t="s">
        <v>79</v>
      </c>
      <c r="D103" s="10" t="s">
        <v>15</v>
      </c>
      <c r="E103" s="10">
        <v>8.3</v>
      </c>
    </row>
    <row r="104" ht="15.75" customHeight="1">
      <c r="A104" s="10">
        <v>107.4</v>
      </c>
      <c r="B104" s="10" t="s">
        <v>2958</v>
      </c>
      <c r="C104" s="10" t="s">
        <v>79</v>
      </c>
      <c r="D104" s="10" t="s">
        <v>36</v>
      </c>
      <c r="E104" s="10">
        <v>10.8</v>
      </c>
    </row>
    <row r="105" ht="15.75" customHeight="1">
      <c r="A105" s="10">
        <v>107.4</v>
      </c>
      <c r="B105" s="10" t="s">
        <v>2933</v>
      </c>
      <c r="C105" s="10" t="s">
        <v>22</v>
      </c>
      <c r="D105" s="10" t="s">
        <v>85</v>
      </c>
      <c r="E105" s="10">
        <v>11.8</v>
      </c>
    </row>
    <row r="106" ht="15.75" customHeight="1">
      <c r="A106" s="10">
        <v>107.8</v>
      </c>
      <c r="B106" s="10" t="s">
        <v>2946</v>
      </c>
      <c r="C106" s="10" t="s">
        <v>17</v>
      </c>
      <c r="D106" s="10" t="s">
        <v>12</v>
      </c>
      <c r="E106" s="10">
        <v>11.3</v>
      </c>
    </row>
    <row r="107" ht="15.75" customHeight="1">
      <c r="A107" s="10">
        <v>108.9</v>
      </c>
      <c r="B107" s="10" t="s">
        <v>2982</v>
      </c>
      <c r="C107" s="10" t="s">
        <v>22</v>
      </c>
      <c r="D107" s="10" t="s">
        <v>9</v>
      </c>
      <c r="E107" s="10">
        <v>10.0</v>
      </c>
    </row>
    <row r="108" ht="15.75" customHeight="1">
      <c r="A108" s="10">
        <v>109.0</v>
      </c>
      <c r="B108" s="10" t="s">
        <v>2988</v>
      </c>
      <c r="C108" s="10" t="s">
        <v>79</v>
      </c>
      <c r="D108" s="10" t="s">
        <v>82</v>
      </c>
      <c r="E108" s="10">
        <v>7.5</v>
      </c>
    </row>
    <row r="109" ht="15.75" customHeight="1">
      <c r="A109" s="10">
        <v>109.2</v>
      </c>
      <c r="B109" s="10" t="s">
        <v>2961</v>
      </c>
      <c r="C109" s="10" t="s">
        <v>176</v>
      </c>
      <c r="D109" s="10" t="s">
        <v>9</v>
      </c>
      <c r="E109" s="10">
        <v>10.4</v>
      </c>
    </row>
    <row r="110" ht="15.75" customHeight="1">
      <c r="A110" s="10">
        <v>109.2</v>
      </c>
      <c r="B110" s="10" t="s">
        <v>2964</v>
      </c>
      <c r="C110" s="10" t="s">
        <v>150</v>
      </c>
      <c r="D110" s="10" t="s">
        <v>73</v>
      </c>
      <c r="E110" s="10">
        <v>11.5</v>
      </c>
    </row>
    <row r="111" ht="15.75" customHeight="1">
      <c r="A111" s="10">
        <v>112.4</v>
      </c>
      <c r="B111" s="10" t="s">
        <v>2922</v>
      </c>
      <c r="C111" s="10" t="s">
        <v>22</v>
      </c>
      <c r="D111" s="10" t="s">
        <v>46</v>
      </c>
      <c r="E111" s="10">
        <v>11.4</v>
      </c>
    </row>
    <row r="112" ht="15.75" customHeight="1">
      <c r="A112" s="10">
        <v>112.6</v>
      </c>
      <c r="B112" s="10" t="s">
        <v>2974</v>
      </c>
      <c r="C112" s="10" t="s">
        <v>79</v>
      </c>
      <c r="D112" s="10" t="s">
        <v>49</v>
      </c>
      <c r="E112" s="10">
        <v>7.1</v>
      </c>
    </row>
    <row r="113" ht="15.75" customHeight="1">
      <c r="A113" s="10">
        <v>113.5</v>
      </c>
      <c r="B113" s="10" t="s">
        <v>2967</v>
      </c>
      <c r="C113" s="10" t="s">
        <v>22</v>
      </c>
      <c r="D113" s="10" t="s">
        <v>52</v>
      </c>
      <c r="E113" s="10">
        <v>11.5</v>
      </c>
    </row>
    <row r="114" ht="15.75" customHeight="1">
      <c r="A114" s="10">
        <v>114.1</v>
      </c>
      <c r="B114" s="10" t="s">
        <v>2947</v>
      </c>
      <c r="C114" s="10" t="s">
        <v>22</v>
      </c>
      <c r="D114" s="10" t="s">
        <v>90</v>
      </c>
      <c r="E114" s="10">
        <v>11.3</v>
      </c>
    </row>
    <row r="115" ht="15.75" customHeight="1">
      <c r="A115" s="10">
        <v>118.7</v>
      </c>
      <c r="B115" s="10" t="s">
        <v>2959</v>
      </c>
      <c r="C115" s="10" t="s">
        <v>22</v>
      </c>
      <c r="D115" s="10" t="s">
        <v>36</v>
      </c>
      <c r="E115" s="10">
        <v>7.4</v>
      </c>
    </row>
    <row r="116" ht="15.75" customHeight="1">
      <c r="A116" s="10">
        <v>118.9</v>
      </c>
      <c r="B116" s="10" t="s">
        <v>2954</v>
      </c>
      <c r="C116" s="10" t="s">
        <v>33</v>
      </c>
      <c r="D116" s="10" t="s">
        <v>18</v>
      </c>
      <c r="E116" s="10">
        <v>10.9</v>
      </c>
    </row>
    <row r="117" ht="15.75" customHeight="1">
      <c r="A117" s="10">
        <v>120.7</v>
      </c>
      <c r="B117" s="10" t="s">
        <v>2938</v>
      </c>
      <c r="C117" s="10" t="s">
        <v>150</v>
      </c>
      <c r="D117" s="10" t="s">
        <v>31</v>
      </c>
      <c r="E117" s="10">
        <v>10.1</v>
      </c>
    </row>
    <row r="118" ht="15.75" customHeight="1">
      <c r="A118" s="10">
        <v>120.8</v>
      </c>
      <c r="B118" s="10" t="s">
        <v>2950</v>
      </c>
      <c r="C118" s="10" t="s">
        <v>14</v>
      </c>
      <c r="D118" s="10" t="s">
        <v>67</v>
      </c>
      <c r="E118" s="10">
        <v>8.9</v>
      </c>
    </row>
    <row r="119" ht="15.75" customHeight="1">
      <c r="A119" s="10">
        <v>123.2</v>
      </c>
      <c r="B119" s="10" t="s">
        <v>2963</v>
      </c>
      <c r="C119" s="10" t="s">
        <v>55</v>
      </c>
      <c r="D119" s="10" t="s">
        <v>90</v>
      </c>
      <c r="E119" s="10">
        <v>9.5</v>
      </c>
    </row>
    <row r="120" ht="15.75" customHeight="1">
      <c r="A120" s="10">
        <v>124.6</v>
      </c>
      <c r="B120" s="10" t="s">
        <v>2953</v>
      </c>
      <c r="C120" s="10" t="s">
        <v>66</v>
      </c>
      <c r="D120" s="10" t="s">
        <v>82</v>
      </c>
      <c r="E120" s="10">
        <v>9.9</v>
      </c>
    </row>
    <row r="121" ht="15.75" customHeight="1">
      <c r="A121" s="10">
        <v>126.4</v>
      </c>
      <c r="B121" s="10" t="s">
        <v>2952</v>
      </c>
      <c r="C121" s="10" t="s">
        <v>14</v>
      </c>
      <c r="D121" s="10" t="s">
        <v>49</v>
      </c>
      <c r="E121" s="10">
        <v>8.2</v>
      </c>
    </row>
    <row r="122" ht="15.75" customHeight="1">
      <c r="A122" s="10">
        <v>128.4</v>
      </c>
      <c r="B122" s="10" t="s">
        <v>3011</v>
      </c>
      <c r="C122" s="10" t="s">
        <v>148</v>
      </c>
      <c r="D122" s="10" t="s">
        <v>46</v>
      </c>
      <c r="E122" s="10">
        <v>6.5</v>
      </c>
    </row>
    <row r="123" ht="15.75" customHeight="1">
      <c r="A123" s="10">
        <v>128.4</v>
      </c>
      <c r="B123" s="10" t="s">
        <v>2924</v>
      </c>
      <c r="C123" s="10" t="s">
        <v>79</v>
      </c>
      <c r="D123" s="10" t="s">
        <v>49</v>
      </c>
      <c r="E123" s="10">
        <v>6.3</v>
      </c>
    </row>
    <row r="124" ht="15.75" customHeight="1">
      <c r="A124" s="10">
        <v>128.8</v>
      </c>
      <c r="B124" s="10" t="s">
        <v>2981</v>
      </c>
      <c r="C124" s="10" t="s">
        <v>199</v>
      </c>
      <c r="D124" s="10" t="s">
        <v>9</v>
      </c>
      <c r="E124" s="10">
        <v>8.1</v>
      </c>
    </row>
    <row r="125" ht="15.75" customHeight="1">
      <c r="A125" s="10">
        <v>128.9</v>
      </c>
      <c r="B125" s="10" t="s">
        <v>2965</v>
      </c>
      <c r="C125" s="10" t="s">
        <v>39</v>
      </c>
      <c r="D125" s="10" t="s">
        <v>52</v>
      </c>
      <c r="E125" s="10">
        <v>9.3</v>
      </c>
    </row>
    <row r="126" ht="15.75" customHeight="1">
      <c r="A126" s="10">
        <v>129.8</v>
      </c>
      <c r="B126" s="10" t="s">
        <v>2941</v>
      </c>
      <c r="C126" s="10" t="s">
        <v>22</v>
      </c>
      <c r="D126" s="10" t="s">
        <v>27</v>
      </c>
      <c r="E126" s="10">
        <v>6.5</v>
      </c>
    </row>
    <row r="127" ht="15.75" customHeight="1">
      <c r="A127" s="10">
        <v>130.2</v>
      </c>
      <c r="B127" s="10" t="s">
        <v>2990</v>
      </c>
      <c r="C127" s="10" t="s">
        <v>11</v>
      </c>
      <c r="D127" s="10" t="s">
        <v>15</v>
      </c>
      <c r="E127" s="10">
        <v>6.7</v>
      </c>
    </row>
    <row r="128" ht="15.75" customHeight="1">
      <c r="A128" s="10">
        <v>130.3</v>
      </c>
      <c r="B128" s="10" t="s">
        <v>2971</v>
      </c>
      <c r="C128" s="10" t="s">
        <v>22</v>
      </c>
      <c r="D128" s="10" t="s">
        <v>85</v>
      </c>
      <c r="E128" s="10">
        <v>8.7</v>
      </c>
    </row>
    <row r="129" ht="15.75" customHeight="1">
      <c r="A129" s="10">
        <v>130.8</v>
      </c>
      <c r="B129" s="10" t="s">
        <v>2966</v>
      </c>
      <c r="C129" s="10" t="s">
        <v>182</v>
      </c>
      <c r="D129" s="10" t="s">
        <v>52</v>
      </c>
      <c r="E129" s="10">
        <v>7.9</v>
      </c>
    </row>
    <row r="130" ht="15.75" customHeight="1">
      <c r="A130" s="10">
        <v>131.6</v>
      </c>
      <c r="B130" s="10" t="s">
        <v>2986</v>
      </c>
      <c r="C130" s="10" t="s">
        <v>11</v>
      </c>
      <c r="D130" s="10" t="s">
        <v>46</v>
      </c>
      <c r="E130" s="10">
        <v>8.4</v>
      </c>
    </row>
    <row r="131" ht="15.75" customHeight="1">
      <c r="A131" s="10">
        <v>132.4</v>
      </c>
      <c r="B131" s="10" t="s">
        <v>3020</v>
      </c>
      <c r="C131" s="10" t="s">
        <v>79</v>
      </c>
      <c r="D131" s="10" t="s">
        <v>9</v>
      </c>
      <c r="E131" s="10">
        <v>5.9</v>
      </c>
    </row>
    <row r="132" ht="15.75" customHeight="1">
      <c r="A132" s="10">
        <v>132.8</v>
      </c>
      <c r="B132" s="10" t="s">
        <v>2987</v>
      </c>
      <c r="C132" s="10" t="s">
        <v>77</v>
      </c>
      <c r="D132" s="10" t="s">
        <v>206</v>
      </c>
      <c r="E132" s="10">
        <v>6.5</v>
      </c>
    </row>
    <row r="133" ht="15.75" customHeight="1">
      <c r="A133" s="10">
        <v>134.4</v>
      </c>
      <c r="B133" s="10" t="s">
        <v>2962</v>
      </c>
      <c r="C133" s="10" t="s">
        <v>20</v>
      </c>
      <c r="D133" s="10" t="s">
        <v>105</v>
      </c>
      <c r="E133" s="10">
        <v>8.4</v>
      </c>
    </row>
    <row r="134" ht="15.75" customHeight="1">
      <c r="A134" s="10">
        <v>136.3</v>
      </c>
      <c r="B134" s="10" t="s">
        <v>2960</v>
      </c>
      <c r="C134" s="10" t="s">
        <v>22</v>
      </c>
      <c r="D134" s="10" t="s">
        <v>27</v>
      </c>
      <c r="E134" s="10">
        <v>6.4</v>
      </c>
    </row>
    <row r="135" ht="15.75" customHeight="1">
      <c r="A135" s="10">
        <v>136.4</v>
      </c>
      <c r="B135" s="10" t="s">
        <v>2975</v>
      </c>
      <c r="C135" s="10" t="s">
        <v>22</v>
      </c>
      <c r="D135" s="10" t="s">
        <v>49</v>
      </c>
      <c r="E135" s="10">
        <v>7.5</v>
      </c>
    </row>
    <row r="136" ht="15.75" customHeight="1">
      <c r="A136" s="10">
        <v>137.2</v>
      </c>
      <c r="B136" s="10" t="s">
        <v>2976</v>
      </c>
      <c r="C136" s="10" t="s">
        <v>150</v>
      </c>
      <c r="D136" s="10" t="s">
        <v>18</v>
      </c>
      <c r="E136" s="10">
        <v>7.3</v>
      </c>
    </row>
    <row r="137" ht="15.75" customHeight="1">
      <c r="A137" s="10">
        <v>138.2</v>
      </c>
      <c r="B137" s="10" t="s">
        <v>2969</v>
      </c>
      <c r="C137" s="10" t="s">
        <v>22</v>
      </c>
      <c r="D137" s="10" t="s">
        <v>140</v>
      </c>
      <c r="E137" s="10">
        <v>8.0</v>
      </c>
    </row>
    <row r="138" ht="15.75" customHeight="1">
      <c r="A138" s="10">
        <v>140.1</v>
      </c>
      <c r="B138" s="10" t="s">
        <v>2957</v>
      </c>
      <c r="C138" s="10" t="s">
        <v>22</v>
      </c>
      <c r="D138" s="10" t="s">
        <v>129</v>
      </c>
      <c r="E138" s="10">
        <v>7.1</v>
      </c>
    </row>
    <row r="139" ht="15.75" customHeight="1">
      <c r="A139" s="10">
        <v>141.9</v>
      </c>
      <c r="B139" s="10" t="s">
        <v>3023</v>
      </c>
      <c r="C139" s="10" t="s">
        <v>11</v>
      </c>
      <c r="D139" s="10" t="s">
        <v>9</v>
      </c>
      <c r="E139" s="10">
        <v>4.9</v>
      </c>
    </row>
    <row r="140" ht="15.75" customHeight="1">
      <c r="A140" s="10">
        <v>142.9</v>
      </c>
      <c r="B140" s="10" t="s">
        <v>2973</v>
      </c>
      <c r="C140" s="10" t="s">
        <v>22</v>
      </c>
      <c r="D140" s="10" t="s">
        <v>99</v>
      </c>
      <c r="E140" s="10">
        <v>5.3</v>
      </c>
    </row>
    <row r="141" ht="15.75" customHeight="1">
      <c r="A141" s="10">
        <v>143.1</v>
      </c>
      <c r="B141" s="10" t="s">
        <v>3033</v>
      </c>
      <c r="C141" s="10" t="s">
        <v>79</v>
      </c>
      <c r="D141" s="10" t="s">
        <v>140</v>
      </c>
      <c r="E141" s="10">
        <v>4.0</v>
      </c>
    </row>
    <row r="142" ht="15.75" customHeight="1">
      <c r="A142" s="10">
        <v>146.2</v>
      </c>
      <c r="B142" s="10" t="s">
        <v>2979</v>
      </c>
      <c r="C142" s="10" t="s">
        <v>150</v>
      </c>
      <c r="D142" s="10" t="s">
        <v>15</v>
      </c>
      <c r="E142" s="10">
        <v>5.7</v>
      </c>
    </row>
    <row r="143" ht="15.75" customHeight="1">
      <c r="A143" s="10">
        <v>147.6</v>
      </c>
      <c r="B143" s="10" t="s">
        <v>2955</v>
      </c>
      <c r="C143" s="10" t="s">
        <v>20</v>
      </c>
      <c r="D143" s="10" t="s">
        <v>31</v>
      </c>
      <c r="E143" s="10">
        <v>7.6</v>
      </c>
    </row>
    <row r="144" ht="15.75" customHeight="1">
      <c r="A144" s="10">
        <v>149.7</v>
      </c>
      <c r="B144" s="10" t="s">
        <v>2996</v>
      </c>
      <c r="C144" s="10" t="s">
        <v>69</v>
      </c>
      <c r="D144" s="10" t="s">
        <v>23</v>
      </c>
      <c r="E144" s="10">
        <v>5.5</v>
      </c>
    </row>
    <row r="145" ht="15.75" customHeight="1">
      <c r="A145" s="10">
        <v>150.4</v>
      </c>
      <c r="B145" s="10" t="s">
        <v>2977</v>
      </c>
      <c r="C145" s="10" t="s">
        <v>22</v>
      </c>
      <c r="D145" s="10" t="s">
        <v>113</v>
      </c>
      <c r="E145" s="10">
        <v>6.0</v>
      </c>
    </row>
    <row r="146" ht="15.75" customHeight="1">
      <c r="A146" s="10">
        <v>150.7</v>
      </c>
      <c r="B146" s="10" t="s">
        <v>3012</v>
      </c>
      <c r="C146" s="10" t="s">
        <v>22</v>
      </c>
      <c r="D146" s="10" t="s">
        <v>27</v>
      </c>
      <c r="E146" s="10">
        <v>3.5</v>
      </c>
    </row>
    <row r="147" ht="15.75" customHeight="1">
      <c r="A147" s="10">
        <v>155.1</v>
      </c>
      <c r="B147" s="10" t="s">
        <v>3006</v>
      </c>
      <c r="C147" s="10" t="s">
        <v>218</v>
      </c>
      <c r="D147" s="10" t="s">
        <v>82</v>
      </c>
      <c r="E147" s="10">
        <v>3.4</v>
      </c>
    </row>
    <row r="148" ht="15.75" customHeight="1">
      <c r="A148" s="10">
        <v>156.1</v>
      </c>
      <c r="B148" s="10" t="s">
        <v>2968</v>
      </c>
      <c r="C148" s="10" t="s">
        <v>22</v>
      </c>
      <c r="D148" s="10" t="s">
        <v>42</v>
      </c>
      <c r="E148" s="10">
        <v>4.6</v>
      </c>
    </row>
    <row r="149" ht="15.75" customHeight="1">
      <c r="A149" s="10">
        <v>156.8</v>
      </c>
      <c r="B149" s="10" t="s">
        <v>3155</v>
      </c>
      <c r="C149" s="10" t="s">
        <v>79</v>
      </c>
      <c r="D149" s="10" t="s">
        <v>122</v>
      </c>
      <c r="E149" s="10">
        <v>3.3</v>
      </c>
    </row>
    <row r="150" ht="15.75" customHeight="1">
      <c r="A150" s="10">
        <v>157.8</v>
      </c>
      <c r="B150" s="10" t="s">
        <v>2970</v>
      </c>
      <c r="C150" s="10" t="s">
        <v>22</v>
      </c>
      <c r="D150" s="10" t="s">
        <v>120</v>
      </c>
      <c r="E150" s="10">
        <v>3.7</v>
      </c>
    </row>
    <row r="151" ht="15.75" customHeight="1">
      <c r="A151" s="10">
        <v>158.3</v>
      </c>
      <c r="B151" s="10" t="s">
        <v>2985</v>
      </c>
      <c r="C151" s="10" t="s">
        <v>17</v>
      </c>
      <c r="D151" s="10" t="s">
        <v>36</v>
      </c>
      <c r="E151" s="10">
        <v>6.3</v>
      </c>
    </row>
    <row r="152" ht="15.75" customHeight="1">
      <c r="A152" s="10">
        <v>159.1</v>
      </c>
      <c r="B152" s="10" t="s">
        <v>2984</v>
      </c>
      <c r="C152" s="10" t="s">
        <v>22</v>
      </c>
      <c r="D152" s="10" t="s">
        <v>52</v>
      </c>
      <c r="E152" s="10">
        <v>3.4</v>
      </c>
    </row>
    <row r="153" ht="15.75" customHeight="1">
      <c r="A153" s="10">
        <v>160.6</v>
      </c>
      <c r="B153" s="10" t="s">
        <v>3055</v>
      </c>
      <c r="C153" s="10" t="s">
        <v>22</v>
      </c>
      <c r="D153" s="10" t="s">
        <v>82</v>
      </c>
      <c r="E153" s="10">
        <v>2.9</v>
      </c>
    </row>
    <row r="154" ht="15.75" customHeight="1">
      <c r="A154" s="10">
        <v>161.2</v>
      </c>
      <c r="B154" s="10" t="s">
        <v>2978</v>
      </c>
      <c r="C154" s="10" t="s">
        <v>20</v>
      </c>
      <c r="D154" s="10" t="s">
        <v>23</v>
      </c>
      <c r="E154" s="10">
        <v>5.7</v>
      </c>
    </row>
    <row r="155" ht="15.75" customHeight="1">
      <c r="A155" s="10">
        <v>162.5</v>
      </c>
      <c r="B155" s="10" t="s">
        <v>3027</v>
      </c>
      <c r="C155" s="10" t="s">
        <v>69</v>
      </c>
      <c r="D155" s="10" t="s">
        <v>27</v>
      </c>
      <c r="E155" s="10">
        <v>3.8</v>
      </c>
    </row>
    <row r="156" ht="15.75" customHeight="1">
      <c r="A156" s="10">
        <v>163.2</v>
      </c>
      <c r="B156" s="10" t="s">
        <v>3063</v>
      </c>
      <c r="C156" s="10" t="s">
        <v>79</v>
      </c>
      <c r="D156" s="10" t="s">
        <v>67</v>
      </c>
      <c r="E156" s="10">
        <v>3.6</v>
      </c>
    </row>
    <row r="157" ht="15.75" customHeight="1">
      <c r="A157" s="10">
        <v>164.4</v>
      </c>
      <c r="B157" s="10" t="s">
        <v>3065</v>
      </c>
      <c r="C157" s="10" t="s">
        <v>22</v>
      </c>
      <c r="D157" s="10" t="s">
        <v>27</v>
      </c>
      <c r="E157" s="10">
        <v>5.7</v>
      </c>
    </row>
    <row r="158" ht="15.75" customHeight="1">
      <c r="A158" s="10">
        <v>166.0</v>
      </c>
      <c r="B158" s="10" t="s">
        <v>3019</v>
      </c>
      <c r="C158" s="10" t="s">
        <v>242</v>
      </c>
      <c r="D158" s="10" t="s">
        <v>140</v>
      </c>
      <c r="E158" s="10">
        <v>4.2</v>
      </c>
    </row>
    <row r="159" ht="15.75" customHeight="1">
      <c r="A159" s="10">
        <v>166.8</v>
      </c>
      <c r="B159" s="10" t="s">
        <v>3018</v>
      </c>
      <c r="C159" s="10" t="s">
        <v>240</v>
      </c>
      <c r="D159" s="10" t="s">
        <v>105</v>
      </c>
      <c r="E159" s="10">
        <v>2.7</v>
      </c>
    </row>
    <row r="160" ht="15.75" customHeight="1">
      <c r="A160" s="10">
        <v>167.4</v>
      </c>
      <c r="B160" s="10" t="s">
        <v>2989</v>
      </c>
      <c r="C160" s="10" t="s">
        <v>17</v>
      </c>
      <c r="D160" s="10" t="s">
        <v>85</v>
      </c>
      <c r="E160" s="10">
        <v>4.9</v>
      </c>
    </row>
    <row r="161" ht="15.75" customHeight="1">
      <c r="A161" s="10">
        <v>167.4</v>
      </c>
      <c r="B161" s="10" t="s">
        <v>2998</v>
      </c>
      <c r="C161" s="10" t="s">
        <v>218</v>
      </c>
      <c r="D161" s="10" t="s">
        <v>42</v>
      </c>
      <c r="E161" s="10">
        <v>2.8</v>
      </c>
    </row>
    <row r="162" ht="15.75" customHeight="1">
      <c r="A162" s="10">
        <v>167.6</v>
      </c>
      <c r="B162" s="10" t="s">
        <v>3061</v>
      </c>
      <c r="C162" s="10" t="s">
        <v>22</v>
      </c>
      <c r="D162" s="10" t="s">
        <v>90</v>
      </c>
      <c r="E162" s="10">
        <v>3.2</v>
      </c>
    </row>
    <row r="163" ht="15.75" customHeight="1">
      <c r="A163" s="10">
        <v>168.1</v>
      </c>
      <c r="B163" s="10" t="s">
        <v>3000</v>
      </c>
      <c r="C163" s="10" t="s">
        <v>20</v>
      </c>
      <c r="D163" s="10" t="s">
        <v>27</v>
      </c>
      <c r="E163" s="10">
        <v>3.0</v>
      </c>
    </row>
    <row r="164" ht="15.75" customHeight="1">
      <c r="A164" s="10">
        <v>169.4</v>
      </c>
      <c r="B164" s="10" t="s">
        <v>2999</v>
      </c>
      <c r="C164" s="10" t="s">
        <v>220</v>
      </c>
      <c r="D164" s="10" t="s">
        <v>46</v>
      </c>
      <c r="E164" s="10">
        <v>3.6</v>
      </c>
    </row>
    <row r="165" ht="15.75" customHeight="1">
      <c r="A165" s="10">
        <v>169.4</v>
      </c>
      <c r="B165" s="10" t="s">
        <v>2995</v>
      </c>
      <c r="C165" s="10" t="s">
        <v>189</v>
      </c>
      <c r="D165" s="10" t="s">
        <v>95</v>
      </c>
      <c r="E165" s="10">
        <v>3.0</v>
      </c>
    </row>
    <row r="166" ht="15.75" customHeight="1">
      <c r="A166" s="10">
        <v>171.0</v>
      </c>
      <c r="B166" s="10" t="s">
        <v>2980</v>
      </c>
      <c r="C166" s="10" t="s">
        <v>14</v>
      </c>
      <c r="D166" s="10" t="s">
        <v>25</v>
      </c>
      <c r="E166" s="10">
        <v>3.5</v>
      </c>
    </row>
    <row r="167" ht="15.75" customHeight="1">
      <c r="A167" s="10">
        <v>172.0</v>
      </c>
      <c r="B167" s="10" t="s">
        <v>2993</v>
      </c>
      <c r="C167" s="10" t="s">
        <v>136</v>
      </c>
      <c r="D167" s="10" t="s">
        <v>95</v>
      </c>
      <c r="E167" s="10">
        <v>3.9</v>
      </c>
    </row>
    <row r="168" ht="15.75" customHeight="1">
      <c r="A168" s="10">
        <v>173.7</v>
      </c>
      <c r="B168" s="10" t="s">
        <v>3001</v>
      </c>
      <c r="C168" s="10" t="s">
        <v>20</v>
      </c>
      <c r="D168" s="10" t="s">
        <v>73</v>
      </c>
      <c r="E168" s="10">
        <v>4.9</v>
      </c>
    </row>
    <row r="169" ht="15.75" customHeight="1">
      <c r="A169" s="10">
        <v>174.9</v>
      </c>
      <c r="B169" s="10" t="s">
        <v>3008</v>
      </c>
      <c r="C169" s="10" t="s">
        <v>22</v>
      </c>
      <c r="D169" s="10" t="s">
        <v>27</v>
      </c>
      <c r="E169" s="10">
        <v>2.1</v>
      </c>
    </row>
    <row r="170" ht="15.75" customHeight="1">
      <c r="A170" s="10">
        <v>175.7</v>
      </c>
      <c r="B170" s="10" t="s">
        <v>2992</v>
      </c>
      <c r="C170" s="10" t="s">
        <v>20</v>
      </c>
      <c r="D170" s="10" t="s">
        <v>129</v>
      </c>
      <c r="E170" s="10">
        <v>4.5</v>
      </c>
    </row>
    <row r="171" ht="15.75" customHeight="1">
      <c r="A171" s="10">
        <v>175.8</v>
      </c>
      <c r="B171" s="10" t="s">
        <v>3013</v>
      </c>
      <c r="C171" s="10" t="s">
        <v>8</v>
      </c>
      <c r="D171" s="10" t="s">
        <v>23</v>
      </c>
      <c r="E171" s="10">
        <v>3.4</v>
      </c>
    </row>
    <row r="172" ht="15.75" customHeight="1">
      <c r="A172" s="10">
        <v>177.4</v>
      </c>
      <c r="B172" s="10" t="s">
        <v>3034</v>
      </c>
      <c r="C172" s="10" t="s">
        <v>89</v>
      </c>
      <c r="D172" s="10" t="s">
        <v>95</v>
      </c>
      <c r="E172" s="10">
        <v>3.2</v>
      </c>
    </row>
    <row r="173" ht="15.75" customHeight="1">
      <c r="A173" s="10">
        <v>177.6</v>
      </c>
      <c r="B173" s="10" t="s">
        <v>3039</v>
      </c>
      <c r="C173" s="10" t="s">
        <v>20</v>
      </c>
      <c r="D173" s="10" t="s">
        <v>206</v>
      </c>
      <c r="E173" s="10">
        <v>2.2</v>
      </c>
    </row>
    <row r="174" ht="15.75" customHeight="1">
      <c r="A174" s="10">
        <v>177.8</v>
      </c>
      <c r="B174" s="10" t="s">
        <v>3053</v>
      </c>
      <c r="C174" s="10" t="s">
        <v>22</v>
      </c>
      <c r="D174" s="10" t="s">
        <v>15</v>
      </c>
      <c r="E174" s="10">
        <v>2.4</v>
      </c>
    </row>
    <row r="175" ht="15.75" customHeight="1">
      <c r="A175" s="10">
        <v>177.9</v>
      </c>
      <c r="B175" s="10" t="s">
        <v>3047</v>
      </c>
      <c r="C175" s="10" t="s">
        <v>79</v>
      </c>
      <c r="D175" s="10" t="s">
        <v>122</v>
      </c>
      <c r="E175" s="10">
        <v>2.3</v>
      </c>
    </row>
    <row r="176" ht="15.75" customHeight="1">
      <c r="A176" s="10">
        <v>178.6</v>
      </c>
      <c r="B176" s="10" t="s">
        <v>3045</v>
      </c>
      <c r="C176" s="10" t="s">
        <v>79</v>
      </c>
      <c r="D176" s="10" t="s">
        <v>137</v>
      </c>
      <c r="E176" s="10">
        <v>2.5</v>
      </c>
    </row>
    <row r="177" ht="15.75" customHeight="1">
      <c r="A177" s="10">
        <v>178.9</v>
      </c>
      <c r="B177" s="10" t="s">
        <v>3030</v>
      </c>
      <c r="C177" s="10" t="s">
        <v>218</v>
      </c>
      <c r="D177" s="10" t="s">
        <v>49</v>
      </c>
      <c r="E177" s="10">
        <v>2.9</v>
      </c>
    </row>
    <row r="178" ht="15.75" customHeight="1">
      <c r="A178" s="10">
        <v>179.1</v>
      </c>
      <c r="B178" s="10" t="s">
        <v>2983</v>
      </c>
      <c r="C178" s="10" t="s">
        <v>17</v>
      </c>
      <c r="D178" s="10" t="s">
        <v>85</v>
      </c>
      <c r="E178" s="10">
        <v>3.1</v>
      </c>
    </row>
    <row r="179" ht="15.75" customHeight="1">
      <c r="A179" s="10">
        <v>179.3</v>
      </c>
      <c r="B179" s="10" t="s">
        <v>3026</v>
      </c>
      <c r="C179" s="10" t="s">
        <v>220</v>
      </c>
      <c r="D179" s="10" t="s">
        <v>31</v>
      </c>
      <c r="E179" s="10">
        <v>3.1</v>
      </c>
    </row>
    <row r="180" ht="15.75" customHeight="1">
      <c r="A180" s="10">
        <v>179.8</v>
      </c>
      <c r="B180" s="10" t="s">
        <v>3089</v>
      </c>
      <c r="C180" s="10" t="s">
        <v>79</v>
      </c>
      <c r="D180" s="10" t="s">
        <v>46</v>
      </c>
      <c r="E180" s="10">
        <v>2.3</v>
      </c>
    </row>
    <row r="181" ht="15.75" customHeight="1">
      <c r="A181" s="10">
        <v>180.8</v>
      </c>
      <c r="B181" s="10" t="s">
        <v>3003</v>
      </c>
      <c r="C181" s="10" t="s">
        <v>11</v>
      </c>
      <c r="D181" s="10" t="s">
        <v>137</v>
      </c>
      <c r="E181" s="10">
        <v>2.7</v>
      </c>
    </row>
    <row r="182" ht="15.75" customHeight="1">
      <c r="A182" s="10">
        <v>182.4</v>
      </c>
      <c r="B182" s="10" t="s">
        <v>2997</v>
      </c>
      <c r="C182" s="10" t="s">
        <v>63</v>
      </c>
      <c r="D182" s="10" t="s">
        <v>25</v>
      </c>
      <c r="E182" s="10">
        <v>3.3</v>
      </c>
    </row>
    <row r="183" ht="15.75" customHeight="1">
      <c r="A183" s="10">
        <v>182.4</v>
      </c>
      <c r="B183" s="10" t="s">
        <v>2991</v>
      </c>
      <c r="C183" s="10" t="s">
        <v>22</v>
      </c>
      <c r="D183" s="10" t="s">
        <v>95</v>
      </c>
      <c r="E183" s="10">
        <v>2.2</v>
      </c>
    </row>
    <row r="184" ht="15.75" customHeight="1">
      <c r="A184" s="10">
        <v>184.0</v>
      </c>
      <c r="B184" s="10" t="s">
        <v>3105</v>
      </c>
      <c r="C184" s="10" t="s">
        <v>79</v>
      </c>
      <c r="D184" s="10" t="s">
        <v>42</v>
      </c>
      <c r="E184" s="10">
        <v>2.2</v>
      </c>
    </row>
    <row r="185" ht="15.75" customHeight="1">
      <c r="A185" s="10">
        <v>184.3</v>
      </c>
      <c r="B185" s="10" t="s">
        <v>3021</v>
      </c>
      <c r="C185" s="10" t="s">
        <v>218</v>
      </c>
      <c r="D185" s="10" t="s">
        <v>71</v>
      </c>
      <c r="E185" s="10">
        <v>2.6</v>
      </c>
    </row>
    <row r="186" ht="15.75" customHeight="1">
      <c r="A186" s="10">
        <v>184.9</v>
      </c>
      <c r="B186" s="10" t="s">
        <v>3017</v>
      </c>
      <c r="C186" s="10" t="s">
        <v>22</v>
      </c>
      <c r="D186" s="10" t="s">
        <v>206</v>
      </c>
      <c r="E186" s="10">
        <v>2.1</v>
      </c>
    </row>
    <row r="187" ht="15.75" customHeight="1">
      <c r="A187" s="10">
        <v>185.2</v>
      </c>
      <c r="B187" s="10" t="s">
        <v>3212</v>
      </c>
      <c r="C187" s="10" t="s">
        <v>79</v>
      </c>
      <c r="D187" s="10" t="s">
        <v>71</v>
      </c>
      <c r="E187" s="10">
        <v>3.6</v>
      </c>
    </row>
    <row r="188" ht="15.75" customHeight="1">
      <c r="A188" s="10">
        <v>185.8</v>
      </c>
      <c r="B188" s="10" t="s">
        <v>3099</v>
      </c>
      <c r="C188" s="10" t="s">
        <v>77</v>
      </c>
      <c r="D188" s="10" t="s">
        <v>49</v>
      </c>
      <c r="E188" s="10">
        <v>1.9</v>
      </c>
    </row>
    <row r="189" ht="15.75" customHeight="1">
      <c r="A189" s="10">
        <v>186.9</v>
      </c>
      <c r="B189" s="10" t="s">
        <v>3009</v>
      </c>
      <c r="C189" s="10" t="s">
        <v>22</v>
      </c>
      <c r="D189" s="10" t="s">
        <v>73</v>
      </c>
      <c r="E189" s="10">
        <v>2.0</v>
      </c>
    </row>
    <row r="190" ht="15.75" customHeight="1">
      <c r="A190" s="10">
        <v>187.2</v>
      </c>
      <c r="B190" s="10" t="s">
        <v>3057</v>
      </c>
      <c r="C190" s="10" t="s">
        <v>79</v>
      </c>
      <c r="D190" s="10" t="s">
        <v>99</v>
      </c>
      <c r="E190" s="10">
        <v>2.4</v>
      </c>
    </row>
    <row r="191" ht="15.75" customHeight="1">
      <c r="A191" s="10">
        <v>187.6</v>
      </c>
      <c r="B191" s="10" t="s">
        <v>3085</v>
      </c>
      <c r="C191" s="10" t="s">
        <v>55</v>
      </c>
      <c r="D191" s="10" t="s">
        <v>49</v>
      </c>
      <c r="E191" s="10">
        <v>3.2</v>
      </c>
    </row>
    <row r="192" ht="15.75" customHeight="1">
      <c r="A192" s="10">
        <v>188.8</v>
      </c>
      <c r="B192" s="10" t="s">
        <v>3002</v>
      </c>
      <c r="C192" s="10" t="s">
        <v>22</v>
      </c>
      <c r="D192" s="10" t="s">
        <v>113</v>
      </c>
      <c r="E192" s="10">
        <v>2.0</v>
      </c>
    </row>
    <row r="193" ht="15.75" customHeight="1">
      <c r="A193" s="10">
        <v>190.7</v>
      </c>
      <c r="B193" s="10" t="s">
        <v>3005</v>
      </c>
      <c r="C193" s="10" t="s">
        <v>55</v>
      </c>
      <c r="D193" s="10" t="s">
        <v>206</v>
      </c>
      <c r="E193" s="10">
        <v>6.1</v>
      </c>
    </row>
    <row r="194" ht="15.75" customHeight="1">
      <c r="A194" s="10">
        <v>191.4</v>
      </c>
      <c r="B194" s="10" t="s">
        <v>3049</v>
      </c>
      <c r="C194" s="10" t="s">
        <v>22</v>
      </c>
      <c r="D194" s="10" t="s">
        <v>12</v>
      </c>
      <c r="E194" s="10">
        <v>2.1</v>
      </c>
    </row>
    <row r="195" ht="15.75" customHeight="1">
      <c r="A195" s="10">
        <v>191.6</v>
      </c>
      <c r="B195" s="10" t="s">
        <v>3140</v>
      </c>
      <c r="C195" s="10" t="s">
        <v>22</v>
      </c>
      <c r="D195" s="10" t="s">
        <v>9</v>
      </c>
      <c r="E195" s="10">
        <v>4.8</v>
      </c>
    </row>
    <row r="196" ht="15.75" customHeight="1">
      <c r="A196" s="10">
        <v>192.6</v>
      </c>
      <c r="B196" s="10" t="s">
        <v>3087</v>
      </c>
      <c r="C196" s="10" t="s">
        <v>148</v>
      </c>
      <c r="D196" s="10" t="s">
        <v>129</v>
      </c>
      <c r="E196" s="10">
        <v>1.8</v>
      </c>
    </row>
    <row r="197" ht="15.75" customHeight="1">
      <c r="A197" s="10">
        <v>192.8</v>
      </c>
      <c r="B197" s="10" t="s">
        <v>3075</v>
      </c>
      <c r="C197" s="10" t="s">
        <v>22</v>
      </c>
      <c r="D197" s="10" t="s">
        <v>34</v>
      </c>
      <c r="E197" s="10">
        <v>2.3</v>
      </c>
    </row>
    <row r="198" ht="15.75" customHeight="1">
      <c r="A198" s="10">
        <v>192.8</v>
      </c>
      <c r="B198" s="10" t="s">
        <v>3095</v>
      </c>
      <c r="C198" s="10" t="s">
        <v>79</v>
      </c>
      <c r="D198" s="10" t="s">
        <v>25</v>
      </c>
      <c r="E198" s="10">
        <v>1.6</v>
      </c>
    </row>
    <row r="199" ht="15.75" customHeight="1">
      <c r="A199" s="10">
        <v>196.5</v>
      </c>
      <c r="B199" s="10" t="s">
        <v>3093</v>
      </c>
      <c r="C199" s="10" t="s">
        <v>79</v>
      </c>
      <c r="D199" s="10" t="s">
        <v>23</v>
      </c>
      <c r="E199" s="10">
        <v>3.1</v>
      </c>
    </row>
    <row r="200" ht="15.75" customHeight="1">
      <c r="A200" s="10">
        <v>196.8</v>
      </c>
      <c r="B200" s="10" t="s">
        <v>3059</v>
      </c>
      <c r="C200" s="10" t="s">
        <v>220</v>
      </c>
      <c r="D200" s="10" t="s">
        <v>31</v>
      </c>
      <c r="E200" s="10">
        <v>3.0</v>
      </c>
    </row>
    <row r="201" ht="15.75" customHeight="1">
      <c r="A201" s="10">
        <v>196.9</v>
      </c>
      <c r="B201" s="10" t="s">
        <v>3022</v>
      </c>
      <c r="C201" s="10" t="s">
        <v>22</v>
      </c>
      <c r="D201" s="10" t="s">
        <v>122</v>
      </c>
      <c r="E201" s="10">
        <v>1.8</v>
      </c>
    </row>
    <row r="202" ht="15.75" customHeight="1">
      <c r="A202" s="10">
        <v>197.1</v>
      </c>
      <c r="B202" s="10" t="s">
        <v>3004</v>
      </c>
      <c r="C202" s="10" t="s">
        <v>11</v>
      </c>
      <c r="D202" s="10" t="s">
        <v>23</v>
      </c>
      <c r="E202" s="10">
        <v>2.4</v>
      </c>
    </row>
    <row r="203" ht="15.75" customHeight="1">
      <c r="A203" s="10">
        <v>199.3</v>
      </c>
      <c r="B203" s="10" t="s">
        <v>3067</v>
      </c>
      <c r="C203" s="10" t="s">
        <v>77</v>
      </c>
      <c r="D203" s="10" t="s">
        <v>18</v>
      </c>
      <c r="E203" s="10">
        <v>2.0</v>
      </c>
    </row>
    <row r="204" ht="15.75" customHeight="1">
      <c r="A204" s="10">
        <v>200.9</v>
      </c>
      <c r="B204" s="10" t="s">
        <v>3164</v>
      </c>
      <c r="C204" s="10" t="s">
        <v>79</v>
      </c>
      <c r="D204" s="10" t="s">
        <v>120</v>
      </c>
      <c r="E204" s="10">
        <v>2.9</v>
      </c>
    </row>
    <row r="205" ht="15.75" customHeight="1">
      <c r="A205" s="10">
        <v>201.4</v>
      </c>
      <c r="B205" s="10" t="s">
        <v>3016</v>
      </c>
      <c r="C205" s="10" t="s">
        <v>48</v>
      </c>
      <c r="D205" s="10" t="s">
        <v>31</v>
      </c>
      <c r="E205" s="10">
        <v>1.7</v>
      </c>
    </row>
    <row r="206" ht="15.75" customHeight="1">
      <c r="A206" s="10">
        <v>202.4</v>
      </c>
      <c r="B206" s="10" t="s">
        <v>3048</v>
      </c>
      <c r="C206" s="10" t="s">
        <v>17</v>
      </c>
      <c r="D206" s="10" t="s">
        <v>105</v>
      </c>
      <c r="E206" s="10">
        <v>1.7</v>
      </c>
    </row>
    <row r="207" ht="15.75" customHeight="1">
      <c r="A207" s="10">
        <v>202.4</v>
      </c>
      <c r="B207" s="10" t="s">
        <v>3086</v>
      </c>
      <c r="C207" s="10" t="s">
        <v>77</v>
      </c>
      <c r="D207" s="10" t="s">
        <v>42</v>
      </c>
      <c r="E207" s="10">
        <v>1.4</v>
      </c>
    </row>
    <row r="208" ht="15.75" customHeight="1">
      <c r="A208" s="10">
        <v>205.3</v>
      </c>
      <c r="B208" s="10" t="s">
        <v>3092</v>
      </c>
      <c r="C208" s="10" t="s">
        <v>189</v>
      </c>
      <c r="D208" s="10" t="s">
        <v>36</v>
      </c>
      <c r="E208" s="10">
        <v>2.0</v>
      </c>
    </row>
    <row r="209" ht="15.75" customHeight="1">
      <c r="A209" s="10">
        <v>208.2</v>
      </c>
      <c r="B209" s="10" t="s">
        <v>3112</v>
      </c>
      <c r="C209" s="10" t="s">
        <v>79</v>
      </c>
      <c r="D209" s="10" t="s">
        <v>113</v>
      </c>
      <c r="E209" s="10">
        <v>1.4</v>
      </c>
    </row>
    <row r="210" ht="15.75" customHeight="1">
      <c r="A210" s="10">
        <v>209.2</v>
      </c>
      <c r="B210" s="10" t="s">
        <v>3131</v>
      </c>
      <c r="C210" s="10" t="s">
        <v>77</v>
      </c>
      <c r="D210" s="10" t="s">
        <v>99</v>
      </c>
      <c r="E210" s="10">
        <v>1.8</v>
      </c>
    </row>
    <row r="211" ht="15.75" customHeight="1">
      <c r="A211" s="10">
        <v>211.2</v>
      </c>
      <c r="B211" s="10" t="s">
        <v>3079</v>
      </c>
      <c r="C211" s="10" t="s">
        <v>77</v>
      </c>
      <c r="D211" s="10" t="s">
        <v>71</v>
      </c>
      <c r="E211" s="10">
        <v>1.5</v>
      </c>
    </row>
    <row r="212" ht="15.75" customHeight="1">
      <c r="A212" s="10">
        <v>211.8</v>
      </c>
      <c r="B212" s="10" t="s">
        <v>3015</v>
      </c>
      <c r="C212" s="10" t="s">
        <v>55</v>
      </c>
      <c r="D212" s="10" t="s">
        <v>67</v>
      </c>
      <c r="E212" s="10">
        <v>2.1</v>
      </c>
    </row>
    <row r="213" ht="15.75" customHeight="1">
      <c r="A213" s="10">
        <v>213.6</v>
      </c>
      <c r="B213" s="10" t="s">
        <v>3123</v>
      </c>
      <c r="C213" s="10" t="s">
        <v>220</v>
      </c>
      <c r="D213" s="10" t="s">
        <v>27</v>
      </c>
      <c r="E213" s="10">
        <v>1.4</v>
      </c>
    </row>
    <row r="214" ht="15.75" customHeight="1">
      <c r="A214" s="10">
        <v>215.1</v>
      </c>
      <c r="B214" s="10" t="s">
        <v>3024</v>
      </c>
      <c r="C214" s="10" t="s">
        <v>69</v>
      </c>
      <c r="D214" s="10" t="s">
        <v>73</v>
      </c>
      <c r="E214" s="10">
        <v>2.4</v>
      </c>
    </row>
    <row r="215" ht="15.75" customHeight="1">
      <c r="A215" s="10">
        <v>215.1</v>
      </c>
      <c r="B215" s="10" t="s">
        <v>3069</v>
      </c>
      <c r="C215" s="10" t="s">
        <v>220</v>
      </c>
      <c r="D215" s="10" t="s">
        <v>42</v>
      </c>
      <c r="E215" s="10">
        <v>1.2</v>
      </c>
    </row>
    <row r="216" ht="15.75" customHeight="1">
      <c r="A216" s="10">
        <v>216.6</v>
      </c>
      <c r="B216" s="10" t="s">
        <v>3010</v>
      </c>
      <c r="C216" s="10" t="s">
        <v>218</v>
      </c>
      <c r="D216" s="10" t="s">
        <v>206</v>
      </c>
      <c r="E216" s="10">
        <v>2.6</v>
      </c>
    </row>
    <row r="217" ht="15.75" customHeight="1">
      <c r="A217" s="10">
        <v>217.6</v>
      </c>
      <c r="B217" s="10" t="s">
        <v>3109</v>
      </c>
      <c r="C217" s="10" t="s">
        <v>22</v>
      </c>
      <c r="D217" s="10" t="s">
        <v>18</v>
      </c>
      <c r="E217" s="10">
        <v>1.5</v>
      </c>
    </row>
    <row r="218" ht="15.75" customHeight="1">
      <c r="A218" s="10">
        <v>219.3</v>
      </c>
      <c r="B218" s="10" t="s">
        <v>3040</v>
      </c>
      <c r="C218" s="10" t="s">
        <v>14</v>
      </c>
      <c r="D218" s="10" t="s">
        <v>122</v>
      </c>
      <c r="E218" s="10">
        <v>1.4</v>
      </c>
    </row>
    <row r="219" ht="15.75" customHeight="1">
      <c r="A219" s="10">
        <v>219.7</v>
      </c>
      <c r="B219" s="10" t="s">
        <v>3046</v>
      </c>
      <c r="C219" s="10" t="s">
        <v>136</v>
      </c>
      <c r="D219" s="10" t="s">
        <v>9</v>
      </c>
      <c r="E219" s="10">
        <v>1.5</v>
      </c>
    </row>
    <row r="220" ht="15.75" customHeight="1">
      <c r="A220" s="10">
        <v>219.7</v>
      </c>
      <c r="B220" s="10" t="s">
        <v>3041</v>
      </c>
      <c r="C220" s="10" t="s">
        <v>22</v>
      </c>
      <c r="D220" s="10" t="s">
        <v>206</v>
      </c>
      <c r="E220" s="10">
        <v>1.5</v>
      </c>
    </row>
    <row r="221" ht="15.75" customHeight="1">
      <c r="A221" s="10">
        <v>219.7</v>
      </c>
      <c r="B221" s="10" t="s">
        <v>3032</v>
      </c>
      <c r="C221" s="10" t="s">
        <v>8</v>
      </c>
      <c r="D221" s="10" t="s">
        <v>105</v>
      </c>
      <c r="E221" s="10">
        <v>1.7</v>
      </c>
    </row>
    <row r="222" ht="15.75" customHeight="1">
      <c r="A222" s="10">
        <v>219.9</v>
      </c>
      <c r="B222" s="10" t="s">
        <v>3126</v>
      </c>
      <c r="C222" s="10" t="s">
        <v>79</v>
      </c>
      <c r="D222" s="10" t="s">
        <v>95</v>
      </c>
      <c r="E222" s="10">
        <v>1.7</v>
      </c>
    </row>
    <row r="223" ht="15.75" customHeight="1">
      <c r="A223" s="10">
        <v>219.9</v>
      </c>
      <c r="B223" s="10" t="s">
        <v>3348</v>
      </c>
      <c r="C223" s="10" t="s">
        <v>220</v>
      </c>
      <c r="D223" s="10" t="s">
        <v>206</v>
      </c>
      <c r="E223" s="10">
        <v>1.0</v>
      </c>
    </row>
    <row r="224" ht="15.75" customHeight="1">
      <c r="A224" s="10">
        <v>220.0</v>
      </c>
      <c r="B224" s="10" t="s">
        <v>3149</v>
      </c>
      <c r="C224" s="10" t="s">
        <v>77</v>
      </c>
      <c r="D224" s="10" t="s">
        <v>90</v>
      </c>
      <c r="E224" s="10">
        <v>1.2</v>
      </c>
    </row>
    <row r="225" ht="15.75" customHeight="1">
      <c r="A225" s="10">
        <v>220.4</v>
      </c>
      <c r="B225" s="10" t="s">
        <v>3210</v>
      </c>
      <c r="C225" s="10" t="s">
        <v>79</v>
      </c>
      <c r="D225" s="10" t="s">
        <v>82</v>
      </c>
      <c r="E225" s="10">
        <v>1.4</v>
      </c>
    </row>
    <row r="226" ht="15.75" customHeight="1">
      <c r="A226" s="10">
        <v>220.8</v>
      </c>
      <c r="B226" s="10" t="s">
        <v>3036</v>
      </c>
      <c r="C226" s="10" t="s">
        <v>22</v>
      </c>
      <c r="D226" s="10" t="s">
        <v>34</v>
      </c>
      <c r="E226" s="10">
        <v>1.5</v>
      </c>
    </row>
    <row r="227" ht="15.75" customHeight="1">
      <c r="A227" s="10">
        <v>222.0</v>
      </c>
      <c r="B227" s="10" t="s">
        <v>3031</v>
      </c>
      <c r="C227" s="10" t="s">
        <v>55</v>
      </c>
      <c r="D227" s="10" t="s">
        <v>49</v>
      </c>
      <c r="E227" s="10">
        <v>1.5</v>
      </c>
    </row>
    <row r="228" ht="15.75" customHeight="1">
      <c r="A228" s="10">
        <v>222.8</v>
      </c>
      <c r="B228" s="10" t="s">
        <v>3044</v>
      </c>
      <c r="C228" s="10" t="s">
        <v>22</v>
      </c>
      <c r="D228" s="10" t="s">
        <v>105</v>
      </c>
      <c r="E228" s="10">
        <v>1.5</v>
      </c>
    </row>
    <row r="229" ht="15.75" customHeight="1">
      <c r="A229" s="10">
        <v>223.2</v>
      </c>
      <c r="B229" s="10" t="s">
        <v>3035</v>
      </c>
      <c r="C229" s="10" t="s">
        <v>218</v>
      </c>
      <c r="D229" s="10" t="s">
        <v>36</v>
      </c>
      <c r="E229" s="10">
        <v>2.4</v>
      </c>
    </row>
    <row r="230" ht="15.75" customHeight="1">
      <c r="A230" s="10">
        <v>223.2</v>
      </c>
      <c r="B230" s="10" t="s">
        <v>3114</v>
      </c>
      <c r="C230" s="10" t="s">
        <v>220</v>
      </c>
      <c r="D230" s="10" t="s">
        <v>12</v>
      </c>
      <c r="E230" s="10">
        <v>1.2</v>
      </c>
    </row>
    <row r="231" ht="15.75" customHeight="1">
      <c r="A231" s="10">
        <v>223.5</v>
      </c>
      <c r="B231" s="10" t="s">
        <v>3029</v>
      </c>
      <c r="C231" s="10" t="s">
        <v>20</v>
      </c>
      <c r="D231" s="10" t="s">
        <v>52</v>
      </c>
      <c r="E231" s="10">
        <v>2.1</v>
      </c>
    </row>
    <row r="232" ht="15.75" customHeight="1">
      <c r="A232" s="10">
        <v>223.8</v>
      </c>
      <c r="B232" s="10" t="s">
        <v>3194</v>
      </c>
      <c r="C232" s="10" t="s">
        <v>77</v>
      </c>
      <c r="D232" s="10" t="s">
        <v>73</v>
      </c>
      <c r="E232" s="10">
        <v>2.1</v>
      </c>
    </row>
    <row r="233" ht="15.75" customHeight="1">
      <c r="A233" s="10">
        <v>224.2</v>
      </c>
      <c r="B233" s="10" t="s">
        <v>3043</v>
      </c>
      <c r="C233" s="10" t="s">
        <v>22</v>
      </c>
      <c r="D233" s="10" t="s">
        <v>12</v>
      </c>
      <c r="E233" s="10">
        <v>1.5</v>
      </c>
    </row>
    <row r="234" ht="15.75" customHeight="1">
      <c r="A234" s="10">
        <v>224.8</v>
      </c>
      <c r="B234" s="10" t="s">
        <v>3115</v>
      </c>
      <c r="C234" s="10" t="s">
        <v>79</v>
      </c>
      <c r="D234" s="10" t="s">
        <v>42</v>
      </c>
      <c r="E234" s="10">
        <v>1.4</v>
      </c>
    </row>
    <row r="235" ht="15.75" customHeight="1">
      <c r="A235" s="10">
        <v>225.4</v>
      </c>
      <c r="B235" s="10" t="s">
        <v>3062</v>
      </c>
      <c r="C235" s="10" t="s">
        <v>22</v>
      </c>
      <c r="D235" s="10" t="s">
        <v>12</v>
      </c>
      <c r="E235" s="10">
        <v>1.5</v>
      </c>
    </row>
    <row r="236" ht="15.75" customHeight="1">
      <c r="A236" s="10">
        <v>227.5</v>
      </c>
      <c r="B236" s="10" t="s">
        <v>3215</v>
      </c>
      <c r="C236" s="10" t="s">
        <v>77</v>
      </c>
      <c r="D236" s="10" t="s">
        <v>82</v>
      </c>
      <c r="E236" s="10">
        <v>1.1</v>
      </c>
    </row>
    <row r="237" ht="15.75" customHeight="1">
      <c r="A237" s="10">
        <v>227.9</v>
      </c>
      <c r="B237" s="10" t="s">
        <v>3007</v>
      </c>
      <c r="C237" s="10" t="s">
        <v>69</v>
      </c>
      <c r="D237" s="10" t="s">
        <v>113</v>
      </c>
      <c r="E237" s="10">
        <v>1.8</v>
      </c>
    </row>
    <row r="238" ht="15.75" customHeight="1">
      <c r="A238" s="10">
        <v>228.9</v>
      </c>
      <c r="B238" s="10" t="s">
        <v>3191</v>
      </c>
      <c r="C238" s="10" t="s">
        <v>220</v>
      </c>
      <c r="D238" s="10" t="s">
        <v>113</v>
      </c>
      <c r="E238" s="10">
        <v>1.9</v>
      </c>
    </row>
    <row r="239" ht="15.75" customHeight="1">
      <c r="A239" s="10">
        <v>229.8</v>
      </c>
      <c r="B239" s="10" t="s">
        <v>3064</v>
      </c>
      <c r="C239" s="10" t="s">
        <v>262</v>
      </c>
      <c r="D239" s="10" t="s">
        <v>46</v>
      </c>
      <c r="E239" s="10">
        <v>1.7</v>
      </c>
    </row>
    <row r="240" ht="15.75" customHeight="1">
      <c r="A240" s="10">
        <v>230.1</v>
      </c>
      <c r="B240" s="10" t="s">
        <v>3038</v>
      </c>
      <c r="C240" s="10" t="s">
        <v>262</v>
      </c>
      <c r="D240" s="10" t="s">
        <v>99</v>
      </c>
      <c r="E240" s="10">
        <v>1.5</v>
      </c>
    </row>
    <row r="241" ht="15.75" customHeight="1">
      <c r="A241" s="10">
        <v>230.3</v>
      </c>
      <c r="B241" s="10" t="s">
        <v>3288</v>
      </c>
      <c r="C241" s="10" t="s">
        <v>20</v>
      </c>
      <c r="D241" s="10" t="s">
        <v>113</v>
      </c>
      <c r="E241" s="10">
        <v>1.4</v>
      </c>
    </row>
    <row r="242" ht="15.75" customHeight="1">
      <c r="A242" s="10">
        <v>230.7</v>
      </c>
      <c r="B242" s="10" t="s">
        <v>3119</v>
      </c>
      <c r="C242" s="10" t="s">
        <v>77</v>
      </c>
      <c r="D242" s="10" t="s">
        <v>140</v>
      </c>
      <c r="E242" s="10">
        <v>1.0</v>
      </c>
    </row>
    <row r="243" ht="15.75" customHeight="1">
      <c r="A243" s="10">
        <v>231.8</v>
      </c>
      <c r="B243" s="10" t="s">
        <v>3054</v>
      </c>
      <c r="C243" s="10" t="s">
        <v>39</v>
      </c>
      <c r="D243" s="10" t="s">
        <v>12</v>
      </c>
      <c r="E243" s="10">
        <v>2.2</v>
      </c>
    </row>
    <row r="244" ht="15.75" customHeight="1">
      <c r="A244" s="10">
        <v>231.8</v>
      </c>
      <c r="B244" s="10" t="s">
        <v>3072</v>
      </c>
      <c r="C244" s="10" t="s">
        <v>22</v>
      </c>
      <c r="D244" s="10" t="s">
        <v>99</v>
      </c>
      <c r="E244" s="10">
        <v>1.7</v>
      </c>
    </row>
    <row r="245" ht="15.75" customHeight="1">
      <c r="A245" s="10">
        <v>232.1</v>
      </c>
      <c r="B245" s="10" t="s">
        <v>3077</v>
      </c>
      <c r="C245" s="10" t="s">
        <v>176</v>
      </c>
      <c r="D245" s="10" t="s">
        <v>113</v>
      </c>
      <c r="E245" s="10">
        <v>1.4</v>
      </c>
    </row>
    <row r="246" ht="15.75" customHeight="1">
      <c r="A246" s="10">
        <v>232.8</v>
      </c>
      <c r="B246" s="10" t="s">
        <v>3230</v>
      </c>
      <c r="C246" s="10" t="s">
        <v>79</v>
      </c>
      <c r="D246" s="10" t="s">
        <v>23</v>
      </c>
      <c r="E246" s="10">
        <v>1.3</v>
      </c>
    </row>
    <row r="247" ht="15.75" customHeight="1">
      <c r="A247" s="10">
        <v>233.0</v>
      </c>
      <c r="B247" s="10" t="s">
        <v>3186</v>
      </c>
      <c r="C247" s="10" t="s">
        <v>419</v>
      </c>
      <c r="D247" s="10" t="s">
        <v>206</v>
      </c>
      <c r="E247" s="10">
        <v>1.6</v>
      </c>
    </row>
    <row r="248" ht="15.75" customHeight="1">
      <c r="A248" s="10">
        <v>233.2</v>
      </c>
      <c r="B248" s="10" t="s">
        <v>3042</v>
      </c>
      <c r="C248" s="10" t="s">
        <v>22</v>
      </c>
      <c r="D248" s="10" t="s">
        <v>122</v>
      </c>
      <c r="E248" s="10">
        <v>1.4</v>
      </c>
    </row>
    <row r="249" ht="15.75" customHeight="1">
      <c r="A249" s="10">
        <v>233.2</v>
      </c>
      <c r="B249" s="10" t="s">
        <v>3050</v>
      </c>
      <c r="C249" s="10" t="s">
        <v>22</v>
      </c>
      <c r="D249" s="10" t="s">
        <v>113</v>
      </c>
      <c r="E249" s="10">
        <v>1.4</v>
      </c>
    </row>
    <row r="250" ht="15.75" customHeight="1">
      <c r="A250" s="10">
        <v>233.4</v>
      </c>
      <c r="B250" s="10" t="s">
        <v>3253</v>
      </c>
      <c r="C250" s="10" t="s">
        <v>79</v>
      </c>
      <c r="D250" s="10" t="s">
        <v>46</v>
      </c>
      <c r="E250" s="10">
        <v>1.2</v>
      </c>
    </row>
    <row r="251" ht="15.75" customHeight="1">
      <c r="A251" s="10">
        <v>233.5</v>
      </c>
      <c r="B251" s="10" t="s">
        <v>3224</v>
      </c>
      <c r="C251" s="10" t="s">
        <v>77</v>
      </c>
      <c r="D251" s="10" t="s">
        <v>113</v>
      </c>
      <c r="E251" s="10">
        <v>1.0</v>
      </c>
    </row>
    <row r="252" ht="15.75" customHeight="1">
      <c r="A252" s="10">
        <v>233.5</v>
      </c>
      <c r="B252" s="10" t="s">
        <v>3066</v>
      </c>
      <c r="C252" s="10" t="s">
        <v>69</v>
      </c>
      <c r="D252" s="10" t="s">
        <v>34</v>
      </c>
      <c r="E252" s="10">
        <v>1.5</v>
      </c>
    </row>
    <row r="253" ht="15.75" customHeight="1">
      <c r="A253" s="10">
        <v>233.7</v>
      </c>
      <c r="B253" s="10" t="s">
        <v>3128</v>
      </c>
      <c r="C253" s="10" t="s">
        <v>283</v>
      </c>
      <c r="D253" s="10" t="s">
        <v>206</v>
      </c>
      <c r="E253" s="10">
        <v>1.6</v>
      </c>
    </row>
    <row r="254" ht="15.75" customHeight="1">
      <c r="A254" s="10">
        <v>234.0</v>
      </c>
      <c r="B254" s="10" t="s">
        <v>3293</v>
      </c>
      <c r="C254" s="10" t="s">
        <v>79</v>
      </c>
      <c r="D254" s="10" t="s">
        <v>49</v>
      </c>
      <c r="E254" s="10">
        <v>1.1</v>
      </c>
    </row>
    <row r="255" ht="15.75" customHeight="1">
      <c r="A255" s="10">
        <v>234.0</v>
      </c>
      <c r="B255" s="10" t="s">
        <v>3255</v>
      </c>
      <c r="C255" s="10" t="s">
        <v>79</v>
      </c>
      <c r="D255" s="10" t="s">
        <v>113</v>
      </c>
      <c r="E255" s="10">
        <v>1.0</v>
      </c>
    </row>
    <row r="256" ht="15.75" customHeight="1">
      <c r="A256" s="10">
        <v>234.1</v>
      </c>
      <c r="B256" s="10" t="s">
        <v>3160</v>
      </c>
      <c r="C256" s="10" t="s">
        <v>79</v>
      </c>
      <c r="D256" s="10" t="s">
        <v>23</v>
      </c>
      <c r="E256" s="10">
        <v>1.2</v>
      </c>
    </row>
    <row r="257" ht="15.75" customHeight="1">
      <c r="A257" s="10">
        <v>234.2</v>
      </c>
      <c r="B257" s="10" t="s">
        <v>4232</v>
      </c>
      <c r="C257" s="10" t="s">
        <v>79</v>
      </c>
      <c r="D257" s="10" t="s">
        <v>105</v>
      </c>
      <c r="E257" s="10">
        <v>1.3</v>
      </c>
    </row>
    <row r="258" ht="15.75" customHeight="1">
      <c r="A258" s="10">
        <v>234.4</v>
      </c>
      <c r="B258" s="10" t="s">
        <v>3025</v>
      </c>
      <c r="C258" s="10" t="s">
        <v>63</v>
      </c>
      <c r="D258" s="10" t="s">
        <v>120</v>
      </c>
      <c r="E258" s="10">
        <v>2.2</v>
      </c>
    </row>
    <row r="259" ht="15.75" customHeight="1">
      <c r="A259" s="10">
        <v>234.6</v>
      </c>
      <c r="B259" s="10" t="s">
        <v>3098</v>
      </c>
      <c r="C259" s="10" t="s">
        <v>87</v>
      </c>
      <c r="D259" s="10" t="s">
        <v>42</v>
      </c>
      <c r="E259" s="10">
        <v>1.4</v>
      </c>
    </row>
    <row r="260" ht="15.75" customHeight="1">
      <c r="A260" s="10">
        <v>234.7</v>
      </c>
      <c r="B260" s="10" t="s">
        <v>3250</v>
      </c>
      <c r="C260" s="10" t="s">
        <v>79</v>
      </c>
      <c r="D260" s="10" t="s">
        <v>122</v>
      </c>
      <c r="E260" s="10">
        <v>1.1</v>
      </c>
    </row>
    <row r="261" ht="15.75" customHeight="1">
      <c r="A261" s="10">
        <v>235.0</v>
      </c>
      <c r="B261" s="10" t="s">
        <v>3285</v>
      </c>
      <c r="C261" s="10" t="s">
        <v>22</v>
      </c>
      <c r="D261" s="10" t="s">
        <v>42</v>
      </c>
      <c r="E261" s="10">
        <v>1.3</v>
      </c>
    </row>
    <row r="262" ht="15.75" customHeight="1">
      <c r="A262" s="10">
        <v>235.4</v>
      </c>
      <c r="B262" s="10" t="s">
        <v>3073</v>
      </c>
      <c r="C262" s="10" t="s">
        <v>63</v>
      </c>
      <c r="D262" s="10" t="s">
        <v>122</v>
      </c>
      <c r="E262" s="10">
        <v>1.2</v>
      </c>
    </row>
    <row r="263" ht="15.75" customHeight="1">
      <c r="A263" s="10">
        <v>235.6</v>
      </c>
      <c r="B263" s="10" t="s">
        <v>4792</v>
      </c>
      <c r="C263" s="10" t="s">
        <v>77</v>
      </c>
      <c r="D263" s="10" t="s">
        <v>122</v>
      </c>
      <c r="E263" s="10">
        <v>1.2</v>
      </c>
    </row>
    <row r="264" ht="15.75" customHeight="1">
      <c r="A264" s="10">
        <v>235.7</v>
      </c>
      <c r="B264" s="10" t="s">
        <v>3139</v>
      </c>
      <c r="C264" s="10" t="s">
        <v>220</v>
      </c>
      <c r="D264" s="10" t="s">
        <v>90</v>
      </c>
      <c r="E264" s="10">
        <v>2.2</v>
      </c>
    </row>
    <row r="265" ht="15.75" customHeight="1">
      <c r="A265" s="10">
        <v>236.0</v>
      </c>
      <c r="B265" s="10" t="s">
        <v>3116</v>
      </c>
      <c r="C265" s="10" t="s">
        <v>22</v>
      </c>
      <c r="D265" s="10" t="s">
        <v>71</v>
      </c>
      <c r="E265" s="10">
        <v>1.4</v>
      </c>
    </row>
    <row r="266" ht="15.75" customHeight="1">
      <c r="A266" s="10">
        <v>236.0</v>
      </c>
      <c r="B266" s="10" t="s">
        <v>3200</v>
      </c>
      <c r="C266" s="10" t="s">
        <v>434</v>
      </c>
      <c r="D266" s="10" t="s">
        <v>99</v>
      </c>
      <c r="E266" s="10">
        <v>1.2</v>
      </c>
    </row>
    <row r="267" ht="15.75" customHeight="1">
      <c r="A267" s="10">
        <v>236.0</v>
      </c>
      <c r="B267" s="10" t="s">
        <v>3154</v>
      </c>
      <c r="C267" s="10" t="s">
        <v>77</v>
      </c>
      <c r="D267" s="10" t="s">
        <v>15</v>
      </c>
      <c r="E267" s="10">
        <v>1.6</v>
      </c>
    </row>
    <row r="268" ht="15.75" customHeight="1">
      <c r="A268" s="10">
        <v>236.2</v>
      </c>
      <c r="B268" s="10" t="s">
        <v>3157</v>
      </c>
      <c r="C268" s="10" t="s">
        <v>79</v>
      </c>
      <c r="D268" s="10" t="s">
        <v>85</v>
      </c>
      <c r="E268" s="10">
        <v>1.9</v>
      </c>
    </row>
    <row r="269" ht="15.75" customHeight="1">
      <c r="A269" s="10">
        <v>236.6</v>
      </c>
      <c r="B269" s="10" t="s">
        <v>3204</v>
      </c>
      <c r="C269" s="10" t="s">
        <v>439</v>
      </c>
      <c r="D269" s="10" t="s">
        <v>140</v>
      </c>
      <c r="E269" s="10">
        <v>1.0</v>
      </c>
    </row>
    <row r="270" ht="15.75" customHeight="1">
      <c r="A270" s="10">
        <v>236.8</v>
      </c>
      <c r="B270" s="10" t="s">
        <v>3236</v>
      </c>
      <c r="C270" s="10" t="s">
        <v>22</v>
      </c>
      <c r="D270" s="10" t="s">
        <v>113</v>
      </c>
      <c r="E270" s="10">
        <v>1.0</v>
      </c>
    </row>
    <row r="271" ht="15.75" customHeight="1">
      <c r="A271" s="10">
        <v>237.1</v>
      </c>
      <c r="B271" s="10" t="s">
        <v>3197</v>
      </c>
      <c r="C271" s="10" t="s">
        <v>220</v>
      </c>
      <c r="D271" s="10" t="s">
        <v>49</v>
      </c>
      <c r="E271" s="10">
        <v>1.1</v>
      </c>
    </row>
    <row r="272" ht="15.75" customHeight="1">
      <c r="A272" s="10">
        <v>237.2</v>
      </c>
      <c r="B272" s="10" t="s">
        <v>3158</v>
      </c>
      <c r="C272" s="10" t="s">
        <v>11</v>
      </c>
      <c r="D272" s="10" t="s">
        <v>122</v>
      </c>
      <c r="E272" s="10">
        <v>1.0</v>
      </c>
    </row>
    <row r="273" ht="15.75" customHeight="1">
      <c r="A273" s="10">
        <v>237.2</v>
      </c>
      <c r="B273" s="10" t="s">
        <v>3103</v>
      </c>
      <c r="C273" s="10" t="s">
        <v>139</v>
      </c>
      <c r="D273" s="10" t="s">
        <v>42</v>
      </c>
      <c r="E273" s="10">
        <v>1.3</v>
      </c>
    </row>
    <row r="274" ht="15.75" customHeight="1">
      <c r="A274" s="10">
        <v>237.7</v>
      </c>
      <c r="B274" s="10" t="s">
        <v>3187</v>
      </c>
      <c r="C274" s="10" t="s">
        <v>14</v>
      </c>
      <c r="D274" s="10" t="s">
        <v>31</v>
      </c>
      <c r="E274" s="10">
        <v>1.0</v>
      </c>
    </row>
    <row r="275" ht="15.75" customHeight="1">
      <c r="A275" s="10">
        <v>237.7</v>
      </c>
      <c r="B275" s="10" t="s">
        <v>3233</v>
      </c>
      <c r="C275" s="10" t="s">
        <v>79</v>
      </c>
      <c r="D275" s="10" t="s">
        <v>15</v>
      </c>
      <c r="E275" s="10">
        <v>1.3</v>
      </c>
    </row>
    <row r="276" ht="15.75" customHeight="1">
      <c r="A276" s="10">
        <v>238.1</v>
      </c>
      <c r="B276" s="10" t="s">
        <v>3217</v>
      </c>
      <c r="C276" s="10" t="s">
        <v>79</v>
      </c>
      <c r="D276" s="10" t="s">
        <v>105</v>
      </c>
      <c r="E276" s="10">
        <v>1.6</v>
      </c>
    </row>
    <row r="277" ht="15.75" customHeight="1">
      <c r="A277" s="10">
        <v>238.3</v>
      </c>
      <c r="B277" s="10" t="s">
        <v>3088</v>
      </c>
      <c r="C277" s="10" t="s">
        <v>22</v>
      </c>
      <c r="D277" s="10" t="s">
        <v>82</v>
      </c>
      <c r="E277" s="10">
        <v>1.4</v>
      </c>
    </row>
    <row r="278" ht="15.75" customHeight="1">
      <c r="A278" s="10">
        <v>238.3</v>
      </c>
      <c r="B278" s="10" t="s">
        <v>3142</v>
      </c>
      <c r="C278" s="10" t="s">
        <v>17</v>
      </c>
      <c r="D278" s="10" t="s">
        <v>95</v>
      </c>
      <c r="E278" s="10">
        <v>3.1</v>
      </c>
    </row>
    <row r="279" ht="15.75" customHeight="1">
      <c r="A279" s="10">
        <v>238.4</v>
      </c>
      <c r="B279" s="10" t="s">
        <v>3259</v>
      </c>
      <c r="C279" s="10" t="s">
        <v>79</v>
      </c>
      <c r="D279" s="10" t="s">
        <v>140</v>
      </c>
      <c r="E279" s="10">
        <v>1.0</v>
      </c>
    </row>
    <row r="280" ht="15.75" customHeight="1">
      <c r="A280" s="10">
        <v>238.4</v>
      </c>
      <c r="B280" s="10" t="s">
        <v>3147</v>
      </c>
      <c r="C280" s="10" t="s">
        <v>11</v>
      </c>
      <c r="D280" s="10" t="s">
        <v>113</v>
      </c>
      <c r="E280" s="10">
        <v>1.8</v>
      </c>
    </row>
    <row r="281" ht="15.75" customHeight="1">
      <c r="A281" s="10">
        <v>238.9</v>
      </c>
      <c r="B281" s="10" t="s">
        <v>3078</v>
      </c>
      <c r="C281" s="10" t="s">
        <v>22</v>
      </c>
      <c r="D281" s="10" t="s">
        <v>67</v>
      </c>
      <c r="E281" s="10">
        <v>1.2</v>
      </c>
    </row>
    <row r="282" ht="15.75" customHeight="1">
      <c r="A282" s="10">
        <v>239.0</v>
      </c>
      <c r="B282" s="10" t="s">
        <v>3195</v>
      </c>
      <c r="C282" s="10" t="s">
        <v>14</v>
      </c>
      <c r="D282" s="10" t="s">
        <v>95</v>
      </c>
      <c r="E282" s="10">
        <v>1.4</v>
      </c>
    </row>
    <row r="283" ht="15.75" customHeight="1">
      <c r="A283" s="10">
        <v>239.0</v>
      </c>
      <c r="B283" s="10" t="s">
        <v>3172</v>
      </c>
      <c r="C283" s="10" t="s">
        <v>8</v>
      </c>
      <c r="D283" s="10" t="s">
        <v>34</v>
      </c>
      <c r="E283" s="10">
        <v>1.3</v>
      </c>
    </row>
    <row r="284" ht="15.75" customHeight="1">
      <c r="A284" s="10">
        <v>239.0</v>
      </c>
      <c r="B284" s="10" t="s">
        <v>3218</v>
      </c>
      <c r="C284" s="10" t="s">
        <v>79</v>
      </c>
      <c r="D284" s="10" t="s">
        <v>73</v>
      </c>
      <c r="E284" s="10">
        <v>1.6</v>
      </c>
    </row>
    <row r="285" ht="15.75" customHeight="1">
      <c r="A285" s="10">
        <v>239.2</v>
      </c>
      <c r="B285" s="10" t="s">
        <v>3168</v>
      </c>
      <c r="C285" s="10" t="s">
        <v>79</v>
      </c>
      <c r="D285" s="10" t="s">
        <v>31</v>
      </c>
      <c r="E285" s="10">
        <v>1.0</v>
      </c>
    </row>
    <row r="286" ht="15.75" customHeight="1">
      <c r="A286" s="10">
        <v>239.3</v>
      </c>
      <c r="B286" s="10" t="s">
        <v>3238</v>
      </c>
      <c r="C286" s="10" t="s">
        <v>22</v>
      </c>
      <c r="D286" s="10" t="s">
        <v>140</v>
      </c>
      <c r="E286" s="10">
        <v>1.1</v>
      </c>
    </row>
    <row r="287" ht="15.75" customHeight="1">
      <c r="A287" s="10">
        <v>239.4</v>
      </c>
      <c r="B287" s="10" t="s">
        <v>3379</v>
      </c>
      <c r="C287" s="10" t="s">
        <v>619</v>
      </c>
      <c r="D287" s="10" t="s">
        <v>95</v>
      </c>
      <c r="E287" s="10">
        <v>1.3</v>
      </c>
    </row>
    <row r="288" ht="15.75" customHeight="1">
      <c r="A288" s="10">
        <v>239.5</v>
      </c>
      <c r="B288" s="10" t="s">
        <v>3060</v>
      </c>
      <c r="C288" s="10" t="s">
        <v>286</v>
      </c>
      <c r="D288" s="10" t="s">
        <v>12</v>
      </c>
      <c r="E288" s="10">
        <v>1.4</v>
      </c>
    </row>
    <row r="289" ht="15.75" customHeight="1">
      <c r="A289" s="10">
        <v>239.7</v>
      </c>
      <c r="B289" s="10" t="s">
        <v>3247</v>
      </c>
      <c r="C289" s="10" t="s">
        <v>22</v>
      </c>
      <c r="D289" s="10" t="s">
        <v>90</v>
      </c>
      <c r="E289" s="10">
        <v>1.1</v>
      </c>
    </row>
    <row r="290" ht="15.75" customHeight="1">
      <c r="A290" s="10">
        <v>239.7</v>
      </c>
      <c r="B290" s="10" t="s">
        <v>3352</v>
      </c>
      <c r="C290" s="10" t="s">
        <v>89</v>
      </c>
      <c r="D290" s="10" t="s">
        <v>129</v>
      </c>
      <c r="E290" s="10">
        <v>1.0</v>
      </c>
    </row>
    <row r="291" ht="15.75" customHeight="1">
      <c r="A291" s="10">
        <v>239.8</v>
      </c>
      <c r="B291" s="10" t="s">
        <v>3193</v>
      </c>
      <c r="C291" s="10" t="s">
        <v>14</v>
      </c>
      <c r="D291" s="10" t="s">
        <v>82</v>
      </c>
      <c r="E291" s="10">
        <v>1.4</v>
      </c>
    </row>
    <row r="292" ht="15.75" customHeight="1">
      <c r="A292" s="10">
        <v>239.8</v>
      </c>
      <c r="B292" s="10" t="s">
        <v>3133</v>
      </c>
      <c r="C292" s="10" t="s">
        <v>14</v>
      </c>
      <c r="D292" s="10" t="s">
        <v>67</v>
      </c>
      <c r="E292" s="10">
        <v>1.4</v>
      </c>
    </row>
    <row r="293" ht="15.75" customHeight="1">
      <c r="A293" s="10">
        <v>239.9</v>
      </c>
      <c r="B293" s="10" t="s">
        <v>3156</v>
      </c>
      <c r="C293" s="10" t="s">
        <v>20</v>
      </c>
      <c r="D293" s="10" t="s">
        <v>25</v>
      </c>
      <c r="E293" s="10">
        <v>1.0</v>
      </c>
    </row>
    <row r="294" ht="15.75" customHeight="1">
      <c r="A294" s="10">
        <v>239.9</v>
      </c>
      <c r="B294" s="10" t="s">
        <v>3251</v>
      </c>
      <c r="C294" s="10" t="s">
        <v>79</v>
      </c>
      <c r="D294" s="10" t="s">
        <v>95</v>
      </c>
      <c r="E294" s="10">
        <v>1.7</v>
      </c>
    </row>
    <row r="295" ht="15.75" customHeight="1">
      <c r="A295" s="10">
        <v>240.0</v>
      </c>
      <c r="B295" s="10" t="s">
        <v>3221</v>
      </c>
      <c r="C295" s="10" t="s">
        <v>22</v>
      </c>
      <c r="D295" s="10" t="s">
        <v>95</v>
      </c>
      <c r="E295" s="10">
        <v>1.8</v>
      </c>
    </row>
    <row r="296" ht="15.75" customHeight="1">
      <c r="A296" s="10">
        <v>240.0</v>
      </c>
      <c r="B296" s="10" t="s">
        <v>3177</v>
      </c>
      <c r="C296" s="10" t="s">
        <v>79</v>
      </c>
      <c r="D296" s="10" t="s">
        <v>95</v>
      </c>
      <c r="E296" s="10">
        <v>1.4</v>
      </c>
    </row>
    <row r="297" ht="15.75" customHeight="1">
      <c r="A297" s="10">
        <v>240.3</v>
      </c>
      <c r="B297" s="10" t="s">
        <v>3196</v>
      </c>
      <c r="C297" s="10" t="s">
        <v>79</v>
      </c>
      <c r="D297" s="10" t="s">
        <v>129</v>
      </c>
      <c r="E297" s="10">
        <v>1.6</v>
      </c>
    </row>
    <row r="298" ht="15.75" customHeight="1">
      <c r="A298" s="10">
        <v>240.4</v>
      </c>
      <c r="B298" s="10" t="s">
        <v>3161</v>
      </c>
      <c r="C298" s="10" t="s">
        <v>39</v>
      </c>
      <c r="D298" s="10" t="s">
        <v>25</v>
      </c>
      <c r="E298" s="10">
        <v>1.1</v>
      </c>
    </row>
    <row r="299" ht="15.75" customHeight="1">
      <c r="A299" s="10">
        <v>240.4</v>
      </c>
      <c r="B299" s="10" t="s">
        <v>3151</v>
      </c>
      <c r="C299" s="10" t="s">
        <v>22</v>
      </c>
      <c r="D299" s="10" t="s">
        <v>90</v>
      </c>
      <c r="E299" s="10">
        <v>1.8</v>
      </c>
    </row>
    <row r="300" ht="15.75" customHeight="1">
      <c r="A300" s="10">
        <v>240.5</v>
      </c>
      <c r="B300" s="10" t="s">
        <v>3052</v>
      </c>
      <c r="C300" s="10" t="s">
        <v>55</v>
      </c>
      <c r="D300" s="10" t="s">
        <v>105</v>
      </c>
      <c r="E300" s="10">
        <v>1.5</v>
      </c>
    </row>
    <row r="301" ht="15.75" customHeight="1">
      <c r="A301" s="10">
        <v>240.7</v>
      </c>
      <c r="B301" s="10" t="s">
        <v>3137</v>
      </c>
      <c r="C301" s="10" t="s">
        <v>346</v>
      </c>
      <c r="D301" s="10" t="s">
        <v>95</v>
      </c>
      <c r="E301" s="10">
        <v>1.5</v>
      </c>
    </row>
    <row r="302" ht="15.75" customHeight="1">
      <c r="A302" s="10">
        <v>240.9</v>
      </c>
      <c r="B302" s="10" t="s">
        <v>3229</v>
      </c>
      <c r="C302" s="10" t="s">
        <v>22</v>
      </c>
      <c r="D302" s="10" t="s">
        <v>23</v>
      </c>
      <c r="E302" s="10">
        <v>1.0</v>
      </c>
    </row>
    <row r="303" ht="15.75" customHeight="1">
      <c r="A303" s="10">
        <v>241.0</v>
      </c>
      <c r="B303" s="10" t="s">
        <v>5002</v>
      </c>
      <c r="C303" s="10" t="s">
        <v>39</v>
      </c>
      <c r="D303" s="10" t="s">
        <v>113</v>
      </c>
      <c r="E303" s="10">
        <v>1.7</v>
      </c>
    </row>
    <row r="304" ht="15.75" customHeight="1">
      <c r="A304" s="10">
        <v>241.2</v>
      </c>
      <c r="B304" s="10" t="s">
        <v>3117</v>
      </c>
      <c r="C304" s="10" t="s">
        <v>346</v>
      </c>
      <c r="D304" s="10" t="s">
        <v>36</v>
      </c>
      <c r="E304" s="10">
        <v>1.4</v>
      </c>
    </row>
    <row r="305" ht="15.75" customHeight="1">
      <c r="A305" s="10">
        <v>241.2</v>
      </c>
      <c r="B305" s="10" t="s">
        <v>3216</v>
      </c>
      <c r="C305" s="10" t="s">
        <v>8</v>
      </c>
      <c r="D305" s="10" t="s">
        <v>206</v>
      </c>
      <c r="E305" s="10">
        <v>1.0</v>
      </c>
    </row>
    <row r="306" ht="15.75" customHeight="1">
      <c r="A306" s="10">
        <v>241.3</v>
      </c>
      <c r="B306" s="10" t="s">
        <v>3146</v>
      </c>
      <c r="C306" s="10" t="s">
        <v>218</v>
      </c>
      <c r="D306" s="10" t="s">
        <v>122</v>
      </c>
      <c r="E306" s="10">
        <v>1.0</v>
      </c>
    </row>
    <row r="307" ht="15.75" customHeight="1">
      <c r="A307" s="10">
        <v>241.5</v>
      </c>
      <c r="B307" s="10" t="s">
        <v>3176</v>
      </c>
      <c r="C307" s="10" t="s">
        <v>48</v>
      </c>
      <c r="D307" s="10" t="s">
        <v>206</v>
      </c>
      <c r="E307" s="10">
        <v>1.0</v>
      </c>
    </row>
    <row r="308" ht="15.75" customHeight="1">
      <c r="A308" s="10">
        <v>241.5</v>
      </c>
      <c r="B308" s="10" t="s">
        <v>3175</v>
      </c>
      <c r="C308" s="10" t="s">
        <v>240</v>
      </c>
      <c r="D308" s="10" t="s">
        <v>95</v>
      </c>
      <c r="E308" s="10">
        <v>2.0</v>
      </c>
    </row>
    <row r="309" ht="15.75" customHeight="1">
      <c r="A309" s="10">
        <v>241.6</v>
      </c>
      <c r="B309" s="10" t="s">
        <v>3120</v>
      </c>
      <c r="C309" s="10" t="s">
        <v>22</v>
      </c>
      <c r="D309" s="10" t="s">
        <v>95</v>
      </c>
      <c r="E309" s="10">
        <v>1.6</v>
      </c>
    </row>
    <row r="310" ht="15.75" customHeight="1">
      <c r="A310" s="10">
        <v>241.7</v>
      </c>
      <c r="B310" s="10" t="s">
        <v>3171</v>
      </c>
      <c r="C310" s="10" t="s">
        <v>150</v>
      </c>
      <c r="D310" s="10" t="s">
        <v>36</v>
      </c>
      <c r="E310" s="10">
        <v>1.0</v>
      </c>
    </row>
    <row r="311" ht="15.75" customHeight="1">
      <c r="A311" s="10">
        <v>241.7</v>
      </c>
      <c r="B311" s="10" t="s">
        <v>3198</v>
      </c>
      <c r="C311" s="10" t="s">
        <v>79</v>
      </c>
      <c r="D311" s="10" t="s">
        <v>12</v>
      </c>
      <c r="E311" s="10">
        <v>1.3</v>
      </c>
    </row>
    <row r="312" ht="15.75" customHeight="1">
      <c r="A312" s="10">
        <v>241.8</v>
      </c>
      <c r="B312" s="10" t="s">
        <v>3130</v>
      </c>
      <c r="C312" s="10" t="s">
        <v>77</v>
      </c>
      <c r="D312" s="10" t="s">
        <v>105</v>
      </c>
      <c r="E312" s="10">
        <v>1.0</v>
      </c>
    </row>
    <row r="313" ht="15.75" customHeight="1">
      <c r="A313" s="10">
        <v>241.8</v>
      </c>
      <c r="B313" s="10" t="s">
        <v>3185</v>
      </c>
      <c r="C313" s="10" t="s">
        <v>79</v>
      </c>
      <c r="D313" s="10" t="s">
        <v>90</v>
      </c>
      <c r="E313" s="10">
        <v>1.0</v>
      </c>
    </row>
    <row r="314" ht="15.75" customHeight="1">
      <c r="A314" s="10">
        <v>241.9</v>
      </c>
      <c r="B314" s="10" t="s">
        <v>3228</v>
      </c>
      <c r="C314" s="10" t="s">
        <v>148</v>
      </c>
      <c r="D314" s="10" t="s">
        <v>36</v>
      </c>
      <c r="E314" s="10">
        <v>1.3</v>
      </c>
    </row>
    <row r="315" ht="15.75" customHeight="1">
      <c r="A315" s="10">
        <v>242.0</v>
      </c>
      <c r="B315" s="10" t="s">
        <v>3393</v>
      </c>
      <c r="C315" s="10" t="s">
        <v>199</v>
      </c>
      <c r="D315" s="10" t="s">
        <v>46</v>
      </c>
      <c r="E315" s="10">
        <v>1.4</v>
      </c>
    </row>
    <row r="316" ht="15.75" customHeight="1">
      <c r="A316" s="10">
        <v>242.4</v>
      </c>
      <c r="B316" s="10" t="s">
        <v>3219</v>
      </c>
      <c r="C316" s="10" t="s">
        <v>39</v>
      </c>
      <c r="D316" s="10" t="s">
        <v>42</v>
      </c>
      <c r="E316" s="10">
        <v>1.4</v>
      </c>
    </row>
    <row r="317" ht="15.75" customHeight="1">
      <c r="A317" s="10">
        <v>242.4</v>
      </c>
      <c r="B317" s="10" t="s">
        <v>3190</v>
      </c>
      <c r="C317" s="10" t="s">
        <v>220</v>
      </c>
      <c r="D317" s="10" t="s">
        <v>90</v>
      </c>
      <c r="E317" s="10">
        <v>1.2</v>
      </c>
    </row>
    <row r="318" ht="15.75" customHeight="1">
      <c r="A318" s="10">
        <v>242.5</v>
      </c>
      <c r="B318" s="10" t="s">
        <v>3144</v>
      </c>
      <c r="C318" s="10" t="s">
        <v>375</v>
      </c>
      <c r="D318" s="10" t="s">
        <v>46</v>
      </c>
      <c r="E318" s="10">
        <v>1.2</v>
      </c>
    </row>
    <row r="319" ht="15.75" customHeight="1">
      <c r="A319" s="10">
        <v>242.6</v>
      </c>
      <c r="B319" s="10" t="s">
        <v>3201</v>
      </c>
      <c r="C319" s="10" t="s">
        <v>79</v>
      </c>
      <c r="D319" s="10" t="s">
        <v>27</v>
      </c>
      <c r="E319" s="10">
        <v>1.2</v>
      </c>
    </row>
    <row r="320" ht="15.75" customHeight="1">
      <c r="A320" s="10">
        <v>242.7</v>
      </c>
      <c r="B320" s="10" t="s">
        <v>3237</v>
      </c>
      <c r="C320" s="10" t="s">
        <v>77</v>
      </c>
      <c r="D320" s="10" t="s">
        <v>206</v>
      </c>
      <c r="E320" s="10">
        <v>1.0</v>
      </c>
    </row>
    <row r="321" ht="15.75" customHeight="1">
      <c r="A321" s="10">
        <v>242.7</v>
      </c>
      <c r="B321" s="10" t="s">
        <v>3319</v>
      </c>
      <c r="C321" s="10" t="s">
        <v>220</v>
      </c>
      <c r="D321" s="10" t="s">
        <v>52</v>
      </c>
      <c r="E321" s="10">
        <v>1.1</v>
      </c>
    </row>
    <row r="322" ht="15.75" customHeight="1">
      <c r="A322" s="10">
        <v>242.7</v>
      </c>
      <c r="B322" s="10" t="s">
        <v>3234</v>
      </c>
      <c r="C322" s="10" t="s">
        <v>470</v>
      </c>
      <c r="D322" s="10" t="s">
        <v>113</v>
      </c>
      <c r="E322" s="10">
        <v>1.4</v>
      </c>
    </row>
    <row r="323" ht="15.75" customHeight="1">
      <c r="A323" s="10">
        <v>242.9</v>
      </c>
      <c r="B323" s="10" t="s">
        <v>3108</v>
      </c>
      <c r="C323" s="10" t="s">
        <v>89</v>
      </c>
      <c r="D323" s="10" t="s">
        <v>99</v>
      </c>
      <c r="E323" s="10">
        <v>1.4</v>
      </c>
    </row>
    <row r="324" ht="15.75" customHeight="1">
      <c r="A324" s="10">
        <v>243.0</v>
      </c>
      <c r="B324" s="10" t="s">
        <v>3090</v>
      </c>
      <c r="C324" s="10" t="s">
        <v>20</v>
      </c>
      <c r="D324" s="10" t="s">
        <v>99</v>
      </c>
      <c r="E324" s="10">
        <v>1.3</v>
      </c>
    </row>
    <row r="325" ht="15.75" customHeight="1">
      <c r="A325" s="10">
        <v>243.0</v>
      </c>
      <c r="B325" s="10" t="s">
        <v>3165</v>
      </c>
      <c r="C325" s="10" t="s">
        <v>14</v>
      </c>
      <c r="D325" s="10" t="s">
        <v>23</v>
      </c>
      <c r="E325" s="10">
        <v>1.4</v>
      </c>
    </row>
    <row r="326" ht="15.75" customHeight="1">
      <c r="A326" s="10">
        <v>243.0</v>
      </c>
      <c r="B326" s="10" t="s">
        <v>3125</v>
      </c>
      <c r="C326" s="10" t="s">
        <v>355</v>
      </c>
      <c r="D326" s="10" t="s">
        <v>15</v>
      </c>
      <c r="E326" s="10">
        <v>1.3</v>
      </c>
    </row>
    <row r="327" ht="15.75" customHeight="1">
      <c r="A327" s="10">
        <v>243.1</v>
      </c>
      <c r="B327" s="10" t="s">
        <v>3132</v>
      </c>
      <c r="C327" s="10" t="s">
        <v>14</v>
      </c>
      <c r="D327" s="10" t="s">
        <v>137</v>
      </c>
      <c r="E327" s="10">
        <v>1.7</v>
      </c>
    </row>
    <row r="328" ht="15.75" customHeight="1">
      <c r="A328" s="10">
        <v>243.4</v>
      </c>
      <c r="B328" s="10" t="s">
        <v>3138</v>
      </c>
      <c r="C328" s="10" t="s">
        <v>220</v>
      </c>
      <c r="D328" s="10" t="s">
        <v>25</v>
      </c>
      <c r="E328" s="10">
        <v>1.3</v>
      </c>
    </row>
    <row r="329" ht="15.75" customHeight="1">
      <c r="A329" s="10">
        <v>243.5</v>
      </c>
      <c r="B329" s="10" t="s">
        <v>3135</v>
      </c>
      <c r="C329" s="10" t="s">
        <v>220</v>
      </c>
      <c r="D329" s="10" t="s">
        <v>9</v>
      </c>
      <c r="E329" s="10">
        <v>1.0</v>
      </c>
    </row>
    <row r="330" ht="15.75" customHeight="1">
      <c r="A330" s="10">
        <v>243.5</v>
      </c>
      <c r="B330" s="10" t="s">
        <v>3141</v>
      </c>
      <c r="C330" s="10" t="s">
        <v>77</v>
      </c>
      <c r="D330" s="10" t="s">
        <v>120</v>
      </c>
      <c r="E330" s="10">
        <v>1.3</v>
      </c>
    </row>
    <row r="331" ht="15.75" customHeight="1">
      <c r="A331" s="10">
        <v>243.5</v>
      </c>
      <c r="B331" s="10" t="s">
        <v>3225</v>
      </c>
      <c r="C331" s="10" t="s">
        <v>79</v>
      </c>
      <c r="D331" s="10" t="s">
        <v>85</v>
      </c>
      <c r="E331" s="10">
        <v>1.4</v>
      </c>
    </row>
    <row r="332" ht="15.75" customHeight="1">
      <c r="A332" s="10">
        <v>243.6</v>
      </c>
      <c r="B332" s="10" t="s">
        <v>3129</v>
      </c>
      <c r="C332" s="10" t="s">
        <v>220</v>
      </c>
      <c r="D332" s="10" t="s">
        <v>23</v>
      </c>
      <c r="E332" s="10">
        <v>1.3</v>
      </c>
    </row>
    <row r="333" ht="15.75" customHeight="1">
      <c r="A333" s="10">
        <v>243.6</v>
      </c>
      <c r="B333" s="10" t="s">
        <v>4427</v>
      </c>
      <c r="C333" s="10" t="s">
        <v>220</v>
      </c>
      <c r="D333" s="10" t="s">
        <v>67</v>
      </c>
      <c r="E333" s="10">
        <v>1.2</v>
      </c>
    </row>
    <row r="334" ht="15.75" customHeight="1">
      <c r="A334" s="10">
        <v>243.8</v>
      </c>
      <c r="B334" s="10" t="s">
        <v>3214</v>
      </c>
      <c r="C334" s="10" t="s">
        <v>79</v>
      </c>
      <c r="D334" s="10" t="s">
        <v>206</v>
      </c>
      <c r="E334" s="10">
        <v>1.3</v>
      </c>
    </row>
    <row r="335" ht="15.75" customHeight="1">
      <c r="A335" s="10">
        <v>243.9</v>
      </c>
      <c r="B335" s="10" t="s">
        <v>3700</v>
      </c>
      <c r="C335" s="10" t="s">
        <v>22</v>
      </c>
      <c r="D335" s="10" t="s">
        <v>73</v>
      </c>
      <c r="E335" s="10">
        <v>1.2</v>
      </c>
    </row>
    <row r="336" ht="15.75" customHeight="1">
      <c r="A336" s="10">
        <v>244.0</v>
      </c>
      <c r="B336" s="10" t="s">
        <v>3170</v>
      </c>
      <c r="C336" s="10" t="s">
        <v>22</v>
      </c>
      <c r="D336" s="10" t="s">
        <v>42</v>
      </c>
      <c r="E336" s="10">
        <v>1.3</v>
      </c>
    </row>
    <row r="337" ht="15.75" customHeight="1">
      <c r="A337" s="10">
        <v>244.2</v>
      </c>
      <c r="B337" s="10" t="s">
        <v>3257</v>
      </c>
      <c r="C337" s="10" t="s">
        <v>79</v>
      </c>
      <c r="D337" s="10" t="s">
        <v>67</v>
      </c>
      <c r="E337" s="10">
        <v>1.1</v>
      </c>
    </row>
    <row r="338" ht="15.75" customHeight="1">
      <c r="A338" s="10">
        <v>244.2</v>
      </c>
      <c r="B338" s="10" t="s">
        <v>3118</v>
      </c>
      <c r="C338" s="10" t="s">
        <v>22</v>
      </c>
      <c r="D338" s="10" t="s">
        <v>99</v>
      </c>
      <c r="E338" s="10">
        <v>1.2</v>
      </c>
    </row>
    <row r="339" ht="15.75" customHeight="1">
      <c r="A339" s="10">
        <v>244.5</v>
      </c>
      <c r="B339" s="10" t="s">
        <v>3181</v>
      </c>
      <c r="C339" s="10" t="s">
        <v>22</v>
      </c>
      <c r="D339" s="10" t="s">
        <v>120</v>
      </c>
      <c r="E339" s="10">
        <v>1.2</v>
      </c>
    </row>
    <row r="340" ht="15.75" customHeight="1">
      <c r="A340" s="10">
        <v>244.6</v>
      </c>
      <c r="B340" s="10" t="s">
        <v>4819</v>
      </c>
      <c r="C340" s="10" t="s">
        <v>22</v>
      </c>
      <c r="D340" s="10" t="s">
        <v>18</v>
      </c>
      <c r="E340" s="10">
        <v>1.0</v>
      </c>
    </row>
    <row r="341" ht="15.75" customHeight="1">
      <c r="A341" s="10">
        <v>244.6</v>
      </c>
      <c r="B341" s="10" t="s">
        <v>3058</v>
      </c>
      <c r="C341" s="10" t="s">
        <v>283</v>
      </c>
      <c r="D341" s="10" t="s">
        <v>25</v>
      </c>
      <c r="E341" s="10">
        <v>1.4</v>
      </c>
    </row>
    <row r="342" ht="15.75" customHeight="1">
      <c r="A342" s="10">
        <v>244.9</v>
      </c>
      <c r="B342" s="10" t="s">
        <v>4492</v>
      </c>
      <c r="C342" s="10" t="s">
        <v>1738</v>
      </c>
      <c r="D342" s="10" t="s">
        <v>27</v>
      </c>
      <c r="E342" s="10">
        <v>1.6</v>
      </c>
    </row>
    <row r="343" ht="15.75" customHeight="1">
      <c r="A343" s="10">
        <v>245.0</v>
      </c>
      <c r="B343" s="10" t="s">
        <v>3127</v>
      </c>
      <c r="C343" s="10" t="s">
        <v>55</v>
      </c>
      <c r="D343" s="10" t="s">
        <v>25</v>
      </c>
      <c r="E343" s="10">
        <v>1.4</v>
      </c>
    </row>
    <row r="344" ht="15.75" customHeight="1">
      <c r="A344" s="10">
        <v>245.1</v>
      </c>
      <c r="B344" s="10" t="s">
        <v>3162</v>
      </c>
      <c r="C344" s="10" t="s">
        <v>77</v>
      </c>
      <c r="D344" s="10" t="s">
        <v>25</v>
      </c>
      <c r="E344" s="10">
        <v>1.2</v>
      </c>
    </row>
    <row r="345" ht="15.75" customHeight="1">
      <c r="A345" s="10">
        <v>245.1</v>
      </c>
      <c r="B345" s="10" t="s">
        <v>3223</v>
      </c>
      <c r="C345" s="10" t="s">
        <v>77</v>
      </c>
      <c r="D345" s="10" t="s">
        <v>52</v>
      </c>
      <c r="E345" s="10">
        <v>1.0</v>
      </c>
    </row>
    <row r="346" ht="15.75" customHeight="1">
      <c r="A346" s="10">
        <v>245.2</v>
      </c>
      <c r="B346" s="10" t="s">
        <v>3145</v>
      </c>
      <c r="C346" s="10" t="s">
        <v>22</v>
      </c>
      <c r="D346" s="10" t="s">
        <v>31</v>
      </c>
      <c r="E346" s="10">
        <v>1.1</v>
      </c>
    </row>
    <row r="347" ht="15.75" customHeight="1">
      <c r="A347" s="10">
        <v>245.2</v>
      </c>
      <c r="B347" s="10" t="s">
        <v>3332</v>
      </c>
      <c r="C347" s="10" t="s">
        <v>79</v>
      </c>
      <c r="D347" s="10" t="s">
        <v>18</v>
      </c>
      <c r="E347" s="10">
        <v>1.4</v>
      </c>
    </row>
    <row r="348" ht="15.75" customHeight="1">
      <c r="A348" s="10">
        <v>245.5</v>
      </c>
      <c r="B348" s="10" t="s">
        <v>3174</v>
      </c>
      <c r="C348" s="10" t="s">
        <v>8</v>
      </c>
      <c r="D348" s="10" t="s">
        <v>12</v>
      </c>
      <c r="E348" s="10">
        <v>1.1</v>
      </c>
    </row>
    <row r="349" ht="15.75" customHeight="1">
      <c r="A349" s="10">
        <v>245.6</v>
      </c>
      <c r="B349" s="10" t="s">
        <v>3209</v>
      </c>
      <c r="C349" s="10" t="s">
        <v>48</v>
      </c>
      <c r="D349" s="10" t="s">
        <v>90</v>
      </c>
      <c r="E349" s="10">
        <v>1.3</v>
      </c>
    </row>
    <row r="350" ht="15.75" customHeight="1">
      <c r="A350" s="10">
        <v>245.9</v>
      </c>
      <c r="B350" s="10" t="s">
        <v>3340</v>
      </c>
      <c r="C350" s="10" t="s">
        <v>22</v>
      </c>
      <c r="D350" s="10" t="s">
        <v>25</v>
      </c>
      <c r="E350" s="10">
        <v>1.2</v>
      </c>
    </row>
    <row r="351" ht="15.75" customHeight="1">
      <c r="A351" s="10">
        <v>245.9</v>
      </c>
      <c r="B351" s="10" t="s">
        <v>3071</v>
      </c>
      <c r="C351" s="10" t="s">
        <v>22</v>
      </c>
      <c r="D351" s="10" t="s">
        <v>23</v>
      </c>
      <c r="E351" s="10">
        <v>1.4</v>
      </c>
    </row>
    <row r="352" ht="15.75" customHeight="1">
      <c r="A352" s="10">
        <v>246.1</v>
      </c>
      <c r="B352" s="10" t="s">
        <v>3148</v>
      </c>
      <c r="C352" s="10" t="s">
        <v>48</v>
      </c>
      <c r="D352" s="10" t="s">
        <v>18</v>
      </c>
      <c r="E352" s="10">
        <v>1.0</v>
      </c>
    </row>
    <row r="353" ht="15.75" customHeight="1">
      <c r="A353" s="10">
        <v>246.1</v>
      </c>
      <c r="B353" s="10" t="s">
        <v>3173</v>
      </c>
      <c r="C353" s="10" t="s">
        <v>63</v>
      </c>
      <c r="D353" s="10" t="s">
        <v>15</v>
      </c>
      <c r="E353" s="10">
        <v>2.8</v>
      </c>
    </row>
    <row r="354" ht="15.75" customHeight="1">
      <c r="A354" s="10">
        <v>246.6</v>
      </c>
      <c r="B354" s="10" t="s">
        <v>3166</v>
      </c>
      <c r="C354" s="10" t="s">
        <v>283</v>
      </c>
      <c r="D354" s="10" t="s">
        <v>85</v>
      </c>
      <c r="E354" s="10">
        <v>1.3</v>
      </c>
    </row>
    <row r="355" ht="15.75" customHeight="1">
      <c r="A355" s="10">
        <v>246.7</v>
      </c>
      <c r="B355" s="10" t="s">
        <v>3076</v>
      </c>
      <c r="C355" s="10" t="s">
        <v>136</v>
      </c>
      <c r="D355" s="10" t="s">
        <v>113</v>
      </c>
      <c r="E355" s="10">
        <v>1.2</v>
      </c>
    </row>
    <row r="356" ht="15.75" customHeight="1">
      <c r="A356" s="10">
        <v>246.8</v>
      </c>
      <c r="B356" s="10" t="s">
        <v>3199</v>
      </c>
      <c r="C356" s="10" t="s">
        <v>220</v>
      </c>
      <c r="D356" s="10" t="s">
        <v>85</v>
      </c>
      <c r="E356" s="10">
        <v>1.1</v>
      </c>
    </row>
    <row r="357" ht="15.75" customHeight="1">
      <c r="A357" s="10">
        <v>246.9</v>
      </c>
      <c r="B357" s="10" t="s">
        <v>3100</v>
      </c>
      <c r="C357" s="10" t="s">
        <v>327</v>
      </c>
      <c r="D357" s="10" t="s">
        <v>9</v>
      </c>
      <c r="E357" s="10">
        <v>1.2</v>
      </c>
    </row>
    <row r="358" ht="15.75" customHeight="1">
      <c r="A358" s="10">
        <v>246.9</v>
      </c>
      <c r="B358" s="10" t="s">
        <v>3167</v>
      </c>
      <c r="C358" s="10" t="s">
        <v>22</v>
      </c>
      <c r="D358" s="10" t="s">
        <v>25</v>
      </c>
      <c r="E358" s="10">
        <v>1.1</v>
      </c>
    </row>
    <row r="359" ht="15.75" customHeight="1">
      <c r="A359" s="10">
        <v>246.9</v>
      </c>
      <c r="B359" s="10" t="s">
        <v>3347</v>
      </c>
      <c r="C359" s="10" t="s">
        <v>585</v>
      </c>
      <c r="D359" s="10" t="s">
        <v>82</v>
      </c>
      <c r="E359" s="10">
        <v>1.3</v>
      </c>
    </row>
    <row r="360" ht="15.75" customHeight="1">
      <c r="A360" s="10">
        <v>247.0</v>
      </c>
      <c r="B360" s="10" t="s">
        <v>3226</v>
      </c>
      <c r="C360" s="10" t="s">
        <v>218</v>
      </c>
      <c r="D360" s="10" t="s">
        <v>206</v>
      </c>
      <c r="E360" s="10">
        <v>1.0</v>
      </c>
    </row>
    <row r="361" ht="15.75" customHeight="1">
      <c r="A361" s="10">
        <v>247.2</v>
      </c>
      <c r="B361" s="10" t="s">
        <v>3235</v>
      </c>
      <c r="C361" s="10" t="s">
        <v>22</v>
      </c>
      <c r="D361" s="10" t="s">
        <v>85</v>
      </c>
      <c r="E361" s="10">
        <v>1.1</v>
      </c>
    </row>
    <row r="362" ht="15.75" customHeight="1">
      <c r="A362" s="10">
        <v>247.3</v>
      </c>
      <c r="B362" s="10" t="s">
        <v>3205</v>
      </c>
      <c r="C362" s="10" t="s">
        <v>189</v>
      </c>
      <c r="D362" s="10" t="s">
        <v>122</v>
      </c>
      <c r="E362" s="10">
        <v>1.1</v>
      </c>
    </row>
    <row r="363" ht="15.75" customHeight="1">
      <c r="A363" s="10">
        <v>247.9</v>
      </c>
      <c r="B363" s="10" t="s">
        <v>3082</v>
      </c>
      <c r="C363" s="10" t="s">
        <v>136</v>
      </c>
      <c r="D363" s="10" t="s">
        <v>129</v>
      </c>
      <c r="E363" s="10">
        <v>1.8</v>
      </c>
    </row>
    <row r="364" ht="15.75" customHeight="1">
      <c r="A364" s="10">
        <v>248.1</v>
      </c>
      <c r="B364" s="10" t="s">
        <v>3028</v>
      </c>
      <c r="C364" s="10" t="s">
        <v>20</v>
      </c>
      <c r="D364" s="10" t="s">
        <v>122</v>
      </c>
      <c r="E364" s="10">
        <v>1.4</v>
      </c>
    </row>
    <row r="365" ht="15.75" customHeight="1">
      <c r="A365" s="10">
        <v>248.1</v>
      </c>
      <c r="B365" s="10" t="s">
        <v>3094</v>
      </c>
      <c r="C365" s="10" t="s">
        <v>11</v>
      </c>
      <c r="D365" s="10" t="s">
        <v>31</v>
      </c>
      <c r="E365" s="10">
        <v>1.3</v>
      </c>
    </row>
    <row r="366" ht="15.75" customHeight="1">
      <c r="A366" s="10">
        <v>248.1</v>
      </c>
      <c r="B366" s="10" t="s">
        <v>3213</v>
      </c>
      <c r="C366" s="10" t="s">
        <v>22</v>
      </c>
      <c r="D366" s="10" t="s">
        <v>36</v>
      </c>
      <c r="E366" s="10">
        <v>1.0</v>
      </c>
    </row>
    <row r="367" ht="15.75" customHeight="1">
      <c r="A367" s="10">
        <v>248.5</v>
      </c>
      <c r="B367" s="10" t="s">
        <v>3511</v>
      </c>
      <c r="C367" s="10" t="s">
        <v>753</v>
      </c>
      <c r="D367" s="10" t="s">
        <v>67</v>
      </c>
      <c r="E367" s="10">
        <v>1.6</v>
      </c>
    </row>
    <row r="368" ht="15.75" customHeight="1">
      <c r="A368" s="10">
        <v>248.5</v>
      </c>
      <c r="B368" s="10" t="s">
        <v>3583</v>
      </c>
      <c r="C368" s="10" t="s">
        <v>22</v>
      </c>
      <c r="D368" s="10" t="s">
        <v>129</v>
      </c>
      <c r="E368" s="10">
        <v>1.1</v>
      </c>
    </row>
    <row r="369" ht="15.75" customHeight="1">
      <c r="A369" s="10">
        <v>248.6</v>
      </c>
      <c r="B369" s="10" t="s">
        <v>3202</v>
      </c>
      <c r="C369" s="10" t="s">
        <v>20</v>
      </c>
      <c r="D369" s="10" t="s">
        <v>67</v>
      </c>
      <c r="E369" s="10">
        <v>1.2</v>
      </c>
    </row>
    <row r="370" ht="15.75" customHeight="1">
      <c r="A370" s="10">
        <v>248.9</v>
      </c>
      <c r="B370" s="10" t="s">
        <v>4857</v>
      </c>
      <c r="C370" s="10" t="s">
        <v>286</v>
      </c>
      <c r="D370" s="10" t="s">
        <v>129</v>
      </c>
      <c r="E370" s="10">
        <v>1.3</v>
      </c>
    </row>
    <row r="371" ht="15.75" customHeight="1">
      <c r="A371" s="10">
        <v>249.0</v>
      </c>
      <c r="B371" s="10" t="s">
        <v>3083</v>
      </c>
      <c r="C371" s="10" t="s">
        <v>69</v>
      </c>
      <c r="D371" s="10" t="s">
        <v>52</v>
      </c>
      <c r="E371" s="10">
        <v>1.4</v>
      </c>
    </row>
    <row r="372" ht="15.75" customHeight="1">
      <c r="A372" s="10">
        <v>249.0</v>
      </c>
      <c r="B372" s="10" t="s">
        <v>3189</v>
      </c>
      <c r="C372" s="10" t="s">
        <v>139</v>
      </c>
      <c r="D372" s="10" t="s">
        <v>129</v>
      </c>
      <c r="E372" s="10">
        <v>1.0</v>
      </c>
    </row>
    <row r="373" ht="15.75" customHeight="1">
      <c r="A373" s="10">
        <v>249.1</v>
      </c>
      <c r="B373" s="10" t="s">
        <v>3143</v>
      </c>
      <c r="C373" s="10" t="s">
        <v>139</v>
      </c>
      <c r="D373" s="10" t="s">
        <v>105</v>
      </c>
      <c r="E373" s="10">
        <v>1.2</v>
      </c>
    </row>
    <row r="374" ht="15.75" customHeight="1">
      <c r="A374" s="10">
        <v>249.2</v>
      </c>
      <c r="B374" s="10" t="s">
        <v>3084</v>
      </c>
      <c r="C374" s="10" t="s">
        <v>22</v>
      </c>
      <c r="D374" s="10" t="s">
        <v>15</v>
      </c>
      <c r="E374" s="10">
        <v>1.3</v>
      </c>
    </row>
    <row r="375" ht="15.75" customHeight="1">
      <c r="A375" s="10">
        <v>249.5</v>
      </c>
      <c r="B375" s="10" t="s">
        <v>3222</v>
      </c>
      <c r="C375" s="10" t="s">
        <v>87</v>
      </c>
      <c r="D375" s="10" t="s">
        <v>129</v>
      </c>
      <c r="E375" s="10">
        <v>1.5</v>
      </c>
    </row>
    <row r="376" ht="15.75" customHeight="1">
      <c r="A376" s="10">
        <v>249.7</v>
      </c>
      <c r="B376" s="10" t="s">
        <v>3152</v>
      </c>
      <c r="C376" s="10" t="s">
        <v>262</v>
      </c>
      <c r="D376" s="10" t="s">
        <v>122</v>
      </c>
      <c r="E376" s="10">
        <v>1.1</v>
      </c>
    </row>
    <row r="377" ht="15.75" customHeight="1">
      <c r="A377" s="10">
        <v>249.8</v>
      </c>
      <c r="B377" s="10" t="s">
        <v>3203</v>
      </c>
      <c r="C377" s="10" t="s">
        <v>22</v>
      </c>
      <c r="D377" s="10" t="s">
        <v>90</v>
      </c>
      <c r="E377" s="10">
        <v>1.4</v>
      </c>
    </row>
    <row r="378" ht="15.75" customHeight="1">
      <c r="A378" s="10">
        <v>249.9</v>
      </c>
      <c r="B378" s="10" t="s">
        <v>3051</v>
      </c>
      <c r="C378" s="10" t="s">
        <v>20</v>
      </c>
      <c r="D378" s="10" t="s">
        <v>85</v>
      </c>
      <c r="E378" s="10">
        <v>1.2</v>
      </c>
    </row>
    <row r="379" ht="15.75" customHeight="1">
      <c r="A379" s="10">
        <v>250.0</v>
      </c>
      <c r="B379" s="10" t="s">
        <v>3101</v>
      </c>
      <c r="C379" s="10" t="s">
        <v>329</v>
      </c>
      <c r="D379" s="10" t="s">
        <v>140</v>
      </c>
      <c r="E379" s="10">
        <v>1.3</v>
      </c>
    </row>
    <row r="380" ht="15.75" customHeight="1">
      <c r="A380" s="10">
        <v>250.2</v>
      </c>
      <c r="B380" s="10" t="s">
        <v>3308</v>
      </c>
      <c r="C380" s="10" t="s">
        <v>22</v>
      </c>
      <c r="D380" s="10" t="s">
        <v>206</v>
      </c>
      <c r="E380" s="10">
        <v>1.1</v>
      </c>
    </row>
    <row r="381" ht="15.75" customHeight="1">
      <c r="A381" s="10">
        <v>250.2</v>
      </c>
      <c r="B381" s="10" t="s">
        <v>3074</v>
      </c>
      <c r="C381" s="10" t="s">
        <v>20</v>
      </c>
      <c r="D381" s="10" t="s">
        <v>71</v>
      </c>
      <c r="E381" s="10">
        <v>1.4</v>
      </c>
    </row>
    <row r="382" ht="15.75" customHeight="1">
      <c r="A382" s="10">
        <v>250.3</v>
      </c>
      <c r="B382" s="10" t="s">
        <v>3037</v>
      </c>
      <c r="C382" s="10" t="s">
        <v>48</v>
      </c>
      <c r="D382" s="10" t="s">
        <v>25</v>
      </c>
      <c r="E382" s="10">
        <v>1.3</v>
      </c>
    </row>
    <row r="383" ht="15.75" customHeight="1">
      <c r="A383" s="10">
        <v>250.4</v>
      </c>
      <c r="B383" s="10" t="s">
        <v>3297</v>
      </c>
      <c r="C383" s="10" t="s">
        <v>22</v>
      </c>
      <c r="D383" s="10" t="s">
        <v>9</v>
      </c>
      <c r="E383" s="10">
        <v>1.0</v>
      </c>
    </row>
    <row r="384" ht="15.75" customHeight="1">
      <c r="A384" s="10">
        <v>250.6</v>
      </c>
      <c r="B384" s="10" t="s">
        <v>3068</v>
      </c>
      <c r="C384" s="10" t="s">
        <v>17</v>
      </c>
      <c r="D384" s="10" t="s">
        <v>73</v>
      </c>
      <c r="E384" s="10">
        <v>1.2</v>
      </c>
    </row>
    <row r="385" ht="15.75" customHeight="1">
      <c r="A385" s="10">
        <v>250.6</v>
      </c>
      <c r="B385" s="10" t="s">
        <v>3110</v>
      </c>
      <c r="C385" s="10" t="s">
        <v>22</v>
      </c>
      <c r="D385" s="10" t="s">
        <v>9</v>
      </c>
      <c r="E385" s="10">
        <v>1.2</v>
      </c>
    </row>
    <row r="386" ht="15.75" customHeight="1">
      <c r="A386" s="10">
        <v>250.8</v>
      </c>
      <c r="B386" s="10" t="s">
        <v>4144</v>
      </c>
      <c r="C386" s="10" t="s">
        <v>79</v>
      </c>
      <c r="D386" s="10" t="s">
        <v>95</v>
      </c>
      <c r="E386" s="10">
        <v>1.4</v>
      </c>
    </row>
    <row r="387" ht="15.75" customHeight="1">
      <c r="A387" s="10">
        <v>251.2</v>
      </c>
      <c r="B387" s="10" t="s">
        <v>3180</v>
      </c>
      <c r="C387" s="10" t="s">
        <v>22</v>
      </c>
      <c r="D387" s="10" t="s">
        <v>137</v>
      </c>
      <c r="E387" s="10">
        <v>1.0</v>
      </c>
    </row>
    <row r="388" ht="15.75" customHeight="1">
      <c r="A388" s="10">
        <v>251.7</v>
      </c>
      <c r="B388" s="10" t="s">
        <v>3304</v>
      </c>
      <c r="C388" s="10" t="s">
        <v>79</v>
      </c>
      <c r="D388" s="10" t="s">
        <v>52</v>
      </c>
      <c r="E388" s="10">
        <v>2.4</v>
      </c>
    </row>
    <row r="389" ht="15.75" customHeight="1">
      <c r="A389" s="10">
        <v>252.0</v>
      </c>
      <c r="B389" s="10" t="s">
        <v>3124</v>
      </c>
      <c r="C389" s="10" t="s">
        <v>69</v>
      </c>
      <c r="D389" s="10" t="s">
        <v>85</v>
      </c>
      <c r="E389" s="10">
        <v>1.1</v>
      </c>
    </row>
    <row r="390" ht="15.75" customHeight="1">
      <c r="A390" s="10">
        <v>252.2</v>
      </c>
      <c r="B390" s="10" t="s">
        <v>3097</v>
      </c>
      <c r="C390" s="10" t="s">
        <v>39</v>
      </c>
      <c r="D390" s="10" t="s">
        <v>95</v>
      </c>
      <c r="E390" s="10">
        <v>1.3</v>
      </c>
    </row>
    <row r="391" ht="15.75" customHeight="1">
      <c r="A391" s="10">
        <v>252.2</v>
      </c>
      <c r="B391" s="10" t="s">
        <v>3244</v>
      </c>
      <c r="C391" s="10" t="s">
        <v>22</v>
      </c>
      <c r="D391" s="10" t="s">
        <v>140</v>
      </c>
      <c r="E391" s="10">
        <v>1.5</v>
      </c>
    </row>
    <row r="392" ht="15.75" customHeight="1">
      <c r="A392" s="10">
        <v>252.3</v>
      </c>
      <c r="B392" s="10" t="s">
        <v>3179</v>
      </c>
      <c r="C392" s="10" t="s">
        <v>150</v>
      </c>
      <c r="D392" s="10" t="s">
        <v>105</v>
      </c>
      <c r="E392" s="10">
        <v>1.2</v>
      </c>
    </row>
    <row r="393" ht="15.75" customHeight="1">
      <c r="A393" s="10">
        <v>252.8</v>
      </c>
      <c r="B393" s="10" t="s">
        <v>4129</v>
      </c>
      <c r="C393" s="10" t="s">
        <v>22</v>
      </c>
      <c r="D393" s="10" t="s">
        <v>49</v>
      </c>
      <c r="E393" s="10">
        <v>1.0</v>
      </c>
    </row>
    <row r="394" ht="15.75" customHeight="1">
      <c r="A394" s="10">
        <v>253.3</v>
      </c>
      <c r="B394" s="10" t="s">
        <v>3136</v>
      </c>
      <c r="C394" s="10" t="s">
        <v>22</v>
      </c>
      <c r="D394" s="10" t="s">
        <v>18</v>
      </c>
      <c r="E394" s="10">
        <v>1.1</v>
      </c>
    </row>
    <row r="395" ht="15.75" customHeight="1">
      <c r="A395" s="10">
        <v>253.5</v>
      </c>
      <c r="B395" s="10" t="s">
        <v>3056</v>
      </c>
      <c r="C395" s="10" t="s">
        <v>39</v>
      </c>
      <c r="D395" s="10" t="s">
        <v>82</v>
      </c>
      <c r="E395" s="10">
        <v>1.2</v>
      </c>
    </row>
    <row r="396" ht="15.75" customHeight="1">
      <c r="A396" s="10">
        <v>254.1</v>
      </c>
      <c r="B396" s="10" t="s">
        <v>3122</v>
      </c>
      <c r="C396" s="10" t="s">
        <v>136</v>
      </c>
      <c r="D396" s="10" t="s">
        <v>36</v>
      </c>
      <c r="E396" s="10">
        <v>1.1</v>
      </c>
    </row>
    <row r="397" ht="15.75" customHeight="1">
      <c r="A397" s="10">
        <v>255.8</v>
      </c>
      <c r="B397" s="10" t="s">
        <v>3106</v>
      </c>
      <c r="C397" s="10" t="s">
        <v>20</v>
      </c>
      <c r="D397" s="10" t="s">
        <v>52</v>
      </c>
      <c r="E397" s="10">
        <v>1.4</v>
      </c>
    </row>
    <row r="398" ht="15.75" customHeight="1">
      <c r="A398" s="10">
        <v>256.2</v>
      </c>
      <c r="B398" s="10" t="s">
        <v>3104</v>
      </c>
      <c r="C398" s="10" t="s">
        <v>22</v>
      </c>
      <c r="D398" s="10" t="s">
        <v>36</v>
      </c>
      <c r="E398" s="10">
        <v>1.2</v>
      </c>
    </row>
    <row r="399" ht="15.75" customHeight="1">
      <c r="A399" s="10">
        <v>256.2</v>
      </c>
      <c r="B399" s="10" t="s">
        <v>3107</v>
      </c>
      <c r="C399" s="10" t="s">
        <v>11</v>
      </c>
      <c r="D399" s="10" t="s">
        <v>113</v>
      </c>
      <c r="E399" s="10">
        <v>1.1</v>
      </c>
    </row>
    <row r="400" ht="15.75" customHeight="1">
      <c r="A400" s="10">
        <v>256.7</v>
      </c>
      <c r="B400" s="10" t="s">
        <v>3091</v>
      </c>
      <c r="C400" s="10" t="s">
        <v>22</v>
      </c>
      <c r="D400" s="10" t="s">
        <v>52</v>
      </c>
      <c r="E400" s="10">
        <v>1.3</v>
      </c>
    </row>
    <row r="401" ht="15.75" customHeight="1">
      <c r="A401" s="10">
        <v>256.8</v>
      </c>
      <c r="B401" s="10" t="s">
        <v>3102</v>
      </c>
      <c r="C401" s="10" t="s">
        <v>22</v>
      </c>
      <c r="D401" s="10" t="s">
        <v>36</v>
      </c>
      <c r="E401" s="10">
        <v>1.3</v>
      </c>
    </row>
    <row r="402" ht="15.75" customHeight="1">
      <c r="A402" s="10">
        <v>257.0</v>
      </c>
      <c r="B402" s="10" t="s">
        <v>3081</v>
      </c>
      <c r="C402" s="10" t="s">
        <v>22</v>
      </c>
      <c r="D402" s="10" t="s">
        <v>122</v>
      </c>
      <c r="E402" s="10">
        <v>1.2</v>
      </c>
    </row>
    <row r="403" ht="15.75" customHeight="1">
      <c r="A403" s="10">
        <v>257.0</v>
      </c>
      <c r="B403" s="10" t="s">
        <v>3113</v>
      </c>
      <c r="C403" s="10" t="s">
        <v>63</v>
      </c>
      <c r="D403" s="10" t="s">
        <v>99</v>
      </c>
      <c r="E403" s="10">
        <v>1.3</v>
      </c>
    </row>
    <row r="404" ht="15.75" customHeight="1">
      <c r="A404" s="10">
        <v>257.5</v>
      </c>
      <c r="B404" s="10" t="s">
        <v>3080</v>
      </c>
      <c r="C404" s="10" t="s">
        <v>22</v>
      </c>
      <c r="D404" s="10" t="s">
        <v>49</v>
      </c>
      <c r="E404" s="10">
        <v>1.2</v>
      </c>
    </row>
    <row r="405" ht="15.75" customHeight="1">
      <c r="A405" s="5">
        <v>259.0</v>
      </c>
      <c r="B405" s="5" t="s">
        <v>3096</v>
      </c>
      <c r="C405" s="5" t="s">
        <v>22</v>
      </c>
      <c r="D405" s="5" t="s">
        <v>23</v>
      </c>
      <c r="E405" s="5">
        <v>1.1</v>
      </c>
    </row>
    <row r="406" ht="15.75" customHeight="1">
      <c r="A406" s="5">
        <v>260.3</v>
      </c>
      <c r="B406" s="5" t="s">
        <v>4357</v>
      </c>
      <c r="C406" s="5" t="s">
        <v>69</v>
      </c>
      <c r="D406" s="5" t="s">
        <v>120</v>
      </c>
      <c r="E406" s="5">
        <v>1.0</v>
      </c>
    </row>
    <row r="407" ht="15.75" customHeight="1">
      <c r="A407" s="5">
        <v>261.6</v>
      </c>
      <c r="B407" s="5" t="s">
        <v>3121</v>
      </c>
      <c r="C407" s="5" t="s">
        <v>22</v>
      </c>
      <c r="D407" s="5" t="s">
        <v>31</v>
      </c>
      <c r="E407" s="5">
        <v>1.0</v>
      </c>
    </row>
    <row r="408" ht="15.75" customHeight="1">
      <c r="A408" s="5">
        <v>263.8</v>
      </c>
      <c r="B408" s="5" t="s">
        <v>3111</v>
      </c>
      <c r="C408" s="5" t="s">
        <v>22</v>
      </c>
      <c r="D408" s="5" t="s">
        <v>67</v>
      </c>
      <c r="E408" s="5">
        <v>1.1</v>
      </c>
    </row>
    <row r="409" ht="15.75" customHeight="1">
      <c r="A409" s="5">
        <v>264.9</v>
      </c>
      <c r="B409" s="5" t="s">
        <v>3134</v>
      </c>
      <c r="C409" s="5" t="s">
        <v>22</v>
      </c>
      <c r="D409" s="5" t="s">
        <v>71</v>
      </c>
      <c r="E409" s="5">
        <v>1.0</v>
      </c>
    </row>
    <row r="410" ht="15.75" customHeight="1">
      <c r="A410" s="29"/>
      <c r="B410" s="5" t="s">
        <v>4238</v>
      </c>
      <c r="C410" s="5" t="s">
        <v>20</v>
      </c>
      <c r="D410" s="5" t="s">
        <v>9</v>
      </c>
      <c r="E410" s="5" t="s">
        <v>382</v>
      </c>
    </row>
    <row r="411" ht="15.75" customHeight="1">
      <c r="A411" s="29"/>
      <c r="B411" s="5" t="s">
        <v>3677</v>
      </c>
      <c r="C411" s="5" t="s">
        <v>22</v>
      </c>
      <c r="D411" s="5" t="s">
        <v>140</v>
      </c>
      <c r="E411" s="5" t="s">
        <v>382</v>
      </c>
    </row>
    <row r="412" ht="15.75" customHeight="1">
      <c r="A412" s="29"/>
      <c r="B412" s="5" t="s">
        <v>4773</v>
      </c>
      <c r="C412" s="5" t="s">
        <v>20</v>
      </c>
      <c r="D412" s="5" t="s">
        <v>46</v>
      </c>
      <c r="E412" s="5" t="s">
        <v>382</v>
      </c>
    </row>
    <row r="413" ht="15.75" customHeight="1">
      <c r="A413" s="29"/>
      <c r="B413" s="5" t="s">
        <v>4321</v>
      </c>
      <c r="C413" s="5" t="s">
        <v>22</v>
      </c>
      <c r="D413" s="5" t="s">
        <v>122</v>
      </c>
      <c r="E413" s="5" t="s">
        <v>382</v>
      </c>
    </row>
    <row r="414" ht="15.75" customHeight="1">
      <c r="A414" s="29"/>
      <c r="B414" s="5" t="s">
        <v>4868</v>
      </c>
      <c r="C414" s="5" t="s">
        <v>77</v>
      </c>
      <c r="D414" s="5" t="s">
        <v>49</v>
      </c>
      <c r="E414" s="5" t="s">
        <v>382</v>
      </c>
    </row>
    <row r="415" ht="15.75" customHeight="1">
      <c r="A415" s="29"/>
      <c r="B415" s="5" t="s">
        <v>5399</v>
      </c>
      <c r="C415" s="5" t="s">
        <v>8</v>
      </c>
      <c r="D415" s="5" t="s">
        <v>25</v>
      </c>
      <c r="E415" s="5" t="s">
        <v>382</v>
      </c>
    </row>
    <row r="416" ht="15.75" customHeight="1">
      <c r="A416" s="29"/>
      <c r="B416" s="5" t="s">
        <v>4774</v>
      </c>
      <c r="C416" s="5" t="s">
        <v>77</v>
      </c>
      <c r="D416" s="5" t="s">
        <v>18</v>
      </c>
      <c r="E416" s="5" t="s">
        <v>382</v>
      </c>
    </row>
    <row r="417" ht="15.75" customHeight="1">
      <c r="A417" s="29"/>
      <c r="B417" s="5" t="s">
        <v>3968</v>
      </c>
      <c r="C417" s="5" t="s">
        <v>22</v>
      </c>
      <c r="D417" s="5" t="s">
        <v>73</v>
      </c>
      <c r="E417" s="5" t="s">
        <v>382</v>
      </c>
    </row>
    <row r="418" ht="15.75" customHeight="1">
      <c r="A418" s="29"/>
      <c r="B418" s="5" t="s">
        <v>4655</v>
      </c>
      <c r="C418" s="5" t="s">
        <v>48</v>
      </c>
      <c r="D418" s="5" t="s">
        <v>36</v>
      </c>
      <c r="E418" s="5" t="s">
        <v>382</v>
      </c>
    </row>
    <row r="419" ht="15.75" customHeight="1">
      <c r="A419" s="29"/>
      <c r="B419" s="5" t="s">
        <v>3825</v>
      </c>
      <c r="C419" s="5" t="s">
        <v>22</v>
      </c>
      <c r="D419" s="5" t="s">
        <v>15</v>
      </c>
      <c r="E419" s="5" t="s">
        <v>382</v>
      </c>
    </row>
    <row r="420" ht="15.75" customHeight="1">
      <c r="A420" s="29"/>
      <c r="B420" s="5" t="s">
        <v>4119</v>
      </c>
      <c r="C420" s="5" t="s">
        <v>22</v>
      </c>
      <c r="D420" s="5" t="s">
        <v>9</v>
      </c>
      <c r="E420" s="5" t="s">
        <v>382</v>
      </c>
    </row>
    <row r="421" ht="15.75" customHeight="1">
      <c r="A421" s="29"/>
      <c r="B421" s="5" t="s">
        <v>4294</v>
      </c>
      <c r="C421" s="5" t="s">
        <v>79</v>
      </c>
      <c r="D421" s="5" t="s">
        <v>67</v>
      </c>
      <c r="E421" s="5" t="s">
        <v>382</v>
      </c>
    </row>
    <row r="422" ht="15.75" customHeight="1">
      <c r="A422" s="29"/>
      <c r="B422" s="5" t="s">
        <v>4962</v>
      </c>
      <c r="C422" s="5" t="s">
        <v>136</v>
      </c>
      <c r="D422" s="5" t="s">
        <v>36</v>
      </c>
      <c r="E422" s="5" t="s">
        <v>382</v>
      </c>
    </row>
    <row r="423" ht="15.75" customHeight="1">
      <c r="A423" s="29"/>
      <c r="B423" s="5" t="s">
        <v>4513</v>
      </c>
      <c r="C423" s="5" t="s">
        <v>20</v>
      </c>
      <c r="D423" s="5" t="s">
        <v>18</v>
      </c>
      <c r="E423" s="5" t="s">
        <v>382</v>
      </c>
    </row>
    <row r="424" ht="15.75" customHeight="1">
      <c r="A424" s="29"/>
      <c r="B424" s="5" t="s">
        <v>3502</v>
      </c>
      <c r="C424" s="5" t="s">
        <v>22</v>
      </c>
      <c r="D424" s="5" t="s">
        <v>71</v>
      </c>
      <c r="E424" s="5" t="s">
        <v>382</v>
      </c>
    </row>
    <row r="425" ht="15.75" customHeight="1">
      <c r="A425" s="29"/>
      <c r="B425" s="5" t="s">
        <v>4850</v>
      </c>
      <c r="C425" s="5" t="s">
        <v>33</v>
      </c>
      <c r="D425" s="5" t="s">
        <v>36</v>
      </c>
      <c r="E425" s="5" t="s">
        <v>382</v>
      </c>
    </row>
    <row r="426" ht="15.75" customHeight="1">
      <c r="A426" s="29"/>
      <c r="B426" s="5" t="s">
        <v>3263</v>
      </c>
      <c r="C426" s="5" t="s">
        <v>79</v>
      </c>
      <c r="D426" s="5" t="s">
        <v>120</v>
      </c>
      <c r="E426" s="5" t="s">
        <v>382</v>
      </c>
    </row>
    <row r="427" ht="15.75" customHeight="1">
      <c r="A427" s="29"/>
      <c r="B427" s="5" t="s">
        <v>4436</v>
      </c>
      <c r="C427" s="5" t="s">
        <v>22</v>
      </c>
      <c r="D427" s="5" t="s">
        <v>18</v>
      </c>
      <c r="E427" s="5" t="s">
        <v>382</v>
      </c>
    </row>
    <row r="428" ht="15.75" customHeight="1">
      <c r="A428" s="29"/>
      <c r="B428" s="5" t="s">
        <v>4735</v>
      </c>
      <c r="C428" s="5" t="s">
        <v>63</v>
      </c>
      <c r="D428" s="5" t="s">
        <v>105</v>
      </c>
      <c r="E428" s="5" t="s">
        <v>382</v>
      </c>
    </row>
    <row r="429" ht="15.75" customHeight="1">
      <c r="A429" s="29"/>
      <c r="B429" s="5" t="s">
        <v>4633</v>
      </c>
      <c r="C429" s="5" t="s">
        <v>22</v>
      </c>
      <c r="D429" s="5" t="s">
        <v>82</v>
      </c>
      <c r="E429" s="5" t="s">
        <v>382</v>
      </c>
    </row>
    <row r="430" ht="15.75" customHeight="1">
      <c r="A430" s="29"/>
      <c r="B430" s="5" t="s">
        <v>4259</v>
      </c>
      <c r="C430" s="5" t="s">
        <v>79</v>
      </c>
      <c r="D430" s="5" t="s">
        <v>82</v>
      </c>
      <c r="E430" s="5" t="s">
        <v>382</v>
      </c>
    </row>
    <row r="431" ht="15.75" customHeight="1">
      <c r="A431" s="29"/>
      <c r="B431" s="5" t="s">
        <v>3492</v>
      </c>
      <c r="C431" s="5" t="s">
        <v>22</v>
      </c>
      <c r="D431" s="5" t="s">
        <v>99</v>
      </c>
      <c r="E431" s="5" t="s">
        <v>382</v>
      </c>
    </row>
    <row r="432" ht="15.75" customHeight="1">
      <c r="A432" s="29"/>
      <c r="B432" s="5" t="s">
        <v>4430</v>
      </c>
      <c r="C432" s="5" t="s">
        <v>87</v>
      </c>
      <c r="D432" s="5" t="s">
        <v>129</v>
      </c>
      <c r="E432" s="5" t="s">
        <v>382</v>
      </c>
    </row>
    <row r="433" ht="15.75" customHeight="1">
      <c r="A433" s="29"/>
      <c r="B433" s="5" t="s">
        <v>3336</v>
      </c>
      <c r="C433" s="5" t="s">
        <v>79</v>
      </c>
      <c r="D433" s="5" t="s">
        <v>140</v>
      </c>
      <c r="E433" s="5" t="s">
        <v>382</v>
      </c>
    </row>
    <row r="434" ht="15.75" customHeight="1">
      <c r="A434" s="29"/>
      <c r="B434" s="5" t="s">
        <v>3543</v>
      </c>
      <c r="C434" s="5" t="s">
        <v>79</v>
      </c>
      <c r="D434" s="5" t="s">
        <v>99</v>
      </c>
      <c r="E434" s="5" t="s">
        <v>382</v>
      </c>
    </row>
    <row r="435" ht="15.75" customHeight="1">
      <c r="A435" s="29"/>
      <c r="B435" s="5" t="s">
        <v>3869</v>
      </c>
      <c r="C435" s="5" t="s">
        <v>79</v>
      </c>
      <c r="D435" s="5" t="s">
        <v>206</v>
      </c>
      <c r="E435" s="5" t="s">
        <v>382</v>
      </c>
    </row>
    <row r="436" ht="15.75" customHeight="1">
      <c r="A436" s="29"/>
      <c r="B436" s="5" t="s">
        <v>4659</v>
      </c>
      <c r="C436" s="5" t="s">
        <v>77</v>
      </c>
      <c r="D436" s="5" t="s">
        <v>34</v>
      </c>
      <c r="E436" s="5" t="s">
        <v>382</v>
      </c>
    </row>
    <row r="437" ht="15.75" customHeight="1">
      <c r="A437" s="29"/>
      <c r="B437" s="5" t="s">
        <v>4610</v>
      </c>
      <c r="C437" s="5" t="s">
        <v>22</v>
      </c>
      <c r="D437" s="5" t="s">
        <v>82</v>
      </c>
      <c r="E437" s="5" t="s">
        <v>382</v>
      </c>
    </row>
    <row r="438" ht="15.75" customHeight="1">
      <c r="A438" s="29"/>
      <c r="B438" s="5" t="s">
        <v>4228</v>
      </c>
      <c r="C438" s="5" t="s">
        <v>55</v>
      </c>
      <c r="D438" s="5" t="s">
        <v>34</v>
      </c>
      <c r="E438" s="5" t="s">
        <v>382</v>
      </c>
    </row>
    <row r="439" ht="15.75" customHeight="1">
      <c r="A439" s="29"/>
      <c r="B439" s="5" t="s">
        <v>3833</v>
      </c>
      <c r="C439" s="5" t="s">
        <v>79</v>
      </c>
      <c r="D439" s="5" t="s">
        <v>129</v>
      </c>
      <c r="E439" s="5" t="s">
        <v>382</v>
      </c>
    </row>
    <row r="440" ht="15.75" customHeight="1">
      <c r="A440" s="29"/>
      <c r="B440" s="5" t="s">
        <v>5509</v>
      </c>
      <c r="C440" s="5" t="s">
        <v>346</v>
      </c>
      <c r="D440" s="5" t="s">
        <v>18</v>
      </c>
      <c r="E440" s="5" t="s">
        <v>382</v>
      </c>
    </row>
    <row r="441" ht="15.75" customHeight="1">
      <c r="A441" s="29"/>
      <c r="B441" s="5" t="s">
        <v>3408</v>
      </c>
      <c r="C441" s="5" t="s">
        <v>220</v>
      </c>
      <c r="D441" s="5" t="s">
        <v>52</v>
      </c>
      <c r="E441" s="5" t="s">
        <v>382</v>
      </c>
    </row>
    <row r="442" ht="15.75" customHeight="1">
      <c r="A442" s="29"/>
      <c r="B442" s="5" t="s">
        <v>4264</v>
      </c>
      <c r="C442" s="5" t="s">
        <v>22</v>
      </c>
      <c r="D442" s="5" t="s">
        <v>122</v>
      </c>
      <c r="E442" s="5" t="s">
        <v>382</v>
      </c>
    </row>
    <row r="443" ht="15.75" customHeight="1">
      <c r="A443" s="29"/>
      <c r="B443" s="5" t="s">
        <v>3532</v>
      </c>
      <c r="C443" s="5" t="s">
        <v>220</v>
      </c>
      <c r="D443" s="5" t="s">
        <v>9</v>
      </c>
      <c r="E443" s="5" t="s">
        <v>382</v>
      </c>
    </row>
    <row r="444" ht="15.75" customHeight="1">
      <c r="A444" s="29"/>
      <c r="B444" s="5" t="s">
        <v>4069</v>
      </c>
      <c r="C444" s="5" t="s">
        <v>48</v>
      </c>
      <c r="D444" s="5" t="s">
        <v>120</v>
      </c>
      <c r="E444" s="5" t="s">
        <v>382</v>
      </c>
    </row>
    <row r="445" ht="15.75" customHeight="1">
      <c r="A445" s="29"/>
      <c r="B445" s="5" t="s">
        <v>3360</v>
      </c>
      <c r="C445" s="5" t="s">
        <v>79</v>
      </c>
      <c r="D445" s="5" t="s">
        <v>49</v>
      </c>
      <c r="E445" s="5" t="s">
        <v>382</v>
      </c>
    </row>
    <row r="446" ht="15.75" customHeight="1">
      <c r="A446" s="29"/>
      <c r="B446" s="5" t="s">
        <v>5536</v>
      </c>
      <c r="C446" s="5" t="s">
        <v>176</v>
      </c>
      <c r="D446" s="5" t="s">
        <v>85</v>
      </c>
      <c r="E446" s="5" t="s">
        <v>382</v>
      </c>
    </row>
    <row r="447" ht="15.75" customHeight="1">
      <c r="A447" s="29"/>
      <c r="B447" s="5" t="s">
        <v>4775</v>
      </c>
      <c r="C447" s="5" t="s">
        <v>17</v>
      </c>
      <c r="D447" s="5" t="s">
        <v>31</v>
      </c>
      <c r="E447" s="5" t="s">
        <v>382</v>
      </c>
    </row>
    <row r="448" ht="15.75" customHeight="1">
      <c r="A448" s="29"/>
      <c r="B448" s="5" t="s">
        <v>4339</v>
      </c>
      <c r="C448" s="5" t="s">
        <v>22</v>
      </c>
      <c r="D448" s="5" t="s">
        <v>122</v>
      </c>
      <c r="E448" s="5" t="s">
        <v>382</v>
      </c>
    </row>
    <row r="449" ht="15.75" customHeight="1">
      <c r="A449" s="29"/>
      <c r="B449" s="5" t="s">
        <v>3444</v>
      </c>
      <c r="C449" s="5" t="s">
        <v>79</v>
      </c>
      <c r="D449" s="5" t="s">
        <v>120</v>
      </c>
      <c r="E449" s="5" t="s">
        <v>382</v>
      </c>
    </row>
    <row r="450" ht="15.75" customHeight="1">
      <c r="A450" s="29"/>
      <c r="B450" s="5" t="s">
        <v>4072</v>
      </c>
      <c r="C450" s="5" t="s">
        <v>79</v>
      </c>
      <c r="D450" s="5" t="s">
        <v>206</v>
      </c>
      <c r="E450" s="5" t="s">
        <v>382</v>
      </c>
    </row>
    <row r="451" ht="15.75" customHeight="1">
      <c r="A451" s="29"/>
      <c r="B451" s="5" t="s">
        <v>4413</v>
      </c>
      <c r="C451" s="5" t="s">
        <v>136</v>
      </c>
      <c r="D451" s="5" t="s">
        <v>23</v>
      </c>
      <c r="E451" s="5" t="s">
        <v>382</v>
      </c>
    </row>
    <row r="452" ht="15.75" customHeight="1">
      <c r="A452" s="29"/>
      <c r="B452" s="5" t="s">
        <v>5306</v>
      </c>
      <c r="C452" s="5" t="s">
        <v>69</v>
      </c>
      <c r="D452" s="5" t="s">
        <v>140</v>
      </c>
      <c r="E452" s="5" t="s">
        <v>382</v>
      </c>
    </row>
    <row r="453" ht="15.75" customHeight="1">
      <c r="A453" s="29"/>
      <c r="B453" s="5" t="s">
        <v>3421</v>
      </c>
      <c r="C453" s="5" t="s">
        <v>585</v>
      </c>
      <c r="D453" s="5" t="s">
        <v>90</v>
      </c>
      <c r="E453" s="5" t="s">
        <v>382</v>
      </c>
    </row>
    <row r="454" ht="15.75" customHeight="1">
      <c r="A454" s="29"/>
      <c r="B454" s="5" t="s">
        <v>4761</v>
      </c>
      <c r="C454" s="5" t="s">
        <v>33</v>
      </c>
      <c r="D454" s="5" t="s">
        <v>12</v>
      </c>
      <c r="E454" s="5" t="s">
        <v>382</v>
      </c>
    </row>
    <row r="455" ht="15.75" customHeight="1">
      <c r="A455" s="29"/>
      <c r="B455" s="5" t="s">
        <v>3344</v>
      </c>
      <c r="C455" s="5" t="s">
        <v>220</v>
      </c>
      <c r="D455" s="5" t="s">
        <v>206</v>
      </c>
      <c r="E455" s="5" t="s">
        <v>382</v>
      </c>
    </row>
    <row r="456" ht="15.75" customHeight="1">
      <c r="A456" s="29"/>
      <c r="B456" s="5" t="s">
        <v>5265</v>
      </c>
      <c r="C456" s="5" t="s">
        <v>77</v>
      </c>
      <c r="D456" s="5" t="s">
        <v>85</v>
      </c>
      <c r="E456" s="5" t="s">
        <v>382</v>
      </c>
    </row>
    <row r="457" ht="15.75" customHeight="1">
      <c r="A457" s="29"/>
      <c r="B457" s="5" t="s">
        <v>4347</v>
      </c>
      <c r="C457" s="5" t="s">
        <v>8</v>
      </c>
      <c r="D457" s="5" t="s">
        <v>18</v>
      </c>
      <c r="E457" s="5" t="s">
        <v>382</v>
      </c>
    </row>
    <row r="458" ht="15.75" customHeight="1">
      <c r="A458" s="29"/>
      <c r="B458" s="5" t="s">
        <v>4540</v>
      </c>
      <c r="C458" s="5" t="s">
        <v>220</v>
      </c>
      <c r="D458" s="5" t="s">
        <v>82</v>
      </c>
      <c r="E458" s="5" t="s">
        <v>382</v>
      </c>
    </row>
    <row r="459" ht="15.75" customHeight="1">
      <c r="A459" s="29"/>
      <c r="B459" s="5" t="s">
        <v>4739</v>
      </c>
      <c r="C459" s="5" t="s">
        <v>17</v>
      </c>
      <c r="D459" s="5" t="s">
        <v>34</v>
      </c>
      <c r="E459" s="5" t="s">
        <v>382</v>
      </c>
    </row>
    <row r="460" ht="15.75" customHeight="1">
      <c r="A460" s="29"/>
      <c r="B460" s="5" t="s">
        <v>4877</v>
      </c>
      <c r="C460" s="5" t="s">
        <v>77</v>
      </c>
      <c r="D460" s="5" t="s">
        <v>82</v>
      </c>
      <c r="E460" s="5" t="s">
        <v>382</v>
      </c>
    </row>
    <row r="461" ht="15.75" customHeight="1">
      <c r="A461" s="29"/>
      <c r="B461" s="5" t="s">
        <v>4252</v>
      </c>
      <c r="C461" s="5" t="s">
        <v>14</v>
      </c>
      <c r="D461" s="5" t="s">
        <v>120</v>
      </c>
      <c r="E461" s="5" t="s">
        <v>382</v>
      </c>
    </row>
    <row r="462" ht="15.75" customHeight="1">
      <c r="A462" s="29"/>
      <c r="B462" s="5" t="s">
        <v>4192</v>
      </c>
      <c r="C462" s="5" t="s">
        <v>79</v>
      </c>
      <c r="D462" s="5" t="s">
        <v>9</v>
      </c>
      <c r="E462" s="5" t="s">
        <v>382</v>
      </c>
    </row>
    <row r="463" ht="15.75" customHeight="1">
      <c r="A463" s="29"/>
      <c r="B463" s="5" t="s">
        <v>4505</v>
      </c>
      <c r="C463" s="5" t="s">
        <v>79</v>
      </c>
      <c r="D463" s="5" t="s">
        <v>42</v>
      </c>
      <c r="E463" s="5" t="s">
        <v>382</v>
      </c>
    </row>
    <row r="464" ht="15.75" customHeight="1">
      <c r="A464" s="29"/>
      <c r="B464" s="5" t="s">
        <v>4261</v>
      </c>
      <c r="C464" s="5" t="s">
        <v>22</v>
      </c>
      <c r="D464" s="5" t="s">
        <v>25</v>
      </c>
      <c r="E464" s="5" t="s">
        <v>382</v>
      </c>
    </row>
    <row r="465" ht="15.75" customHeight="1">
      <c r="A465" s="29"/>
      <c r="B465" s="5" t="s">
        <v>4442</v>
      </c>
      <c r="C465" s="5" t="s">
        <v>22</v>
      </c>
      <c r="D465" s="5" t="s">
        <v>137</v>
      </c>
      <c r="E465" s="5" t="s">
        <v>382</v>
      </c>
    </row>
    <row r="466" ht="15.75" customHeight="1">
      <c r="A466" s="29"/>
      <c r="B466" s="5" t="s">
        <v>3848</v>
      </c>
      <c r="C466" s="5" t="s">
        <v>79</v>
      </c>
      <c r="D466" s="5" t="s">
        <v>140</v>
      </c>
      <c r="E466" s="5" t="s">
        <v>382</v>
      </c>
    </row>
    <row r="467" ht="15.75" customHeight="1">
      <c r="A467" s="29"/>
      <c r="B467" s="5" t="s">
        <v>4418</v>
      </c>
      <c r="C467" s="5" t="s">
        <v>22</v>
      </c>
      <c r="D467" s="5" t="s">
        <v>36</v>
      </c>
      <c r="E467" s="5" t="s">
        <v>382</v>
      </c>
    </row>
    <row r="468" ht="15.75" customHeight="1">
      <c r="A468" s="29"/>
      <c r="B468" s="5" t="s">
        <v>4524</v>
      </c>
      <c r="C468" s="5" t="s">
        <v>79</v>
      </c>
      <c r="D468" s="5" t="s">
        <v>25</v>
      </c>
      <c r="E468" s="5" t="s">
        <v>382</v>
      </c>
    </row>
    <row r="469" ht="15.75" customHeight="1">
      <c r="A469" s="29"/>
      <c r="B469" s="5" t="s">
        <v>3296</v>
      </c>
      <c r="C469" s="5" t="s">
        <v>79</v>
      </c>
      <c r="D469" s="5" t="s">
        <v>105</v>
      </c>
      <c r="E469" s="5" t="s">
        <v>382</v>
      </c>
    </row>
    <row r="470" ht="15.75" customHeight="1">
      <c r="A470" s="29"/>
      <c r="B470" s="5" t="s">
        <v>4742</v>
      </c>
      <c r="C470" s="5" t="s">
        <v>55</v>
      </c>
      <c r="D470" s="5" t="s">
        <v>18</v>
      </c>
      <c r="E470" s="5" t="s">
        <v>382</v>
      </c>
    </row>
    <row r="471" ht="15.75" customHeight="1">
      <c r="A471" s="29"/>
      <c r="B471" s="5" t="s">
        <v>4421</v>
      </c>
      <c r="C471" s="5" t="s">
        <v>79</v>
      </c>
      <c r="D471" s="5" t="s">
        <v>67</v>
      </c>
      <c r="E471" s="5" t="s">
        <v>382</v>
      </c>
    </row>
    <row r="472" ht="15.75" customHeight="1">
      <c r="A472" s="29"/>
      <c r="B472" s="5" t="s">
        <v>3256</v>
      </c>
      <c r="C472" s="5" t="s">
        <v>220</v>
      </c>
      <c r="D472" s="5" t="s">
        <v>52</v>
      </c>
      <c r="E472" s="5" t="s">
        <v>382</v>
      </c>
    </row>
    <row r="473" ht="15.75" customHeight="1">
      <c r="A473" s="29"/>
      <c r="B473" s="5" t="s">
        <v>3902</v>
      </c>
      <c r="C473" s="5" t="s">
        <v>79</v>
      </c>
      <c r="D473" s="5" t="s">
        <v>12</v>
      </c>
      <c r="E473" s="5" t="s">
        <v>382</v>
      </c>
    </row>
    <row r="474" ht="15.75" customHeight="1">
      <c r="A474" s="29"/>
      <c r="B474" s="5" t="s">
        <v>5570</v>
      </c>
      <c r="C474" s="5" t="s">
        <v>77</v>
      </c>
      <c r="D474" s="5" t="s">
        <v>206</v>
      </c>
      <c r="E474" s="5" t="s">
        <v>382</v>
      </c>
    </row>
    <row r="475" ht="15.75" customHeight="1">
      <c r="A475" s="29"/>
      <c r="B475" s="5" t="s">
        <v>3781</v>
      </c>
      <c r="C475" s="5" t="s">
        <v>79</v>
      </c>
      <c r="D475" s="5" t="s">
        <v>15</v>
      </c>
      <c r="E475" s="5" t="s">
        <v>382</v>
      </c>
    </row>
    <row r="476" ht="15.75" customHeight="1">
      <c r="A476" s="29"/>
      <c r="B476" s="5" t="s">
        <v>4084</v>
      </c>
      <c r="C476" s="5" t="s">
        <v>79</v>
      </c>
      <c r="D476" s="5" t="s">
        <v>105</v>
      </c>
      <c r="E476" s="5" t="s">
        <v>382</v>
      </c>
    </row>
    <row r="477" ht="15.75" customHeight="1">
      <c r="A477" s="29"/>
      <c r="B477" s="5" t="s">
        <v>4602</v>
      </c>
      <c r="C477" s="5" t="s">
        <v>17</v>
      </c>
      <c r="D477" s="5" t="s">
        <v>36</v>
      </c>
      <c r="E477" s="5" t="s">
        <v>382</v>
      </c>
    </row>
    <row r="478" ht="15.75" customHeight="1">
      <c r="A478" s="29"/>
      <c r="B478" s="5" t="s">
        <v>3260</v>
      </c>
      <c r="C478" s="5" t="s">
        <v>79</v>
      </c>
      <c r="D478" s="5" t="s">
        <v>9</v>
      </c>
      <c r="E478" s="5" t="s">
        <v>382</v>
      </c>
    </row>
    <row r="479" ht="15.75" customHeight="1">
      <c r="A479" s="29"/>
      <c r="B479" s="5" t="s">
        <v>4209</v>
      </c>
      <c r="C479" s="5" t="s">
        <v>79</v>
      </c>
      <c r="D479" s="5" t="s">
        <v>25</v>
      </c>
      <c r="E479" s="5" t="s">
        <v>382</v>
      </c>
    </row>
    <row r="480" ht="15.75" customHeight="1">
      <c r="A480" s="29"/>
      <c r="B480" s="5" t="s">
        <v>5097</v>
      </c>
      <c r="C480" s="5" t="s">
        <v>136</v>
      </c>
      <c r="D480" s="5" t="s">
        <v>105</v>
      </c>
      <c r="E480" s="5" t="s">
        <v>382</v>
      </c>
    </row>
    <row r="481" ht="15.75" customHeight="1">
      <c r="A481" s="29"/>
      <c r="B481" s="5" t="s">
        <v>4822</v>
      </c>
      <c r="C481" s="5" t="s">
        <v>77</v>
      </c>
      <c r="D481" s="5" t="s">
        <v>49</v>
      </c>
      <c r="E481" s="5" t="s">
        <v>382</v>
      </c>
    </row>
    <row r="482" ht="15.75" customHeight="1">
      <c r="A482" s="29"/>
      <c r="B482" s="5" t="s">
        <v>4518</v>
      </c>
      <c r="C482" s="5" t="s">
        <v>11</v>
      </c>
      <c r="D482" s="5" t="s">
        <v>18</v>
      </c>
      <c r="E482" s="5" t="s">
        <v>382</v>
      </c>
    </row>
    <row r="483" ht="15.75" customHeight="1">
      <c r="A483" s="29"/>
      <c r="B483" s="5" t="s">
        <v>3886</v>
      </c>
      <c r="C483" s="5" t="s">
        <v>79</v>
      </c>
      <c r="D483" s="5" t="s">
        <v>31</v>
      </c>
      <c r="E483" s="5" t="s">
        <v>382</v>
      </c>
    </row>
    <row r="484" ht="15.75" customHeight="1">
      <c r="A484" s="29"/>
      <c r="B484" s="5" t="s">
        <v>4643</v>
      </c>
      <c r="C484" s="5" t="s">
        <v>77</v>
      </c>
      <c r="D484" s="5" t="s">
        <v>12</v>
      </c>
      <c r="E484" s="5" t="s">
        <v>382</v>
      </c>
    </row>
    <row r="485" ht="15.75" customHeight="1">
      <c r="A485" s="29"/>
      <c r="B485" s="5" t="s">
        <v>4498</v>
      </c>
      <c r="C485" s="5" t="s">
        <v>17</v>
      </c>
      <c r="D485" s="5" t="s">
        <v>206</v>
      </c>
      <c r="E485" s="5" t="s">
        <v>382</v>
      </c>
    </row>
    <row r="486" ht="15.75" customHeight="1">
      <c r="A486" s="29"/>
      <c r="B486" s="5" t="s">
        <v>5587</v>
      </c>
      <c r="C486" s="5" t="s">
        <v>22</v>
      </c>
      <c r="D486" s="5" t="s">
        <v>52</v>
      </c>
      <c r="E486" s="5" t="s">
        <v>382</v>
      </c>
    </row>
    <row r="487" ht="15.75" customHeight="1">
      <c r="A487" s="29"/>
      <c r="B487" s="5" t="s">
        <v>4896</v>
      </c>
      <c r="C487" s="5" t="s">
        <v>20</v>
      </c>
      <c r="D487" s="5" t="s">
        <v>25</v>
      </c>
      <c r="E487" s="5" t="s">
        <v>382</v>
      </c>
    </row>
    <row r="488" ht="15.75" customHeight="1">
      <c r="A488" s="29"/>
      <c r="B488" s="5" t="s">
        <v>4628</v>
      </c>
      <c r="C488" s="5" t="s">
        <v>77</v>
      </c>
      <c r="D488" s="5" t="s">
        <v>27</v>
      </c>
      <c r="E488" s="5" t="s">
        <v>382</v>
      </c>
    </row>
    <row r="489" ht="15.75" customHeight="1">
      <c r="A489" s="29"/>
      <c r="B489" s="5" t="s">
        <v>4246</v>
      </c>
      <c r="C489" s="5" t="s">
        <v>79</v>
      </c>
      <c r="D489" s="5" t="s">
        <v>18</v>
      </c>
      <c r="E489" s="5" t="s">
        <v>382</v>
      </c>
    </row>
    <row r="490" ht="15.75" customHeight="1">
      <c r="A490" s="29"/>
      <c r="B490" s="5" t="s">
        <v>4514</v>
      </c>
      <c r="C490" s="5" t="s">
        <v>220</v>
      </c>
      <c r="D490" s="5" t="s">
        <v>71</v>
      </c>
      <c r="E490" s="5" t="s">
        <v>382</v>
      </c>
    </row>
    <row r="491" ht="15.75" customHeight="1">
      <c r="A491" s="29"/>
      <c r="B491" s="5" t="s">
        <v>4791</v>
      </c>
      <c r="C491" s="5" t="s">
        <v>20</v>
      </c>
      <c r="D491" s="5" t="s">
        <v>122</v>
      </c>
      <c r="E491" s="5" t="s">
        <v>382</v>
      </c>
    </row>
    <row r="492" ht="15.75" customHeight="1">
      <c r="A492" s="29"/>
      <c r="B492" s="5" t="s">
        <v>3416</v>
      </c>
      <c r="C492" s="5" t="s">
        <v>79</v>
      </c>
      <c r="D492" s="5" t="s">
        <v>49</v>
      </c>
      <c r="E492" s="5" t="s">
        <v>382</v>
      </c>
    </row>
    <row r="493" ht="15.75" customHeight="1">
      <c r="A493" s="29"/>
      <c r="B493" s="5" t="s">
        <v>5078</v>
      </c>
      <c r="C493" s="5" t="s">
        <v>89</v>
      </c>
      <c r="D493" s="5" t="s">
        <v>15</v>
      </c>
      <c r="E493" s="5" t="s">
        <v>382</v>
      </c>
    </row>
    <row r="494" ht="15.75" customHeight="1">
      <c r="A494" s="29"/>
      <c r="B494" s="5" t="s">
        <v>4046</v>
      </c>
      <c r="C494" s="5" t="s">
        <v>22</v>
      </c>
      <c r="D494" s="5" t="s">
        <v>140</v>
      </c>
      <c r="E494" s="5" t="s">
        <v>382</v>
      </c>
    </row>
    <row r="495" ht="15.75" customHeight="1">
      <c r="A495" s="29"/>
      <c r="B495" s="5" t="s">
        <v>4102</v>
      </c>
      <c r="C495" s="5" t="s">
        <v>79</v>
      </c>
      <c r="D495" s="5" t="s">
        <v>36</v>
      </c>
      <c r="E495" s="5" t="s">
        <v>382</v>
      </c>
    </row>
    <row r="496" ht="15.75" customHeight="1">
      <c r="A496" s="29"/>
      <c r="B496" s="5" t="s">
        <v>5071</v>
      </c>
      <c r="C496" s="5" t="s">
        <v>14</v>
      </c>
      <c r="D496" s="5" t="s">
        <v>99</v>
      </c>
      <c r="E496" s="5" t="s">
        <v>382</v>
      </c>
    </row>
    <row r="497" ht="15.75" customHeight="1">
      <c r="A497" s="29"/>
      <c r="B497" s="5" t="s">
        <v>4125</v>
      </c>
      <c r="C497" s="5" t="s">
        <v>79</v>
      </c>
      <c r="D497" s="5" t="s">
        <v>71</v>
      </c>
      <c r="E497" s="5" t="s">
        <v>382</v>
      </c>
    </row>
    <row r="498" ht="15.75" customHeight="1">
      <c r="A498" s="29"/>
      <c r="B498" s="5" t="s">
        <v>5572</v>
      </c>
      <c r="C498" s="5" t="s">
        <v>77</v>
      </c>
      <c r="D498" s="5" t="s">
        <v>27</v>
      </c>
      <c r="E498" s="5" t="s">
        <v>382</v>
      </c>
    </row>
    <row r="499" ht="15.75" customHeight="1">
      <c r="A499" s="29"/>
      <c r="B499" s="5" t="s">
        <v>3871</v>
      </c>
      <c r="C499" s="5" t="s">
        <v>22</v>
      </c>
      <c r="D499" s="5" t="s">
        <v>122</v>
      </c>
      <c r="E499" s="5" t="s">
        <v>382</v>
      </c>
    </row>
    <row r="500" ht="15.75" customHeight="1">
      <c r="A500" s="29"/>
      <c r="B500" s="5" t="s">
        <v>4825</v>
      </c>
      <c r="C500" s="5" t="s">
        <v>55</v>
      </c>
      <c r="D500" s="5" t="s">
        <v>34</v>
      </c>
      <c r="E500" s="5" t="s">
        <v>382</v>
      </c>
    </row>
    <row r="501" ht="15.75" customHeight="1">
      <c r="A501" s="29"/>
      <c r="B501" s="5" t="s">
        <v>4189</v>
      </c>
      <c r="C501" s="5" t="s">
        <v>79</v>
      </c>
      <c r="D501" s="5" t="s">
        <v>34</v>
      </c>
      <c r="E501" s="5" t="s">
        <v>382</v>
      </c>
    </row>
    <row r="502" ht="15.75" customHeight="1">
      <c r="A502" s="29"/>
      <c r="B502" s="5" t="s">
        <v>3327</v>
      </c>
      <c r="C502" s="5" t="s">
        <v>79</v>
      </c>
      <c r="D502" s="5" t="s">
        <v>36</v>
      </c>
      <c r="E502" s="5" t="s">
        <v>382</v>
      </c>
    </row>
    <row r="503" ht="15.75" customHeight="1">
      <c r="A503" s="29"/>
      <c r="B503" s="5" t="s">
        <v>3735</v>
      </c>
      <c r="C503" s="5" t="s">
        <v>79</v>
      </c>
      <c r="D503" s="5" t="s">
        <v>120</v>
      </c>
      <c r="E503" s="5" t="s">
        <v>382</v>
      </c>
    </row>
    <row r="504" ht="15.75" customHeight="1">
      <c r="A504" s="29"/>
      <c r="B504" s="5" t="s">
        <v>4026</v>
      </c>
      <c r="C504" s="5" t="s">
        <v>220</v>
      </c>
      <c r="D504" s="5" t="s">
        <v>129</v>
      </c>
      <c r="E504" s="5" t="s">
        <v>382</v>
      </c>
    </row>
    <row r="505" ht="15.75" customHeight="1">
      <c r="A505" s="29"/>
      <c r="B505" s="5" t="s">
        <v>4381</v>
      </c>
      <c r="C505" s="5" t="s">
        <v>79</v>
      </c>
      <c r="D505" s="5" t="s">
        <v>73</v>
      </c>
      <c r="E505" s="5" t="s">
        <v>382</v>
      </c>
    </row>
    <row r="506" ht="15.75" customHeight="1">
      <c r="A506" s="29"/>
      <c r="B506" s="5" t="s">
        <v>4477</v>
      </c>
      <c r="C506" s="5" t="s">
        <v>79</v>
      </c>
      <c r="D506" s="5" t="s">
        <v>49</v>
      </c>
      <c r="E506" s="5" t="s">
        <v>382</v>
      </c>
    </row>
    <row r="507" ht="15.75" customHeight="1">
      <c r="A507" s="29"/>
      <c r="B507" s="5" t="s">
        <v>3529</v>
      </c>
      <c r="C507" s="5" t="s">
        <v>79</v>
      </c>
      <c r="D507" s="5" t="s">
        <v>23</v>
      </c>
      <c r="E507" s="5" t="s">
        <v>382</v>
      </c>
    </row>
    <row r="508" ht="15.75" customHeight="1">
      <c r="A508" s="29"/>
      <c r="B508" s="5" t="s">
        <v>4462</v>
      </c>
      <c r="C508" s="5" t="s">
        <v>20</v>
      </c>
      <c r="D508" s="5" t="s">
        <v>120</v>
      </c>
      <c r="E508" s="5" t="s">
        <v>382</v>
      </c>
    </row>
    <row r="509" ht="15.75" customHeight="1">
      <c r="A509" s="29"/>
      <c r="B509" s="5" t="s">
        <v>3320</v>
      </c>
      <c r="C509" s="5" t="s">
        <v>79</v>
      </c>
      <c r="D509" s="5" t="s">
        <v>71</v>
      </c>
      <c r="E509" s="5" t="s">
        <v>382</v>
      </c>
    </row>
    <row r="510" ht="15.75" customHeight="1">
      <c r="A510" s="29"/>
      <c r="B510" s="5" t="s">
        <v>4315</v>
      </c>
      <c r="C510" s="5" t="s">
        <v>22</v>
      </c>
      <c r="D510" s="5" t="s">
        <v>129</v>
      </c>
      <c r="E510" s="5" t="s">
        <v>382</v>
      </c>
    </row>
    <row r="511" ht="15.75" customHeight="1">
      <c r="A511" s="29"/>
      <c r="B511" s="5" t="s">
        <v>4875</v>
      </c>
      <c r="C511" s="5" t="s">
        <v>89</v>
      </c>
      <c r="D511" s="5" t="s">
        <v>36</v>
      </c>
      <c r="E511" s="5" t="s">
        <v>382</v>
      </c>
    </row>
    <row r="512" ht="15.75" customHeight="1">
      <c r="A512" s="29"/>
      <c r="B512" s="5" t="s">
        <v>3341</v>
      </c>
      <c r="C512" s="5" t="s">
        <v>79</v>
      </c>
      <c r="D512" s="5" t="s">
        <v>18</v>
      </c>
      <c r="E512" s="5" t="s">
        <v>382</v>
      </c>
    </row>
    <row r="513" ht="15.75" customHeight="1">
      <c r="A513" s="29"/>
      <c r="B513" s="5" t="s">
        <v>4658</v>
      </c>
      <c r="C513" s="5" t="s">
        <v>218</v>
      </c>
      <c r="D513" s="5" t="s">
        <v>15</v>
      </c>
      <c r="E513" s="5" t="s">
        <v>382</v>
      </c>
    </row>
    <row r="514" ht="15.75" customHeight="1">
      <c r="A514" s="29"/>
      <c r="B514" s="5" t="s">
        <v>4253</v>
      </c>
      <c r="C514" s="5" t="s">
        <v>79</v>
      </c>
      <c r="D514" s="5" t="s">
        <v>31</v>
      </c>
      <c r="E514" s="5" t="s">
        <v>382</v>
      </c>
    </row>
    <row r="515" ht="15.75" customHeight="1">
      <c r="A515" s="29"/>
      <c r="B515" s="5" t="s">
        <v>4687</v>
      </c>
      <c r="C515" s="5" t="s">
        <v>240</v>
      </c>
      <c r="D515" s="5" t="s">
        <v>206</v>
      </c>
      <c r="E515" s="5" t="s">
        <v>382</v>
      </c>
    </row>
    <row r="516" ht="15.75" customHeight="1">
      <c r="A516" s="29"/>
      <c r="B516" s="5" t="s">
        <v>5449</v>
      </c>
      <c r="C516" s="5" t="s">
        <v>240</v>
      </c>
      <c r="D516" s="5" t="s">
        <v>206</v>
      </c>
      <c r="E516" s="5" t="s">
        <v>382</v>
      </c>
    </row>
    <row r="517" ht="15.75" customHeight="1">
      <c r="A517" s="29"/>
      <c r="B517" s="5" t="s">
        <v>4419</v>
      </c>
      <c r="C517" s="5" t="s">
        <v>79</v>
      </c>
      <c r="D517" s="5" t="s">
        <v>18</v>
      </c>
      <c r="E517" s="5" t="s">
        <v>382</v>
      </c>
    </row>
    <row r="518" ht="15.75" customHeight="1">
      <c r="A518" s="29"/>
      <c r="B518" s="5" t="s">
        <v>4485</v>
      </c>
      <c r="C518" s="5" t="s">
        <v>22</v>
      </c>
      <c r="D518" s="5" t="s">
        <v>113</v>
      </c>
      <c r="E518" s="5" t="s">
        <v>382</v>
      </c>
    </row>
    <row r="519" ht="15.75" customHeight="1">
      <c r="A519" s="29"/>
      <c r="B519" s="5" t="s">
        <v>3619</v>
      </c>
      <c r="C519" s="5" t="s">
        <v>220</v>
      </c>
      <c r="D519" s="5" t="s">
        <v>46</v>
      </c>
      <c r="E519" s="5" t="s">
        <v>382</v>
      </c>
    </row>
    <row r="520" ht="15.75" customHeight="1">
      <c r="A520" s="29"/>
      <c r="B520" s="5" t="s">
        <v>3283</v>
      </c>
      <c r="C520" s="5" t="s">
        <v>8</v>
      </c>
      <c r="D520" s="5" t="s">
        <v>105</v>
      </c>
      <c r="E520" s="5" t="s">
        <v>382</v>
      </c>
    </row>
    <row r="521" ht="15.75" customHeight="1">
      <c r="A521" s="29"/>
      <c r="B521" s="5" t="s">
        <v>4068</v>
      </c>
      <c r="C521" s="5" t="s">
        <v>22</v>
      </c>
      <c r="D521" s="5" t="s">
        <v>90</v>
      </c>
      <c r="E521" s="5" t="s">
        <v>382</v>
      </c>
    </row>
    <row r="522" ht="15.75" customHeight="1">
      <c r="A522" s="29"/>
      <c r="B522" s="5" t="s">
        <v>4767</v>
      </c>
      <c r="C522" s="5" t="s">
        <v>48</v>
      </c>
      <c r="D522" s="5" t="s">
        <v>49</v>
      </c>
      <c r="E522" s="5" t="s">
        <v>382</v>
      </c>
    </row>
    <row r="523" ht="15.75" customHeight="1">
      <c r="A523" s="29"/>
      <c r="B523" s="5" t="s">
        <v>4700</v>
      </c>
      <c r="C523" s="5" t="s">
        <v>22</v>
      </c>
      <c r="D523" s="5" t="s">
        <v>73</v>
      </c>
      <c r="E523" s="5" t="s">
        <v>382</v>
      </c>
    </row>
    <row r="524" ht="15.75" customHeight="1">
      <c r="A524" s="29"/>
      <c r="B524" s="5" t="s">
        <v>4324</v>
      </c>
      <c r="C524" s="5" t="s">
        <v>79</v>
      </c>
      <c r="D524" s="5" t="s">
        <v>122</v>
      </c>
      <c r="E524" s="5" t="s">
        <v>382</v>
      </c>
    </row>
    <row r="525" ht="15.75" customHeight="1">
      <c r="A525" s="29"/>
      <c r="B525" s="5" t="s">
        <v>4815</v>
      </c>
      <c r="C525" s="5" t="s">
        <v>346</v>
      </c>
      <c r="D525" s="5" t="s">
        <v>18</v>
      </c>
      <c r="E525" s="5" t="s">
        <v>382</v>
      </c>
    </row>
    <row r="526" ht="15.75" customHeight="1">
      <c r="A526" s="29"/>
      <c r="B526" s="5" t="s">
        <v>4481</v>
      </c>
      <c r="C526" s="5" t="s">
        <v>79</v>
      </c>
      <c r="D526" s="5" t="s">
        <v>137</v>
      </c>
      <c r="E526" s="5" t="s">
        <v>382</v>
      </c>
    </row>
    <row r="527" ht="15.75" customHeight="1">
      <c r="A527" s="29"/>
      <c r="B527" s="5" t="s">
        <v>4624</v>
      </c>
      <c r="C527" s="5" t="s">
        <v>220</v>
      </c>
      <c r="D527" s="5" t="s">
        <v>71</v>
      </c>
      <c r="E527" s="5" t="s">
        <v>382</v>
      </c>
    </row>
    <row r="528" ht="15.75" customHeight="1">
      <c r="A528" s="29"/>
      <c r="B528" s="5" t="s">
        <v>3795</v>
      </c>
      <c r="C528" s="5" t="s">
        <v>79</v>
      </c>
      <c r="D528" s="5" t="s">
        <v>105</v>
      </c>
      <c r="E528" s="5" t="s">
        <v>382</v>
      </c>
    </row>
    <row r="529" ht="15.75" customHeight="1">
      <c r="A529" s="29"/>
      <c r="B529" s="5" t="s">
        <v>4001</v>
      </c>
      <c r="C529" s="5" t="s">
        <v>22</v>
      </c>
      <c r="D529" s="5" t="s">
        <v>137</v>
      </c>
      <c r="E529" s="5" t="s">
        <v>382</v>
      </c>
    </row>
    <row r="530" ht="15.75" customHeight="1">
      <c r="A530" s="29"/>
      <c r="B530" s="5" t="s">
        <v>5535</v>
      </c>
      <c r="C530" s="5" t="s">
        <v>240</v>
      </c>
      <c r="D530" s="5" t="s">
        <v>85</v>
      </c>
      <c r="E530" s="5" t="s">
        <v>382</v>
      </c>
    </row>
    <row r="531" ht="15.75" customHeight="1">
      <c r="A531" s="29"/>
      <c r="B531" s="5" t="s">
        <v>4385</v>
      </c>
      <c r="C531" s="5" t="s">
        <v>79</v>
      </c>
      <c r="D531" s="5" t="s">
        <v>18</v>
      </c>
      <c r="E531" s="5" t="s">
        <v>382</v>
      </c>
    </row>
    <row r="532" ht="15.75" customHeight="1">
      <c r="A532" s="29"/>
      <c r="B532" s="5" t="s">
        <v>4808</v>
      </c>
      <c r="C532" s="5" t="s">
        <v>158</v>
      </c>
      <c r="D532" s="5" t="s">
        <v>120</v>
      </c>
      <c r="E532" s="5" t="s">
        <v>382</v>
      </c>
    </row>
    <row r="533" ht="15.75" customHeight="1">
      <c r="A533" s="29"/>
      <c r="B533" s="5" t="s">
        <v>3303</v>
      </c>
      <c r="C533" s="5" t="s">
        <v>22</v>
      </c>
      <c r="D533" s="5" t="s">
        <v>9</v>
      </c>
      <c r="E533" s="5" t="s">
        <v>382</v>
      </c>
    </row>
    <row r="534" ht="15.75" customHeight="1">
      <c r="A534" s="29"/>
      <c r="B534" s="5" t="s">
        <v>5565</v>
      </c>
      <c r="C534" s="5" t="s">
        <v>14</v>
      </c>
      <c r="D534" s="5" t="s">
        <v>120</v>
      </c>
      <c r="E534" s="5" t="s">
        <v>382</v>
      </c>
    </row>
    <row r="535" ht="15.75" customHeight="1">
      <c r="A535" s="29"/>
      <c r="B535" s="5" t="s">
        <v>4208</v>
      </c>
      <c r="C535" s="5" t="s">
        <v>79</v>
      </c>
      <c r="D535" s="5" t="s">
        <v>25</v>
      </c>
      <c r="E535" s="5" t="s">
        <v>382</v>
      </c>
    </row>
    <row r="536" ht="15.75" customHeight="1">
      <c r="A536" s="29"/>
      <c r="B536" s="5" t="s">
        <v>4725</v>
      </c>
      <c r="C536" s="5" t="s">
        <v>176</v>
      </c>
      <c r="D536" s="5" t="s">
        <v>71</v>
      </c>
      <c r="E536" s="5" t="s">
        <v>382</v>
      </c>
    </row>
    <row r="537" ht="15.75" customHeight="1">
      <c r="A537" s="29"/>
      <c r="B537" s="5" t="s">
        <v>3265</v>
      </c>
      <c r="C537" s="5" t="s">
        <v>79</v>
      </c>
      <c r="D537" s="5" t="s">
        <v>122</v>
      </c>
      <c r="E537" s="5" t="s">
        <v>382</v>
      </c>
    </row>
    <row r="538" ht="15.75" customHeight="1">
      <c r="A538" s="29"/>
      <c r="B538" s="5" t="s">
        <v>3440</v>
      </c>
      <c r="C538" s="5" t="s">
        <v>79</v>
      </c>
      <c r="D538" s="5" t="s">
        <v>12</v>
      </c>
      <c r="E538" s="5" t="s">
        <v>382</v>
      </c>
    </row>
    <row r="539" ht="15.75" customHeight="1">
      <c r="A539" s="29"/>
      <c r="B539" s="5" t="s">
        <v>3346</v>
      </c>
      <c r="C539" s="5" t="s">
        <v>79</v>
      </c>
      <c r="D539" s="5" t="s">
        <v>85</v>
      </c>
      <c r="E539" s="5" t="s">
        <v>382</v>
      </c>
    </row>
    <row r="540" ht="15.75" customHeight="1">
      <c r="A540" s="29"/>
      <c r="B540" s="5" t="s">
        <v>3505</v>
      </c>
      <c r="C540" s="5" t="s">
        <v>79</v>
      </c>
      <c r="D540" s="5" t="s">
        <v>95</v>
      </c>
      <c r="E540" s="5" t="s">
        <v>382</v>
      </c>
    </row>
    <row r="541" ht="15.75" customHeight="1">
      <c r="A541" s="29"/>
      <c r="B541" s="5" t="s">
        <v>3907</v>
      </c>
      <c r="C541" s="5" t="s">
        <v>79</v>
      </c>
      <c r="D541" s="5" t="s">
        <v>129</v>
      </c>
      <c r="E541" s="5" t="s">
        <v>382</v>
      </c>
    </row>
    <row r="542" ht="15.75" customHeight="1">
      <c r="A542" s="29"/>
      <c r="B542" s="5" t="s">
        <v>4223</v>
      </c>
      <c r="C542" s="5" t="s">
        <v>79</v>
      </c>
      <c r="D542" s="5" t="s">
        <v>82</v>
      </c>
      <c r="E542" s="5" t="s">
        <v>382</v>
      </c>
    </row>
    <row r="543" ht="15.75" customHeight="1">
      <c r="A543" s="29"/>
      <c r="B543" s="5" t="s">
        <v>3980</v>
      </c>
      <c r="C543" s="5" t="s">
        <v>79</v>
      </c>
      <c r="D543" s="5" t="s">
        <v>82</v>
      </c>
      <c r="E543" s="5" t="s">
        <v>382</v>
      </c>
    </row>
    <row r="544" ht="15.75" customHeight="1">
      <c r="A544" s="29"/>
      <c r="B544" s="5" t="s">
        <v>4718</v>
      </c>
      <c r="C544" s="5" t="s">
        <v>77</v>
      </c>
      <c r="D544" s="5" t="s">
        <v>73</v>
      </c>
      <c r="E544" s="5" t="s">
        <v>382</v>
      </c>
    </row>
    <row r="545" ht="15.75" customHeight="1">
      <c r="A545" s="29"/>
      <c r="B545" s="5" t="s">
        <v>3996</v>
      </c>
      <c r="C545" s="5" t="s">
        <v>79</v>
      </c>
      <c r="D545" s="5" t="s">
        <v>67</v>
      </c>
      <c r="E545" s="5" t="s">
        <v>382</v>
      </c>
    </row>
    <row r="546" ht="15.75" customHeight="1">
      <c r="A546" s="29"/>
      <c r="B546" s="5" t="s">
        <v>4595</v>
      </c>
      <c r="C546" s="5" t="s">
        <v>77</v>
      </c>
      <c r="D546" s="5" t="s">
        <v>49</v>
      </c>
      <c r="E546" s="5" t="s">
        <v>382</v>
      </c>
    </row>
    <row r="547" ht="15.75" customHeight="1">
      <c r="A547" s="29"/>
      <c r="B547" s="5" t="s">
        <v>5228</v>
      </c>
      <c r="C547" s="5" t="s">
        <v>63</v>
      </c>
      <c r="D547" s="5" t="s">
        <v>18</v>
      </c>
      <c r="E547" s="5" t="s">
        <v>382</v>
      </c>
    </row>
    <row r="548" ht="15.75" customHeight="1">
      <c r="A548" s="29"/>
      <c r="B548" s="5" t="s">
        <v>4597</v>
      </c>
      <c r="C548" s="5" t="s">
        <v>220</v>
      </c>
      <c r="D548" s="5" t="s">
        <v>71</v>
      </c>
      <c r="E548" s="5" t="s">
        <v>382</v>
      </c>
    </row>
    <row r="549" ht="15.75" customHeight="1">
      <c r="A549" s="29"/>
      <c r="B549" s="5" t="s">
        <v>3405</v>
      </c>
      <c r="C549" s="5" t="s">
        <v>22</v>
      </c>
      <c r="D549" s="5" t="s">
        <v>113</v>
      </c>
      <c r="E549" s="5" t="s">
        <v>382</v>
      </c>
    </row>
    <row r="550" ht="15.75" customHeight="1">
      <c r="A550" s="29"/>
      <c r="B550" s="5" t="s">
        <v>4871</v>
      </c>
      <c r="C550" s="5" t="s">
        <v>77</v>
      </c>
      <c r="D550" s="5" t="s">
        <v>113</v>
      </c>
      <c r="E550" s="5" t="s">
        <v>382</v>
      </c>
    </row>
    <row r="551" ht="15.75" customHeight="1">
      <c r="A551" s="29"/>
      <c r="B551" s="5" t="s">
        <v>4452</v>
      </c>
      <c r="C551" s="5" t="s">
        <v>79</v>
      </c>
      <c r="D551" s="5" t="s">
        <v>129</v>
      </c>
      <c r="E551" s="5" t="s">
        <v>382</v>
      </c>
    </row>
    <row r="552" ht="15.75" customHeight="1">
      <c r="A552" s="29"/>
      <c r="B552" s="5" t="s">
        <v>4369</v>
      </c>
      <c r="C552" s="5" t="s">
        <v>585</v>
      </c>
      <c r="D552" s="5" t="s">
        <v>67</v>
      </c>
      <c r="E552" s="5" t="s">
        <v>382</v>
      </c>
    </row>
    <row r="553" ht="15.75" customHeight="1">
      <c r="A553" s="29"/>
      <c r="B553" s="5" t="s">
        <v>4450</v>
      </c>
      <c r="C553" s="5" t="s">
        <v>79</v>
      </c>
      <c r="D553" s="5" t="s">
        <v>49</v>
      </c>
      <c r="E553" s="5" t="s">
        <v>382</v>
      </c>
    </row>
    <row r="554" ht="15.75" customHeight="1">
      <c r="A554" s="29"/>
      <c r="B554" s="5" t="s">
        <v>4629</v>
      </c>
      <c r="C554" s="5" t="s">
        <v>77</v>
      </c>
      <c r="D554" s="5" t="s">
        <v>27</v>
      </c>
      <c r="E554" s="5" t="s">
        <v>382</v>
      </c>
    </row>
    <row r="555" ht="15.75" customHeight="1">
      <c r="A555" s="29"/>
      <c r="B555" s="5" t="s">
        <v>5157</v>
      </c>
      <c r="C555" s="5" t="s">
        <v>158</v>
      </c>
      <c r="D555" s="5" t="s">
        <v>9</v>
      </c>
      <c r="E555" s="5" t="s">
        <v>382</v>
      </c>
    </row>
    <row r="556" ht="15.75" customHeight="1">
      <c r="A556" s="29"/>
      <c r="B556" s="5" t="s">
        <v>4291</v>
      </c>
      <c r="C556" s="5" t="s">
        <v>79</v>
      </c>
      <c r="D556" s="5" t="s">
        <v>36</v>
      </c>
      <c r="E556" s="5" t="s">
        <v>382</v>
      </c>
    </row>
    <row r="557" ht="15.75" customHeight="1">
      <c r="A557" s="29"/>
      <c r="B557" s="5" t="s">
        <v>3307</v>
      </c>
      <c r="C557" s="5" t="s">
        <v>79</v>
      </c>
      <c r="D557" s="5" t="s">
        <v>52</v>
      </c>
      <c r="E557" s="5" t="s">
        <v>382</v>
      </c>
    </row>
    <row r="558" ht="15.75" customHeight="1">
      <c r="A558" s="29"/>
      <c r="B558" s="5" t="s">
        <v>5165</v>
      </c>
      <c r="C558" s="5" t="s">
        <v>14</v>
      </c>
      <c r="D558" s="5" t="s">
        <v>52</v>
      </c>
      <c r="E558" s="5" t="s">
        <v>382</v>
      </c>
    </row>
    <row r="559" ht="15.75" customHeight="1">
      <c r="A559" s="29"/>
      <c r="B559" s="5" t="s">
        <v>4375</v>
      </c>
      <c r="C559" s="5" t="s">
        <v>22</v>
      </c>
      <c r="D559" s="5" t="s">
        <v>120</v>
      </c>
      <c r="E559" s="5" t="s">
        <v>382</v>
      </c>
    </row>
    <row r="560" ht="15.75" customHeight="1">
      <c r="A560" s="29"/>
      <c r="B560" s="5" t="s">
        <v>5591</v>
      </c>
      <c r="C560" s="5" t="s">
        <v>79</v>
      </c>
      <c r="D560" s="5" t="s">
        <v>206</v>
      </c>
      <c r="E560" s="5" t="s">
        <v>382</v>
      </c>
    </row>
    <row r="561" ht="15.75" customHeight="1">
      <c r="A561" s="29"/>
      <c r="B561" s="5" t="s">
        <v>4760</v>
      </c>
      <c r="C561" s="5" t="s">
        <v>77</v>
      </c>
      <c r="D561" s="5" t="s">
        <v>34</v>
      </c>
      <c r="E561" s="5" t="s">
        <v>382</v>
      </c>
    </row>
    <row r="562" ht="15.75" customHeight="1">
      <c r="A562" s="29"/>
      <c r="B562" s="5" t="s">
        <v>3499</v>
      </c>
      <c r="C562" s="5" t="s">
        <v>79</v>
      </c>
      <c r="D562" s="5" t="s">
        <v>15</v>
      </c>
      <c r="E562" s="5" t="s">
        <v>382</v>
      </c>
    </row>
    <row r="563" ht="15.75" customHeight="1">
      <c r="A563" s="29"/>
      <c r="B563" s="5" t="s">
        <v>4847</v>
      </c>
      <c r="C563" s="5" t="s">
        <v>20</v>
      </c>
      <c r="D563" s="5" t="s">
        <v>105</v>
      </c>
      <c r="E563" s="5" t="s">
        <v>382</v>
      </c>
    </row>
    <row r="564" ht="15.75" customHeight="1">
      <c r="A564" s="29"/>
      <c r="B564" s="5" t="s">
        <v>3241</v>
      </c>
      <c r="C564" s="5" t="s">
        <v>478</v>
      </c>
      <c r="D564" s="5" t="s">
        <v>52</v>
      </c>
      <c r="E564" s="5" t="s">
        <v>382</v>
      </c>
    </row>
    <row r="565" ht="15.75" customHeight="1">
      <c r="A565" s="29"/>
      <c r="B565" s="5" t="s">
        <v>4605</v>
      </c>
      <c r="C565" s="5" t="s">
        <v>136</v>
      </c>
      <c r="D565" s="5" t="s">
        <v>95</v>
      </c>
      <c r="E565" s="5" t="s">
        <v>382</v>
      </c>
    </row>
    <row r="566" ht="15.75" customHeight="1">
      <c r="A566" s="29"/>
      <c r="B566" s="5" t="s">
        <v>3432</v>
      </c>
      <c r="C566" s="5" t="s">
        <v>79</v>
      </c>
      <c r="D566" s="5" t="s">
        <v>12</v>
      </c>
      <c r="E566" s="5" t="s">
        <v>382</v>
      </c>
    </row>
    <row r="567" ht="15.75" customHeight="1">
      <c r="A567" s="29"/>
      <c r="B567" s="5" t="s">
        <v>4409</v>
      </c>
      <c r="C567" s="5" t="s">
        <v>22</v>
      </c>
      <c r="D567" s="5" t="s">
        <v>99</v>
      </c>
      <c r="E567" s="5" t="s">
        <v>382</v>
      </c>
    </row>
    <row r="568" ht="15.75" customHeight="1">
      <c r="A568" s="29"/>
      <c r="B568" s="5" t="s">
        <v>4851</v>
      </c>
      <c r="C568" s="5" t="s">
        <v>136</v>
      </c>
      <c r="D568" s="5" t="s">
        <v>36</v>
      </c>
      <c r="E568" s="5" t="s">
        <v>382</v>
      </c>
    </row>
    <row r="569" ht="15.75" customHeight="1">
      <c r="A569" s="29"/>
      <c r="B569" s="5" t="s">
        <v>5517</v>
      </c>
      <c r="C569" s="5" t="s">
        <v>77</v>
      </c>
      <c r="D569" s="5" t="s">
        <v>137</v>
      </c>
      <c r="E569" s="5" t="s">
        <v>382</v>
      </c>
    </row>
    <row r="570" ht="15.75" customHeight="1">
      <c r="A570" s="29"/>
      <c r="B570" s="5" t="s">
        <v>3273</v>
      </c>
      <c r="C570" s="5" t="s">
        <v>79</v>
      </c>
      <c r="D570" s="5" t="s">
        <v>23</v>
      </c>
      <c r="E570" s="5" t="s">
        <v>382</v>
      </c>
    </row>
    <row r="571" ht="15.75" customHeight="1">
      <c r="A571" s="29"/>
      <c r="B571" s="5" t="s">
        <v>3461</v>
      </c>
      <c r="C571" s="5" t="s">
        <v>79</v>
      </c>
      <c r="D571" s="5" t="s">
        <v>18</v>
      </c>
      <c r="E571" s="5" t="s">
        <v>382</v>
      </c>
    </row>
    <row r="572" ht="15.75" customHeight="1">
      <c r="A572" s="29"/>
      <c r="B572" s="5" t="s">
        <v>3380</v>
      </c>
      <c r="C572" s="5" t="s">
        <v>220</v>
      </c>
      <c r="D572" s="5" t="s">
        <v>206</v>
      </c>
      <c r="E572" s="5" t="s">
        <v>382</v>
      </c>
    </row>
    <row r="573" ht="15.75" customHeight="1">
      <c r="A573" s="29"/>
      <c r="B573" s="5" t="s">
        <v>4631</v>
      </c>
      <c r="C573" s="5" t="s">
        <v>1738</v>
      </c>
      <c r="D573" s="5" t="s">
        <v>27</v>
      </c>
      <c r="E573" s="5" t="s">
        <v>382</v>
      </c>
    </row>
    <row r="574" ht="15.75" customHeight="1">
      <c r="A574" s="29"/>
      <c r="B574" s="5" t="s">
        <v>4030</v>
      </c>
      <c r="C574" s="5" t="s">
        <v>79</v>
      </c>
      <c r="D574" s="5" t="s">
        <v>15</v>
      </c>
      <c r="E574" s="5" t="s">
        <v>382</v>
      </c>
    </row>
    <row r="575" ht="15.75" customHeight="1">
      <c r="A575" s="29"/>
      <c r="B575" s="5" t="s">
        <v>4698</v>
      </c>
      <c r="C575" s="5" t="s">
        <v>77</v>
      </c>
      <c r="D575" s="5" t="s">
        <v>120</v>
      </c>
      <c r="E575" s="5" t="s">
        <v>382</v>
      </c>
    </row>
    <row r="576" ht="15.75" customHeight="1">
      <c r="A576" s="29"/>
      <c r="B576" s="5" t="s">
        <v>3430</v>
      </c>
      <c r="C576" s="5" t="s">
        <v>79</v>
      </c>
      <c r="D576" s="5" t="s">
        <v>15</v>
      </c>
      <c r="E576" s="5" t="s">
        <v>382</v>
      </c>
    </row>
    <row r="577" ht="15.75" customHeight="1">
      <c r="A577" s="29"/>
      <c r="B577" s="5" t="s">
        <v>3407</v>
      </c>
      <c r="C577" s="5" t="s">
        <v>79</v>
      </c>
      <c r="D577" s="5" t="s">
        <v>113</v>
      </c>
      <c r="E577" s="5" t="s">
        <v>382</v>
      </c>
    </row>
    <row r="578" ht="15.75" customHeight="1">
      <c r="A578" s="29"/>
      <c r="B578" s="5" t="s">
        <v>3484</v>
      </c>
      <c r="C578" s="5" t="s">
        <v>22</v>
      </c>
      <c r="D578" s="5" t="s">
        <v>82</v>
      </c>
      <c r="E578" s="5" t="s">
        <v>382</v>
      </c>
    </row>
    <row r="579" ht="15.75" customHeight="1">
      <c r="A579" s="29"/>
      <c r="B579" s="5" t="s">
        <v>4635</v>
      </c>
      <c r="C579" s="5" t="s">
        <v>220</v>
      </c>
      <c r="D579" s="5" t="s">
        <v>137</v>
      </c>
      <c r="E579" s="5" t="s">
        <v>382</v>
      </c>
    </row>
    <row r="580" ht="15.75" customHeight="1">
      <c r="A580" s="29"/>
      <c r="B580" s="5" t="s">
        <v>3287</v>
      </c>
      <c r="C580" s="5" t="s">
        <v>79</v>
      </c>
      <c r="D580" s="5" t="s">
        <v>42</v>
      </c>
      <c r="E580" s="5" t="s">
        <v>382</v>
      </c>
    </row>
    <row r="581" ht="15.75" customHeight="1">
      <c r="A581" s="29"/>
      <c r="B581" s="5" t="s">
        <v>4876</v>
      </c>
      <c r="C581" s="5" t="s">
        <v>77</v>
      </c>
      <c r="D581" s="5" t="s">
        <v>12</v>
      </c>
      <c r="E581" s="5" t="s">
        <v>382</v>
      </c>
    </row>
    <row r="582" ht="15.75" customHeight="1">
      <c r="A582" s="29"/>
      <c r="B582" s="5" t="s">
        <v>4608</v>
      </c>
      <c r="C582" s="5" t="s">
        <v>1857</v>
      </c>
      <c r="D582" s="5" t="s">
        <v>71</v>
      </c>
      <c r="E582" s="5" t="s">
        <v>382</v>
      </c>
    </row>
    <row r="583" ht="15.75" customHeight="1">
      <c r="A583" s="29"/>
      <c r="B583" s="5" t="s">
        <v>3367</v>
      </c>
      <c r="C583" s="5" t="s">
        <v>79</v>
      </c>
      <c r="D583" s="5" t="s">
        <v>12</v>
      </c>
      <c r="E583" s="5" t="s">
        <v>382</v>
      </c>
    </row>
    <row r="584" ht="15.75" customHeight="1">
      <c r="A584" s="29"/>
      <c r="B584" s="5" t="s">
        <v>3372</v>
      </c>
      <c r="C584" s="5" t="s">
        <v>79</v>
      </c>
      <c r="D584" s="5" t="s">
        <v>49</v>
      </c>
      <c r="E584" s="5" t="s">
        <v>382</v>
      </c>
    </row>
    <row r="585" ht="15.75" customHeight="1">
      <c r="A585" s="29"/>
      <c r="B585" s="5" t="s">
        <v>3519</v>
      </c>
      <c r="C585" s="5" t="s">
        <v>48</v>
      </c>
      <c r="D585" s="5" t="s">
        <v>129</v>
      </c>
      <c r="E585" s="5" t="s">
        <v>382</v>
      </c>
    </row>
    <row r="586" ht="15.75" customHeight="1">
      <c r="A586" s="29"/>
      <c r="B586" s="5" t="s">
        <v>4508</v>
      </c>
      <c r="C586" s="5" t="s">
        <v>17</v>
      </c>
      <c r="D586" s="5" t="s">
        <v>71</v>
      </c>
      <c r="E586" s="5" t="s">
        <v>382</v>
      </c>
    </row>
    <row r="587" ht="15.75" customHeight="1">
      <c r="A587" s="29"/>
      <c r="B587" s="5" t="s">
        <v>4746</v>
      </c>
      <c r="C587" s="5" t="s">
        <v>240</v>
      </c>
      <c r="D587" s="5" t="s">
        <v>18</v>
      </c>
      <c r="E587" s="5" t="s">
        <v>382</v>
      </c>
    </row>
    <row r="588" ht="15.75" customHeight="1">
      <c r="A588" s="29"/>
      <c r="B588" s="5" t="s">
        <v>4604</v>
      </c>
      <c r="C588" s="5" t="s">
        <v>14</v>
      </c>
      <c r="D588" s="5" t="s">
        <v>206</v>
      </c>
      <c r="E588" s="5" t="s">
        <v>382</v>
      </c>
    </row>
    <row r="589" ht="15.75" customHeight="1">
      <c r="A589" s="29"/>
      <c r="B589" s="5" t="s">
        <v>4075</v>
      </c>
      <c r="C589" s="5" t="s">
        <v>79</v>
      </c>
      <c r="D589" s="5" t="s">
        <v>67</v>
      </c>
      <c r="E589" s="5" t="s">
        <v>382</v>
      </c>
    </row>
    <row r="590" ht="15.75" customHeight="1">
      <c r="A590" s="29"/>
      <c r="B590" s="5" t="s">
        <v>4900</v>
      </c>
      <c r="C590" s="5" t="s">
        <v>77</v>
      </c>
      <c r="D590" s="5" t="s">
        <v>140</v>
      </c>
      <c r="E590" s="5" t="s">
        <v>382</v>
      </c>
    </row>
    <row r="591" ht="15.75" customHeight="1">
      <c r="A591" s="29"/>
      <c r="B591" s="5" t="s">
        <v>3302</v>
      </c>
      <c r="C591" s="5" t="s">
        <v>79</v>
      </c>
      <c r="D591" s="5" t="s">
        <v>46</v>
      </c>
      <c r="E591" s="5" t="s">
        <v>382</v>
      </c>
    </row>
    <row r="592" ht="15.75" customHeight="1">
      <c r="A592" s="29"/>
      <c r="B592" s="5" t="s">
        <v>5580</v>
      </c>
      <c r="C592" s="5" t="s">
        <v>33</v>
      </c>
      <c r="D592" s="5" t="s">
        <v>25</v>
      </c>
      <c r="E592" s="5" t="s">
        <v>382</v>
      </c>
    </row>
    <row r="593" ht="15.75" customHeight="1">
      <c r="A593" s="29"/>
      <c r="B593" s="5" t="s">
        <v>3262</v>
      </c>
      <c r="C593" s="5" t="s">
        <v>79</v>
      </c>
      <c r="D593" s="5" t="s">
        <v>25</v>
      </c>
      <c r="E593" s="5" t="s">
        <v>382</v>
      </c>
    </row>
    <row r="594" ht="15.75" customHeight="1">
      <c r="A594" s="29"/>
      <c r="B594" s="5" t="s">
        <v>4592</v>
      </c>
      <c r="C594" s="5" t="s">
        <v>22</v>
      </c>
      <c r="D594" s="5" t="s">
        <v>46</v>
      </c>
      <c r="E594" s="5" t="s">
        <v>382</v>
      </c>
    </row>
    <row r="595" ht="15.75" customHeight="1">
      <c r="A595" s="29"/>
      <c r="B595" s="5" t="s">
        <v>4094</v>
      </c>
      <c r="C595" s="5" t="s">
        <v>79</v>
      </c>
      <c r="D595" s="5" t="s">
        <v>49</v>
      </c>
      <c r="E595" s="5" t="s">
        <v>382</v>
      </c>
    </row>
    <row r="596" ht="15.75" customHeight="1">
      <c r="A596" s="29"/>
      <c r="B596" s="5" t="s">
        <v>4014</v>
      </c>
      <c r="C596" s="5" t="s">
        <v>79</v>
      </c>
      <c r="D596" s="5" t="s">
        <v>23</v>
      </c>
      <c r="E596" s="5" t="s">
        <v>382</v>
      </c>
    </row>
    <row r="597" ht="15.75" customHeight="1">
      <c r="A597" s="29"/>
      <c r="B597" s="5" t="s">
        <v>3693</v>
      </c>
      <c r="C597" s="5" t="s">
        <v>79</v>
      </c>
      <c r="D597" s="5" t="s">
        <v>46</v>
      </c>
      <c r="E597" s="5" t="s">
        <v>382</v>
      </c>
    </row>
    <row r="598" ht="15.75" customHeight="1">
      <c r="A598" s="29"/>
      <c r="B598" s="5" t="s">
        <v>3718</v>
      </c>
      <c r="C598" s="5" t="s">
        <v>79</v>
      </c>
      <c r="D598" s="5" t="s">
        <v>99</v>
      </c>
      <c r="E598" s="5" t="s">
        <v>382</v>
      </c>
    </row>
    <row r="599" ht="15.75" customHeight="1">
      <c r="A599" s="29"/>
      <c r="B599" s="5" t="s">
        <v>4350</v>
      </c>
      <c r="C599" s="5" t="s">
        <v>79</v>
      </c>
      <c r="D599" s="5" t="s">
        <v>18</v>
      </c>
      <c r="E599" s="5" t="s">
        <v>382</v>
      </c>
    </row>
    <row r="600" ht="15.75" customHeight="1">
      <c r="A600" s="29"/>
      <c r="B600" s="5" t="s">
        <v>3248</v>
      </c>
      <c r="C600" s="5" t="s">
        <v>79</v>
      </c>
      <c r="D600" s="5" t="s">
        <v>34</v>
      </c>
      <c r="E600" s="5" t="s">
        <v>382</v>
      </c>
    </row>
    <row r="601" ht="15.75" customHeight="1">
      <c r="A601" s="29"/>
      <c r="B601" s="5" t="s">
        <v>3338</v>
      </c>
      <c r="C601" s="5" t="s">
        <v>79</v>
      </c>
      <c r="D601" s="5" t="s">
        <v>120</v>
      </c>
      <c r="E601" s="5" t="s">
        <v>382</v>
      </c>
    </row>
    <row r="602" ht="15.75" customHeight="1">
      <c r="A602" s="29"/>
      <c r="B602" s="5" t="s">
        <v>5578</v>
      </c>
      <c r="C602" s="5" t="s">
        <v>22</v>
      </c>
      <c r="D602" s="5" t="s">
        <v>73</v>
      </c>
      <c r="E602" s="5" t="s">
        <v>382</v>
      </c>
    </row>
    <row r="603" ht="15.75" customHeight="1">
      <c r="A603" s="29"/>
      <c r="B603" s="5" t="s">
        <v>3404</v>
      </c>
      <c r="C603" s="5" t="s">
        <v>79</v>
      </c>
      <c r="D603" s="5" t="s">
        <v>90</v>
      </c>
      <c r="E603" s="5" t="s">
        <v>382</v>
      </c>
    </row>
    <row r="604" ht="15.75" customHeight="1">
      <c r="A604" s="29"/>
      <c r="B604" s="5" t="s">
        <v>5574</v>
      </c>
      <c r="C604" s="5" t="s">
        <v>77</v>
      </c>
      <c r="D604" s="5" t="s">
        <v>23</v>
      </c>
      <c r="E604" s="5" t="s">
        <v>382</v>
      </c>
    </row>
    <row r="605" ht="15.75" customHeight="1">
      <c r="A605" s="29"/>
      <c r="B605" s="5" t="s">
        <v>4274</v>
      </c>
      <c r="C605" s="5" t="s">
        <v>79</v>
      </c>
      <c r="D605" s="5" t="s">
        <v>18</v>
      </c>
      <c r="E605" s="5" t="s">
        <v>382</v>
      </c>
    </row>
    <row r="606" ht="15.75" customHeight="1">
      <c r="A606" s="29"/>
      <c r="B606" s="5" t="s">
        <v>5244</v>
      </c>
      <c r="C606" s="5" t="s">
        <v>1857</v>
      </c>
      <c r="D606" s="5" t="s">
        <v>12</v>
      </c>
      <c r="E606" s="5" t="s">
        <v>382</v>
      </c>
    </row>
    <row r="607" ht="15.75" customHeight="1">
      <c r="A607" s="29"/>
      <c r="B607" s="5" t="s">
        <v>4172</v>
      </c>
      <c r="C607" s="5" t="s">
        <v>79</v>
      </c>
      <c r="D607" s="5" t="s">
        <v>49</v>
      </c>
      <c r="E607" s="5" t="s">
        <v>382</v>
      </c>
    </row>
    <row r="608" ht="15.75" customHeight="1">
      <c r="A608" s="29"/>
      <c r="B608" s="5" t="s">
        <v>4266</v>
      </c>
      <c r="C608" s="5" t="s">
        <v>79</v>
      </c>
      <c r="D608" s="5" t="s">
        <v>129</v>
      </c>
      <c r="E608" s="5" t="s">
        <v>382</v>
      </c>
    </row>
    <row r="609" ht="15.75" customHeight="1">
      <c r="A609" s="29"/>
      <c r="B609" s="5" t="s">
        <v>3411</v>
      </c>
      <c r="C609" s="5" t="s">
        <v>150</v>
      </c>
      <c r="D609" s="5" t="s">
        <v>122</v>
      </c>
      <c r="E609" s="5" t="s">
        <v>382</v>
      </c>
    </row>
    <row r="610" ht="15.75" customHeight="1">
      <c r="A610" s="29"/>
      <c r="B610" s="5" t="s">
        <v>4679</v>
      </c>
      <c r="C610" s="5" t="s">
        <v>11</v>
      </c>
      <c r="D610" s="5" t="s">
        <v>49</v>
      </c>
      <c r="E610" s="5" t="s">
        <v>382</v>
      </c>
    </row>
    <row r="611" ht="15.75" customHeight="1">
      <c r="A611" s="29"/>
      <c r="B611" s="5" t="s">
        <v>3744</v>
      </c>
      <c r="C611" s="5" t="s">
        <v>220</v>
      </c>
      <c r="D611" s="5" t="s">
        <v>82</v>
      </c>
      <c r="E611" s="5" t="s">
        <v>382</v>
      </c>
    </row>
    <row r="612" ht="15.75" customHeight="1">
      <c r="A612" s="29"/>
      <c r="B612" s="5" t="s">
        <v>3465</v>
      </c>
      <c r="C612" s="5" t="s">
        <v>79</v>
      </c>
      <c r="D612" s="5" t="s">
        <v>34</v>
      </c>
      <c r="E612" s="5" t="s">
        <v>382</v>
      </c>
    </row>
    <row r="613" ht="15.75" customHeight="1">
      <c r="A613" s="29"/>
      <c r="B613" s="5" t="s">
        <v>3316</v>
      </c>
      <c r="C613" s="5" t="s">
        <v>79</v>
      </c>
      <c r="D613" s="5" t="s">
        <v>31</v>
      </c>
      <c r="E613" s="5" t="s">
        <v>382</v>
      </c>
    </row>
    <row r="614" ht="15.75" customHeight="1">
      <c r="A614" s="29"/>
      <c r="B614" s="5" t="s">
        <v>4548</v>
      </c>
      <c r="C614" s="5" t="s">
        <v>17</v>
      </c>
      <c r="D614" s="5" t="s">
        <v>34</v>
      </c>
      <c r="E614" s="5" t="s">
        <v>382</v>
      </c>
    </row>
    <row r="615" ht="15.75" customHeight="1">
      <c r="A615" s="29"/>
      <c r="B615" s="5" t="s">
        <v>5264</v>
      </c>
      <c r="C615" s="5" t="s">
        <v>2520</v>
      </c>
      <c r="D615" s="5" t="s">
        <v>18</v>
      </c>
      <c r="E615" s="5" t="s">
        <v>382</v>
      </c>
    </row>
    <row r="616" ht="15.75" customHeight="1">
      <c r="A616" s="29"/>
      <c r="B616" s="5" t="s">
        <v>3243</v>
      </c>
      <c r="C616" s="5" t="s">
        <v>22</v>
      </c>
      <c r="D616" s="5" t="s">
        <v>27</v>
      </c>
      <c r="E616" s="5" t="s">
        <v>382</v>
      </c>
    </row>
    <row r="617" ht="15.75" customHeight="1">
      <c r="A617" s="29"/>
      <c r="B617" s="5" t="s">
        <v>4077</v>
      </c>
      <c r="C617" s="5" t="s">
        <v>79</v>
      </c>
      <c r="D617" s="5" t="s">
        <v>90</v>
      </c>
      <c r="E617" s="5" t="s">
        <v>382</v>
      </c>
    </row>
    <row r="618" ht="15.75" customHeight="1">
      <c r="A618" s="29"/>
      <c r="B618" s="5" t="s">
        <v>5279</v>
      </c>
      <c r="C618" s="5" t="s">
        <v>11</v>
      </c>
      <c r="D618" s="5" t="s">
        <v>23</v>
      </c>
      <c r="E618" s="5" t="s">
        <v>382</v>
      </c>
    </row>
    <row r="619" ht="15.75" customHeight="1">
      <c r="A619" s="29"/>
      <c r="B619" s="5" t="s">
        <v>4639</v>
      </c>
      <c r="C619" s="5" t="s">
        <v>39</v>
      </c>
      <c r="D619" s="5" t="s">
        <v>23</v>
      </c>
      <c r="E619" s="5" t="s">
        <v>382</v>
      </c>
    </row>
    <row r="620" ht="15.75" customHeight="1">
      <c r="A620" s="29"/>
      <c r="B620" s="5" t="s">
        <v>4550</v>
      </c>
      <c r="C620" s="5" t="s">
        <v>220</v>
      </c>
      <c r="D620" s="5" t="s">
        <v>42</v>
      </c>
      <c r="E620" s="5" t="s">
        <v>382</v>
      </c>
    </row>
    <row r="621" ht="15.75" customHeight="1">
      <c r="A621" s="29"/>
      <c r="B621" s="5" t="s">
        <v>4005</v>
      </c>
      <c r="C621" s="5" t="s">
        <v>79</v>
      </c>
      <c r="D621" s="5" t="s">
        <v>105</v>
      </c>
      <c r="E621" s="5" t="s">
        <v>382</v>
      </c>
    </row>
    <row r="622" ht="15.75" customHeight="1">
      <c r="A622" s="29"/>
      <c r="B622" s="5" t="s">
        <v>4204</v>
      </c>
      <c r="C622" s="5" t="s">
        <v>22</v>
      </c>
      <c r="D622" s="5" t="s">
        <v>42</v>
      </c>
      <c r="E622" s="5" t="s">
        <v>382</v>
      </c>
    </row>
    <row r="623" ht="15.75" customHeight="1">
      <c r="A623" s="29"/>
      <c r="B623" s="5" t="s">
        <v>3448</v>
      </c>
      <c r="C623" s="5" t="s">
        <v>79</v>
      </c>
      <c r="D623" s="5" t="s">
        <v>129</v>
      </c>
      <c r="E623" s="5" t="s">
        <v>382</v>
      </c>
    </row>
    <row r="624" ht="15.75" customHeight="1">
      <c r="A624" s="29"/>
      <c r="B624" s="5" t="s">
        <v>4675</v>
      </c>
      <c r="C624" s="5" t="s">
        <v>77</v>
      </c>
      <c r="D624" s="5" t="s">
        <v>12</v>
      </c>
      <c r="E624" s="5" t="s">
        <v>382</v>
      </c>
    </row>
    <row r="625" ht="15.75" customHeight="1">
      <c r="A625" s="29"/>
      <c r="B625" s="5" t="s">
        <v>4821</v>
      </c>
      <c r="C625" s="5" t="s">
        <v>87</v>
      </c>
      <c r="D625" s="5" t="s">
        <v>140</v>
      </c>
      <c r="E625" s="5" t="s">
        <v>382</v>
      </c>
    </row>
    <row r="626" ht="15.75" customHeight="1">
      <c r="A626" s="29"/>
      <c r="B626" s="5" t="s">
        <v>4590</v>
      </c>
      <c r="C626" s="5" t="s">
        <v>218</v>
      </c>
      <c r="D626" s="5" t="s">
        <v>42</v>
      </c>
      <c r="E626" s="5" t="s">
        <v>382</v>
      </c>
    </row>
    <row r="627" ht="15.75" customHeight="1">
      <c r="A627" s="29"/>
      <c r="B627" s="5" t="s">
        <v>4625</v>
      </c>
      <c r="C627" s="5" t="s">
        <v>136</v>
      </c>
      <c r="D627" s="5" t="s">
        <v>71</v>
      </c>
      <c r="E627" s="5" t="s">
        <v>382</v>
      </c>
    </row>
    <row r="628" ht="15.75" customHeight="1">
      <c r="A628" s="29"/>
      <c r="B628" s="5" t="s">
        <v>3617</v>
      </c>
      <c r="C628" s="5" t="s">
        <v>79</v>
      </c>
      <c r="D628" s="5" t="s">
        <v>137</v>
      </c>
      <c r="E628" s="5" t="s">
        <v>382</v>
      </c>
    </row>
    <row r="629" ht="15.75" customHeight="1">
      <c r="A629" s="29"/>
      <c r="B629" s="5" t="s">
        <v>3331</v>
      </c>
      <c r="C629" s="5" t="s">
        <v>79</v>
      </c>
      <c r="D629" s="5" t="s">
        <v>82</v>
      </c>
      <c r="E629" s="5" t="s">
        <v>382</v>
      </c>
    </row>
    <row r="630" ht="15.75" customHeight="1">
      <c r="A630" s="29"/>
      <c r="B630" s="5" t="s">
        <v>4748</v>
      </c>
      <c r="C630" s="5" t="s">
        <v>33</v>
      </c>
      <c r="D630" s="5" t="s">
        <v>120</v>
      </c>
      <c r="E630" s="5" t="s">
        <v>382</v>
      </c>
    </row>
    <row r="631" ht="15.75" customHeight="1">
      <c r="A631" s="29"/>
      <c r="B631" s="5" t="s">
        <v>4708</v>
      </c>
      <c r="C631" s="5" t="s">
        <v>39</v>
      </c>
      <c r="D631" s="5" t="s">
        <v>23</v>
      </c>
      <c r="E631" s="5" t="s">
        <v>382</v>
      </c>
    </row>
    <row r="632" ht="15.75" customHeight="1">
      <c r="A632" s="29"/>
      <c r="B632" s="5" t="s">
        <v>4231</v>
      </c>
      <c r="C632" s="5" t="s">
        <v>79</v>
      </c>
      <c r="D632" s="5" t="s">
        <v>82</v>
      </c>
      <c r="E632" s="5" t="s">
        <v>382</v>
      </c>
    </row>
    <row r="633" ht="15.75" customHeight="1">
      <c r="A633" s="29"/>
      <c r="B633" s="5" t="s">
        <v>3923</v>
      </c>
      <c r="C633" s="5" t="s">
        <v>220</v>
      </c>
      <c r="D633" s="5" t="s">
        <v>42</v>
      </c>
      <c r="E633" s="5" t="s">
        <v>382</v>
      </c>
    </row>
    <row r="634" ht="15.75" customHeight="1">
      <c r="A634" s="29"/>
      <c r="B634" s="5" t="s">
        <v>3314</v>
      </c>
      <c r="C634" s="5" t="s">
        <v>79</v>
      </c>
      <c r="D634" s="5" t="s">
        <v>113</v>
      </c>
      <c r="E634" s="5" t="s">
        <v>382</v>
      </c>
    </row>
    <row r="635" ht="15.75" customHeight="1">
      <c r="A635" s="29"/>
      <c r="B635" s="5" t="s">
        <v>4647</v>
      </c>
      <c r="C635" s="5" t="s">
        <v>22</v>
      </c>
      <c r="D635" s="5" t="s">
        <v>122</v>
      </c>
      <c r="E635" s="5" t="s">
        <v>382</v>
      </c>
    </row>
    <row r="636" ht="15.75" customHeight="1">
      <c r="A636" s="29"/>
      <c r="B636" s="5" t="s">
        <v>4572</v>
      </c>
      <c r="C636" s="5" t="s">
        <v>218</v>
      </c>
      <c r="D636" s="5" t="s">
        <v>34</v>
      </c>
      <c r="E636" s="5" t="s">
        <v>382</v>
      </c>
    </row>
    <row r="637" ht="15.75" customHeight="1">
      <c r="A637" s="29"/>
      <c r="B637" s="5" t="s">
        <v>5592</v>
      </c>
      <c r="C637" s="5" t="s">
        <v>79</v>
      </c>
      <c r="D637" s="5" t="s">
        <v>18</v>
      </c>
      <c r="E637" s="5" t="s">
        <v>382</v>
      </c>
    </row>
    <row r="638" ht="15.75" customHeight="1">
      <c r="A638" s="29"/>
      <c r="B638" s="5" t="s">
        <v>4163</v>
      </c>
      <c r="C638" s="5" t="s">
        <v>79</v>
      </c>
      <c r="D638" s="5" t="s">
        <v>95</v>
      </c>
      <c r="E638" s="5" t="s">
        <v>382</v>
      </c>
    </row>
    <row r="639" ht="15.75" customHeight="1">
      <c r="A639" s="29"/>
      <c r="B639" s="5" t="s">
        <v>5081</v>
      </c>
      <c r="C639" s="5" t="s">
        <v>176</v>
      </c>
      <c r="D639" s="5" t="s">
        <v>206</v>
      </c>
      <c r="E639" s="5" t="s">
        <v>382</v>
      </c>
    </row>
    <row r="640" ht="15.75" customHeight="1">
      <c r="A640" s="29"/>
      <c r="B640" s="5" t="s">
        <v>3436</v>
      </c>
      <c r="C640" s="5" t="s">
        <v>79</v>
      </c>
      <c r="D640" s="5" t="s">
        <v>42</v>
      </c>
      <c r="E640" s="5" t="s">
        <v>382</v>
      </c>
    </row>
    <row r="641" ht="15.75" customHeight="1">
      <c r="A641" s="29"/>
      <c r="B641" s="5" t="s">
        <v>4787</v>
      </c>
      <c r="C641" s="5" t="s">
        <v>346</v>
      </c>
      <c r="D641" s="5" t="s">
        <v>23</v>
      </c>
      <c r="E641" s="5" t="s">
        <v>382</v>
      </c>
    </row>
    <row r="642" ht="15.75" customHeight="1">
      <c r="A642" s="29"/>
      <c r="B642" s="5" t="s">
        <v>4250</v>
      </c>
      <c r="C642" s="5" t="s">
        <v>79</v>
      </c>
      <c r="D642" s="5" t="s">
        <v>120</v>
      </c>
      <c r="E642" s="5" t="s">
        <v>382</v>
      </c>
    </row>
    <row r="643" ht="15.75" customHeight="1">
      <c r="A643" s="29"/>
      <c r="B643" s="5" t="s">
        <v>4176</v>
      </c>
      <c r="C643" s="5" t="s">
        <v>79</v>
      </c>
      <c r="D643" s="5" t="s">
        <v>23</v>
      </c>
      <c r="E643" s="5" t="s">
        <v>382</v>
      </c>
    </row>
    <row r="644" ht="15.75" customHeight="1">
      <c r="A644" s="29"/>
      <c r="B644" s="5" t="s">
        <v>3261</v>
      </c>
      <c r="C644" s="5" t="s">
        <v>79</v>
      </c>
      <c r="D644" s="5" t="s">
        <v>99</v>
      </c>
      <c r="E644" s="5" t="s">
        <v>382</v>
      </c>
    </row>
    <row r="645" ht="15.75" customHeight="1">
      <c r="A645" s="29"/>
      <c r="B645" s="5" t="s">
        <v>4387</v>
      </c>
      <c r="C645" s="5" t="s">
        <v>220</v>
      </c>
      <c r="D645" s="5" t="s">
        <v>18</v>
      </c>
      <c r="E645" s="5" t="s">
        <v>382</v>
      </c>
    </row>
    <row r="646" ht="15.75" customHeight="1">
      <c r="A646" s="29"/>
      <c r="B646" s="5" t="s">
        <v>4354</v>
      </c>
      <c r="C646" s="5" t="s">
        <v>79</v>
      </c>
      <c r="D646" s="5" t="s">
        <v>9</v>
      </c>
      <c r="E646" s="5" t="s">
        <v>382</v>
      </c>
    </row>
    <row r="647" ht="15.75" customHeight="1">
      <c r="A647" s="29"/>
      <c r="B647" s="5" t="s">
        <v>5366</v>
      </c>
      <c r="C647" s="5" t="s">
        <v>48</v>
      </c>
      <c r="D647" s="5" t="s">
        <v>122</v>
      </c>
      <c r="E647" s="5" t="s">
        <v>382</v>
      </c>
    </row>
    <row r="648" ht="15.75" customHeight="1">
      <c r="A648" s="29"/>
      <c r="B648" s="5" t="s">
        <v>4278</v>
      </c>
      <c r="C648" s="5" t="s">
        <v>79</v>
      </c>
      <c r="D648" s="5" t="s">
        <v>52</v>
      </c>
      <c r="E648" s="5" t="s">
        <v>382</v>
      </c>
    </row>
    <row r="649" ht="15.75" customHeight="1">
      <c r="A649" s="29"/>
      <c r="B649" s="5" t="s">
        <v>3279</v>
      </c>
      <c r="C649" s="5" t="s">
        <v>79</v>
      </c>
      <c r="D649" s="5" t="s">
        <v>122</v>
      </c>
      <c r="E649" s="5" t="s">
        <v>382</v>
      </c>
    </row>
    <row r="650" ht="15.75" customHeight="1">
      <c r="A650" s="29"/>
      <c r="B650" s="5" t="s">
        <v>3528</v>
      </c>
      <c r="C650" s="5" t="s">
        <v>136</v>
      </c>
      <c r="D650" s="5" t="s">
        <v>82</v>
      </c>
      <c r="E650" s="5" t="s">
        <v>382</v>
      </c>
    </row>
    <row r="651" ht="15.75" customHeight="1">
      <c r="A651" s="29"/>
      <c r="B651" s="5" t="s">
        <v>3376</v>
      </c>
      <c r="C651" s="5" t="s">
        <v>615</v>
      </c>
      <c r="D651" s="5" t="s">
        <v>71</v>
      </c>
      <c r="E651" s="5" t="s">
        <v>382</v>
      </c>
    </row>
    <row r="652" ht="15.75" customHeight="1">
      <c r="A652" s="29"/>
      <c r="B652" s="5" t="s">
        <v>3513</v>
      </c>
      <c r="C652" s="5" t="s">
        <v>79</v>
      </c>
      <c r="D652" s="5" t="s">
        <v>90</v>
      </c>
      <c r="E652" s="5" t="s">
        <v>382</v>
      </c>
    </row>
    <row r="653" ht="15.75" customHeight="1">
      <c r="A653" s="29"/>
      <c r="B653" s="5" t="s">
        <v>3547</v>
      </c>
      <c r="C653" s="5" t="s">
        <v>79</v>
      </c>
      <c r="D653" s="5" t="s">
        <v>85</v>
      </c>
      <c r="E653" s="5" t="s">
        <v>382</v>
      </c>
    </row>
    <row r="654" ht="15.75" customHeight="1">
      <c r="A654" s="29"/>
      <c r="B654" s="5" t="s">
        <v>3403</v>
      </c>
      <c r="C654" s="5" t="s">
        <v>79</v>
      </c>
      <c r="D654" s="5" t="s">
        <v>52</v>
      </c>
      <c r="E654" s="5" t="s">
        <v>382</v>
      </c>
    </row>
    <row r="655" ht="15.75" customHeight="1">
      <c r="A655" s="29"/>
      <c r="B655" s="5" t="s">
        <v>4517</v>
      </c>
      <c r="C655" s="5" t="s">
        <v>79</v>
      </c>
      <c r="D655" s="5" t="s">
        <v>71</v>
      </c>
      <c r="E655" s="5" t="s">
        <v>382</v>
      </c>
    </row>
    <row r="656" ht="15.75" customHeight="1">
      <c r="A656" s="29"/>
      <c r="B656" s="5" t="s">
        <v>4434</v>
      </c>
      <c r="C656" s="5" t="s">
        <v>22</v>
      </c>
      <c r="D656" s="5" t="s">
        <v>95</v>
      </c>
      <c r="E656" s="5" t="s">
        <v>382</v>
      </c>
    </row>
    <row r="657" ht="15.75" customHeight="1">
      <c r="A657" s="29"/>
      <c r="B657" s="5" t="s">
        <v>4502</v>
      </c>
      <c r="C657" s="5" t="s">
        <v>585</v>
      </c>
      <c r="D657" s="5" t="s">
        <v>49</v>
      </c>
      <c r="E657" s="5" t="s">
        <v>382</v>
      </c>
    </row>
    <row r="658" ht="15.75" customHeight="1">
      <c r="A658" s="29"/>
      <c r="B658" s="5" t="s">
        <v>3377</v>
      </c>
      <c r="C658" s="5" t="s">
        <v>218</v>
      </c>
      <c r="D658" s="5" t="s">
        <v>9</v>
      </c>
      <c r="E658" s="5" t="s">
        <v>382</v>
      </c>
    </row>
    <row r="659" ht="15.75" customHeight="1">
      <c r="A659" s="29"/>
      <c r="B659" s="5" t="s">
        <v>4227</v>
      </c>
      <c r="C659" s="5" t="s">
        <v>419</v>
      </c>
      <c r="D659" s="5" t="s">
        <v>49</v>
      </c>
      <c r="E659" s="5" t="s">
        <v>382</v>
      </c>
    </row>
    <row r="660" ht="15.75" customHeight="1">
      <c r="A660" s="29"/>
      <c r="B660" s="5" t="s">
        <v>4400</v>
      </c>
      <c r="C660" s="5" t="s">
        <v>79</v>
      </c>
      <c r="D660" s="5" t="s">
        <v>34</v>
      </c>
      <c r="E660" s="5" t="s">
        <v>382</v>
      </c>
    </row>
    <row r="661" ht="15.75" customHeight="1">
      <c r="A661" s="29"/>
      <c r="B661" s="5" t="s">
        <v>4270</v>
      </c>
      <c r="C661" s="5" t="s">
        <v>77</v>
      </c>
      <c r="D661" s="5" t="s">
        <v>34</v>
      </c>
      <c r="E661" s="5" t="s">
        <v>382</v>
      </c>
    </row>
    <row r="662" ht="15.75" customHeight="1">
      <c r="A662" s="29"/>
      <c r="B662" s="5" t="s">
        <v>4903</v>
      </c>
      <c r="C662" s="5" t="s">
        <v>8</v>
      </c>
      <c r="D662" s="5" t="s">
        <v>49</v>
      </c>
      <c r="E662" s="5" t="s">
        <v>382</v>
      </c>
    </row>
    <row r="663" ht="15.75" customHeight="1">
      <c r="A663" s="29"/>
      <c r="B663" s="5" t="s">
        <v>4694</v>
      </c>
      <c r="C663" s="5" t="s">
        <v>55</v>
      </c>
      <c r="D663" s="5" t="s">
        <v>25</v>
      </c>
      <c r="E663" s="5" t="s">
        <v>382</v>
      </c>
    </row>
    <row r="664" ht="15.75" customHeight="1">
      <c r="A664" s="29"/>
      <c r="B664" s="5" t="s">
        <v>5527</v>
      </c>
      <c r="C664" s="5" t="s">
        <v>77</v>
      </c>
      <c r="D664" s="5" t="s">
        <v>137</v>
      </c>
      <c r="E664" s="5" t="s">
        <v>382</v>
      </c>
    </row>
    <row r="665" ht="15.75" customHeight="1">
      <c r="A665" s="29"/>
      <c r="B665" s="5" t="s">
        <v>3743</v>
      </c>
      <c r="C665" s="5" t="s">
        <v>79</v>
      </c>
      <c r="D665" s="5" t="s">
        <v>71</v>
      </c>
      <c r="E665" s="5" t="s">
        <v>382</v>
      </c>
    </row>
    <row r="666" ht="15.75" customHeight="1">
      <c r="A666" s="29"/>
      <c r="B666" s="5" t="s">
        <v>3323</v>
      </c>
      <c r="C666" s="5" t="s">
        <v>79</v>
      </c>
      <c r="D666" s="5" t="s">
        <v>9</v>
      </c>
      <c r="E666" s="5" t="s">
        <v>382</v>
      </c>
    </row>
    <row r="667" ht="15.75" customHeight="1">
      <c r="A667" s="29"/>
      <c r="B667" s="5" t="s">
        <v>3476</v>
      </c>
      <c r="C667" s="5" t="s">
        <v>79</v>
      </c>
      <c r="D667" s="5" t="s">
        <v>137</v>
      </c>
      <c r="E667" s="5" t="s">
        <v>382</v>
      </c>
    </row>
    <row r="668" ht="15.75" customHeight="1">
      <c r="A668" s="29"/>
      <c r="B668" s="5" t="s">
        <v>4591</v>
      </c>
      <c r="C668" s="5" t="s">
        <v>1839</v>
      </c>
      <c r="D668" s="5" t="s">
        <v>18</v>
      </c>
      <c r="E668" s="5" t="s">
        <v>382</v>
      </c>
    </row>
    <row r="669" ht="15.75" customHeight="1">
      <c r="A669" s="29"/>
      <c r="B669" s="5" t="s">
        <v>3535</v>
      </c>
      <c r="C669" s="5" t="s">
        <v>79</v>
      </c>
      <c r="D669" s="5" t="s">
        <v>27</v>
      </c>
      <c r="E669" s="5" t="s">
        <v>382</v>
      </c>
    </row>
    <row r="670" ht="15.75" customHeight="1">
      <c r="A670" s="29"/>
      <c r="B670" s="5" t="s">
        <v>4683</v>
      </c>
      <c r="C670" s="5" t="s">
        <v>33</v>
      </c>
      <c r="D670" s="5" t="s">
        <v>73</v>
      </c>
      <c r="E670" s="5" t="s">
        <v>382</v>
      </c>
    </row>
    <row r="671" ht="15.75" customHeight="1">
      <c r="A671" s="29"/>
      <c r="B671" s="5" t="s">
        <v>4458</v>
      </c>
      <c r="C671" s="5" t="s">
        <v>79</v>
      </c>
      <c r="D671" s="5" t="s">
        <v>31</v>
      </c>
      <c r="E671" s="5" t="s">
        <v>382</v>
      </c>
    </row>
    <row r="672" ht="15.75" customHeight="1">
      <c r="A672" s="29"/>
      <c r="B672" s="5" t="s">
        <v>5186</v>
      </c>
      <c r="C672" s="5" t="s">
        <v>77</v>
      </c>
      <c r="D672" s="5" t="s">
        <v>140</v>
      </c>
      <c r="E672" s="5" t="s">
        <v>382</v>
      </c>
    </row>
    <row r="673" ht="15.75" customHeight="1">
      <c r="A673" s="29"/>
      <c r="B673" s="5" t="s">
        <v>4684</v>
      </c>
      <c r="C673" s="5" t="s">
        <v>220</v>
      </c>
      <c r="D673" s="5" t="s">
        <v>122</v>
      </c>
      <c r="E673" s="5" t="s">
        <v>382</v>
      </c>
    </row>
    <row r="674" ht="15.75" customHeight="1">
      <c r="A674" s="29"/>
      <c r="B674" s="5" t="s">
        <v>5528</v>
      </c>
      <c r="C674" s="5" t="s">
        <v>48</v>
      </c>
      <c r="D674" s="5" t="s">
        <v>36</v>
      </c>
      <c r="E674" s="5" t="s">
        <v>382</v>
      </c>
    </row>
    <row r="675" ht="15.75" customHeight="1">
      <c r="A675" s="29"/>
      <c r="B675" s="5" t="s">
        <v>3417</v>
      </c>
      <c r="C675" s="5" t="s">
        <v>39</v>
      </c>
      <c r="D675" s="5" t="s">
        <v>90</v>
      </c>
      <c r="E675" s="5" t="s">
        <v>382</v>
      </c>
    </row>
    <row r="676" ht="15.75" customHeight="1">
      <c r="A676" s="29"/>
      <c r="B676" s="5" t="s">
        <v>3305</v>
      </c>
      <c r="C676" s="5" t="s">
        <v>79</v>
      </c>
      <c r="D676" s="5" t="s">
        <v>34</v>
      </c>
      <c r="E676" s="5" t="s">
        <v>382</v>
      </c>
    </row>
    <row r="677" ht="15.75" customHeight="1">
      <c r="A677" s="29"/>
      <c r="B677" s="5" t="s">
        <v>4460</v>
      </c>
      <c r="C677" s="5" t="s">
        <v>240</v>
      </c>
      <c r="D677" s="5" t="s">
        <v>122</v>
      </c>
      <c r="E677" s="5" t="s">
        <v>382</v>
      </c>
    </row>
    <row r="678" ht="15.75" customHeight="1">
      <c r="A678" s="29"/>
      <c r="B678" s="5" t="s">
        <v>4126</v>
      </c>
      <c r="C678" s="5" t="s">
        <v>79</v>
      </c>
      <c r="D678" s="5" t="s">
        <v>18</v>
      </c>
      <c r="E678" s="5" t="s">
        <v>382</v>
      </c>
    </row>
    <row r="679" ht="15.75" customHeight="1">
      <c r="A679" s="29"/>
      <c r="B679" s="5" t="s">
        <v>5473</v>
      </c>
      <c r="C679" s="5" t="s">
        <v>470</v>
      </c>
      <c r="D679" s="5" t="s">
        <v>18</v>
      </c>
      <c r="E679" s="5" t="s">
        <v>382</v>
      </c>
    </row>
    <row r="680" ht="15.75" customHeight="1">
      <c r="A680" s="29"/>
      <c r="B680" s="5" t="s">
        <v>5584</v>
      </c>
      <c r="C680" s="5" t="s">
        <v>39</v>
      </c>
      <c r="D680" s="5" t="s">
        <v>129</v>
      </c>
      <c r="E680" s="5" t="s">
        <v>382</v>
      </c>
    </row>
    <row r="681" ht="15.75" customHeight="1">
      <c r="A681" s="29"/>
      <c r="B681" s="5" t="s">
        <v>4296</v>
      </c>
      <c r="C681" s="5" t="s">
        <v>79</v>
      </c>
      <c r="D681" s="5" t="s">
        <v>18</v>
      </c>
      <c r="E681" s="5" t="s">
        <v>382</v>
      </c>
    </row>
    <row r="682" ht="15.75" customHeight="1">
      <c r="A682" s="29"/>
      <c r="B682" s="5" t="s">
        <v>4578</v>
      </c>
      <c r="C682" s="5" t="s">
        <v>20</v>
      </c>
      <c r="D682" s="5" t="s">
        <v>137</v>
      </c>
      <c r="E682" s="5" t="s">
        <v>382</v>
      </c>
    </row>
    <row r="683" ht="15.75" customHeight="1">
      <c r="A683" s="29"/>
      <c r="B683" s="5" t="s">
        <v>4889</v>
      </c>
      <c r="C683" s="5" t="s">
        <v>69</v>
      </c>
      <c r="D683" s="5" t="s">
        <v>49</v>
      </c>
      <c r="E683" s="5" t="s">
        <v>382</v>
      </c>
    </row>
    <row r="684" ht="15.75" customHeight="1">
      <c r="A684" s="29"/>
      <c r="B684" s="5" t="s">
        <v>3433</v>
      </c>
      <c r="C684" s="5" t="s">
        <v>79</v>
      </c>
      <c r="D684" s="5" t="s">
        <v>105</v>
      </c>
      <c r="E684" s="5" t="s">
        <v>382</v>
      </c>
    </row>
    <row r="685" ht="15.75" customHeight="1">
      <c r="A685" s="29"/>
      <c r="B685" s="5" t="s">
        <v>4606</v>
      </c>
      <c r="C685" s="5" t="s">
        <v>69</v>
      </c>
      <c r="D685" s="5" t="s">
        <v>206</v>
      </c>
      <c r="E685" s="5" t="s">
        <v>382</v>
      </c>
    </row>
    <row r="686" ht="15.75" customHeight="1">
      <c r="A686" s="29"/>
      <c r="B686" s="5" t="s">
        <v>4717</v>
      </c>
      <c r="C686" s="5" t="s">
        <v>69</v>
      </c>
      <c r="D686" s="5" t="s">
        <v>25</v>
      </c>
      <c r="E686" s="5" t="s">
        <v>382</v>
      </c>
    </row>
    <row r="687" ht="15.75" customHeight="1">
      <c r="A687" s="29"/>
      <c r="B687" s="5" t="s">
        <v>3917</v>
      </c>
      <c r="C687" s="5" t="s">
        <v>22</v>
      </c>
      <c r="D687" s="5" t="s">
        <v>71</v>
      </c>
      <c r="E687" s="5" t="s">
        <v>382</v>
      </c>
    </row>
    <row r="688" ht="15.75" customHeight="1">
      <c r="A688" s="29"/>
      <c r="B688" s="5" t="s">
        <v>4627</v>
      </c>
      <c r="C688" s="5" t="s">
        <v>77</v>
      </c>
      <c r="D688" s="5" t="s">
        <v>95</v>
      </c>
      <c r="E688" s="5" t="s">
        <v>382</v>
      </c>
    </row>
    <row r="689" ht="15.75" customHeight="1">
      <c r="A689" s="29"/>
      <c r="B689" s="5" t="s">
        <v>4729</v>
      </c>
      <c r="C689" s="5" t="s">
        <v>39</v>
      </c>
      <c r="D689" s="5" t="s">
        <v>85</v>
      </c>
      <c r="E689" s="5" t="s">
        <v>382</v>
      </c>
    </row>
    <row r="690" ht="15.75" customHeight="1">
      <c r="A690" s="29"/>
      <c r="B690" s="5" t="s">
        <v>4616</v>
      </c>
      <c r="C690" s="5" t="s">
        <v>22</v>
      </c>
      <c r="D690" s="5" t="s">
        <v>71</v>
      </c>
      <c r="E690" s="5" t="s">
        <v>382</v>
      </c>
    </row>
    <row r="691" ht="15.75" customHeight="1">
      <c r="A691" s="29"/>
      <c r="B691" s="5" t="s">
        <v>3659</v>
      </c>
      <c r="C691" s="5" t="s">
        <v>79</v>
      </c>
      <c r="D691" s="5" t="s">
        <v>34</v>
      </c>
      <c r="E691" s="5" t="s">
        <v>382</v>
      </c>
    </row>
    <row r="692" ht="15.75" customHeight="1">
      <c r="A692" s="29"/>
      <c r="B692" s="5" t="s">
        <v>4091</v>
      </c>
      <c r="C692" s="5" t="s">
        <v>20</v>
      </c>
      <c r="D692" s="5" t="s">
        <v>129</v>
      </c>
      <c r="E692" s="5" t="s">
        <v>382</v>
      </c>
    </row>
    <row r="693" ht="15.75" customHeight="1">
      <c r="A693" s="29"/>
      <c r="B693" s="5" t="s">
        <v>4225</v>
      </c>
      <c r="C693" s="5" t="s">
        <v>22</v>
      </c>
      <c r="D693" s="5" t="s">
        <v>206</v>
      </c>
      <c r="E693" s="5" t="s">
        <v>382</v>
      </c>
    </row>
    <row r="694" ht="15.75" customHeight="1">
      <c r="A694" s="29"/>
      <c r="B694" s="5" t="s">
        <v>4881</v>
      </c>
      <c r="C694" s="5" t="s">
        <v>69</v>
      </c>
      <c r="D694" s="5" t="s">
        <v>42</v>
      </c>
      <c r="E694" s="5" t="s">
        <v>382</v>
      </c>
    </row>
    <row r="695" ht="15.75" customHeight="1">
      <c r="A695" s="29"/>
      <c r="B695" s="5" t="s">
        <v>4601</v>
      </c>
      <c r="C695" s="5" t="s">
        <v>77</v>
      </c>
      <c r="D695" s="5" t="s">
        <v>42</v>
      </c>
      <c r="E695" s="5" t="s">
        <v>382</v>
      </c>
    </row>
    <row r="696" ht="15.75" customHeight="1">
      <c r="A696" s="29"/>
      <c r="B696" s="5" t="s">
        <v>4079</v>
      </c>
      <c r="C696" s="5" t="s">
        <v>79</v>
      </c>
      <c r="D696" s="5" t="s">
        <v>27</v>
      </c>
      <c r="E696" s="5" t="s">
        <v>382</v>
      </c>
    </row>
    <row r="697" ht="15.75" customHeight="1">
      <c r="A697" s="29"/>
      <c r="B697" s="5" t="s">
        <v>4915</v>
      </c>
      <c r="C697" s="5" t="s">
        <v>20</v>
      </c>
      <c r="D697" s="5" t="s">
        <v>15</v>
      </c>
      <c r="E697" s="5" t="s">
        <v>382</v>
      </c>
    </row>
    <row r="698" ht="15.75" customHeight="1">
      <c r="A698" s="29"/>
      <c r="B698" s="5" t="s">
        <v>5510</v>
      </c>
      <c r="C698" s="5" t="s">
        <v>39</v>
      </c>
      <c r="D698" s="5" t="s">
        <v>36</v>
      </c>
      <c r="E698" s="5" t="s">
        <v>382</v>
      </c>
    </row>
    <row r="699" ht="15.75" customHeight="1">
      <c r="A699" s="29"/>
      <c r="B699" s="5" t="s">
        <v>4448</v>
      </c>
      <c r="C699" s="5" t="s">
        <v>11</v>
      </c>
      <c r="D699" s="5" t="s">
        <v>18</v>
      </c>
      <c r="E699" s="5" t="s">
        <v>382</v>
      </c>
    </row>
    <row r="700" ht="15.75" customHeight="1">
      <c r="A700" s="29"/>
      <c r="B700" s="5" t="s">
        <v>4988</v>
      </c>
      <c r="C700" s="5" t="s">
        <v>8</v>
      </c>
      <c r="D700" s="5" t="s">
        <v>95</v>
      </c>
      <c r="E700" s="5" t="s">
        <v>382</v>
      </c>
    </row>
    <row r="701" ht="15.75" customHeight="1">
      <c r="A701" s="29"/>
      <c r="B701" s="5" t="s">
        <v>4412</v>
      </c>
      <c r="C701" s="5" t="s">
        <v>17</v>
      </c>
      <c r="D701" s="5" t="s">
        <v>15</v>
      </c>
      <c r="E701" s="5" t="s">
        <v>382</v>
      </c>
    </row>
    <row r="702" ht="15.75" customHeight="1">
      <c r="A702" s="29"/>
      <c r="B702" s="5" t="s">
        <v>4741</v>
      </c>
      <c r="C702" s="5" t="s">
        <v>77</v>
      </c>
      <c r="D702" s="5" t="s">
        <v>15</v>
      </c>
      <c r="E702" s="5" t="s">
        <v>382</v>
      </c>
    </row>
    <row r="703" ht="15.75" customHeight="1">
      <c r="A703" s="29"/>
      <c r="B703" s="5" t="s">
        <v>4087</v>
      </c>
      <c r="C703" s="5" t="s">
        <v>55</v>
      </c>
      <c r="D703" s="5" t="s">
        <v>49</v>
      </c>
      <c r="E703" s="5" t="s">
        <v>382</v>
      </c>
    </row>
    <row r="704" ht="15.75" customHeight="1">
      <c r="A704" s="29"/>
      <c r="B704" s="5" t="s">
        <v>4447</v>
      </c>
      <c r="C704" s="5" t="s">
        <v>1690</v>
      </c>
      <c r="D704" s="5" t="s">
        <v>25</v>
      </c>
      <c r="E704" s="5" t="s">
        <v>382</v>
      </c>
    </row>
    <row r="705" ht="15.75" customHeight="1">
      <c r="A705" s="29"/>
      <c r="B705" s="5" t="s">
        <v>3290</v>
      </c>
      <c r="C705" s="5" t="s">
        <v>79</v>
      </c>
      <c r="D705" s="5" t="s">
        <v>90</v>
      </c>
      <c r="E705" s="5" t="s">
        <v>382</v>
      </c>
    </row>
    <row r="706" ht="15.75" customHeight="1">
      <c r="A706" s="29"/>
      <c r="B706" s="5" t="s">
        <v>5017</v>
      </c>
      <c r="C706" s="5" t="s">
        <v>11</v>
      </c>
      <c r="D706" s="5" t="s">
        <v>105</v>
      </c>
      <c r="E706" s="5" t="s">
        <v>382</v>
      </c>
    </row>
    <row r="707" ht="15.75" customHeight="1">
      <c r="A707" s="29"/>
      <c r="B707" s="5" t="s">
        <v>4456</v>
      </c>
      <c r="C707" s="5" t="s">
        <v>20</v>
      </c>
      <c r="D707" s="5" t="s">
        <v>90</v>
      </c>
      <c r="E707" s="5" t="s">
        <v>382</v>
      </c>
    </row>
    <row r="708" ht="15.75" customHeight="1">
      <c r="A708" s="29"/>
      <c r="B708" s="5" t="s">
        <v>4153</v>
      </c>
      <c r="C708" s="5" t="s">
        <v>79</v>
      </c>
      <c r="D708" s="5" t="s">
        <v>46</v>
      </c>
      <c r="E708" s="5" t="s">
        <v>382</v>
      </c>
    </row>
    <row r="709" ht="15.75" customHeight="1">
      <c r="A709" s="29"/>
      <c r="B709" s="5" t="s">
        <v>4626</v>
      </c>
      <c r="C709" s="5" t="s">
        <v>17</v>
      </c>
      <c r="D709" s="5" t="s">
        <v>120</v>
      </c>
      <c r="E709" s="5" t="s">
        <v>382</v>
      </c>
    </row>
    <row r="710" ht="15.75" customHeight="1">
      <c r="A710" s="29"/>
      <c r="B710" s="5" t="s">
        <v>3937</v>
      </c>
      <c r="C710" s="5" t="s">
        <v>220</v>
      </c>
      <c r="D710" s="5" t="s">
        <v>95</v>
      </c>
      <c r="E710" s="5" t="s">
        <v>382</v>
      </c>
    </row>
    <row r="711" ht="15.75" customHeight="1">
      <c r="A711" s="29"/>
      <c r="B711" s="5" t="s">
        <v>4532</v>
      </c>
      <c r="C711" s="5" t="s">
        <v>470</v>
      </c>
      <c r="D711" s="5" t="s">
        <v>52</v>
      </c>
      <c r="E711" s="5" t="s">
        <v>382</v>
      </c>
    </row>
    <row r="712" ht="15.75" customHeight="1">
      <c r="A712" s="29"/>
      <c r="B712" s="5" t="s">
        <v>3349</v>
      </c>
      <c r="C712" s="5" t="s">
        <v>79</v>
      </c>
      <c r="D712" s="5" t="s">
        <v>49</v>
      </c>
      <c r="E712" s="5" t="s">
        <v>382</v>
      </c>
    </row>
    <row r="713" ht="15.75" customHeight="1">
      <c r="A713" s="29"/>
      <c r="B713" s="5" t="s">
        <v>5556</v>
      </c>
      <c r="C713" s="5" t="s">
        <v>55</v>
      </c>
      <c r="D713" s="5" t="s">
        <v>46</v>
      </c>
      <c r="E713" s="5" t="s">
        <v>382</v>
      </c>
    </row>
    <row r="714" ht="15.75" customHeight="1">
      <c r="A714" s="29"/>
      <c r="B714" s="5" t="s">
        <v>4490</v>
      </c>
      <c r="C714" s="5" t="s">
        <v>240</v>
      </c>
      <c r="D714" s="5" t="s">
        <v>73</v>
      </c>
      <c r="E714" s="5" t="s">
        <v>382</v>
      </c>
    </row>
    <row r="715" ht="15.75" customHeight="1">
      <c r="A715" s="29"/>
      <c r="B715" s="5" t="s">
        <v>3475</v>
      </c>
      <c r="C715" s="5" t="s">
        <v>22</v>
      </c>
      <c r="D715" s="5" t="s">
        <v>18</v>
      </c>
      <c r="E715" s="5" t="s">
        <v>382</v>
      </c>
    </row>
    <row r="716" ht="15.75" customHeight="1">
      <c r="A716" s="29"/>
      <c r="B716" s="5" t="s">
        <v>4424</v>
      </c>
      <c r="C716" s="5" t="s">
        <v>79</v>
      </c>
      <c r="D716" s="5" t="s">
        <v>206</v>
      </c>
      <c r="E716" s="5" t="s">
        <v>382</v>
      </c>
    </row>
    <row r="717" ht="15.75" customHeight="1">
      <c r="A717" s="29"/>
      <c r="B717" s="5" t="s">
        <v>4515</v>
      </c>
      <c r="C717" s="5" t="s">
        <v>63</v>
      </c>
      <c r="D717" s="5" t="s">
        <v>46</v>
      </c>
      <c r="E717" s="5" t="s">
        <v>382</v>
      </c>
    </row>
    <row r="718" ht="15.75" customHeight="1">
      <c r="A718" s="29"/>
      <c r="B718" s="5" t="s">
        <v>4132</v>
      </c>
      <c r="C718" s="5" t="s">
        <v>79</v>
      </c>
      <c r="D718" s="5" t="s">
        <v>18</v>
      </c>
      <c r="E718" s="5" t="s">
        <v>382</v>
      </c>
    </row>
    <row r="719" ht="15.75" customHeight="1">
      <c r="A719" s="29"/>
      <c r="B719" s="5" t="s">
        <v>3694</v>
      </c>
      <c r="C719" s="5" t="s">
        <v>22</v>
      </c>
      <c r="D719" s="5" t="s">
        <v>52</v>
      </c>
      <c r="E719" s="5" t="s">
        <v>382</v>
      </c>
    </row>
    <row r="720" ht="15.75" customHeight="1">
      <c r="A720" s="29"/>
      <c r="B720" s="5" t="s">
        <v>4027</v>
      </c>
      <c r="C720" s="5" t="s">
        <v>79</v>
      </c>
      <c r="D720" s="5" t="s">
        <v>95</v>
      </c>
      <c r="E720" s="5" t="s">
        <v>382</v>
      </c>
    </row>
    <row r="721" ht="15.75" customHeight="1">
      <c r="A721" s="29"/>
      <c r="B721" s="5" t="s">
        <v>3542</v>
      </c>
      <c r="C721" s="5" t="s">
        <v>79</v>
      </c>
      <c r="D721" s="5" t="s">
        <v>9</v>
      </c>
      <c r="E721" s="5" t="s">
        <v>382</v>
      </c>
    </row>
    <row r="722" ht="15.75" customHeight="1">
      <c r="A722" s="29"/>
      <c r="B722" s="5" t="s">
        <v>4364</v>
      </c>
      <c r="C722" s="5" t="s">
        <v>79</v>
      </c>
      <c r="D722" s="5" t="s">
        <v>95</v>
      </c>
      <c r="E722" s="5" t="s">
        <v>382</v>
      </c>
    </row>
    <row r="723" ht="15.75" customHeight="1">
      <c r="A723" s="29"/>
      <c r="B723" s="5" t="s">
        <v>4162</v>
      </c>
      <c r="C723" s="5" t="s">
        <v>79</v>
      </c>
      <c r="D723" s="5" t="s">
        <v>34</v>
      </c>
      <c r="E723" s="5" t="s">
        <v>382</v>
      </c>
    </row>
    <row r="724" ht="15.75" customHeight="1">
      <c r="A724" s="29"/>
      <c r="B724" s="5" t="s">
        <v>3999</v>
      </c>
      <c r="C724" s="5" t="s">
        <v>79</v>
      </c>
      <c r="D724" s="5" t="s">
        <v>46</v>
      </c>
      <c r="E724" s="5" t="s">
        <v>382</v>
      </c>
    </row>
    <row r="725" ht="15.75" customHeight="1">
      <c r="A725" s="29"/>
      <c r="B725" s="5" t="s">
        <v>4422</v>
      </c>
      <c r="C725" s="5" t="s">
        <v>22</v>
      </c>
      <c r="D725" s="5" t="s">
        <v>95</v>
      </c>
      <c r="E725" s="5" t="s">
        <v>382</v>
      </c>
    </row>
    <row r="726" ht="15.75" customHeight="1">
      <c r="A726" s="29"/>
      <c r="B726" s="5" t="s">
        <v>3275</v>
      </c>
      <c r="C726" s="5" t="s">
        <v>220</v>
      </c>
      <c r="D726" s="5" t="s">
        <v>122</v>
      </c>
      <c r="E726" s="5" t="s">
        <v>382</v>
      </c>
    </row>
    <row r="727" ht="15.75" customHeight="1">
      <c r="A727" s="29"/>
      <c r="B727" s="5" t="s">
        <v>4371</v>
      </c>
      <c r="C727" s="5" t="s">
        <v>79</v>
      </c>
      <c r="D727" s="5" t="s">
        <v>42</v>
      </c>
      <c r="E727" s="5" t="s">
        <v>382</v>
      </c>
    </row>
    <row r="728" ht="15.75" customHeight="1">
      <c r="A728" s="29"/>
      <c r="B728" s="5" t="s">
        <v>4401</v>
      </c>
      <c r="C728" s="5" t="s">
        <v>79</v>
      </c>
      <c r="D728" s="5" t="s">
        <v>9</v>
      </c>
      <c r="E728" s="5" t="s">
        <v>382</v>
      </c>
    </row>
    <row r="729" ht="15.75" customHeight="1">
      <c r="A729" s="29"/>
      <c r="B729" s="5" t="s">
        <v>4849</v>
      </c>
      <c r="C729" s="5" t="s">
        <v>17</v>
      </c>
      <c r="D729" s="5" t="s">
        <v>95</v>
      </c>
      <c r="E729" s="5" t="s">
        <v>382</v>
      </c>
    </row>
    <row r="730" ht="15.75" customHeight="1">
      <c r="A730" s="29"/>
      <c r="B730" s="5" t="s">
        <v>4137</v>
      </c>
      <c r="C730" s="5" t="s">
        <v>79</v>
      </c>
      <c r="D730" s="5" t="s">
        <v>85</v>
      </c>
      <c r="E730" s="5" t="s">
        <v>382</v>
      </c>
    </row>
    <row r="731" ht="15.75" customHeight="1">
      <c r="A731" s="29"/>
      <c r="B731" s="5" t="s">
        <v>4169</v>
      </c>
      <c r="C731" s="5" t="s">
        <v>79</v>
      </c>
      <c r="D731" s="5" t="s">
        <v>9</v>
      </c>
      <c r="E731" s="5" t="s">
        <v>382</v>
      </c>
    </row>
    <row r="732" ht="15.75" customHeight="1">
      <c r="A732" s="29"/>
      <c r="B732" s="5" t="s">
        <v>3358</v>
      </c>
      <c r="C732" s="5" t="s">
        <v>79</v>
      </c>
      <c r="D732" s="5" t="s">
        <v>206</v>
      </c>
      <c r="E732" s="5" t="s">
        <v>382</v>
      </c>
    </row>
    <row r="733" ht="15.75" customHeight="1">
      <c r="A733" s="29"/>
      <c r="B733" s="5" t="s">
        <v>3272</v>
      </c>
      <c r="C733" s="5" t="s">
        <v>79</v>
      </c>
      <c r="D733" s="5" t="s">
        <v>95</v>
      </c>
      <c r="E733" s="5" t="s">
        <v>382</v>
      </c>
    </row>
    <row r="734" ht="15.75" customHeight="1">
      <c r="A734" s="29"/>
      <c r="B734" s="5" t="s">
        <v>3457</v>
      </c>
      <c r="C734" s="5" t="s">
        <v>79</v>
      </c>
      <c r="D734" s="5" t="s">
        <v>85</v>
      </c>
      <c r="E734" s="5" t="s">
        <v>382</v>
      </c>
    </row>
    <row r="735" ht="15.75" customHeight="1">
      <c r="A735" s="29"/>
      <c r="B735" s="5" t="s">
        <v>4824</v>
      </c>
      <c r="C735" s="5" t="s">
        <v>8</v>
      </c>
      <c r="D735" s="5" t="s">
        <v>113</v>
      </c>
      <c r="E735" s="5" t="s">
        <v>382</v>
      </c>
    </row>
    <row r="736" ht="15.75" customHeight="1">
      <c r="A736" s="29"/>
      <c r="B736" s="5" t="s">
        <v>4701</v>
      </c>
      <c r="C736" s="5" t="s">
        <v>1954</v>
      </c>
      <c r="D736" s="5" t="s">
        <v>42</v>
      </c>
      <c r="E736" s="5" t="s">
        <v>382</v>
      </c>
    </row>
    <row r="737" ht="15.75" customHeight="1">
      <c r="A737" s="29"/>
      <c r="B737" s="5" t="s">
        <v>3431</v>
      </c>
      <c r="C737" s="5" t="s">
        <v>79</v>
      </c>
      <c r="D737" s="5" t="s">
        <v>27</v>
      </c>
      <c r="E737" s="5" t="s">
        <v>382</v>
      </c>
    </row>
    <row r="738" ht="15.75" customHeight="1">
      <c r="A738" s="29"/>
      <c r="B738" s="5" t="s">
        <v>4121</v>
      </c>
      <c r="C738" s="5" t="s">
        <v>79</v>
      </c>
      <c r="D738" s="5" t="s">
        <v>46</v>
      </c>
      <c r="E738" s="5" t="s">
        <v>382</v>
      </c>
    </row>
    <row r="739" ht="15.75" customHeight="1">
      <c r="A739" s="29"/>
      <c r="B739" s="5" t="s">
        <v>4600</v>
      </c>
      <c r="C739" s="5" t="s">
        <v>220</v>
      </c>
      <c r="D739" s="5" t="s">
        <v>113</v>
      </c>
      <c r="E739" s="5" t="s">
        <v>382</v>
      </c>
    </row>
    <row r="740" ht="15.75" customHeight="1">
      <c r="A740" s="29"/>
      <c r="B740" s="5" t="s">
        <v>4863</v>
      </c>
      <c r="C740" s="5" t="s">
        <v>77</v>
      </c>
      <c r="D740" s="5" t="s">
        <v>36</v>
      </c>
      <c r="E740" s="5" t="s">
        <v>382</v>
      </c>
    </row>
    <row r="741" ht="15.75" customHeight="1">
      <c r="A741" s="29"/>
      <c r="B741" s="5" t="s">
        <v>4884</v>
      </c>
      <c r="C741" s="5" t="s">
        <v>33</v>
      </c>
      <c r="D741" s="5" t="s">
        <v>95</v>
      </c>
      <c r="E741" s="5" t="s">
        <v>382</v>
      </c>
    </row>
    <row r="742" ht="15.75" customHeight="1">
      <c r="A742" s="29"/>
      <c r="B742" s="5" t="s">
        <v>5026</v>
      </c>
      <c r="C742" s="5" t="s">
        <v>77</v>
      </c>
      <c r="D742" s="5" t="s">
        <v>120</v>
      </c>
      <c r="E742" s="5" t="s">
        <v>382</v>
      </c>
    </row>
    <row r="743" ht="15.75" customHeight="1">
      <c r="A743" s="29"/>
      <c r="B743" s="5" t="s">
        <v>3178</v>
      </c>
      <c r="C743" s="5" t="s">
        <v>55</v>
      </c>
      <c r="D743" s="5" t="s">
        <v>140</v>
      </c>
      <c r="E743" s="5" t="s">
        <v>382</v>
      </c>
    </row>
    <row r="744" ht="15.75" customHeight="1">
      <c r="A744" s="29"/>
      <c r="B744" s="5" t="s">
        <v>3443</v>
      </c>
      <c r="C744" s="5" t="s">
        <v>79</v>
      </c>
      <c r="D744" s="5" t="s">
        <v>67</v>
      </c>
      <c r="E744" s="5" t="s">
        <v>382</v>
      </c>
    </row>
    <row r="745" ht="15.75" customHeight="1">
      <c r="A745" s="29"/>
      <c r="B745" s="5" t="s">
        <v>4395</v>
      </c>
      <c r="C745" s="5" t="s">
        <v>79</v>
      </c>
      <c r="D745" s="5" t="s">
        <v>31</v>
      </c>
      <c r="E745" s="5" t="s">
        <v>382</v>
      </c>
    </row>
    <row r="746" ht="15.75" customHeight="1">
      <c r="A746" s="29"/>
      <c r="B746" s="5" t="s">
        <v>3192</v>
      </c>
      <c r="C746" s="5" t="s">
        <v>14</v>
      </c>
      <c r="D746" s="5" t="s">
        <v>85</v>
      </c>
      <c r="E746" s="5" t="s">
        <v>382</v>
      </c>
    </row>
    <row r="747" ht="15.75" customHeight="1">
      <c r="A747" s="29"/>
      <c r="B747" s="5" t="s">
        <v>4178</v>
      </c>
      <c r="C747" s="5" t="s">
        <v>79</v>
      </c>
      <c r="D747" s="5" t="s">
        <v>49</v>
      </c>
      <c r="E747" s="5" t="s">
        <v>382</v>
      </c>
    </row>
    <row r="748" ht="15.75" customHeight="1">
      <c r="A748" s="29"/>
      <c r="B748" s="5" t="s">
        <v>4201</v>
      </c>
      <c r="C748" s="5" t="s">
        <v>79</v>
      </c>
      <c r="D748" s="5" t="s">
        <v>25</v>
      </c>
      <c r="E748" s="5" t="s">
        <v>382</v>
      </c>
    </row>
    <row r="749" ht="15.75" customHeight="1">
      <c r="A749" s="29"/>
      <c r="B749" s="5" t="s">
        <v>5352</v>
      </c>
      <c r="C749" s="5" t="s">
        <v>69</v>
      </c>
      <c r="D749" s="5" t="s">
        <v>36</v>
      </c>
      <c r="E749" s="5" t="s">
        <v>382</v>
      </c>
    </row>
    <row r="750" ht="15.75" customHeight="1">
      <c r="A750" s="29"/>
      <c r="B750" s="5" t="s">
        <v>3770</v>
      </c>
      <c r="C750" s="5" t="s">
        <v>79</v>
      </c>
      <c r="D750" s="5" t="s">
        <v>120</v>
      </c>
      <c r="E750" s="5" t="s">
        <v>382</v>
      </c>
    </row>
    <row r="751" ht="15.75" customHeight="1">
      <c r="A751" s="29"/>
      <c r="B751" s="5" t="s">
        <v>4727</v>
      </c>
      <c r="C751" s="5" t="s">
        <v>189</v>
      </c>
      <c r="D751" s="5" t="s">
        <v>85</v>
      </c>
      <c r="E751" s="5" t="s">
        <v>382</v>
      </c>
    </row>
    <row r="752" ht="15.75" customHeight="1">
      <c r="A752" s="29"/>
      <c r="B752" s="5" t="s">
        <v>4316</v>
      </c>
      <c r="C752" s="5" t="s">
        <v>14</v>
      </c>
      <c r="D752" s="5" t="s">
        <v>140</v>
      </c>
      <c r="E752" s="5" t="s">
        <v>382</v>
      </c>
    </row>
    <row r="753" ht="15.75" customHeight="1">
      <c r="A753" s="29"/>
      <c r="B753" s="5" t="s">
        <v>4794</v>
      </c>
      <c r="C753" s="5" t="s">
        <v>77</v>
      </c>
      <c r="D753" s="5" t="s">
        <v>137</v>
      </c>
      <c r="E753" s="5" t="s">
        <v>382</v>
      </c>
    </row>
    <row r="754" ht="15.75" customHeight="1">
      <c r="A754" s="29"/>
      <c r="B754" s="5" t="s">
        <v>4826</v>
      </c>
      <c r="C754" s="5" t="s">
        <v>240</v>
      </c>
      <c r="D754" s="5" t="s">
        <v>42</v>
      </c>
      <c r="E754" s="5" t="s">
        <v>382</v>
      </c>
    </row>
    <row r="755" ht="15.75" customHeight="1">
      <c r="A755" s="29"/>
      <c r="B755" s="5" t="s">
        <v>4651</v>
      </c>
      <c r="C755" s="5" t="s">
        <v>77</v>
      </c>
      <c r="D755" s="5" t="s">
        <v>122</v>
      </c>
      <c r="E755" s="5" t="s">
        <v>382</v>
      </c>
    </row>
    <row r="756" ht="15.75" customHeight="1">
      <c r="A756" s="29"/>
      <c r="B756" s="5" t="s">
        <v>3893</v>
      </c>
      <c r="C756" s="5" t="s">
        <v>79</v>
      </c>
      <c r="D756" s="5" t="s">
        <v>82</v>
      </c>
      <c r="E756" s="5" t="s">
        <v>382</v>
      </c>
    </row>
    <row r="757" ht="15.75" customHeight="1">
      <c r="A757" s="29"/>
      <c r="B757" s="5" t="s">
        <v>3362</v>
      </c>
      <c r="C757" s="5" t="s">
        <v>79</v>
      </c>
      <c r="D757" s="5" t="s">
        <v>36</v>
      </c>
      <c r="E757" s="5" t="s">
        <v>382</v>
      </c>
    </row>
    <row r="758" ht="15.75" customHeight="1">
      <c r="A758" s="29"/>
      <c r="B758" s="5" t="s">
        <v>5222</v>
      </c>
      <c r="C758" s="5" t="s">
        <v>8</v>
      </c>
      <c r="D758" s="5" t="s">
        <v>122</v>
      </c>
      <c r="E758" s="5" t="s">
        <v>382</v>
      </c>
    </row>
    <row r="759" ht="15.75" customHeight="1">
      <c r="A759" s="29"/>
      <c r="B759" s="5" t="s">
        <v>4280</v>
      </c>
      <c r="C759" s="5" t="s">
        <v>240</v>
      </c>
      <c r="D759" s="5" t="s">
        <v>34</v>
      </c>
      <c r="E759" s="5" t="s">
        <v>382</v>
      </c>
    </row>
    <row r="760" ht="15.75" customHeight="1">
      <c r="A760" s="29"/>
      <c r="B760" s="5" t="s">
        <v>4664</v>
      </c>
      <c r="C760" s="5" t="s">
        <v>1839</v>
      </c>
      <c r="D760" s="5" t="s">
        <v>9</v>
      </c>
      <c r="E760" s="5" t="s">
        <v>382</v>
      </c>
    </row>
    <row r="761" ht="15.75" customHeight="1">
      <c r="A761" s="29"/>
      <c r="B761" s="5" t="s">
        <v>3264</v>
      </c>
      <c r="C761" s="5" t="s">
        <v>79</v>
      </c>
      <c r="D761" s="5" t="s">
        <v>36</v>
      </c>
      <c r="E761" s="5" t="s">
        <v>382</v>
      </c>
    </row>
    <row r="762" ht="15.75" customHeight="1">
      <c r="A762" s="29"/>
      <c r="B762" s="5" t="s">
        <v>3345</v>
      </c>
      <c r="C762" s="5" t="s">
        <v>39</v>
      </c>
      <c r="D762" s="5" t="s">
        <v>67</v>
      </c>
      <c r="E762" s="5" t="s">
        <v>382</v>
      </c>
    </row>
    <row r="763" ht="15.75" customHeight="1">
      <c r="A763" s="29"/>
      <c r="B763" s="5" t="s">
        <v>4520</v>
      </c>
      <c r="C763" s="5" t="s">
        <v>79</v>
      </c>
      <c r="D763" s="5" t="s">
        <v>129</v>
      </c>
      <c r="E763" s="5" t="s">
        <v>382</v>
      </c>
    </row>
    <row r="764" ht="15.75" customHeight="1">
      <c r="A764" s="29"/>
      <c r="B764" s="5" t="s">
        <v>4407</v>
      </c>
      <c r="C764" s="5" t="s">
        <v>79</v>
      </c>
      <c r="D764" s="5" t="s">
        <v>36</v>
      </c>
      <c r="E764" s="5" t="s">
        <v>382</v>
      </c>
    </row>
    <row r="765" ht="15.75" customHeight="1">
      <c r="A765" s="29"/>
      <c r="B765" s="5" t="s">
        <v>5492</v>
      </c>
      <c r="C765" s="5" t="s">
        <v>136</v>
      </c>
      <c r="D765" s="5" t="s">
        <v>82</v>
      </c>
      <c r="E765" s="5" t="s">
        <v>382</v>
      </c>
    </row>
    <row r="766" ht="15.75" customHeight="1">
      <c r="A766" s="29"/>
      <c r="B766" s="5" t="s">
        <v>4226</v>
      </c>
      <c r="C766" s="5" t="s">
        <v>79</v>
      </c>
      <c r="D766" s="5" t="s">
        <v>25</v>
      </c>
      <c r="E766" s="5" t="s">
        <v>382</v>
      </c>
    </row>
    <row r="767" ht="15.75" customHeight="1">
      <c r="A767" s="29"/>
      <c r="B767" s="5" t="s">
        <v>5393</v>
      </c>
      <c r="C767" s="5" t="s">
        <v>77</v>
      </c>
      <c r="D767" s="5" t="s">
        <v>9</v>
      </c>
      <c r="E767" s="5" t="s">
        <v>382</v>
      </c>
    </row>
    <row r="768" ht="15.75" customHeight="1">
      <c r="A768" s="29"/>
      <c r="B768" s="5" t="s">
        <v>4361</v>
      </c>
      <c r="C768" s="5" t="s">
        <v>79</v>
      </c>
      <c r="D768" s="5" t="s">
        <v>82</v>
      </c>
      <c r="E768" s="5" t="s">
        <v>382</v>
      </c>
    </row>
    <row r="769" ht="15.75" customHeight="1">
      <c r="A769" s="29"/>
      <c r="B769" s="5" t="s">
        <v>5533</v>
      </c>
      <c r="C769" s="5" t="s">
        <v>8</v>
      </c>
      <c r="D769" s="5" t="s">
        <v>73</v>
      </c>
      <c r="E769" s="5" t="s">
        <v>382</v>
      </c>
    </row>
    <row r="770" ht="15.75" customHeight="1">
      <c r="A770" s="29"/>
      <c r="B770" s="5" t="s">
        <v>5226</v>
      </c>
      <c r="C770" s="5" t="s">
        <v>20</v>
      </c>
      <c r="D770" s="5" t="s">
        <v>49</v>
      </c>
      <c r="E770" s="5" t="s">
        <v>382</v>
      </c>
    </row>
    <row r="771" ht="15.75" customHeight="1">
      <c r="A771" s="29"/>
      <c r="B771" s="5" t="s">
        <v>5181</v>
      </c>
      <c r="C771" s="5" t="s">
        <v>55</v>
      </c>
      <c r="D771" s="5" t="s">
        <v>49</v>
      </c>
      <c r="E771" s="5" t="s">
        <v>382</v>
      </c>
    </row>
    <row r="772" ht="15.75" customHeight="1">
      <c r="A772" s="29"/>
      <c r="B772" s="5" t="s">
        <v>4013</v>
      </c>
      <c r="C772" s="5" t="s">
        <v>22</v>
      </c>
      <c r="D772" s="5" t="s">
        <v>46</v>
      </c>
      <c r="E772" s="5" t="s">
        <v>382</v>
      </c>
    </row>
    <row r="773" ht="15.75" customHeight="1">
      <c r="A773" s="29"/>
      <c r="B773" s="5" t="s">
        <v>3325</v>
      </c>
      <c r="C773" s="5" t="s">
        <v>79</v>
      </c>
      <c r="D773" s="5" t="s">
        <v>129</v>
      </c>
      <c r="E773" s="5" t="s">
        <v>382</v>
      </c>
    </row>
    <row r="774" ht="15.75" customHeight="1">
      <c r="A774" s="29"/>
      <c r="B774" s="5" t="s">
        <v>3724</v>
      </c>
      <c r="C774" s="5" t="s">
        <v>79</v>
      </c>
      <c r="D774" s="5" t="s">
        <v>42</v>
      </c>
      <c r="E774" s="5" t="s">
        <v>382</v>
      </c>
    </row>
    <row r="775" ht="15.75" customHeight="1">
      <c r="A775" s="29"/>
      <c r="B775" s="5" t="s">
        <v>3258</v>
      </c>
      <c r="C775" s="5" t="s">
        <v>79</v>
      </c>
      <c r="D775" s="5" t="s">
        <v>15</v>
      </c>
      <c r="E775" s="5" t="s">
        <v>382</v>
      </c>
    </row>
    <row r="776" ht="15.75" customHeight="1">
      <c r="A776" s="29"/>
      <c r="B776" s="5" t="s">
        <v>5440</v>
      </c>
      <c r="C776" s="5" t="s">
        <v>136</v>
      </c>
      <c r="D776" s="5" t="s">
        <v>140</v>
      </c>
      <c r="E776" s="5" t="s">
        <v>382</v>
      </c>
    </row>
    <row r="777" ht="15.75" customHeight="1">
      <c r="A777" s="29"/>
      <c r="B777" s="5" t="s">
        <v>3384</v>
      </c>
      <c r="C777" s="5" t="s">
        <v>79</v>
      </c>
      <c r="D777" s="5" t="s">
        <v>71</v>
      </c>
      <c r="E777" s="5" t="s">
        <v>382</v>
      </c>
    </row>
    <row r="778" ht="15.75" customHeight="1">
      <c r="A778" s="29"/>
      <c r="B778" s="5" t="s">
        <v>3413</v>
      </c>
      <c r="C778" s="5" t="s">
        <v>79</v>
      </c>
      <c r="D778" s="5" t="s">
        <v>71</v>
      </c>
      <c r="E778" s="5" t="s">
        <v>382</v>
      </c>
    </row>
    <row r="779" ht="15.75" customHeight="1">
      <c r="A779" s="29"/>
      <c r="B779" s="5" t="s">
        <v>5135</v>
      </c>
      <c r="C779" s="5" t="s">
        <v>77</v>
      </c>
      <c r="D779" s="5" t="s">
        <v>49</v>
      </c>
      <c r="E779" s="5" t="s">
        <v>382</v>
      </c>
    </row>
    <row r="780" ht="15.75" customHeight="1">
      <c r="A780" s="29"/>
      <c r="B780" s="5" t="s">
        <v>4058</v>
      </c>
      <c r="C780" s="5" t="s">
        <v>79</v>
      </c>
      <c r="D780" s="5" t="s">
        <v>42</v>
      </c>
      <c r="E780" s="5" t="s">
        <v>382</v>
      </c>
    </row>
    <row r="781" ht="15.75" customHeight="1">
      <c r="A781" s="29"/>
      <c r="B781" s="5" t="s">
        <v>3775</v>
      </c>
      <c r="C781" s="5" t="s">
        <v>79</v>
      </c>
      <c r="D781" s="5" t="s">
        <v>95</v>
      </c>
      <c r="E781" s="5" t="s">
        <v>382</v>
      </c>
    </row>
    <row r="782" ht="15.75" customHeight="1">
      <c r="A782" s="29"/>
      <c r="B782" s="5" t="s">
        <v>4330</v>
      </c>
      <c r="C782" s="5" t="s">
        <v>79</v>
      </c>
      <c r="D782" s="5" t="s">
        <v>105</v>
      </c>
      <c r="E782" s="5" t="s">
        <v>382</v>
      </c>
    </row>
    <row r="783" ht="15.75" customHeight="1">
      <c r="A783" s="29"/>
      <c r="B783" s="5" t="s">
        <v>3391</v>
      </c>
      <c r="C783" s="5" t="s">
        <v>79</v>
      </c>
      <c r="D783" s="5" t="s">
        <v>99</v>
      </c>
      <c r="E783" s="5" t="s">
        <v>382</v>
      </c>
    </row>
    <row r="784" ht="15.75" customHeight="1">
      <c r="A784" s="29"/>
      <c r="B784" s="5" t="s">
        <v>3159</v>
      </c>
      <c r="C784" s="5" t="s">
        <v>20</v>
      </c>
      <c r="D784" s="5" t="s">
        <v>140</v>
      </c>
      <c r="E784" s="5" t="s">
        <v>382</v>
      </c>
    </row>
    <row r="785" ht="15.75" customHeight="1">
      <c r="A785" s="29"/>
      <c r="B785" s="5" t="s">
        <v>3498</v>
      </c>
      <c r="C785" s="5" t="s">
        <v>79</v>
      </c>
      <c r="D785" s="5" t="s">
        <v>52</v>
      </c>
      <c r="E785" s="5" t="s">
        <v>382</v>
      </c>
    </row>
    <row r="786" ht="15.75" customHeight="1">
      <c r="A786" s="29"/>
      <c r="B786" s="5" t="s">
        <v>5204</v>
      </c>
      <c r="C786" s="5" t="s">
        <v>69</v>
      </c>
      <c r="D786" s="5" t="s">
        <v>18</v>
      </c>
      <c r="E786" s="5" t="s">
        <v>382</v>
      </c>
    </row>
    <row r="787" ht="15.75" customHeight="1">
      <c r="A787" s="29"/>
      <c r="B787" s="5" t="s">
        <v>4696</v>
      </c>
      <c r="C787" s="5" t="s">
        <v>218</v>
      </c>
      <c r="D787" s="5" t="s">
        <v>42</v>
      </c>
      <c r="E787" s="5" t="s">
        <v>382</v>
      </c>
    </row>
    <row r="788" ht="15.75" customHeight="1">
      <c r="A788" s="29"/>
      <c r="B788" s="5" t="s">
        <v>3821</v>
      </c>
      <c r="C788" s="5" t="s">
        <v>22</v>
      </c>
      <c r="D788" s="5" t="s">
        <v>49</v>
      </c>
      <c r="E788" s="5" t="s">
        <v>382</v>
      </c>
    </row>
    <row r="789" ht="15.75" customHeight="1">
      <c r="A789" s="29"/>
      <c r="B789" s="5" t="s">
        <v>4731</v>
      </c>
      <c r="C789" s="5" t="s">
        <v>355</v>
      </c>
      <c r="D789" s="5" t="s">
        <v>129</v>
      </c>
      <c r="E789" s="5" t="s">
        <v>382</v>
      </c>
    </row>
    <row r="790" ht="15.75" customHeight="1">
      <c r="A790" s="29"/>
      <c r="B790" s="5" t="s">
        <v>4380</v>
      </c>
      <c r="C790" s="5" t="s">
        <v>22</v>
      </c>
      <c r="D790" s="5" t="s">
        <v>49</v>
      </c>
      <c r="E790" s="5" t="s">
        <v>382</v>
      </c>
    </row>
    <row r="791" ht="15.75" customHeight="1">
      <c r="A791" s="29"/>
      <c r="B791" s="5" t="s">
        <v>4656</v>
      </c>
      <c r="C791" s="5" t="s">
        <v>240</v>
      </c>
      <c r="D791" s="5" t="s">
        <v>23</v>
      </c>
      <c r="E791" s="5" t="s">
        <v>382</v>
      </c>
    </row>
    <row r="792" ht="15.75" customHeight="1">
      <c r="A792" s="29"/>
      <c r="B792" s="5" t="s">
        <v>3207</v>
      </c>
      <c r="C792" s="5" t="s">
        <v>218</v>
      </c>
      <c r="D792" s="5" t="s">
        <v>90</v>
      </c>
      <c r="E792" s="5" t="s">
        <v>382</v>
      </c>
    </row>
    <row r="793" ht="15.75" customHeight="1">
      <c r="A793" s="29"/>
      <c r="B793" s="5" t="s">
        <v>4663</v>
      </c>
      <c r="C793" s="5" t="s">
        <v>262</v>
      </c>
      <c r="D793" s="5" t="s">
        <v>120</v>
      </c>
      <c r="E793" s="5" t="s">
        <v>382</v>
      </c>
    </row>
    <row r="794" ht="15.75" customHeight="1">
      <c r="A794" s="29"/>
      <c r="B794" s="5" t="s">
        <v>4327</v>
      </c>
      <c r="C794" s="5" t="s">
        <v>63</v>
      </c>
      <c r="D794" s="5" t="s">
        <v>12</v>
      </c>
      <c r="E794" s="5" t="s">
        <v>382</v>
      </c>
    </row>
    <row r="795" ht="15.75" customHeight="1">
      <c r="A795" s="29"/>
      <c r="B795" s="5" t="s">
        <v>4426</v>
      </c>
      <c r="C795" s="5" t="s">
        <v>22</v>
      </c>
      <c r="D795" s="5" t="s">
        <v>105</v>
      </c>
      <c r="E795" s="5" t="s">
        <v>382</v>
      </c>
    </row>
    <row r="796" ht="15.75" customHeight="1">
      <c r="A796" s="29"/>
      <c r="B796" s="5" t="s">
        <v>5260</v>
      </c>
      <c r="C796" s="5" t="s">
        <v>48</v>
      </c>
      <c r="D796" s="5" t="s">
        <v>95</v>
      </c>
      <c r="E796" s="5" t="s">
        <v>382</v>
      </c>
    </row>
    <row r="797" ht="15.75" customHeight="1">
      <c r="A797" s="29"/>
      <c r="B797" s="5" t="s">
        <v>4638</v>
      </c>
      <c r="C797" s="5" t="s">
        <v>39</v>
      </c>
      <c r="D797" s="5" t="s">
        <v>113</v>
      </c>
      <c r="E797" s="5" t="s">
        <v>382</v>
      </c>
    </row>
    <row r="798" ht="15.75" customHeight="1">
      <c r="A798" s="29"/>
      <c r="B798" s="5" t="s">
        <v>4804</v>
      </c>
      <c r="C798" s="5" t="s">
        <v>33</v>
      </c>
      <c r="D798" s="5" t="s">
        <v>31</v>
      </c>
      <c r="E798" s="5" t="s">
        <v>382</v>
      </c>
    </row>
    <row r="799" ht="15.75" customHeight="1">
      <c r="A799" s="29"/>
      <c r="B799" s="5" t="s">
        <v>4469</v>
      </c>
      <c r="C799" s="5" t="s">
        <v>79</v>
      </c>
      <c r="D799" s="5" t="s">
        <v>49</v>
      </c>
      <c r="E799" s="5" t="s">
        <v>382</v>
      </c>
    </row>
    <row r="800" ht="15.75" customHeight="1">
      <c r="A800" s="29"/>
      <c r="B800" s="5" t="s">
        <v>4652</v>
      </c>
      <c r="C800" s="5" t="s">
        <v>55</v>
      </c>
      <c r="D800" s="5" t="s">
        <v>49</v>
      </c>
      <c r="E800" s="5" t="s">
        <v>382</v>
      </c>
    </row>
    <row r="801" ht="15.75" customHeight="1">
      <c r="A801" s="29"/>
      <c r="B801" s="5" t="s">
        <v>3533</v>
      </c>
      <c r="C801" s="5" t="s">
        <v>79</v>
      </c>
      <c r="D801" s="5" t="s">
        <v>52</v>
      </c>
      <c r="E801" s="5" t="s">
        <v>382</v>
      </c>
    </row>
    <row r="802" ht="15.75" customHeight="1">
      <c r="A802" s="29"/>
      <c r="B802" s="5" t="s">
        <v>4596</v>
      </c>
      <c r="C802" s="5" t="s">
        <v>327</v>
      </c>
      <c r="D802" s="5" t="s">
        <v>99</v>
      </c>
      <c r="E802" s="5" t="s">
        <v>382</v>
      </c>
    </row>
    <row r="803" ht="15.75" customHeight="1">
      <c r="A803" s="29"/>
      <c r="B803" s="5" t="s">
        <v>4812</v>
      </c>
      <c r="C803" s="5" t="s">
        <v>89</v>
      </c>
      <c r="D803" s="5" t="s">
        <v>99</v>
      </c>
      <c r="E803" s="5" t="s">
        <v>382</v>
      </c>
    </row>
    <row r="804" ht="15.75" customHeight="1">
      <c r="A804" s="29"/>
      <c r="B804" s="5" t="s">
        <v>5549</v>
      </c>
      <c r="C804" s="5" t="s">
        <v>77</v>
      </c>
      <c r="D804" s="5" t="s">
        <v>85</v>
      </c>
      <c r="E804" s="5" t="s">
        <v>382</v>
      </c>
    </row>
    <row r="805" ht="15.75" customHeight="1">
      <c r="A805" s="29"/>
      <c r="B805" s="5" t="s">
        <v>5332</v>
      </c>
      <c r="C805" s="5" t="s">
        <v>39</v>
      </c>
      <c r="D805" s="5" t="s">
        <v>34</v>
      </c>
      <c r="E805" s="5" t="s">
        <v>382</v>
      </c>
    </row>
    <row r="806" ht="15.75" customHeight="1">
      <c r="A806" s="29"/>
      <c r="B806" s="5" t="s">
        <v>5020</v>
      </c>
      <c r="C806" s="5" t="s">
        <v>39</v>
      </c>
      <c r="D806" s="5" t="s">
        <v>42</v>
      </c>
      <c r="E806" s="5" t="s">
        <v>382</v>
      </c>
    </row>
    <row r="807" ht="15.75" customHeight="1">
      <c r="A807" s="29"/>
      <c r="B807" s="5" t="s">
        <v>4581</v>
      </c>
      <c r="C807" s="5" t="s">
        <v>48</v>
      </c>
      <c r="D807" s="5" t="s">
        <v>42</v>
      </c>
      <c r="E807" s="5" t="s">
        <v>382</v>
      </c>
    </row>
    <row r="808" ht="15.75" customHeight="1">
      <c r="A808" s="29"/>
      <c r="B808" s="5" t="s">
        <v>5407</v>
      </c>
      <c r="C808" s="5" t="s">
        <v>39</v>
      </c>
      <c r="D808" s="5" t="s">
        <v>46</v>
      </c>
      <c r="E808" s="5" t="s">
        <v>382</v>
      </c>
    </row>
    <row r="809" ht="15.75" customHeight="1">
      <c r="A809" s="29"/>
      <c r="B809" s="5" t="s">
        <v>4541</v>
      </c>
      <c r="C809" s="5" t="s">
        <v>220</v>
      </c>
      <c r="D809" s="5" t="s">
        <v>129</v>
      </c>
      <c r="E809" s="5" t="s">
        <v>382</v>
      </c>
    </row>
    <row r="810" ht="15.75" customHeight="1">
      <c r="A810" s="29"/>
      <c r="B810" s="5" t="s">
        <v>3374</v>
      </c>
      <c r="C810" s="5" t="s">
        <v>79</v>
      </c>
      <c r="D810" s="5" t="s">
        <v>36</v>
      </c>
      <c r="E810" s="5" t="s">
        <v>382</v>
      </c>
    </row>
    <row r="811" ht="15.75" customHeight="1">
      <c r="A811" s="29"/>
      <c r="B811" s="5" t="s">
        <v>5518</v>
      </c>
      <c r="C811" s="5" t="s">
        <v>240</v>
      </c>
      <c r="D811" s="5" t="s">
        <v>206</v>
      </c>
      <c r="E811" s="5" t="s">
        <v>382</v>
      </c>
    </row>
    <row r="812" ht="15.75" customHeight="1">
      <c r="A812" s="29"/>
      <c r="B812" s="5" t="s">
        <v>3418</v>
      </c>
      <c r="C812" s="5" t="s">
        <v>136</v>
      </c>
      <c r="D812" s="5" t="s">
        <v>31</v>
      </c>
      <c r="E812" s="5" t="s">
        <v>382</v>
      </c>
    </row>
    <row r="813" ht="15.75" customHeight="1">
      <c r="A813" s="29"/>
      <c r="B813" s="5" t="s">
        <v>4191</v>
      </c>
      <c r="C813" s="5" t="s">
        <v>79</v>
      </c>
      <c r="D813" s="5" t="s">
        <v>90</v>
      </c>
      <c r="E813" s="5" t="s">
        <v>382</v>
      </c>
    </row>
    <row r="814" ht="15.75" customHeight="1">
      <c r="A814" s="29"/>
      <c r="B814" s="5" t="s">
        <v>4398</v>
      </c>
      <c r="C814" s="5" t="s">
        <v>79</v>
      </c>
      <c r="D814" s="5" t="s">
        <v>71</v>
      </c>
      <c r="E814" s="5" t="s">
        <v>382</v>
      </c>
    </row>
    <row r="815" ht="15.75" customHeight="1">
      <c r="A815" s="29"/>
      <c r="B815" s="5" t="s">
        <v>3737</v>
      </c>
      <c r="C815" s="5" t="s">
        <v>79</v>
      </c>
      <c r="D815" s="5" t="s">
        <v>206</v>
      </c>
      <c r="E815" s="5" t="s">
        <v>382</v>
      </c>
    </row>
    <row r="816" ht="15.75" customHeight="1">
      <c r="A816" s="29"/>
      <c r="B816" s="5" t="s">
        <v>5543</v>
      </c>
      <c r="C816" s="5" t="s">
        <v>240</v>
      </c>
      <c r="D816" s="5" t="s">
        <v>36</v>
      </c>
      <c r="E816" s="5" t="s">
        <v>382</v>
      </c>
    </row>
    <row r="817" ht="15.75" customHeight="1">
      <c r="A817" s="29"/>
      <c r="B817" s="5" t="s">
        <v>3464</v>
      </c>
      <c r="C817" s="5" t="s">
        <v>79</v>
      </c>
      <c r="D817" s="5" t="s">
        <v>140</v>
      </c>
      <c r="E817" s="5" t="s">
        <v>382</v>
      </c>
    </row>
    <row r="818" ht="15.75" customHeight="1">
      <c r="A818" s="29"/>
      <c r="B818" s="5" t="s">
        <v>3896</v>
      </c>
      <c r="C818" s="5" t="s">
        <v>79</v>
      </c>
      <c r="D818" s="5" t="s">
        <v>105</v>
      </c>
      <c r="E818" s="5" t="s">
        <v>382</v>
      </c>
    </row>
    <row r="819" ht="15.75" customHeight="1">
      <c r="A819" s="29"/>
      <c r="B819" s="5" t="s">
        <v>3813</v>
      </c>
      <c r="C819" s="5" t="s">
        <v>79</v>
      </c>
      <c r="D819" s="5" t="s">
        <v>137</v>
      </c>
      <c r="E819" s="5" t="s">
        <v>382</v>
      </c>
    </row>
    <row r="820" ht="15.75" customHeight="1">
      <c r="A820" s="29"/>
      <c r="B820" s="5" t="s">
        <v>4322</v>
      </c>
      <c r="C820" s="5" t="s">
        <v>22</v>
      </c>
      <c r="D820" s="5" t="s">
        <v>85</v>
      </c>
      <c r="E820" s="5" t="s">
        <v>382</v>
      </c>
    </row>
    <row r="821" ht="15.75" customHeight="1">
      <c r="A821" s="29"/>
      <c r="B821" s="5" t="s">
        <v>4734</v>
      </c>
      <c r="C821" s="5" t="s">
        <v>220</v>
      </c>
      <c r="D821" s="5" t="s">
        <v>113</v>
      </c>
      <c r="E821" s="5" t="s">
        <v>382</v>
      </c>
    </row>
    <row r="822" ht="15.75" customHeight="1">
      <c r="A822" s="29"/>
      <c r="B822" s="5" t="s">
        <v>5207</v>
      </c>
      <c r="C822" s="5" t="s">
        <v>14</v>
      </c>
      <c r="D822" s="5" t="s">
        <v>122</v>
      </c>
      <c r="E822" s="5" t="s">
        <v>382</v>
      </c>
    </row>
    <row r="823" ht="15.75" customHeight="1">
      <c r="A823" s="29"/>
      <c r="B823" s="5" t="s">
        <v>3482</v>
      </c>
      <c r="C823" s="5" t="s">
        <v>79</v>
      </c>
      <c r="D823" s="5" t="s">
        <v>42</v>
      </c>
      <c r="E823" s="5" t="s">
        <v>382</v>
      </c>
    </row>
    <row r="824" ht="15.75" customHeight="1">
      <c r="A824" s="29"/>
      <c r="B824" s="5" t="s">
        <v>4257</v>
      </c>
      <c r="C824" s="5" t="s">
        <v>79</v>
      </c>
      <c r="D824" s="5" t="s">
        <v>140</v>
      </c>
      <c r="E824" s="5" t="s">
        <v>382</v>
      </c>
    </row>
    <row r="825" ht="15.75" customHeight="1">
      <c r="A825" s="29"/>
      <c r="B825" s="5" t="s">
        <v>4179</v>
      </c>
      <c r="C825" s="5" t="s">
        <v>79</v>
      </c>
      <c r="D825" s="5" t="s">
        <v>34</v>
      </c>
      <c r="E825" s="5" t="s">
        <v>382</v>
      </c>
    </row>
    <row r="826" ht="15.75" customHeight="1">
      <c r="A826" s="29"/>
      <c r="B826" s="5" t="s">
        <v>4023</v>
      </c>
      <c r="C826" s="5" t="s">
        <v>220</v>
      </c>
      <c r="D826" s="5" t="s">
        <v>18</v>
      </c>
      <c r="E826" s="5" t="s">
        <v>382</v>
      </c>
    </row>
    <row r="827" ht="15.75" customHeight="1">
      <c r="A827" s="29"/>
      <c r="B827" s="5" t="s">
        <v>5401</v>
      </c>
      <c r="C827" s="5" t="s">
        <v>77</v>
      </c>
      <c r="D827" s="5" t="s">
        <v>105</v>
      </c>
      <c r="E827" s="5" t="s">
        <v>382</v>
      </c>
    </row>
    <row r="828" ht="15.75" customHeight="1">
      <c r="A828" s="29"/>
      <c r="B828" s="5" t="s">
        <v>3278</v>
      </c>
      <c r="C828" s="5" t="s">
        <v>79</v>
      </c>
      <c r="D828" s="5" t="s">
        <v>34</v>
      </c>
      <c r="E828" s="5" t="s">
        <v>382</v>
      </c>
    </row>
    <row r="829" ht="15.75" customHeight="1">
      <c r="A829" s="29"/>
      <c r="B829" s="5" t="s">
        <v>4584</v>
      </c>
      <c r="C829" s="5" t="s">
        <v>87</v>
      </c>
      <c r="D829" s="5" t="s">
        <v>42</v>
      </c>
      <c r="E829" s="5" t="s">
        <v>382</v>
      </c>
    </row>
    <row r="830" ht="15.75" customHeight="1">
      <c r="A830" s="29"/>
      <c r="B830" s="5" t="s">
        <v>4277</v>
      </c>
      <c r="C830" s="5" t="s">
        <v>79</v>
      </c>
      <c r="D830" s="5" t="s">
        <v>31</v>
      </c>
      <c r="E830" s="5" t="s">
        <v>382</v>
      </c>
    </row>
    <row r="831" ht="15.75" customHeight="1">
      <c r="A831" s="29"/>
      <c r="B831" s="5" t="s">
        <v>4328</v>
      </c>
      <c r="C831" s="5" t="s">
        <v>79</v>
      </c>
      <c r="D831" s="5" t="s">
        <v>9</v>
      </c>
      <c r="E831" s="5" t="s">
        <v>382</v>
      </c>
    </row>
    <row r="832" ht="15.75" customHeight="1">
      <c r="A832" s="29"/>
      <c r="B832" s="5" t="s">
        <v>4617</v>
      </c>
      <c r="C832" s="5" t="s">
        <v>1868</v>
      </c>
      <c r="D832" s="5" t="s">
        <v>140</v>
      </c>
      <c r="E832" s="5" t="s">
        <v>382</v>
      </c>
    </row>
    <row r="833" ht="15.75" customHeight="1">
      <c r="A833" s="29"/>
      <c r="B833" s="5" t="s">
        <v>4609</v>
      </c>
      <c r="C833" s="5" t="s">
        <v>77</v>
      </c>
      <c r="D833" s="5" t="s">
        <v>9</v>
      </c>
      <c r="E833" s="5" t="s">
        <v>382</v>
      </c>
    </row>
    <row r="834" ht="15.75" customHeight="1">
      <c r="A834" s="29"/>
      <c r="B834" s="5" t="s">
        <v>5048</v>
      </c>
      <c r="C834" s="5" t="s">
        <v>8</v>
      </c>
      <c r="D834" s="5" t="s">
        <v>206</v>
      </c>
      <c r="E834" s="5" t="s">
        <v>382</v>
      </c>
    </row>
    <row r="835" ht="15.75" customHeight="1">
      <c r="A835" s="29"/>
      <c r="B835" s="5" t="s">
        <v>4425</v>
      </c>
      <c r="C835" s="5" t="s">
        <v>283</v>
      </c>
      <c r="D835" s="5" t="s">
        <v>9</v>
      </c>
      <c r="E835" s="5" t="s">
        <v>382</v>
      </c>
    </row>
    <row r="836" ht="15.75" customHeight="1">
      <c r="A836" s="29"/>
      <c r="B836" s="5" t="s">
        <v>4817</v>
      </c>
      <c r="C836" s="5" t="s">
        <v>220</v>
      </c>
      <c r="D836" s="5" t="s">
        <v>99</v>
      </c>
      <c r="E836" s="5" t="s">
        <v>382</v>
      </c>
    </row>
    <row r="837" ht="15.75" customHeight="1">
      <c r="A837" s="29"/>
      <c r="B837" s="5" t="s">
        <v>4482</v>
      </c>
      <c r="C837" s="5" t="s">
        <v>79</v>
      </c>
      <c r="D837" s="5" t="s">
        <v>42</v>
      </c>
      <c r="E837" s="5" t="s">
        <v>382</v>
      </c>
    </row>
    <row r="838" ht="15.75" customHeight="1">
      <c r="A838" s="29"/>
      <c r="B838" s="5" t="s">
        <v>3371</v>
      </c>
      <c r="C838" s="5" t="s">
        <v>22</v>
      </c>
      <c r="D838" s="5" t="s">
        <v>18</v>
      </c>
      <c r="E838" s="5" t="s">
        <v>382</v>
      </c>
    </row>
    <row r="839" ht="15.75" customHeight="1">
      <c r="A839" s="29"/>
      <c r="B839" s="5" t="s">
        <v>5573</v>
      </c>
      <c r="C839" s="5" t="s">
        <v>33</v>
      </c>
      <c r="D839" s="5" t="s">
        <v>105</v>
      </c>
      <c r="E839" s="5" t="s">
        <v>382</v>
      </c>
    </row>
    <row r="840" ht="15.75" customHeight="1">
      <c r="A840" s="29"/>
      <c r="B840" s="5" t="s">
        <v>4561</v>
      </c>
      <c r="C840" s="5" t="s">
        <v>79</v>
      </c>
      <c r="D840" s="5" t="s">
        <v>34</v>
      </c>
      <c r="E840" s="5" t="s">
        <v>382</v>
      </c>
    </row>
    <row r="841" ht="15.75" customHeight="1">
      <c r="A841" s="29"/>
      <c r="B841" s="5" t="s">
        <v>4654</v>
      </c>
      <c r="C841" s="5" t="s">
        <v>22</v>
      </c>
      <c r="D841" s="5" t="s">
        <v>46</v>
      </c>
      <c r="E841" s="5" t="s">
        <v>382</v>
      </c>
    </row>
    <row r="842" ht="15.75" customHeight="1">
      <c r="A842" s="29"/>
      <c r="B842" s="5" t="s">
        <v>3424</v>
      </c>
      <c r="C842" s="5" t="s">
        <v>79</v>
      </c>
      <c r="D842" s="5" t="s">
        <v>90</v>
      </c>
      <c r="E842" s="5" t="s">
        <v>382</v>
      </c>
    </row>
    <row r="843" ht="15.75" customHeight="1">
      <c r="A843" s="29"/>
      <c r="B843" s="5" t="s">
        <v>4195</v>
      </c>
      <c r="C843" s="5" t="s">
        <v>79</v>
      </c>
      <c r="D843" s="5" t="s">
        <v>25</v>
      </c>
      <c r="E843" s="5" t="s">
        <v>382</v>
      </c>
    </row>
    <row r="844" ht="15.75" customHeight="1">
      <c r="A844" s="29"/>
      <c r="B844" s="5" t="s">
        <v>3553</v>
      </c>
      <c r="C844" s="5" t="s">
        <v>79</v>
      </c>
      <c r="D844" s="5" t="s">
        <v>34</v>
      </c>
      <c r="E844" s="5" t="s">
        <v>382</v>
      </c>
    </row>
    <row r="845" ht="15.75" customHeight="1">
      <c r="A845" s="29"/>
      <c r="B845" s="5" t="s">
        <v>4897</v>
      </c>
      <c r="C845" s="5" t="s">
        <v>8</v>
      </c>
      <c r="D845" s="5" t="s">
        <v>27</v>
      </c>
      <c r="E845" s="5" t="s">
        <v>382</v>
      </c>
    </row>
    <row r="846" ht="15.75" customHeight="1">
      <c r="A846" s="29"/>
      <c r="B846" s="5" t="s">
        <v>3950</v>
      </c>
      <c r="C846" s="5" t="s">
        <v>22</v>
      </c>
      <c r="D846" s="5" t="s">
        <v>42</v>
      </c>
      <c r="E846" s="5" t="s">
        <v>382</v>
      </c>
    </row>
    <row r="847" ht="15.75" customHeight="1">
      <c r="A847" s="29"/>
      <c r="B847" s="5" t="s">
        <v>4722</v>
      </c>
      <c r="C847" s="5" t="s">
        <v>17</v>
      </c>
      <c r="D847" s="5" t="s">
        <v>52</v>
      </c>
      <c r="E847" s="5" t="s">
        <v>382</v>
      </c>
    </row>
    <row r="848" ht="15.75" customHeight="1">
      <c r="A848" s="29"/>
      <c r="B848" s="5" t="s">
        <v>3312</v>
      </c>
      <c r="C848" s="5" t="s">
        <v>79</v>
      </c>
      <c r="D848" s="5" t="s">
        <v>206</v>
      </c>
      <c r="E848" s="5" t="s">
        <v>382</v>
      </c>
    </row>
    <row r="849" ht="15.75" customHeight="1">
      <c r="A849" s="29"/>
      <c r="B849" s="5" t="s">
        <v>3481</v>
      </c>
      <c r="C849" s="5" t="s">
        <v>79</v>
      </c>
      <c r="D849" s="5" t="s">
        <v>27</v>
      </c>
      <c r="E849" s="5" t="s">
        <v>382</v>
      </c>
    </row>
    <row r="850" ht="15.75" customHeight="1">
      <c r="A850" s="29"/>
      <c r="B850" s="5" t="s">
        <v>4818</v>
      </c>
      <c r="C850" s="5" t="s">
        <v>33</v>
      </c>
      <c r="D850" s="5" t="s">
        <v>85</v>
      </c>
      <c r="E850" s="5" t="s">
        <v>382</v>
      </c>
    </row>
    <row r="851" ht="15.75" customHeight="1">
      <c r="A851" s="29"/>
      <c r="B851" s="5" t="s">
        <v>4332</v>
      </c>
      <c r="C851" s="5" t="s">
        <v>22</v>
      </c>
      <c r="D851" s="5" t="s">
        <v>122</v>
      </c>
      <c r="E851" s="5" t="s">
        <v>382</v>
      </c>
    </row>
    <row r="852" ht="15.75" customHeight="1">
      <c r="A852" s="29"/>
      <c r="B852" s="5" t="s">
        <v>3365</v>
      </c>
      <c r="C852" s="5" t="s">
        <v>79</v>
      </c>
      <c r="D852" s="5" t="s">
        <v>120</v>
      </c>
      <c r="E852" s="5" t="s">
        <v>382</v>
      </c>
    </row>
    <row r="853" ht="15.75" customHeight="1">
      <c r="A853" s="29"/>
      <c r="B853" s="5" t="s">
        <v>4104</v>
      </c>
      <c r="C853" s="5" t="s">
        <v>79</v>
      </c>
      <c r="D853" s="5" t="s">
        <v>129</v>
      </c>
      <c r="E853" s="5" t="s">
        <v>382</v>
      </c>
    </row>
    <row r="854" ht="15.75" customHeight="1">
      <c r="A854" s="29"/>
      <c r="B854" s="5" t="s">
        <v>3357</v>
      </c>
      <c r="C854" s="5" t="s">
        <v>79</v>
      </c>
      <c r="D854" s="5" t="s">
        <v>140</v>
      </c>
      <c r="E854" s="5" t="s">
        <v>382</v>
      </c>
    </row>
    <row r="855" ht="15.75" customHeight="1">
      <c r="A855" s="29"/>
      <c r="B855" s="5" t="s">
        <v>5511</v>
      </c>
      <c r="C855" s="5" t="s">
        <v>11</v>
      </c>
      <c r="D855" s="5" t="s">
        <v>129</v>
      </c>
      <c r="E855" s="5" t="s">
        <v>382</v>
      </c>
    </row>
    <row r="856" ht="15.75" customHeight="1">
      <c r="A856" s="29"/>
      <c r="B856" s="5" t="s">
        <v>4544</v>
      </c>
      <c r="C856" s="5" t="s">
        <v>585</v>
      </c>
      <c r="D856" s="5" t="s">
        <v>129</v>
      </c>
      <c r="E856" s="5" t="s">
        <v>382</v>
      </c>
    </row>
    <row r="857" ht="15.75" customHeight="1">
      <c r="A857" s="29"/>
      <c r="B857" s="5" t="s">
        <v>4269</v>
      </c>
      <c r="C857" s="5" t="s">
        <v>79</v>
      </c>
      <c r="D857" s="5" t="s">
        <v>23</v>
      </c>
      <c r="E857" s="5" t="s">
        <v>382</v>
      </c>
    </row>
    <row r="858" ht="15.75" customHeight="1">
      <c r="A858" s="29"/>
      <c r="B858" s="5" t="s">
        <v>4211</v>
      </c>
      <c r="C858" s="5" t="s">
        <v>22</v>
      </c>
      <c r="D858" s="5" t="s">
        <v>9</v>
      </c>
      <c r="E858" s="5" t="s">
        <v>382</v>
      </c>
    </row>
    <row r="859" ht="15.75" customHeight="1">
      <c r="A859" s="29"/>
      <c r="B859" s="5" t="s">
        <v>3286</v>
      </c>
      <c r="C859" s="5" t="s">
        <v>79</v>
      </c>
      <c r="D859" s="5" t="s">
        <v>99</v>
      </c>
      <c r="E859" s="5" t="s">
        <v>382</v>
      </c>
    </row>
    <row r="860" ht="15.75" customHeight="1">
      <c r="A860" s="29"/>
      <c r="B860" s="5" t="s">
        <v>4730</v>
      </c>
      <c r="C860" s="5" t="s">
        <v>17</v>
      </c>
      <c r="D860" s="5" t="s">
        <v>52</v>
      </c>
      <c r="E860" s="5" t="s">
        <v>382</v>
      </c>
    </row>
    <row r="861" ht="15.75" customHeight="1">
      <c r="A861" s="29"/>
      <c r="B861" s="5" t="s">
        <v>3518</v>
      </c>
      <c r="C861" s="5" t="s">
        <v>79</v>
      </c>
      <c r="D861" s="5" t="s">
        <v>34</v>
      </c>
      <c r="E861" s="5" t="s">
        <v>382</v>
      </c>
    </row>
    <row r="862" ht="15.75" customHeight="1">
      <c r="A862" s="29"/>
      <c r="B862" s="5" t="s">
        <v>4311</v>
      </c>
      <c r="C862" s="5" t="s">
        <v>79</v>
      </c>
      <c r="D862" s="5" t="s">
        <v>85</v>
      </c>
      <c r="E862" s="5" t="s">
        <v>382</v>
      </c>
    </row>
    <row r="863" ht="15.75" customHeight="1">
      <c r="A863" s="29"/>
      <c r="B863" s="5" t="s">
        <v>4537</v>
      </c>
      <c r="C863" s="5" t="s">
        <v>22</v>
      </c>
      <c r="D863" s="5" t="s">
        <v>137</v>
      </c>
      <c r="E863" s="5" t="s">
        <v>382</v>
      </c>
    </row>
    <row r="864" ht="15.75" customHeight="1">
      <c r="A864" s="29"/>
      <c r="B864" s="5" t="s">
        <v>4657</v>
      </c>
      <c r="C864" s="5" t="s">
        <v>39</v>
      </c>
      <c r="D864" s="5" t="s">
        <v>36</v>
      </c>
      <c r="E864" s="5" t="s">
        <v>382</v>
      </c>
    </row>
    <row r="865" ht="15.75" customHeight="1">
      <c r="A865" s="29"/>
      <c r="B865" s="5" t="s">
        <v>4733</v>
      </c>
      <c r="C865" s="5" t="s">
        <v>77</v>
      </c>
      <c r="D865" s="5" t="s">
        <v>113</v>
      </c>
      <c r="E865" s="5" t="s">
        <v>382</v>
      </c>
    </row>
    <row r="866" ht="15.75" customHeight="1">
      <c r="A866" s="29"/>
      <c r="B866" s="5" t="s">
        <v>4799</v>
      </c>
      <c r="C866" s="5" t="s">
        <v>33</v>
      </c>
      <c r="D866" s="5" t="s">
        <v>23</v>
      </c>
      <c r="E866" s="5" t="s">
        <v>382</v>
      </c>
    </row>
    <row r="867" ht="15.75" customHeight="1">
      <c r="A867" s="29"/>
      <c r="B867" s="5" t="s">
        <v>4756</v>
      </c>
      <c r="C867" s="5" t="s">
        <v>77</v>
      </c>
      <c r="D867" s="5" t="s">
        <v>206</v>
      </c>
      <c r="E867" s="5" t="s">
        <v>382</v>
      </c>
    </row>
    <row r="868" ht="15.75" customHeight="1">
      <c r="A868" s="29"/>
      <c r="B868" s="5" t="s">
        <v>3858</v>
      </c>
      <c r="C868" s="5" t="s">
        <v>220</v>
      </c>
      <c r="D868" s="5" t="s">
        <v>99</v>
      </c>
      <c r="E868" s="5" t="s">
        <v>382</v>
      </c>
    </row>
    <row r="869" ht="15.75" customHeight="1">
      <c r="A869" s="29"/>
      <c r="B869" s="5" t="s">
        <v>4124</v>
      </c>
      <c r="C869" s="5" t="s">
        <v>79</v>
      </c>
      <c r="D869" s="5" t="s">
        <v>42</v>
      </c>
      <c r="E869" s="5" t="s">
        <v>382</v>
      </c>
    </row>
    <row r="870" ht="15.75" customHeight="1">
      <c r="A870" s="29"/>
      <c r="B870" s="5" t="s">
        <v>4313</v>
      </c>
      <c r="C870" s="5" t="s">
        <v>79</v>
      </c>
      <c r="D870" s="5" t="s">
        <v>9</v>
      </c>
      <c r="E870" s="5" t="s">
        <v>382</v>
      </c>
    </row>
    <row r="871" ht="15.75" customHeight="1">
      <c r="A871" s="29"/>
      <c r="B871" s="5" t="s">
        <v>4793</v>
      </c>
      <c r="C871" s="5" t="s">
        <v>77</v>
      </c>
      <c r="D871" s="5" t="s">
        <v>12</v>
      </c>
      <c r="E871" s="5" t="s">
        <v>382</v>
      </c>
    </row>
    <row r="872" ht="15.75" customHeight="1">
      <c r="A872" s="29"/>
      <c r="B872" s="5" t="s">
        <v>4673</v>
      </c>
      <c r="C872" s="5" t="s">
        <v>22</v>
      </c>
      <c r="D872" s="5" t="s">
        <v>140</v>
      </c>
      <c r="E872" s="5" t="s">
        <v>382</v>
      </c>
    </row>
    <row r="873" ht="15.75" customHeight="1">
      <c r="A873" s="29"/>
      <c r="B873" s="5" t="s">
        <v>3470</v>
      </c>
      <c r="C873" s="5" t="s">
        <v>79</v>
      </c>
      <c r="D873" s="5" t="s">
        <v>9</v>
      </c>
      <c r="E873" s="5" t="s">
        <v>382</v>
      </c>
    </row>
    <row r="874" ht="15.75" customHeight="1">
      <c r="A874" s="29"/>
      <c r="B874" s="5" t="s">
        <v>3746</v>
      </c>
      <c r="C874" s="5" t="s">
        <v>79</v>
      </c>
      <c r="D874" s="5" t="s">
        <v>23</v>
      </c>
      <c r="E874" s="5" t="s">
        <v>382</v>
      </c>
    </row>
    <row r="875" ht="15.75" customHeight="1">
      <c r="A875" s="29"/>
      <c r="B875" s="5" t="s">
        <v>4382</v>
      </c>
      <c r="C875" s="5" t="s">
        <v>77</v>
      </c>
      <c r="D875" s="5" t="s">
        <v>25</v>
      </c>
      <c r="E875" s="5" t="s">
        <v>382</v>
      </c>
    </row>
    <row r="876" ht="15.75" customHeight="1">
      <c r="A876" s="29"/>
      <c r="B876" s="5" t="s">
        <v>4989</v>
      </c>
      <c r="C876" s="5" t="s">
        <v>77</v>
      </c>
      <c r="D876" s="5" t="s">
        <v>42</v>
      </c>
      <c r="E876" s="5" t="s">
        <v>382</v>
      </c>
    </row>
    <row r="877" ht="15.75" customHeight="1">
      <c r="A877" s="29"/>
      <c r="B877" s="5" t="s">
        <v>5216</v>
      </c>
      <c r="C877" s="5" t="s">
        <v>77</v>
      </c>
      <c r="D877" s="5" t="s">
        <v>129</v>
      </c>
      <c r="E877" s="5" t="s">
        <v>382</v>
      </c>
    </row>
    <row r="878" ht="15.75" customHeight="1">
      <c r="A878" s="29"/>
      <c r="B878" s="5" t="s">
        <v>4501</v>
      </c>
      <c r="C878" s="5" t="s">
        <v>79</v>
      </c>
      <c r="D878" s="5" t="s">
        <v>23</v>
      </c>
      <c r="E878" s="5" t="s">
        <v>382</v>
      </c>
    </row>
    <row r="879" ht="15.75" customHeight="1">
      <c r="A879" s="29"/>
      <c r="B879" s="5" t="s">
        <v>5091</v>
      </c>
      <c r="C879" s="5" t="s">
        <v>77</v>
      </c>
      <c r="D879" s="5" t="s">
        <v>12</v>
      </c>
      <c r="E879" s="5" t="s">
        <v>382</v>
      </c>
    </row>
    <row r="880" ht="15.75" customHeight="1">
      <c r="A880" s="29"/>
      <c r="B880" s="5" t="s">
        <v>4571</v>
      </c>
      <c r="C880" s="5" t="s">
        <v>283</v>
      </c>
      <c r="D880" s="5" t="s">
        <v>31</v>
      </c>
      <c r="E880" s="5" t="s">
        <v>382</v>
      </c>
    </row>
    <row r="881" ht="15.75" customHeight="1">
      <c r="A881" s="29"/>
      <c r="B881" s="5" t="s">
        <v>5193</v>
      </c>
      <c r="C881" s="5" t="s">
        <v>39</v>
      </c>
      <c r="D881" s="5" t="s">
        <v>99</v>
      </c>
      <c r="E881" s="5" t="s">
        <v>382</v>
      </c>
    </row>
    <row r="882" ht="15.75" customHeight="1">
      <c r="A882" s="29"/>
      <c r="B882" s="5" t="s">
        <v>5585</v>
      </c>
      <c r="C882" s="5" t="s">
        <v>220</v>
      </c>
      <c r="D882" s="5" t="s">
        <v>73</v>
      </c>
      <c r="E882" s="5" t="s">
        <v>382</v>
      </c>
    </row>
    <row r="883" ht="15.75" customHeight="1">
      <c r="A883" s="29"/>
      <c r="B883" s="5" t="s">
        <v>4904</v>
      </c>
      <c r="C883" s="5" t="s">
        <v>8</v>
      </c>
      <c r="D883" s="5" t="s">
        <v>71</v>
      </c>
      <c r="E883" s="5" t="s">
        <v>382</v>
      </c>
    </row>
    <row r="884" ht="15.75" customHeight="1">
      <c r="A884" s="29"/>
      <c r="B884" s="5" t="s">
        <v>3271</v>
      </c>
      <c r="C884" s="5" t="s">
        <v>22</v>
      </c>
      <c r="D884" s="5" t="s">
        <v>99</v>
      </c>
      <c r="E884" s="5" t="s">
        <v>382</v>
      </c>
    </row>
    <row r="885" ht="15.75" customHeight="1">
      <c r="A885" s="29"/>
      <c r="B885" s="5" t="s">
        <v>3322</v>
      </c>
      <c r="C885" s="5" t="s">
        <v>79</v>
      </c>
      <c r="D885" s="5" t="s">
        <v>85</v>
      </c>
      <c r="E885" s="5" t="s">
        <v>382</v>
      </c>
    </row>
    <row r="886" ht="15.75" customHeight="1">
      <c r="A886" s="29"/>
      <c r="B886" s="5" t="s">
        <v>4461</v>
      </c>
      <c r="C886" s="5" t="s">
        <v>79</v>
      </c>
      <c r="D886" s="5" t="s">
        <v>85</v>
      </c>
      <c r="E886" s="5" t="s">
        <v>382</v>
      </c>
    </row>
    <row r="887" ht="15.75" customHeight="1">
      <c r="A887" s="29"/>
      <c r="B887" s="5" t="s">
        <v>4975</v>
      </c>
      <c r="C887" s="5" t="s">
        <v>89</v>
      </c>
      <c r="D887" s="5" t="s">
        <v>95</v>
      </c>
      <c r="E887" s="5" t="s">
        <v>382</v>
      </c>
    </row>
    <row r="888" ht="15.75" customHeight="1">
      <c r="A888" s="29"/>
      <c r="B888" s="5" t="s">
        <v>3428</v>
      </c>
      <c r="C888" s="5" t="s">
        <v>79</v>
      </c>
      <c r="D888" s="5" t="s">
        <v>9</v>
      </c>
      <c r="E888" s="5" t="s">
        <v>382</v>
      </c>
    </row>
    <row r="889" ht="15.75" customHeight="1">
      <c r="A889" s="29"/>
      <c r="B889" s="5" t="s">
        <v>3396</v>
      </c>
      <c r="C889" s="5" t="s">
        <v>22</v>
      </c>
      <c r="D889" s="5" t="s">
        <v>73</v>
      </c>
      <c r="E889" s="5" t="s">
        <v>382</v>
      </c>
    </row>
    <row r="890" ht="15.75" customHeight="1">
      <c r="A890" s="29"/>
      <c r="B890" s="5" t="s">
        <v>5514</v>
      </c>
      <c r="C890" s="5" t="s">
        <v>136</v>
      </c>
      <c r="D890" s="5" t="s">
        <v>15</v>
      </c>
      <c r="E890" s="5" t="s">
        <v>382</v>
      </c>
    </row>
    <row r="891" ht="15.75" customHeight="1">
      <c r="A891" s="29"/>
      <c r="B891" s="5" t="s">
        <v>3793</v>
      </c>
      <c r="C891" s="5" t="s">
        <v>79</v>
      </c>
      <c r="D891" s="5" t="s">
        <v>42</v>
      </c>
      <c r="E891" s="5" t="s">
        <v>382</v>
      </c>
    </row>
    <row r="892" ht="15.75" customHeight="1">
      <c r="A892" s="29"/>
      <c r="B892" s="5" t="s">
        <v>3239</v>
      </c>
      <c r="C892" s="5" t="s">
        <v>218</v>
      </c>
      <c r="D892" s="5" t="s">
        <v>129</v>
      </c>
      <c r="E892" s="5" t="s">
        <v>382</v>
      </c>
    </row>
    <row r="893" ht="15.75" customHeight="1">
      <c r="A893" s="29"/>
      <c r="B893" s="5" t="s">
        <v>4649</v>
      </c>
      <c r="C893" s="5" t="s">
        <v>1814</v>
      </c>
      <c r="D893" s="5" t="s">
        <v>85</v>
      </c>
      <c r="E893" s="5" t="s">
        <v>382</v>
      </c>
    </row>
    <row r="894" ht="15.75" customHeight="1">
      <c r="A894" s="29"/>
      <c r="B894" s="5" t="s">
        <v>4705</v>
      </c>
      <c r="C894" s="5" t="s">
        <v>39</v>
      </c>
      <c r="D894" s="5" t="s">
        <v>67</v>
      </c>
      <c r="E894" s="5" t="s">
        <v>382</v>
      </c>
    </row>
    <row r="895" ht="15.75" customHeight="1">
      <c r="A895" s="29"/>
      <c r="B895" s="5" t="s">
        <v>3402</v>
      </c>
      <c r="C895" s="5" t="s">
        <v>346</v>
      </c>
      <c r="D895" s="5" t="s">
        <v>120</v>
      </c>
      <c r="E895" s="5" t="s">
        <v>382</v>
      </c>
    </row>
    <row r="896" ht="15.75" customHeight="1">
      <c r="A896" s="29"/>
      <c r="B896" s="5" t="s">
        <v>3474</v>
      </c>
      <c r="C896" s="5" t="s">
        <v>79</v>
      </c>
      <c r="D896" s="5" t="s">
        <v>82</v>
      </c>
      <c r="E896" s="5" t="s">
        <v>382</v>
      </c>
    </row>
    <row r="897" ht="15.75" customHeight="1">
      <c r="A897" s="29"/>
      <c r="B897" s="5" t="s">
        <v>3266</v>
      </c>
      <c r="C897" s="5" t="s">
        <v>79</v>
      </c>
      <c r="D897" s="5" t="s">
        <v>90</v>
      </c>
      <c r="E897" s="5" t="s">
        <v>382</v>
      </c>
    </row>
    <row r="898" ht="15.75" customHeight="1">
      <c r="A898" s="29"/>
      <c r="B898" s="5" t="s">
        <v>3524</v>
      </c>
      <c r="C898" s="5" t="s">
        <v>79</v>
      </c>
      <c r="D898" s="5" t="s">
        <v>36</v>
      </c>
      <c r="E898" s="5" t="s">
        <v>382</v>
      </c>
    </row>
    <row r="899" ht="15.75" customHeight="1">
      <c r="A899" s="29"/>
      <c r="B899" s="5" t="s">
        <v>5023</v>
      </c>
      <c r="C899" s="5" t="s">
        <v>14</v>
      </c>
      <c r="D899" s="5" t="s">
        <v>140</v>
      </c>
      <c r="E899" s="5" t="s">
        <v>382</v>
      </c>
    </row>
    <row r="900" ht="15.75" customHeight="1">
      <c r="A900" s="29"/>
      <c r="B900" s="5" t="s">
        <v>4576</v>
      </c>
      <c r="C900" s="5" t="s">
        <v>126</v>
      </c>
      <c r="D900" s="5" t="s">
        <v>120</v>
      </c>
      <c r="E900" s="5" t="s">
        <v>382</v>
      </c>
    </row>
    <row r="901" ht="15.75" customHeight="1">
      <c r="A901" s="29"/>
      <c r="B901" s="5" t="s">
        <v>4695</v>
      </c>
      <c r="C901" s="5" t="s">
        <v>39</v>
      </c>
      <c r="D901" s="5" t="s">
        <v>85</v>
      </c>
      <c r="E901" s="5" t="s">
        <v>382</v>
      </c>
    </row>
    <row r="902" ht="15.75" customHeight="1">
      <c r="A902" s="29"/>
      <c r="B902" s="5" t="s">
        <v>4329</v>
      </c>
      <c r="C902" s="5" t="s">
        <v>220</v>
      </c>
      <c r="D902" s="5" t="s">
        <v>105</v>
      </c>
      <c r="E902" s="5" t="s">
        <v>382</v>
      </c>
    </row>
    <row r="903" ht="15.75" customHeight="1">
      <c r="A903" s="29"/>
      <c r="B903" s="5" t="s">
        <v>4545</v>
      </c>
      <c r="C903" s="5" t="s">
        <v>220</v>
      </c>
      <c r="D903" s="5" t="s">
        <v>36</v>
      </c>
      <c r="E903" s="5" t="s">
        <v>382</v>
      </c>
    </row>
    <row r="904" ht="15.75" customHeight="1">
      <c r="A904" s="29"/>
      <c r="B904" s="5" t="s">
        <v>4196</v>
      </c>
      <c r="C904" s="5" t="s">
        <v>220</v>
      </c>
      <c r="D904" s="5" t="s">
        <v>90</v>
      </c>
      <c r="E904" s="5" t="s">
        <v>382</v>
      </c>
    </row>
    <row r="905" ht="15.75" customHeight="1">
      <c r="A905" s="29"/>
      <c r="B905" s="5" t="s">
        <v>4835</v>
      </c>
      <c r="C905" s="5" t="s">
        <v>17</v>
      </c>
      <c r="D905" s="5" t="s">
        <v>46</v>
      </c>
      <c r="E905" s="5" t="s">
        <v>382</v>
      </c>
    </row>
    <row r="906" ht="15.75" customHeight="1">
      <c r="A906" s="29"/>
      <c r="B906" s="5" t="s">
        <v>3328</v>
      </c>
      <c r="C906" s="5" t="s">
        <v>220</v>
      </c>
      <c r="D906" s="5" t="s">
        <v>46</v>
      </c>
      <c r="E906" s="5" t="s">
        <v>382</v>
      </c>
    </row>
    <row r="907" ht="15.75" customHeight="1">
      <c r="A907" s="29"/>
      <c r="B907" s="5" t="s">
        <v>4510</v>
      </c>
      <c r="C907" s="5" t="s">
        <v>79</v>
      </c>
      <c r="D907" s="5" t="s">
        <v>18</v>
      </c>
      <c r="E907" s="5" t="s">
        <v>382</v>
      </c>
    </row>
    <row r="908" ht="15.75" customHeight="1">
      <c r="A908" s="29"/>
      <c r="B908" s="5" t="s">
        <v>4846</v>
      </c>
      <c r="C908" s="5" t="s">
        <v>33</v>
      </c>
      <c r="D908" s="5" t="s">
        <v>31</v>
      </c>
      <c r="E908" s="5" t="s">
        <v>382</v>
      </c>
    </row>
    <row r="909" ht="15.75" customHeight="1">
      <c r="A909" s="29"/>
      <c r="B909" s="5" t="s">
        <v>4856</v>
      </c>
      <c r="C909" s="5" t="s">
        <v>77</v>
      </c>
      <c r="D909" s="5" t="s">
        <v>95</v>
      </c>
      <c r="E909" s="5" t="s">
        <v>382</v>
      </c>
    </row>
    <row r="910" ht="15.75" customHeight="1">
      <c r="A910" s="29"/>
      <c r="B910" s="5" t="s">
        <v>4553</v>
      </c>
      <c r="C910" s="5" t="s">
        <v>79</v>
      </c>
      <c r="D910" s="5" t="s">
        <v>90</v>
      </c>
      <c r="E910" s="5" t="s">
        <v>382</v>
      </c>
    </row>
    <row r="911" ht="15.75" customHeight="1">
      <c r="A911" s="29"/>
      <c r="B911" s="5" t="s">
        <v>5387</v>
      </c>
      <c r="C911" s="5" t="s">
        <v>150</v>
      </c>
      <c r="D911" s="5" t="s">
        <v>95</v>
      </c>
      <c r="E911" s="5" t="s">
        <v>382</v>
      </c>
    </row>
    <row r="912" ht="15.75" customHeight="1">
      <c r="A912" s="29"/>
      <c r="B912" s="5" t="s">
        <v>4065</v>
      </c>
      <c r="C912" s="5" t="s">
        <v>79</v>
      </c>
      <c r="D912" s="5" t="s">
        <v>34</v>
      </c>
      <c r="E912" s="5" t="s">
        <v>382</v>
      </c>
    </row>
    <row r="913" ht="15.75" customHeight="1">
      <c r="A913" s="29"/>
      <c r="B913" s="5" t="s">
        <v>5354</v>
      </c>
      <c r="C913" s="5" t="s">
        <v>17</v>
      </c>
      <c r="D913" s="5" t="s">
        <v>206</v>
      </c>
      <c r="E913" s="5" t="s">
        <v>382</v>
      </c>
    </row>
    <row r="914" ht="15.75" customHeight="1">
      <c r="A914" s="29"/>
      <c r="B914" s="5" t="s">
        <v>4411</v>
      </c>
      <c r="C914" s="5" t="s">
        <v>79</v>
      </c>
      <c r="D914" s="5" t="s">
        <v>137</v>
      </c>
      <c r="E914" s="5" t="s">
        <v>382</v>
      </c>
    </row>
    <row r="915" ht="15.75" customHeight="1">
      <c r="A915" s="29"/>
      <c r="B915" s="5" t="s">
        <v>4445</v>
      </c>
      <c r="C915" s="5" t="s">
        <v>79</v>
      </c>
      <c r="D915" s="5" t="s">
        <v>9</v>
      </c>
      <c r="E915" s="5" t="s">
        <v>382</v>
      </c>
    </row>
    <row r="916" ht="15.75" customHeight="1">
      <c r="A916" s="29"/>
      <c r="B916" s="5" t="s">
        <v>3527</v>
      </c>
      <c r="C916" s="5" t="s">
        <v>22</v>
      </c>
      <c r="D916" s="5" t="s">
        <v>82</v>
      </c>
      <c r="E916" s="5" t="s">
        <v>382</v>
      </c>
    </row>
    <row r="917" ht="15.75" customHeight="1">
      <c r="A917" s="29"/>
      <c r="B917" s="5" t="s">
        <v>4312</v>
      </c>
      <c r="C917" s="5" t="s">
        <v>79</v>
      </c>
      <c r="D917" s="5" t="s">
        <v>67</v>
      </c>
      <c r="E917" s="5" t="s">
        <v>382</v>
      </c>
    </row>
    <row r="918" ht="15.75" customHeight="1">
      <c r="A918" s="29"/>
      <c r="B918" s="5" t="s">
        <v>4295</v>
      </c>
      <c r="C918" s="5" t="s">
        <v>79</v>
      </c>
      <c r="D918" s="5" t="s">
        <v>137</v>
      </c>
      <c r="E918" s="5" t="s">
        <v>382</v>
      </c>
    </row>
    <row r="919" ht="15.75" customHeight="1">
      <c r="A919" s="29"/>
      <c r="B919" s="5" t="s">
        <v>4816</v>
      </c>
      <c r="C919" s="5" t="s">
        <v>20</v>
      </c>
      <c r="D919" s="5" t="s">
        <v>122</v>
      </c>
      <c r="E919" s="5" t="s">
        <v>382</v>
      </c>
    </row>
    <row r="920" ht="15.75" customHeight="1">
      <c r="A920" s="29"/>
      <c r="B920" s="5" t="s">
        <v>4440</v>
      </c>
      <c r="C920" s="5" t="s">
        <v>22</v>
      </c>
      <c r="D920" s="5" t="s">
        <v>105</v>
      </c>
      <c r="E920" s="5" t="s">
        <v>382</v>
      </c>
    </row>
    <row r="921" ht="15.75" customHeight="1">
      <c r="A921" s="29"/>
      <c r="B921" s="5" t="s">
        <v>4062</v>
      </c>
      <c r="C921" s="5" t="s">
        <v>79</v>
      </c>
      <c r="D921" s="5" t="s">
        <v>120</v>
      </c>
      <c r="E921" s="5" t="s">
        <v>382</v>
      </c>
    </row>
    <row r="922" ht="15.75" customHeight="1">
      <c r="A922" s="29"/>
      <c r="B922" s="5" t="s">
        <v>3282</v>
      </c>
      <c r="C922" s="5" t="s">
        <v>22</v>
      </c>
      <c r="D922" s="5" t="s">
        <v>113</v>
      </c>
      <c r="E922" s="5" t="s">
        <v>382</v>
      </c>
    </row>
    <row r="923" ht="15.75" customHeight="1">
      <c r="A923" s="29"/>
      <c r="B923" s="5" t="s">
        <v>4516</v>
      </c>
      <c r="C923" s="5" t="s">
        <v>11</v>
      </c>
      <c r="D923" s="5" t="s">
        <v>36</v>
      </c>
      <c r="E923" s="5" t="s">
        <v>382</v>
      </c>
    </row>
    <row r="924" ht="15.75" customHeight="1">
      <c r="A924" s="29"/>
      <c r="B924" s="5" t="s">
        <v>5593</v>
      </c>
      <c r="C924" s="5" t="s">
        <v>79</v>
      </c>
      <c r="D924" s="5" t="s">
        <v>113</v>
      </c>
      <c r="E924" s="5" t="s">
        <v>382</v>
      </c>
    </row>
    <row r="925" ht="15.75" customHeight="1">
      <c r="A925" s="29"/>
      <c r="B925" s="5" t="s">
        <v>4535</v>
      </c>
      <c r="C925" s="5" t="s">
        <v>79</v>
      </c>
      <c r="D925" s="5" t="s">
        <v>15</v>
      </c>
      <c r="E925" s="5" t="s">
        <v>382</v>
      </c>
    </row>
    <row r="926" ht="15.75" customHeight="1">
      <c r="A926" s="29"/>
      <c r="B926" s="5" t="s">
        <v>3462</v>
      </c>
      <c r="C926" s="5" t="s">
        <v>79</v>
      </c>
      <c r="D926" s="5" t="s">
        <v>99</v>
      </c>
      <c r="E926" s="5" t="s">
        <v>382</v>
      </c>
    </row>
    <row r="927" ht="15.75" customHeight="1">
      <c r="A927" s="29"/>
      <c r="B927" s="5" t="s">
        <v>4554</v>
      </c>
      <c r="C927" s="5" t="s">
        <v>22</v>
      </c>
      <c r="D927" s="5" t="s">
        <v>137</v>
      </c>
      <c r="E927" s="5" t="s">
        <v>382</v>
      </c>
    </row>
    <row r="928" ht="15.75" customHeight="1">
      <c r="A928" s="29"/>
      <c r="B928" s="5" t="s">
        <v>3252</v>
      </c>
      <c r="C928" s="5" t="s">
        <v>79</v>
      </c>
      <c r="D928" s="5" t="s">
        <v>122</v>
      </c>
      <c r="E928" s="5" t="s">
        <v>382</v>
      </c>
    </row>
    <row r="929" ht="15.75" customHeight="1">
      <c r="A929" s="29"/>
      <c r="B929" s="5" t="s">
        <v>4788</v>
      </c>
      <c r="C929" s="5" t="s">
        <v>33</v>
      </c>
      <c r="D929" s="5" t="s">
        <v>122</v>
      </c>
      <c r="E929" s="5" t="s">
        <v>382</v>
      </c>
    </row>
    <row r="930" ht="15.75" customHeight="1">
      <c r="A930" s="29"/>
      <c r="B930" s="5" t="s">
        <v>4304</v>
      </c>
      <c r="C930" s="5" t="s">
        <v>11</v>
      </c>
      <c r="D930" s="5" t="s">
        <v>85</v>
      </c>
      <c r="E930" s="5" t="s">
        <v>382</v>
      </c>
    </row>
    <row r="931" ht="15.75" customHeight="1">
      <c r="A931" s="29"/>
      <c r="B931" s="5" t="s">
        <v>3450</v>
      </c>
      <c r="C931" s="5" t="s">
        <v>218</v>
      </c>
      <c r="D931" s="5" t="s">
        <v>90</v>
      </c>
      <c r="E931" s="5" t="s">
        <v>382</v>
      </c>
    </row>
    <row r="932" ht="15.75" customHeight="1">
      <c r="A932" s="29"/>
      <c r="B932" s="5" t="s">
        <v>4331</v>
      </c>
      <c r="C932" s="5" t="s">
        <v>218</v>
      </c>
      <c r="D932" s="5" t="s">
        <v>25</v>
      </c>
      <c r="E932" s="5" t="s">
        <v>382</v>
      </c>
    </row>
    <row r="933" ht="15.75" customHeight="1">
      <c r="A933" s="29"/>
      <c r="B933" s="5" t="s">
        <v>3521</v>
      </c>
      <c r="C933" s="5" t="s">
        <v>79</v>
      </c>
      <c r="D933" s="5" t="s">
        <v>206</v>
      </c>
      <c r="E933" s="5" t="s">
        <v>382</v>
      </c>
    </row>
    <row r="934" ht="15.75" customHeight="1">
      <c r="A934" s="29"/>
      <c r="B934" s="5" t="s">
        <v>4171</v>
      </c>
      <c r="C934" s="5" t="s">
        <v>79</v>
      </c>
      <c r="D934" s="5" t="s">
        <v>122</v>
      </c>
      <c r="E934" s="5" t="s">
        <v>382</v>
      </c>
    </row>
    <row r="935" ht="15.75" customHeight="1">
      <c r="A935" s="29"/>
      <c r="B935" s="5" t="s">
        <v>4390</v>
      </c>
      <c r="C935" s="5" t="s">
        <v>79</v>
      </c>
      <c r="D935" s="5" t="s">
        <v>206</v>
      </c>
      <c r="E935" s="5" t="s">
        <v>382</v>
      </c>
    </row>
    <row r="936" ht="15.75" customHeight="1">
      <c r="A936" s="29"/>
      <c r="B936" s="5" t="s">
        <v>4061</v>
      </c>
      <c r="C936" s="5" t="s">
        <v>22</v>
      </c>
      <c r="D936" s="5" t="s">
        <v>105</v>
      </c>
      <c r="E936" s="5" t="s">
        <v>382</v>
      </c>
    </row>
    <row r="937" ht="15.75" customHeight="1">
      <c r="A937" s="29"/>
      <c r="B937" s="5" t="s">
        <v>4466</v>
      </c>
      <c r="C937" s="5" t="s">
        <v>1710</v>
      </c>
      <c r="D937" s="5" t="s">
        <v>34</v>
      </c>
      <c r="E937" s="5" t="s">
        <v>382</v>
      </c>
    </row>
    <row r="938" ht="15.75" customHeight="1">
      <c r="A938" s="29"/>
      <c r="B938" s="5" t="s">
        <v>3227</v>
      </c>
      <c r="C938" s="5" t="s">
        <v>218</v>
      </c>
      <c r="D938" s="5" t="s">
        <v>206</v>
      </c>
      <c r="E938" s="5" t="s">
        <v>382</v>
      </c>
    </row>
    <row r="939" ht="15.75" customHeight="1">
      <c r="A939" s="29"/>
      <c r="B939" s="5" t="s">
        <v>4158</v>
      </c>
      <c r="C939" s="5" t="s">
        <v>79</v>
      </c>
      <c r="D939" s="5" t="s">
        <v>36</v>
      </c>
      <c r="E939" s="5" t="s">
        <v>382</v>
      </c>
    </row>
    <row r="940" ht="15.75" customHeight="1">
      <c r="A940" s="29"/>
      <c r="B940" s="5" t="s">
        <v>4706</v>
      </c>
      <c r="C940" s="5" t="s">
        <v>17</v>
      </c>
      <c r="D940" s="5" t="s">
        <v>82</v>
      </c>
      <c r="E940" s="5" t="s">
        <v>382</v>
      </c>
    </row>
    <row r="941" ht="15.75" customHeight="1">
      <c r="A941" s="29"/>
      <c r="B941" s="5" t="s">
        <v>4935</v>
      </c>
      <c r="C941" s="5" t="s">
        <v>48</v>
      </c>
      <c r="D941" s="5" t="s">
        <v>206</v>
      </c>
      <c r="E941" s="5" t="s">
        <v>382</v>
      </c>
    </row>
    <row r="942" ht="15.75" customHeight="1">
      <c r="A942" s="29"/>
      <c r="B942" s="5" t="s">
        <v>4186</v>
      </c>
      <c r="C942" s="5" t="s">
        <v>79</v>
      </c>
      <c r="D942" s="5" t="s">
        <v>122</v>
      </c>
      <c r="E942" s="5" t="s">
        <v>382</v>
      </c>
    </row>
    <row r="943" ht="15.75" customHeight="1">
      <c r="A943" s="29"/>
      <c r="B943" s="5" t="s">
        <v>4109</v>
      </c>
      <c r="C943" s="5" t="s">
        <v>79</v>
      </c>
      <c r="D943" s="5" t="s">
        <v>31</v>
      </c>
      <c r="E943" s="5" t="s">
        <v>382</v>
      </c>
    </row>
    <row r="944" ht="15.75" customHeight="1">
      <c r="A944" s="29"/>
      <c r="B944" s="5" t="s">
        <v>5146</v>
      </c>
      <c r="C944" s="5" t="s">
        <v>136</v>
      </c>
      <c r="D944" s="5" t="s">
        <v>137</v>
      </c>
      <c r="E944" s="5" t="s">
        <v>382</v>
      </c>
    </row>
    <row r="945" ht="15.75" customHeight="1">
      <c r="A945" s="29"/>
      <c r="B945" s="5" t="s">
        <v>4303</v>
      </c>
      <c r="C945" s="5" t="s">
        <v>22</v>
      </c>
      <c r="D945" s="5" t="s">
        <v>140</v>
      </c>
      <c r="E945" s="5" t="s">
        <v>382</v>
      </c>
    </row>
    <row r="946" ht="15.75" customHeight="1">
      <c r="A946" s="29"/>
      <c r="B946" s="5" t="s">
        <v>4221</v>
      </c>
      <c r="C946" s="5" t="s">
        <v>585</v>
      </c>
      <c r="D946" s="5" t="s">
        <v>120</v>
      </c>
      <c r="E946" s="5" t="s">
        <v>382</v>
      </c>
    </row>
    <row r="947" ht="15.75" customHeight="1">
      <c r="A947" s="29"/>
      <c r="B947" s="5" t="s">
        <v>4716</v>
      </c>
      <c r="C947" s="5" t="s">
        <v>14</v>
      </c>
      <c r="D947" s="5" t="s">
        <v>34</v>
      </c>
      <c r="E947" s="5" t="s">
        <v>382</v>
      </c>
    </row>
    <row r="948" ht="15.75" customHeight="1">
      <c r="A948" s="29"/>
      <c r="B948" s="5" t="s">
        <v>4088</v>
      </c>
      <c r="C948" s="5" t="s">
        <v>79</v>
      </c>
      <c r="D948" s="5" t="s">
        <v>73</v>
      </c>
      <c r="E948" s="5" t="s">
        <v>382</v>
      </c>
    </row>
    <row r="949" ht="15.75" customHeight="1">
      <c r="A949" s="29"/>
      <c r="B949" s="5" t="s">
        <v>4566</v>
      </c>
      <c r="C949" s="5" t="s">
        <v>136</v>
      </c>
      <c r="D949" s="5" t="s">
        <v>27</v>
      </c>
      <c r="E949" s="5" t="s">
        <v>382</v>
      </c>
    </row>
    <row r="950" ht="15.75" customHeight="1">
      <c r="A950" s="29"/>
      <c r="B950" s="5" t="s">
        <v>4470</v>
      </c>
      <c r="C950" s="5" t="s">
        <v>79</v>
      </c>
      <c r="D950" s="5" t="s">
        <v>73</v>
      </c>
      <c r="E950" s="5" t="s">
        <v>382</v>
      </c>
    </row>
    <row r="951" ht="15.75" customHeight="1">
      <c r="A951" s="29"/>
      <c r="B951" s="5" t="s">
        <v>5299</v>
      </c>
      <c r="C951" s="5" t="s">
        <v>11</v>
      </c>
      <c r="D951" s="5" t="s">
        <v>95</v>
      </c>
      <c r="E951" s="5" t="s">
        <v>382</v>
      </c>
    </row>
    <row r="952" ht="15.75" customHeight="1">
      <c r="A952" s="29"/>
      <c r="B952" s="5" t="s">
        <v>3206</v>
      </c>
      <c r="C952" s="5" t="s">
        <v>39</v>
      </c>
      <c r="D952" s="5" t="s">
        <v>18</v>
      </c>
      <c r="E952" s="5" t="s">
        <v>382</v>
      </c>
    </row>
    <row r="953" ht="15.75" customHeight="1">
      <c r="A953" s="29"/>
      <c r="B953" s="5" t="s">
        <v>4586</v>
      </c>
      <c r="C953" s="5" t="s">
        <v>22</v>
      </c>
      <c r="D953" s="5" t="s">
        <v>18</v>
      </c>
      <c r="E953" s="5" t="s">
        <v>382</v>
      </c>
    </row>
    <row r="954" ht="15.75" customHeight="1">
      <c r="A954" s="29"/>
      <c r="B954" s="5" t="s">
        <v>3931</v>
      </c>
      <c r="C954" s="5" t="s">
        <v>79</v>
      </c>
      <c r="D954" s="5" t="s">
        <v>31</v>
      </c>
      <c r="E954" s="5" t="s">
        <v>382</v>
      </c>
    </row>
    <row r="955" ht="15.75" customHeight="1">
      <c r="A955" s="29"/>
      <c r="B955" s="5" t="s">
        <v>4385</v>
      </c>
      <c r="C955" s="5" t="s">
        <v>79</v>
      </c>
      <c r="D955" s="5" t="s">
        <v>52</v>
      </c>
      <c r="E955" s="5" t="s">
        <v>382</v>
      </c>
    </row>
    <row r="956" ht="15.75" customHeight="1">
      <c r="A956" s="29"/>
      <c r="B956" s="5" t="s">
        <v>4611</v>
      </c>
      <c r="C956" s="5" t="s">
        <v>1861</v>
      </c>
      <c r="D956" s="5" t="s">
        <v>73</v>
      </c>
      <c r="E956" s="5" t="s">
        <v>382</v>
      </c>
    </row>
    <row r="957" ht="15.75" customHeight="1">
      <c r="A957" s="29"/>
      <c r="B957" s="5" t="s">
        <v>4642</v>
      </c>
      <c r="C957" s="5" t="s">
        <v>136</v>
      </c>
      <c r="D957" s="5" t="s">
        <v>137</v>
      </c>
      <c r="E957" s="5" t="s">
        <v>382</v>
      </c>
    </row>
    <row r="958" ht="15.75" customHeight="1">
      <c r="A958" s="29"/>
      <c r="B958" s="5" t="s">
        <v>4041</v>
      </c>
      <c r="C958" s="5" t="s">
        <v>79</v>
      </c>
      <c r="D958" s="5" t="s">
        <v>27</v>
      </c>
      <c r="E958" s="5" t="s">
        <v>382</v>
      </c>
    </row>
    <row r="959" ht="15.75" customHeight="1">
      <c r="A959" s="29"/>
      <c r="B959" s="5" t="s">
        <v>3669</v>
      </c>
      <c r="C959" s="5" t="s">
        <v>22</v>
      </c>
      <c r="D959" s="5" t="s">
        <v>206</v>
      </c>
      <c r="E959" s="5" t="s">
        <v>382</v>
      </c>
    </row>
    <row r="960" ht="15.75" customHeight="1">
      <c r="A960" s="29"/>
      <c r="B960" s="5" t="s">
        <v>3582</v>
      </c>
      <c r="C960" s="5" t="s">
        <v>79</v>
      </c>
      <c r="D960" s="5" t="s">
        <v>23</v>
      </c>
      <c r="E960" s="5" t="s">
        <v>382</v>
      </c>
    </row>
    <row r="961" ht="15.75" customHeight="1">
      <c r="A961" s="29"/>
      <c r="B961" s="5" t="s">
        <v>5377</v>
      </c>
      <c r="C961" s="5" t="s">
        <v>20</v>
      </c>
      <c r="D961" s="5" t="s">
        <v>25</v>
      </c>
      <c r="E961" s="5" t="s">
        <v>382</v>
      </c>
    </row>
    <row r="962" ht="15.75" customHeight="1">
      <c r="A962" s="29"/>
      <c r="B962" s="5" t="s">
        <v>4859</v>
      </c>
      <c r="C962" s="5" t="s">
        <v>77</v>
      </c>
      <c r="D962" s="5" t="s">
        <v>9</v>
      </c>
      <c r="E962" s="5" t="s">
        <v>382</v>
      </c>
    </row>
    <row r="963" ht="15.75" customHeight="1">
      <c r="A963" s="29"/>
      <c r="B963" s="5" t="s">
        <v>4028</v>
      </c>
      <c r="C963" s="5" t="s">
        <v>79</v>
      </c>
      <c r="D963" s="5" t="s">
        <v>113</v>
      </c>
      <c r="E963" s="5" t="s">
        <v>382</v>
      </c>
    </row>
    <row r="964" ht="15.75" customHeight="1">
      <c r="A964" s="29"/>
      <c r="B964" s="5" t="s">
        <v>3277</v>
      </c>
      <c r="C964" s="5" t="s">
        <v>79</v>
      </c>
      <c r="D964" s="5" t="s">
        <v>129</v>
      </c>
      <c r="E964" s="5" t="s">
        <v>382</v>
      </c>
    </row>
    <row r="965" ht="15.75" customHeight="1">
      <c r="A965" s="29"/>
      <c r="B965" s="5" t="s">
        <v>3965</v>
      </c>
      <c r="C965" s="5" t="s">
        <v>79</v>
      </c>
      <c r="D965" s="5" t="s">
        <v>113</v>
      </c>
      <c r="E965" s="5" t="s">
        <v>382</v>
      </c>
    </row>
    <row r="966" ht="15.75" customHeight="1">
      <c r="A966" s="29"/>
      <c r="B966" s="5" t="s">
        <v>4337</v>
      </c>
      <c r="C966" s="5" t="s">
        <v>220</v>
      </c>
      <c r="D966" s="5" t="s">
        <v>15</v>
      </c>
      <c r="E966" s="5" t="s">
        <v>382</v>
      </c>
    </row>
    <row r="967" ht="15.75" customHeight="1">
      <c r="A967" s="29"/>
      <c r="B967" s="5" t="s">
        <v>4384</v>
      </c>
      <c r="C967" s="5" t="s">
        <v>220</v>
      </c>
      <c r="D967" s="5" t="s">
        <v>99</v>
      </c>
      <c r="E967" s="5" t="s">
        <v>382</v>
      </c>
    </row>
    <row r="968" ht="15.75" customHeight="1">
      <c r="A968" s="29"/>
      <c r="B968" s="5" t="s">
        <v>4198</v>
      </c>
      <c r="C968" s="5" t="s">
        <v>79</v>
      </c>
      <c r="D968" s="5" t="s">
        <v>15</v>
      </c>
      <c r="E968" s="5" t="s">
        <v>382</v>
      </c>
    </row>
    <row r="969" ht="15.75" customHeight="1">
      <c r="A969" s="29"/>
      <c r="B969" s="5" t="s">
        <v>4185</v>
      </c>
      <c r="C969" s="5" t="s">
        <v>22</v>
      </c>
      <c r="D969" s="5" t="s">
        <v>25</v>
      </c>
      <c r="E969" s="5" t="s">
        <v>382</v>
      </c>
    </row>
    <row r="970" ht="15.75" customHeight="1">
      <c r="A970" s="29"/>
      <c r="B970" s="5" t="s">
        <v>4317</v>
      </c>
      <c r="C970" s="5" t="s">
        <v>79</v>
      </c>
      <c r="D970" s="5" t="s">
        <v>140</v>
      </c>
      <c r="E970" s="5" t="s">
        <v>382</v>
      </c>
    </row>
    <row r="971" ht="15.75" customHeight="1">
      <c r="A971" s="29"/>
      <c r="B971" s="5" t="s">
        <v>3836</v>
      </c>
      <c r="C971" s="5" t="s">
        <v>79</v>
      </c>
      <c r="D971" s="5" t="s">
        <v>31</v>
      </c>
      <c r="E971" s="5" t="s">
        <v>382</v>
      </c>
    </row>
    <row r="972" ht="15.75" customHeight="1">
      <c r="A972" s="29"/>
      <c r="B972" s="5" t="s">
        <v>4234</v>
      </c>
      <c r="C972" s="5" t="s">
        <v>79</v>
      </c>
      <c r="D972" s="5" t="s">
        <v>99</v>
      </c>
      <c r="E972" s="5" t="s">
        <v>382</v>
      </c>
    </row>
    <row r="973" ht="15.75" customHeight="1">
      <c r="A973" s="29"/>
      <c r="B973" s="5" t="s">
        <v>5183</v>
      </c>
      <c r="C973" s="5" t="s">
        <v>240</v>
      </c>
      <c r="D973" s="5" t="s">
        <v>46</v>
      </c>
      <c r="E973" s="5" t="s">
        <v>382</v>
      </c>
    </row>
    <row r="974" ht="15.75" customHeight="1">
      <c r="A974" s="29"/>
      <c r="B974" s="5" t="s">
        <v>5525</v>
      </c>
      <c r="C974" s="5" t="s">
        <v>77</v>
      </c>
      <c r="D974" s="5" t="s">
        <v>49</v>
      </c>
      <c r="E974" s="5" t="s">
        <v>382</v>
      </c>
    </row>
    <row r="975" ht="15.75" customHeight="1">
      <c r="A975" s="29"/>
      <c r="B975" s="5" t="s">
        <v>4199</v>
      </c>
      <c r="C975" s="5" t="s">
        <v>79</v>
      </c>
      <c r="D975" s="5" t="s">
        <v>42</v>
      </c>
      <c r="E975" s="5" t="s">
        <v>382</v>
      </c>
    </row>
    <row r="976" ht="15.75" customHeight="1">
      <c r="A976" s="29"/>
      <c r="B976" s="5" t="s">
        <v>3857</v>
      </c>
      <c r="C976" s="5" t="s">
        <v>22</v>
      </c>
      <c r="D976" s="5" t="s">
        <v>113</v>
      </c>
      <c r="E976" s="5" t="s">
        <v>382</v>
      </c>
    </row>
    <row r="977" ht="15.75" customHeight="1">
      <c r="A977" s="29"/>
      <c r="B977" s="5" t="s">
        <v>4493</v>
      </c>
      <c r="C977" s="5" t="s">
        <v>218</v>
      </c>
      <c r="D977" s="5" t="s">
        <v>137</v>
      </c>
      <c r="E977" s="5" t="s">
        <v>382</v>
      </c>
    </row>
    <row r="978" ht="15.75" customHeight="1">
      <c r="A978" s="29"/>
      <c r="B978" s="5" t="s">
        <v>4864</v>
      </c>
      <c r="C978" s="5" t="s">
        <v>33</v>
      </c>
      <c r="D978" s="5" t="s">
        <v>9</v>
      </c>
      <c r="E978" s="5" t="s">
        <v>382</v>
      </c>
    </row>
    <row r="979" ht="15.75" customHeight="1">
      <c r="A979" s="29"/>
      <c r="B979" s="5" t="s">
        <v>3412</v>
      </c>
      <c r="C979" s="5" t="s">
        <v>79</v>
      </c>
      <c r="D979" s="5" t="s">
        <v>140</v>
      </c>
      <c r="E979" s="5" t="s">
        <v>382</v>
      </c>
    </row>
    <row r="980" ht="15.75" customHeight="1">
      <c r="A980" s="29"/>
      <c r="B980" s="5" t="s">
        <v>4210</v>
      </c>
      <c r="C980" s="5" t="s">
        <v>79</v>
      </c>
      <c r="D980" s="5" t="s">
        <v>90</v>
      </c>
      <c r="E980" s="5" t="s">
        <v>382</v>
      </c>
    </row>
    <row r="981" ht="15.75" customHeight="1">
      <c r="A981" s="29"/>
      <c r="B981" s="5" t="s">
        <v>4860</v>
      </c>
      <c r="C981" s="5" t="s">
        <v>33</v>
      </c>
      <c r="D981" s="5" t="s">
        <v>42</v>
      </c>
      <c r="E981" s="5" t="s">
        <v>382</v>
      </c>
    </row>
    <row r="982" ht="15.75" customHeight="1">
      <c r="A982" s="29"/>
      <c r="B982" s="5" t="s">
        <v>4497</v>
      </c>
      <c r="C982" s="5" t="s">
        <v>220</v>
      </c>
      <c r="D982" s="5" t="s">
        <v>206</v>
      </c>
      <c r="E982" s="5" t="s">
        <v>382</v>
      </c>
    </row>
    <row r="983" ht="15.75" customHeight="1">
      <c r="A983" s="29"/>
      <c r="B983" s="5" t="s">
        <v>3284</v>
      </c>
      <c r="C983" s="5" t="s">
        <v>79</v>
      </c>
      <c r="D983" s="5" t="s">
        <v>85</v>
      </c>
      <c r="E983" s="5" t="s">
        <v>382</v>
      </c>
    </row>
    <row r="984" ht="15.75" customHeight="1">
      <c r="A984" s="29"/>
      <c r="B984" s="5" t="s">
        <v>4241</v>
      </c>
      <c r="C984" s="5" t="s">
        <v>79</v>
      </c>
      <c r="D984" s="5" t="s">
        <v>85</v>
      </c>
      <c r="E984" s="5" t="s">
        <v>382</v>
      </c>
    </row>
    <row r="985" ht="15.75" customHeight="1">
      <c r="A985" s="29"/>
      <c r="B985" s="5" t="s">
        <v>3268</v>
      </c>
      <c r="C985" s="5" t="s">
        <v>79</v>
      </c>
      <c r="D985" s="5" t="s">
        <v>137</v>
      </c>
      <c r="E985" s="5" t="s">
        <v>382</v>
      </c>
    </row>
    <row r="986" ht="15.75" customHeight="1">
      <c r="A986" s="29"/>
      <c r="B986" s="5" t="s">
        <v>4345</v>
      </c>
      <c r="C986" s="5" t="s">
        <v>79</v>
      </c>
      <c r="D986" s="5" t="s">
        <v>113</v>
      </c>
      <c r="E986" s="5" t="s">
        <v>382</v>
      </c>
    </row>
    <row r="987" ht="15.75" customHeight="1">
      <c r="A987" s="29"/>
      <c r="B987" s="5" t="s">
        <v>3381</v>
      </c>
      <c r="C987" s="5" t="s">
        <v>220</v>
      </c>
      <c r="D987" s="5" t="s">
        <v>206</v>
      </c>
      <c r="E987" s="5" t="s">
        <v>382</v>
      </c>
    </row>
    <row r="988" ht="15.75" customHeight="1">
      <c r="A988" s="29"/>
      <c r="B988" s="5" t="s">
        <v>4392</v>
      </c>
      <c r="C988" s="5" t="s">
        <v>77</v>
      </c>
      <c r="D988" s="5" t="s">
        <v>85</v>
      </c>
      <c r="E988" s="5" t="s">
        <v>382</v>
      </c>
    </row>
    <row r="989" ht="15.75" customHeight="1">
      <c r="A989" s="29"/>
      <c r="B989" s="5" t="s">
        <v>3922</v>
      </c>
      <c r="C989" s="5" t="s">
        <v>79</v>
      </c>
      <c r="D989" s="5" t="s">
        <v>9</v>
      </c>
      <c r="E989" s="5" t="s">
        <v>382</v>
      </c>
    </row>
    <row r="990" ht="15.75" customHeight="1">
      <c r="A990" s="29"/>
      <c r="B990" s="5" t="s">
        <v>3755</v>
      </c>
      <c r="C990" s="5" t="s">
        <v>220</v>
      </c>
      <c r="D990" s="5" t="s">
        <v>206</v>
      </c>
      <c r="E990" s="5" t="s">
        <v>382</v>
      </c>
    </row>
    <row r="991" ht="15.75" customHeight="1">
      <c r="A991" s="29"/>
      <c r="B991" s="5" t="s">
        <v>3342</v>
      </c>
      <c r="C991" s="5" t="s">
        <v>79</v>
      </c>
      <c r="D991" s="5" t="s">
        <v>36</v>
      </c>
      <c r="E991" s="5" t="s">
        <v>382</v>
      </c>
    </row>
    <row r="992" ht="15.75" customHeight="1">
      <c r="A992" s="29"/>
      <c r="B992" s="5" t="s">
        <v>4428</v>
      </c>
      <c r="C992" s="5" t="s">
        <v>22</v>
      </c>
      <c r="D992" s="5" t="s">
        <v>206</v>
      </c>
      <c r="E992" s="5" t="s">
        <v>382</v>
      </c>
    </row>
    <row r="993" ht="15.75" customHeight="1">
      <c r="A993" s="29"/>
      <c r="B993" s="5" t="s">
        <v>3960</v>
      </c>
      <c r="C993" s="5" t="s">
        <v>79</v>
      </c>
      <c r="D993" s="5" t="s">
        <v>90</v>
      </c>
      <c r="E993" s="5" t="s">
        <v>382</v>
      </c>
    </row>
    <row r="994" ht="15.75" customHeight="1">
      <c r="A994" s="29"/>
      <c r="B994" s="5" t="s">
        <v>3545</v>
      </c>
      <c r="C994" s="5" t="s">
        <v>79</v>
      </c>
      <c r="D994" s="5" t="s">
        <v>71</v>
      </c>
      <c r="E994" s="5" t="s">
        <v>382</v>
      </c>
    </row>
    <row r="995" ht="15.75" customHeight="1">
      <c r="A995" s="29"/>
      <c r="B995" s="5" t="s">
        <v>5257</v>
      </c>
      <c r="C995" s="5" t="s">
        <v>77</v>
      </c>
      <c r="D995" s="5" t="s">
        <v>140</v>
      </c>
      <c r="E995" s="5" t="s">
        <v>382</v>
      </c>
    </row>
    <row r="996" ht="15.75" customHeight="1">
      <c r="A996" s="29"/>
      <c r="B996" s="5" t="s">
        <v>4833</v>
      </c>
      <c r="C996" s="5" t="s">
        <v>14</v>
      </c>
      <c r="D996" s="5" t="s">
        <v>129</v>
      </c>
      <c r="E996" s="5" t="s">
        <v>382</v>
      </c>
    </row>
    <row r="997" ht="15.75" customHeight="1">
      <c r="A997" s="29"/>
      <c r="B997" s="5" t="s">
        <v>5234</v>
      </c>
      <c r="C997" s="5" t="s">
        <v>77</v>
      </c>
      <c r="D997" s="5" t="s">
        <v>140</v>
      </c>
      <c r="E997" s="5" t="s">
        <v>382</v>
      </c>
    </row>
    <row r="998" ht="15.75" customHeight="1">
      <c r="A998" s="29"/>
      <c r="B998" s="5" t="s">
        <v>4115</v>
      </c>
      <c r="C998" s="5" t="s">
        <v>79</v>
      </c>
      <c r="D998" s="5" t="s">
        <v>85</v>
      </c>
      <c r="E998" s="5" t="s">
        <v>382</v>
      </c>
    </row>
    <row r="999" ht="15.75" customHeight="1">
      <c r="A999" s="29"/>
      <c r="B999" s="5" t="s">
        <v>5318</v>
      </c>
      <c r="C999" s="5" t="s">
        <v>77</v>
      </c>
      <c r="D999" s="5" t="s">
        <v>36</v>
      </c>
      <c r="E999" s="5" t="s">
        <v>382</v>
      </c>
    </row>
    <row r="1000" ht="15.75" customHeight="1">
      <c r="A1000" s="29"/>
      <c r="B1000" s="5" t="s">
        <v>3274</v>
      </c>
      <c r="C1000" s="5" t="s">
        <v>79</v>
      </c>
      <c r="D1000" s="5" t="s">
        <v>34</v>
      </c>
      <c r="E1000" s="5" t="s">
        <v>382</v>
      </c>
    </row>
    <row r="1001" ht="15.75" customHeight="1">
      <c r="A1001" s="29"/>
      <c r="B1001" s="5" t="s">
        <v>4598</v>
      </c>
      <c r="C1001" s="5" t="s">
        <v>136</v>
      </c>
      <c r="D1001" s="5" t="s">
        <v>49</v>
      </c>
      <c r="E1001" s="5" t="s">
        <v>382</v>
      </c>
    </row>
    <row r="1002" ht="15.75" customHeight="1">
      <c r="A1002" s="29"/>
      <c r="B1002" s="5" t="s">
        <v>5575</v>
      </c>
      <c r="C1002" s="5" t="s">
        <v>33</v>
      </c>
      <c r="D1002" s="5" t="s">
        <v>82</v>
      </c>
      <c r="E1002" s="5" t="s">
        <v>382</v>
      </c>
    </row>
    <row r="1003" ht="15.75" customHeight="1">
      <c r="A1003" s="29"/>
      <c r="B1003" s="5" t="s">
        <v>4265</v>
      </c>
      <c r="C1003" s="5" t="s">
        <v>79</v>
      </c>
      <c r="D1003" s="5" t="s">
        <v>42</v>
      </c>
      <c r="E1003" s="5" t="s">
        <v>382</v>
      </c>
    </row>
    <row r="1004" ht="15.75" customHeight="1">
      <c r="A1004" s="29"/>
      <c r="B1004" s="5" t="s">
        <v>4167</v>
      </c>
      <c r="C1004" s="5" t="s">
        <v>79</v>
      </c>
      <c r="D1004" s="5" t="s">
        <v>34</v>
      </c>
      <c r="E1004" s="5" t="s">
        <v>382</v>
      </c>
    </row>
    <row r="1005" ht="15.75" customHeight="1">
      <c r="A1005" s="29"/>
      <c r="B1005" s="5" t="s">
        <v>4383</v>
      </c>
      <c r="C1005" s="5" t="s">
        <v>79</v>
      </c>
      <c r="D1005" s="5" t="s">
        <v>137</v>
      </c>
      <c r="E1005" s="5" t="s">
        <v>382</v>
      </c>
    </row>
    <row r="1006" ht="15.75" customHeight="1">
      <c r="A1006" s="29"/>
      <c r="B1006" s="5" t="s">
        <v>4996</v>
      </c>
      <c r="C1006" s="5" t="s">
        <v>240</v>
      </c>
      <c r="D1006" s="5" t="s">
        <v>31</v>
      </c>
      <c r="E1006" s="5" t="s">
        <v>382</v>
      </c>
    </row>
    <row r="1007" ht="15.75" customHeight="1">
      <c r="A1007" s="29"/>
      <c r="B1007" s="5" t="s">
        <v>3437</v>
      </c>
      <c r="C1007" s="5" t="s">
        <v>79</v>
      </c>
      <c r="D1007" s="5" t="s">
        <v>25</v>
      </c>
      <c r="E1007" s="5" t="s">
        <v>382</v>
      </c>
    </row>
    <row r="1008" ht="15.75" customHeight="1">
      <c r="A1008" s="29"/>
      <c r="B1008" s="5" t="s">
        <v>3534</v>
      </c>
      <c r="C1008" s="5" t="s">
        <v>79</v>
      </c>
      <c r="D1008" s="5" t="s">
        <v>140</v>
      </c>
      <c r="E1008" s="5" t="s">
        <v>382</v>
      </c>
    </row>
    <row r="1009" ht="15.75" customHeight="1">
      <c r="A1009" s="29"/>
      <c r="B1009" s="5" t="s">
        <v>4010</v>
      </c>
      <c r="C1009" s="5" t="s">
        <v>79</v>
      </c>
      <c r="D1009" s="5" t="s">
        <v>122</v>
      </c>
      <c r="E1009" s="5" t="s">
        <v>382</v>
      </c>
    </row>
    <row r="1010" ht="15.75" customHeight="1">
      <c r="A1010" s="29"/>
      <c r="B1010" s="5" t="s">
        <v>3254</v>
      </c>
      <c r="C1010" s="5" t="s">
        <v>79</v>
      </c>
      <c r="D1010" s="5" t="s">
        <v>25</v>
      </c>
      <c r="E1010" s="5" t="s">
        <v>382</v>
      </c>
    </row>
    <row r="1011" ht="15.75" customHeight="1">
      <c r="A1011" s="29"/>
      <c r="B1011" s="5" t="s">
        <v>3599</v>
      </c>
      <c r="C1011" s="5" t="s">
        <v>79</v>
      </c>
      <c r="D1011" s="5" t="s">
        <v>36</v>
      </c>
      <c r="E1011" s="5" t="s">
        <v>382</v>
      </c>
    </row>
    <row r="1012" ht="15.75" customHeight="1">
      <c r="A1012" s="29"/>
      <c r="B1012" s="5" t="s">
        <v>4325</v>
      </c>
      <c r="C1012" s="5" t="s">
        <v>79</v>
      </c>
      <c r="D1012" s="5" t="s">
        <v>36</v>
      </c>
      <c r="E1012" s="5" t="s">
        <v>382</v>
      </c>
    </row>
    <row r="1013" ht="15.75" customHeight="1">
      <c r="A1013" s="29"/>
      <c r="B1013" s="5" t="s">
        <v>4057</v>
      </c>
      <c r="C1013" s="5" t="s">
        <v>22</v>
      </c>
      <c r="D1013" s="5" t="s">
        <v>34</v>
      </c>
      <c r="E1013" s="5" t="s">
        <v>382</v>
      </c>
    </row>
    <row r="1014" ht="15.75" customHeight="1">
      <c r="A1014" s="29"/>
      <c r="B1014" s="5" t="s">
        <v>4089</v>
      </c>
      <c r="C1014" s="5" t="s">
        <v>79</v>
      </c>
      <c r="D1014" s="5" t="s">
        <v>42</v>
      </c>
      <c r="E1014" s="5" t="s">
        <v>382</v>
      </c>
    </row>
    <row r="1015" ht="15.75" customHeight="1">
      <c r="A1015" s="29"/>
      <c r="B1015" s="5" t="s">
        <v>3948</v>
      </c>
      <c r="C1015" s="5" t="s">
        <v>22</v>
      </c>
      <c r="D1015" s="5" t="s">
        <v>105</v>
      </c>
      <c r="E1015" s="5" t="s">
        <v>382</v>
      </c>
    </row>
    <row r="1016" ht="15.75" customHeight="1">
      <c r="A1016" s="29"/>
      <c r="B1016" s="5" t="s">
        <v>3350</v>
      </c>
      <c r="C1016" s="5" t="s">
        <v>79</v>
      </c>
      <c r="D1016" s="5" t="s">
        <v>99</v>
      </c>
      <c r="E1016" s="5" t="s">
        <v>382</v>
      </c>
    </row>
    <row r="1017" ht="15.75" customHeight="1">
      <c r="A1017" s="29"/>
      <c r="B1017" s="5" t="s">
        <v>3608</v>
      </c>
      <c r="C1017" s="5" t="s">
        <v>79</v>
      </c>
      <c r="D1017" s="5" t="s">
        <v>73</v>
      </c>
      <c r="E1017" s="5" t="s">
        <v>382</v>
      </c>
    </row>
    <row r="1018" ht="15.75" customHeight="1">
      <c r="A1018" s="29"/>
      <c r="B1018" s="5" t="s">
        <v>4142</v>
      </c>
      <c r="C1018" s="5" t="s">
        <v>79</v>
      </c>
      <c r="D1018" s="5" t="s">
        <v>206</v>
      </c>
      <c r="E1018" s="5" t="s">
        <v>382</v>
      </c>
    </row>
    <row r="1019" ht="15.75" customHeight="1">
      <c r="A1019" s="29"/>
      <c r="B1019" s="5" t="s">
        <v>3330</v>
      </c>
      <c r="C1019" s="5" t="s">
        <v>79</v>
      </c>
      <c r="D1019" s="5" t="s">
        <v>23</v>
      </c>
      <c r="E1019" s="5" t="s">
        <v>382</v>
      </c>
    </row>
    <row r="1020" ht="15.75" customHeight="1">
      <c r="A1020" s="29"/>
      <c r="B1020" s="5" t="s">
        <v>4076</v>
      </c>
      <c r="C1020" s="5" t="s">
        <v>79</v>
      </c>
      <c r="D1020" s="5" t="s">
        <v>25</v>
      </c>
      <c r="E1020" s="5" t="s">
        <v>382</v>
      </c>
    </row>
    <row r="1021" ht="15.75" customHeight="1">
      <c r="A1021" s="29"/>
      <c r="B1021" s="5" t="s">
        <v>4359</v>
      </c>
      <c r="C1021" s="5" t="s">
        <v>79</v>
      </c>
      <c r="D1021" s="5" t="s">
        <v>140</v>
      </c>
      <c r="E1021" s="5" t="s">
        <v>382</v>
      </c>
    </row>
    <row r="1022" ht="15.75" customHeight="1">
      <c r="A1022" s="29"/>
      <c r="B1022" s="5" t="s">
        <v>4148</v>
      </c>
      <c r="C1022" s="5" t="s">
        <v>79</v>
      </c>
      <c r="D1022" s="5" t="s">
        <v>31</v>
      </c>
      <c r="E1022" s="5" t="s">
        <v>382</v>
      </c>
    </row>
    <row r="1023" ht="15.75" customHeight="1">
      <c r="A1023" s="29"/>
      <c r="B1023" s="5" t="s">
        <v>4828</v>
      </c>
      <c r="C1023" s="5" t="s">
        <v>150</v>
      </c>
      <c r="D1023" s="5" t="s">
        <v>36</v>
      </c>
      <c r="E1023" s="5" t="s">
        <v>382</v>
      </c>
    </row>
    <row r="1024" ht="15.75" customHeight="1">
      <c r="A1024" s="29"/>
      <c r="B1024" s="5" t="s">
        <v>4164</v>
      </c>
      <c r="C1024" s="5" t="s">
        <v>79</v>
      </c>
      <c r="D1024" s="5" t="s">
        <v>206</v>
      </c>
      <c r="E1024" s="5" t="s">
        <v>382</v>
      </c>
    </row>
    <row r="1025" ht="15.75" customHeight="1">
      <c r="A1025" s="29"/>
      <c r="B1025" s="5" t="s">
        <v>4637</v>
      </c>
      <c r="C1025" s="5" t="s">
        <v>8</v>
      </c>
      <c r="D1025" s="5" t="s">
        <v>49</v>
      </c>
      <c r="E1025" s="5" t="s">
        <v>382</v>
      </c>
    </row>
    <row r="1026" ht="15.75" customHeight="1">
      <c r="A1026" s="29"/>
      <c r="B1026" s="5" t="s">
        <v>3895</v>
      </c>
      <c r="C1026" s="5" t="s">
        <v>22</v>
      </c>
      <c r="D1026" s="5" t="s">
        <v>95</v>
      </c>
      <c r="E1026" s="5" t="s">
        <v>382</v>
      </c>
    </row>
    <row r="1027" ht="15.75" customHeight="1">
      <c r="A1027" s="29"/>
      <c r="B1027" s="5" t="s">
        <v>4243</v>
      </c>
      <c r="C1027" s="5" t="s">
        <v>79</v>
      </c>
      <c r="D1027" s="5" t="s">
        <v>23</v>
      </c>
      <c r="E1027" s="5" t="s">
        <v>382</v>
      </c>
    </row>
    <row r="1028" ht="15.75" customHeight="1">
      <c r="A1028" s="29"/>
      <c r="B1028" s="5" t="s">
        <v>5380</v>
      </c>
      <c r="C1028" s="5" t="s">
        <v>89</v>
      </c>
      <c r="D1028" s="5" t="s">
        <v>140</v>
      </c>
      <c r="E1028" s="5" t="s">
        <v>382</v>
      </c>
    </row>
    <row r="1029" ht="15.75" customHeight="1">
      <c r="A1029" s="29"/>
      <c r="B1029" s="5" t="s">
        <v>4290</v>
      </c>
      <c r="C1029" s="5" t="s">
        <v>79</v>
      </c>
      <c r="D1029" s="5" t="s">
        <v>137</v>
      </c>
      <c r="E1029" s="5" t="s">
        <v>382</v>
      </c>
    </row>
    <row r="1030" ht="15.75" customHeight="1">
      <c r="A1030" s="29"/>
      <c r="B1030" s="5" t="s">
        <v>4641</v>
      </c>
      <c r="C1030" s="5" t="s">
        <v>79</v>
      </c>
      <c r="D1030" s="5" t="s">
        <v>12</v>
      </c>
      <c r="E1030" s="5" t="s">
        <v>382</v>
      </c>
    </row>
    <row r="1031" ht="15.75" customHeight="1">
      <c r="A1031" s="29"/>
      <c r="B1031" s="5" t="s">
        <v>4391</v>
      </c>
      <c r="C1031" s="5" t="s">
        <v>79</v>
      </c>
      <c r="D1031" s="5" t="s">
        <v>67</v>
      </c>
      <c r="E1031" s="5" t="s">
        <v>382</v>
      </c>
    </row>
    <row r="1032" ht="15.75" customHeight="1">
      <c r="A1032" s="29"/>
      <c r="B1032" s="5" t="s">
        <v>5586</v>
      </c>
      <c r="C1032" s="5" t="s">
        <v>240</v>
      </c>
      <c r="D1032" s="5" t="s">
        <v>52</v>
      </c>
      <c r="E1032" s="5" t="s">
        <v>382</v>
      </c>
    </row>
    <row r="1033" ht="15.75" customHeight="1">
      <c r="A1033" s="29"/>
      <c r="B1033" s="5" t="s">
        <v>4589</v>
      </c>
      <c r="C1033" s="5" t="s">
        <v>22</v>
      </c>
      <c r="D1033" s="5" t="s">
        <v>67</v>
      </c>
      <c r="E1033" s="5" t="s">
        <v>382</v>
      </c>
    </row>
    <row r="1034" ht="15.75" customHeight="1">
      <c r="A1034" s="29"/>
      <c r="B1034" s="5" t="s">
        <v>4861</v>
      </c>
      <c r="C1034" s="5" t="s">
        <v>8</v>
      </c>
      <c r="D1034" s="5" t="s">
        <v>49</v>
      </c>
      <c r="E1034" s="5" t="s">
        <v>382</v>
      </c>
    </row>
    <row r="1035" ht="15.75" customHeight="1">
      <c r="A1035" s="29"/>
      <c r="B1035" s="5" t="s">
        <v>4618</v>
      </c>
      <c r="C1035" s="5" t="s">
        <v>220</v>
      </c>
      <c r="D1035" s="5" t="s">
        <v>71</v>
      </c>
      <c r="E1035" s="5" t="s">
        <v>382</v>
      </c>
    </row>
    <row r="1036" ht="15.75" customHeight="1">
      <c r="A1036" s="29"/>
      <c r="B1036" s="5" t="s">
        <v>5148</v>
      </c>
      <c r="C1036" s="5" t="s">
        <v>14</v>
      </c>
      <c r="D1036" s="5" t="s">
        <v>34</v>
      </c>
      <c r="E1036" s="5" t="s">
        <v>382</v>
      </c>
    </row>
    <row r="1037" ht="15.75" customHeight="1">
      <c r="A1037" s="29"/>
      <c r="B1037" s="5" t="s">
        <v>3760</v>
      </c>
      <c r="C1037" s="5" t="s">
        <v>22</v>
      </c>
      <c r="D1037" s="5" t="s">
        <v>113</v>
      </c>
      <c r="E1037" s="5" t="s">
        <v>382</v>
      </c>
    </row>
    <row r="1038" ht="15.75" customHeight="1">
      <c r="A1038" s="29"/>
      <c r="B1038" s="5" t="s">
        <v>3643</v>
      </c>
      <c r="C1038" s="5" t="s">
        <v>22</v>
      </c>
      <c r="D1038" s="5" t="s">
        <v>73</v>
      </c>
      <c r="E1038" s="5" t="s">
        <v>382</v>
      </c>
    </row>
    <row r="1039" ht="15.75" customHeight="1">
      <c r="A1039" s="29"/>
      <c r="B1039" s="5" t="s">
        <v>4749</v>
      </c>
      <c r="C1039" s="5" t="s">
        <v>220</v>
      </c>
      <c r="D1039" s="5" t="s">
        <v>73</v>
      </c>
      <c r="E1039" s="5" t="s">
        <v>382</v>
      </c>
    </row>
    <row r="1040" ht="15.75" customHeight="1">
      <c r="A1040" s="29"/>
      <c r="B1040" s="5" t="s">
        <v>3526</v>
      </c>
      <c r="C1040" s="5" t="s">
        <v>79</v>
      </c>
      <c r="D1040" s="5" t="s">
        <v>73</v>
      </c>
      <c r="E1040" s="5" t="s">
        <v>382</v>
      </c>
    </row>
    <row r="1041" ht="15.75" customHeight="1">
      <c r="A1041" s="29"/>
      <c r="B1041" s="5" t="s">
        <v>4636</v>
      </c>
      <c r="C1041" s="5" t="s">
        <v>176</v>
      </c>
      <c r="D1041" s="5" t="s">
        <v>137</v>
      </c>
      <c r="E1041" s="5" t="s">
        <v>382</v>
      </c>
    </row>
    <row r="1042" ht="15.75" customHeight="1">
      <c r="A1042" s="29"/>
      <c r="B1042" s="5" t="s">
        <v>4224</v>
      </c>
      <c r="C1042" s="5" t="s">
        <v>79</v>
      </c>
      <c r="D1042" s="5" t="s">
        <v>73</v>
      </c>
      <c r="E1042" s="5" t="s">
        <v>382</v>
      </c>
    </row>
    <row r="1043" ht="15.75" customHeight="1">
      <c r="A1043" s="29"/>
      <c r="B1043" s="5" t="s">
        <v>3660</v>
      </c>
      <c r="C1043" s="5" t="s">
        <v>22</v>
      </c>
      <c r="D1043" s="5" t="s">
        <v>42</v>
      </c>
      <c r="E1043" s="5" t="s">
        <v>382</v>
      </c>
    </row>
    <row r="1044" ht="15.75" customHeight="1">
      <c r="A1044" s="29"/>
      <c r="B1044" s="5" t="s">
        <v>3554</v>
      </c>
      <c r="C1044" s="5" t="s">
        <v>22</v>
      </c>
      <c r="D1044" s="5" t="s">
        <v>36</v>
      </c>
      <c r="E1044" s="5" t="s">
        <v>382</v>
      </c>
    </row>
    <row r="1045" ht="15.75" customHeight="1">
      <c r="A1045" s="29"/>
      <c r="B1045" s="5" t="s">
        <v>3925</v>
      </c>
      <c r="C1045" s="5" t="s">
        <v>22</v>
      </c>
      <c r="D1045" s="5" t="s">
        <v>206</v>
      </c>
      <c r="E1045" s="5" t="s">
        <v>382</v>
      </c>
    </row>
    <row r="1046" ht="15.75" customHeight="1">
      <c r="A1046" s="29"/>
      <c r="B1046" s="5" t="s">
        <v>5001</v>
      </c>
      <c r="C1046" s="5" t="s">
        <v>39</v>
      </c>
      <c r="D1046" s="5" t="s">
        <v>206</v>
      </c>
      <c r="E1046" s="5" t="s">
        <v>382</v>
      </c>
    </row>
    <row r="1047" ht="15.75" customHeight="1">
      <c r="A1047" s="29"/>
      <c r="B1047" s="5" t="s">
        <v>4389</v>
      </c>
      <c r="C1047" s="5" t="s">
        <v>79</v>
      </c>
      <c r="D1047" s="5" t="s">
        <v>140</v>
      </c>
      <c r="E1047" s="5" t="s">
        <v>382</v>
      </c>
    </row>
    <row r="1048" ht="15.75" customHeight="1">
      <c r="A1048" s="29"/>
      <c r="B1048" s="5" t="s">
        <v>4839</v>
      </c>
      <c r="C1048" s="5" t="s">
        <v>39</v>
      </c>
      <c r="D1048" s="5" t="s">
        <v>46</v>
      </c>
      <c r="E1048" s="5" t="s">
        <v>382</v>
      </c>
    </row>
    <row r="1049" ht="15.75" customHeight="1">
      <c r="A1049" s="29"/>
      <c r="B1049" s="5" t="s">
        <v>4686</v>
      </c>
      <c r="C1049" s="5" t="s">
        <v>77</v>
      </c>
      <c r="D1049" s="5" t="s">
        <v>46</v>
      </c>
      <c r="E1049" s="5" t="s">
        <v>382</v>
      </c>
    </row>
    <row r="1050" ht="15.75" customHeight="1">
      <c r="A1050" s="29"/>
      <c r="B1050" s="5" t="s">
        <v>4268</v>
      </c>
      <c r="C1050" s="5" t="s">
        <v>22</v>
      </c>
      <c r="D1050" s="5" t="s">
        <v>129</v>
      </c>
      <c r="E1050" s="5" t="s">
        <v>382</v>
      </c>
    </row>
    <row r="1051" ht="15.75" customHeight="1">
      <c r="A1051" s="29"/>
      <c r="B1051" s="5" t="s">
        <v>4573</v>
      </c>
      <c r="C1051" s="5" t="s">
        <v>77</v>
      </c>
      <c r="D1051" s="5" t="s">
        <v>90</v>
      </c>
      <c r="E1051" s="5" t="s">
        <v>382</v>
      </c>
    </row>
    <row r="1052" ht="15.75" customHeight="1">
      <c r="A1052" s="29"/>
      <c r="B1052" s="5" t="s">
        <v>4567</v>
      </c>
      <c r="C1052" s="5" t="s">
        <v>1814</v>
      </c>
      <c r="D1052" s="5" t="s">
        <v>12</v>
      </c>
      <c r="E1052" s="5" t="s">
        <v>382</v>
      </c>
    </row>
    <row r="1053" ht="15.75" customHeight="1">
      <c r="A1053" s="29"/>
      <c r="B1053" s="5" t="s">
        <v>4719</v>
      </c>
      <c r="C1053" s="5" t="s">
        <v>17</v>
      </c>
      <c r="D1053" s="5" t="s">
        <v>137</v>
      </c>
      <c r="E1053" s="5" t="s">
        <v>382</v>
      </c>
    </row>
    <row r="1054" ht="15.75" customHeight="1">
      <c r="A1054" s="29"/>
      <c r="B1054" s="5" t="s">
        <v>3163</v>
      </c>
      <c r="C1054" s="5" t="s">
        <v>20</v>
      </c>
      <c r="D1054" s="5" t="s">
        <v>12</v>
      </c>
      <c r="E1054" s="5" t="s">
        <v>382</v>
      </c>
    </row>
    <row r="1055" ht="15.75" customHeight="1">
      <c r="A1055" s="29"/>
      <c r="B1055" s="5" t="s">
        <v>5278</v>
      </c>
      <c r="C1055" s="5" t="s">
        <v>11</v>
      </c>
      <c r="D1055" s="5" t="s">
        <v>12</v>
      </c>
      <c r="E1055" s="5" t="s">
        <v>382</v>
      </c>
    </row>
    <row r="1056" ht="15.75" customHeight="1">
      <c r="A1056" s="29"/>
      <c r="B1056" s="5" t="s">
        <v>3240</v>
      </c>
      <c r="C1056" s="5" t="s">
        <v>87</v>
      </c>
      <c r="D1056" s="5" t="s">
        <v>90</v>
      </c>
      <c r="E1056" s="5" t="s">
        <v>382</v>
      </c>
    </row>
    <row r="1057" ht="15.75" customHeight="1">
      <c r="A1057" s="29"/>
      <c r="B1057" s="5" t="s">
        <v>4367</v>
      </c>
      <c r="C1057" s="5" t="s">
        <v>22</v>
      </c>
      <c r="D1057" s="5" t="s">
        <v>105</v>
      </c>
      <c r="E1057" s="5" t="s">
        <v>382</v>
      </c>
    </row>
    <row r="1058" ht="15.75" customHeight="1">
      <c r="A1058" s="29"/>
      <c r="B1058" s="5" t="s">
        <v>4181</v>
      </c>
      <c r="C1058" s="5" t="s">
        <v>79</v>
      </c>
      <c r="D1058" s="5" t="s">
        <v>113</v>
      </c>
      <c r="E1058" s="5" t="s">
        <v>382</v>
      </c>
    </row>
    <row r="1059" ht="15.75" customHeight="1">
      <c r="A1059" s="29"/>
      <c r="B1059" s="5" t="s">
        <v>3478</v>
      </c>
      <c r="C1059" s="5" t="s">
        <v>220</v>
      </c>
      <c r="D1059" s="5" t="s">
        <v>113</v>
      </c>
      <c r="E1059" s="5" t="s">
        <v>382</v>
      </c>
    </row>
    <row r="1060" ht="15.75" customHeight="1">
      <c r="A1060" s="29"/>
      <c r="B1060" s="5" t="s">
        <v>4852</v>
      </c>
      <c r="C1060" s="5" t="s">
        <v>55</v>
      </c>
      <c r="D1060" s="5" t="s">
        <v>113</v>
      </c>
      <c r="E1060" s="5" t="s">
        <v>382</v>
      </c>
    </row>
    <row r="1061" ht="15.75" customHeight="1">
      <c r="A1061" s="29"/>
      <c r="B1061" s="5" t="s">
        <v>3406</v>
      </c>
      <c r="C1061" s="5" t="s">
        <v>79</v>
      </c>
      <c r="D1061" s="5" t="s">
        <v>113</v>
      </c>
      <c r="E1061" s="5" t="s">
        <v>382</v>
      </c>
    </row>
    <row r="1062" ht="15.75" customHeight="1">
      <c r="A1062" s="29"/>
      <c r="B1062" s="5" t="s">
        <v>4542</v>
      </c>
      <c r="C1062" s="5" t="s">
        <v>79</v>
      </c>
      <c r="D1062" s="5" t="s">
        <v>9</v>
      </c>
      <c r="E1062" s="5" t="s">
        <v>382</v>
      </c>
    </row>
    <row r="1063" ht="15.75" customHeight="1">
      <c r="A1063" s="29"/>
      <c r="B1063" s="5" t="s">
        <v>4582</v>
      </c>
      <c r="C1063" s="5" t="s">
        <v>22</v>
      </c>
      <c r="D1063" s="5" t="s">
        <v>113</v>
      </c>
      <c r="E1063" s="5" t="s">
        <v>382</v>
      </c>
    </row>
    <row r="1064" ht="15.75" customHeight="1">
      <c r="A1064" s="29"/>
      <c r="B1064" s="5" t="s">
        <v>4811</v>
      </c>
      <c r="C1064" s="5" t="s">
        <v>33</v>
      </c>
      <c r="D1064" s="5" t="s">
        <v>99</v>
      </c>
      <c r="E1064" s="5" t="s">
        <v>382</v>
      </c>
    </row>
    <row r="1065" ht="15.75" customHeight="1">
      <c r="A1065" s="29"/>
      <c r="B1065" s="5" t="s">
        <v>5532</v>
      </c>
      <c r="C1065" s="5" t="s">
        <v>77</v>
      </c>
      <c r="D1065" s="5" t="s">
        <v>31</v>
      </c>
      <c r="E1065" s="5" t="s">
        <v>382</v>
      </c>
    </row>
    <row r="1066" ht="15.75" customHeight="1">
      <c r="A1066" s="29"/>
      <c r="B1066" s="5" t="s">
        <v>3702</v>
      </c>
      <c r="C1066" s="5" t="s">
        <v>22</v>
      </c>
      <c r="D1066" s="5" t="s">
        <v>27</v>
      </c>
      <c r="E1066" s="5" t="s">
        <v>382</v>
      </c>
    </row>
    <row r="1067" ht="15.75" customHeight="1">
      <c r="A1067" s="29"/>
      <c r="B1067" s="5" t="s">
        <v>4680</v>
      </c>
      <c r="C1067" s="5" t="s">
        <v>63</v>
      </c>
      <c r="D1067" s="5" t="s">
        <v>113</v>
      </c>
      <c r="E1067" s="5" t="s">
        <v>382</v>
      </c>
    </row>
    <row r="1068" ht="15.75" customHeight="1">
      <c r="A1068" s="29"/>
      <c r="B1068" s="5" t="s">
        <v>3807</v>
      </c>
      <c r="C1068" s="5" t="s">
        <v>22</v>
      </c>
      <c r="D1068" s="5" t="s">
        <v>113</v>
      </c>
      <c r="E1068" s="5" t="s">
        <v>382</v>
      </c>
    </row>
    <row r="1069" ht="15.75" customHeight="1">
      <c r="A1069" s="29"/>
      <c r="B1069" s="5" t="s">
        <v>4750</v>
      </c>
      <c r="C1069" s="5" t="s">
        <v>8</v>
      </c>
      <c r="D1069" s="5" t="s">
        <v>42</v>
      </c>
      <c r="E1069" s="5" t="s">
        <v>382</v>
      </c>
    </row>
    <row r="1070" ht="15.75" customHeight="1">
      <c r="A1070" s="29"/>
      <c r="B1070" s="5" t="s">
        <v>4622</v>
      </c>
      <c r="C1070" s="5" t="s">
        <v>158</v>
      </c>
      <c r="D1070" s="5" t="s">
        <v>67</v>
      </c>
      <c r="E1070" s="5" t="s">
        <v>382</v>
      </c>
    </row>
    <row r="1071" ht="15.75" customHeight="1">
      <c r="A1071" s="29"/>
      <c r="B1071" s="5" t="s">
        <v>3940</v>
      </c>
      <c r="C1071" s="5" t="s">
        <v>22</v>
      </c>
      <c r="D1071" s="5" t="s">
        <v>67</v>
      </c>
      <c r="E1071" s="5" t="s">
        <v>382</v>
      </c>
    </row>
    <row r="1072" ht="15.75" customHeight="1">
      <c r="A1072" s="29"/>
      <c r="B1072" s="5" t="s">
        <v>4138</v>
      </c>
      <c r="C1072" s="5" t="s">
        <v>79</v>
      </c>
      <c r="D1072" s="5" t="s">
        <v>67</v>
      </c>
      <c r="E1072" s="5" t="s">
        <v>382</v>
      </c>
    </row>
    <row r="1073" ht="15.75" customHeight="1">
      <c r="A1073" s="29"/>
      <c r="B1073" s="5" t="s">
        <v>3471</v>
      </c>
      <c r="C1073" s="5" t="s">
        <v>22</v>
      </c>
      <c r="D1073" s="5" t="s">
        <v>67</v>
      </c>
      <c r="E1073" s="5" t="s">
        <v>382</v>
      </c>
    </row>
    <row r="1074" ht="15.75" customHeight="1">
      <c r="A1074" s="29"/>
      <c r="B1074" s="5" t="s">
        <v>4438</v>
      </c>
      <c r="C1074" s="5" t="s">
        <v>220</v>
      </c>
      <c r="D1074" s="5" t="s">
        <v>122</v>
      </c>
      <c r="E1074" s="5" t="s">
        <v>382</v>
      </c>
    </row>
    <row r="1075" ht="15.75" customHeight="1">
      <c r="A1075" s="29"/>
      <c r="B1075" s="5" t="s">
        <v>4491</v>
      </c>
      <c r="C1075" s="5" t="s">
        <v>218</v>
      </c>
      <c r="D1075" s="5" t="s">
        <v>34</v>
      </c>
      <c r="E1075" s="5" t="s">
        <v>382</v>
      </c>
    </row>
    <row r="1076" ht="15.75" customHeight="1">
      <c r="A1076" s="29"/>
      <c r="B1076" s="5" t="s">
        <v>4901</v>
      </c>
      <c r="C1076" s="5" t="s">
        <v>20</v>
      </c>
      <c r="D1076" s="5" t="s">
        <v>34</v>
      </c>
      <c r="E1076" s="5" t="s">
        <v>382</v>
      </c>
    </row>
    <row r="1077" ht="15.75" customHeight="1">
      <c r="A1077" s="29"/>
      <c r="B1077" s="5" t="s">
        <v>5545</v>
      </c>
      <c r="C1077" s="5" t="s">
        <v>48</v>
      </c>
      <c r="D1077" s="5" t="s">
        <v>73</v>
      </c>
      <c r="E1077" s="5" t="s">
        <v>382</v>
      </c>
    </row>
    <row r="1078" ht="15.75" customHeight="1">
      <c r="A1078" s="29"/>
      <c r="B1078" s="5" t="s">
        <v>4615</v>
      </c>
      <c r="C1078" s="5" t="s">
        <v>39</v>
      </c>
      <c r="D1078" s="5" t="s">
        <v>34</v>
      </c>
      <c r="E1078" s="5" t="s">
        <v>382</v>
      </c>
    </row>
    <row r="1079" ht="15.75" customHeight="1">
      <c r="A1079" s="29"/>
      <c r="B1079" s="5" t="s">
        <v>4439</v>
      </c>
      <c r="C1079" s="5" t="s">
        <v>22</v>
      </c>
      <c r="D1079" s="5" t="s">
        <v>34</v>
      </c>
      <c r="E1079" s="5" t="s">
        <v>382</v>
      </c>
    </row>
    <row r="1080" ht="15.75" customHeight="1">
      <c r="A1080" s="29"/>
      <c r="B1080" s="5" t="s">
        <v>3182</v>
      </c>
      <c r="C1080" s="5" t="s">
        <v>55</v>
      </c>
      <c r="D1080" s="5" t="s">
        <v>71</v>
      </c>
      <c r="E1080" s="5" t="s">
        <v>382</v>
      </c>
    </row>
    <row r="1081" ht="15.75" customHeight="1">
      <c r="A1081" s="29"/>
      <c r="B1081" s="5" t="s">
        <v>5594</v>
      </c>
      <c r="C1081" s="5" t="s">
        <v>22</v>
      </c>
      <c r="D1081" s="5" t="s">
        <v>9</v>
      </c>
      <c r="E1081" s="5" t="s">
        <v>382</v>
      </c>
    </row>
    <row r="1082" ht="15.75" customHeight="1">
      <c r="A1082" s="29"/>
      <c r="B1082" s="5" t="s">
        <v>5280</v>
      </c>
      <c r="C1082" s="5" t="s">
        <v>39</v>
      </c>
      <c r="D1082" s="5" t="s">
        <v>73</v>
      </c>
      <c r="E1082" s="5" t="s">
        <v>382</v>
      </c>
    </row>
    <row r="1083" ht="15.75" customHeight="1">
      <c r="A1083" s="29"/>
      <c r="B1083" s="5" t="s">
        <v>3458</v>
      </c>
      <c r="C1083" s="5" t="s">
        <v>79</v>
      </c>
      <c r="D1083" s="5" t="s">
        <v>105</v>
      </c>
      <c r="E1083" s="5" t="s">
        <v>382</v>
      </c>
    </row>
    <row r="1084" ht="15.75" customHeight="1">
      <c r="A1084" s="29"/>
      <c r="B1084" s="5" t="s">
        <v>4483</v>
      </c>
      <c r="C1084" s="5" t="s">
        <v>22</v>
      </c>
      <c r="D1084" s="5" t="s">
        <v>85</v>
      </c>
      <c r="E1084" s="5" t="s">
        <v>382</v>
      </c>
    </row>
    <row r="1085" ht="15.75" customHeight="1">
      <c r="A1085" s="29"/>
      <c r="B1085" s="5" t="s">
        <v>4869</v>
      </c>
      <c r="C1085" s="5" t="s">
        <v>14</v>
      </c>
      <c r="D1085" s="5" t="s">
        <v>129</v>
      </c>
      <c r="E1085" s="5" t="s">
        <v>382</v>
      </c>
    </row>
    <row r="1086" ht="15.75" customHeight="1">
      <c r="A1086" s="29"/>
      <c r="B1086" s="5" t="s">
        <v>4905</v>
      </c>
      <c r="C1086" s="5" t="s">
        <v>17</v>
      </c>
      <c r="D1086" s="5" t="s">
        <v>25</v>
      </c>
      <c r="E1086" s="5" t="s">
        <v>382</v>
      </c>
    </row>
    <row r="1087" ht="15.75" customHeight="1">
      <c r="A1087" s="29"/>
      <c r="B1087" s="5" t="s">
        <v>3794</v>
      </c>
      <c r="C1087" s="5" t="s">
        <v>79</v>
      </c>
      <c r="D1087" s="5" t="s">
        <v>122</v>
      </c>
      <c r="E1087" s="5" t="s">
        <v>382</v>
      </c>
    </row>
    <row r="1088" ht="15.75" customHeight="1">
      <c r="A1088" s="29"/>
      <c r="B1088" s="5" t="s">
        <v>3295</v>
      </c>
      <c r="C1088" s="5" t="s">
        <v>79</v>
      </c>
      <c r="D1088" s="5" t="s">
        <v>9</v>
      </c>
      <c r="E1088" s="5" t="s">
        <v>382</v>
      </c>
    </row>
    <row r="1089" ht="15.75" customHeight="1">
      <c r="A1089" s="29"/>
      <c r="B1089" s="5" t="s">
        <v>4758</v>
      </c>
      <c r="C1089" s="5" t="s">
        <v>33</v>
      </c>
      <c r="D1089" s="5" t="s">
        <v>73</v>
      </c>
      <c r="E1089" s="5" t="s">
        <v>382</v>
      </c>
    </row>
    <row r="1090" ht="15.75" customHeight="1">
      <c r="A1090" s="29"/>
      <c r="B1090" s="5" t="s">
        <v>4765</v>
      </c>
      <c r="C1090" s="5" t="s">
        <v>240</v>
      </c>
      <c r="D1090" s="5" t="s">
        <v>85</v>
      </c>
      <c r="E1090" s="5" t="s">
        <v>382</v>
      </c>
    </row>
    <row r="1091" ht="15.75" customHeight="1">
      <c r="A1091" s="29"/>
      <c r="B1091" s="5" t="s">
        <v>4559</v>
      </c>
      <c r="C1091" s="5" t="s">
        <v>1710</v>
      </c>
      <c r="D1091" s="5" t="s">
        <v>122</v>
      </c>
      <c r="E1091" s="5" t="s">
        <v>382</v>
      </c>
    </row>
    <row r="1092" ht="15.75" customHeight="1">
      <c r="A1092" s="29"/>
      <c r="B1092" s="5" t="s">
        <v>4563</v>
      </c>
      <c r="C1092" s="5" t="s">
        <v>79</v>
      </c>
      <c r="D1092" s="5" t="s">
        <v>137</v>
      </c>
      <c r="E1092" s="5" t="s">
        <v>382</v>
      </c>
    </row>
    <row r="1093" ht="15.75" customHeight="1">
      <c r="A1093" s="29"/>
      <c r="B1093" s="5" t="s">
        <v>3477</v>
      </c>
      <c r="C1093" s="5" t="s">
        <v>79</v>
      </c>
      <c r="D1093" s="5" t="s">
        <v>73</v>
      </c>
      <c r="E1093" s="5" t="s">
        <v>382</v>
      </c>
    </row>
    <row r="1094" ht="15.75" customHeight="1">
      <c r="A1094" s="29"/>
      <c r="B1094" s="5" t="s">
        <v>5302</v>
      </c>
      <c r="C1094" s="5" t="s">
        <v>69</v>
      </c>
      <c r="D1094" s="5" t="s">
        <v>36</v>
      </c>
      <c r="E1094" s="5" t="s">
        <v>382</v>
      </c>
    </row>
    <row r="1095" ht="15.75" customHeight="1">
      <c r="A1095" s="29"/>
      <c r="B1095" s="5" t="s">
        <v>3703</v>
      </c>
      <c r="C1095" s="5" t="s">
        <v>22</v>
      </c>
      <c r="D1095" s="5" t="s">
        <v>99</v>
      </c>
      <c r="E1095" s="5" t="s">
        <v>382</v>
      </c>
    </row>
    <row r="1096" ht="15.75" customHeight="1">
      <c r="A1096" s="29"/>
      <c r="B1096" s="5" t="s">
        <v>4837</v>
      </c>
      <c r="C1096" s="5" t="s">
        <v>48</v>
      </c>
      <c r="D1096" s="5" t="s">
        <v>36</v>
      </c>
      <c r="E1096" s="5" t="s">
        <v>382</v>
      </c>
    </row>
    <row r="1097" ht="15.75" customHeight="1">
      <c r="A1097" s="29"/>
      <c r="B1097" s="5" t="s">
        <v>4844</v>
      </c>
      <c r="C1097" s="5" t="s">
        <v>77</v>
      </c>
      <c r="D1097" s="5" t="s">
        <v>23</v>
      </c>
      <c r="E1097" s="5" t="s">
        <v>382</v>
      </c>
    </row>
    <row r="1098" ht="15.75" customHeight="1">
      <c r="A1098" s="29"/>
      <c r="B1098" s="5" t="s">
        <v>3495</v>
      </c>
      <c r="C1098" s="5" t="s">
        <v>22</v>
      </c>
      <c r="D1098" s="5" t="s">
        <v>129</v>
      </c>
      <c r="E1098" s="5" t="s">
        <v>382</v>
      </c>
    </row>
    <row r="1099" ht="15.75" customHeight="1">
      <c r="A1099" s="29"/>
      <c r="B1099" s="5" t="s">
        <v>4323</v>
      </c>
      <c r="C1099" s="5" t="s">
        <v>79</v>
      </c>
      <c r="D1099" s="5" t="s">
        <v>36</v>
      </c>
      <c r="E1099" s="5" t="s">
        <v>382</v>
      </c>
    </row>
    <row r="1100" ht="15.75" customHeight="1">
      <c r="A1100" s="29"/>
      <c r="B1100" s="5" t="s">
        <v>4471</v>
      </c>
      <c r="C1100" s="5" t="s">
        <v>220</v>
      </c>
      <c r="D1100" s="5" t="s">
        <v>15</v>
      </c>
      <c r="E1100" s="5" t="s">
        <v>382</v>
      </c>
    </row>
    <row r="1101" ht="15.75" customHeight="1">
      <c r="A1101" s="29"/>
      <c r="B1101" s="5" t="s">
        <v>4251</v>
      </c>
      <c r="C1101" s="5" t="s">
        <v>79</v>
      </c>
      <c r="D1101" s="5" t="s">
        <v>67</v>
      </c>
      <c r="E1101" s="5" t="s">
        <v>382</v>
      </c>
    </row>
    <row r="1102" ht="15.75" customHeight="1">
      <c r="A1102" s="29"/>
      <c r="B1102" s="5" t="s">
        <v>4671</v>
      </c>
      <c r="C1102" s="5" t="s">
        <v>220</v>
      </c>
      <c r="D1102" s="5" t="s">
        <v>95</v>
      </c>
      <c r="E1102" s="5" t="s">
        <v>382</v>
      </c>
    </row>
    <row r="1103" ht="15.75" customHeight="1">
      <c r="A1103" s="29"/>
      <c r="B1103" s="5" t="s">
        <v>5293</v>
      </c>
      <c r="C1103" s="5" t="s">
        <v>39</v>
      </c>
      <c r="D1103" s="5" t="s">
        <v>46</v>
      </c>
      <c r="E1103" s="5" t="s">
        <v>382</v>
      </c>
    </row>
    <row r="1104" ht="15.75" customHeight="1">
      <c r="A1104" s="29"/>
      <c r="B1104" s="5" t="s">
        <v>4665</v>
      </c>
      <c r="C1104" s="5" t="s">
        <v>55</v>
      </c>
      <c r="D1104" s="5" t="s">
        <v>23</v>
      </c>
      <c r="E1104" s="5" t="s">
        <v>382</v>
      </c>
    </row>
    <row r="1105" ht="15.75" customHeight="1">
      <c r="A1105" s="29"/>
      <c r="B1105" s="5" t="s">
        <v>3515</v>
      </c>
      <c r="C1105" s="5" t="s">
        <v>79</v>
      </c>
      <c r="D1105" s="5" t="s">
        <v>120</v>
      </c>
      <c r="E1105" s="5" t="s">
        <v>382</v>
      </c>
    </row>
    <row r="1106" ht="15.75" customHeight="1">
      <c r="A1106" s="29"/>
      <c r="B1106" s="5" t="s">
        <v>4180</v>
      </c>
      <c r="C1106" s="5" t="s">
        <v>79</v>
      </c>
      <c r="D1106" s="5" t="s">
        <v>23</v>
      </c>
      <c r="E1106" s="5" t="s">
        <v>382</v>
      </c>
    </row>
    <row r="1107" ht="15.75" customHeight="1">
      <c r="A1107" s="29"/>
      <c r="B1107" s="5" t="s">
        <v>4653</v>
      </c>
      <c r="C1107" s="5" t="s">
        <v>346</v>
      </c>
      <c r="D1107" s="5" t="s">
        <v>129</v>
      </c>
      <c r="E1107" s="5" t="s">
        <v>382</v>
      </c>
    </row>
    <row r="1108" ht="15.75" customHeight="1">
      <c r="A1108" s="29"/>
      <c r="B1108" s="5" t="s">
        <v>4318</v>
      </c>
      <c r="C1108" s="5" t="s">
        <v>79</v>
      </c>
      <c r="D1108" s="5" t="s">
        <v>120</v>
      </c>
      <c r="E1108" s="5" t="s">
        <v>382</v>
      </c>
    </row>
    <row r="1109" ht="15.75" customHeight="1">
      <c r="A1109" s="29"/>
      <c r="B1109" s="5" t="s">
        <v>3995</v>
      </c>
      <c r="C1109" s="5" t="s">
        <v>22</v>
      </c>
      <c r="D1109" s="5" t="s">
        <v>120</v>
      </c>
      <c r="E1109" s="5" t="s">
        <v>382</v>
      </c>
    </row>
    <row r="1110" ht="15.75" customHeight="1">
      <c r="A1110" s="29"/>
      <c r="B1110" s="5" t="s">
        <v>4785</v>
      </c>
      <c r="C1110" s="5" t="s">
        <v>14</v>
      </c>
      <c r="D1110" s="5" t="s">
        <v>73</v>
      </c>
      <c r="E1110" s="5" t="s">
        <v>382</v>
      </c>
    </row>
    <row r="1111" ht="15.75" customHeight="1">
      <c r="A1111" s="29"/>
      <c r="B1111" s="5" t="s">
        <v>4813</v>
      </c>
      <c r="C1111" s="5" t="s">
        <v>48</v>
      </c>
      <c r="D1111" s="5" t="s">
        <v>31</v>
      </c>
      <c r="E1111" s="5" t="s">
        <v>382</v>
      </c>
    </row>
    <row r="1112" ht="15.75" customHeight="1">
      <c r="A1112" s="29"/>
      <c r="B1112" s="5" t="s">
        <v>3977</v>
      </c>
      <c r="C1112" s="5" t="s">
        <v>22</v>
      </c>
      <c r="D1112" s="5" t="s">
        <v>206</v>
      </c>
      <c r="E1112" s="5" t="s">
        <v>382</v>
      </c>
    </row>
    <row r="1113" ht="15.75" customHeight="1">
      <c r="A1113" s="29"/>
      <c r="B1113" s="5" t="s">
        <v>4797</v>
      </c>
      <c r="C1113" s="5" t="s">
        <v>77</v>
      </c>
      <c r="D1113" s="5" t="s">
        <v>129</v>
      </c>
      <c r="E1113" s="5" t="s">
        <v>382</v>
      </c>
    </row>
    <row r="1114" ht="15.75" customHeight="1">
      <c r="A1114" s="29"/>
      <c r="B1114" s="5" t="s">
        <v>5546</v>
      </c>
      <c r="C1114" s="5" t="s">
        <v>39</v>
      </c>
      <c r="D1114" s="5" t="s">
        <v>31</v>
      </c>
      <c r="E1114" s="5" t="s">
        <v>382</v>
      </c>
    </row>
    <row r="1115" ht="15.75" customHeight="1">
      <c r="A1115" s="29"/>
      <c r="B1115" s="5" t="s">
        <v>5571</v>
      </c>
      <c r="C1115" s="5" t="s">
        <v>33</v>
      </c>
      <c r="D1115" s="5" t="s">
        <v>31</v>
      </c>
      <c r="E1115" s="5" t="s">
        <v>382</v>
      </c>
    </row>
    <row r="1116" ht="15.75" customHeight="1">
      <c r="A1116" s="29"/>
      <c r="B1116" s="5" t="s">
        <v>3934</v>
      </c>
      <c r="C1116" s="5" t="s">
        <v>79</v>
      </c>
      <c r="D1116" s="5" t="s">
        <v>113</v>
      </c>
      <c r="E1116" s="5" t="s">
        <v>382</v>
      </c>
    </row>
    <row r="1117" ht="15.75" customHeight="1">
      <c r="A1117" s="29"/>
      <c r="B1117" s="5" t="s">
        <v>4310</v>
      </c>
      <c r="C1117" s="5" t="s">
        <v>22</v>
      </c>
      <c r="D1117" s="5" t="s">
        <v>36</v>
      </c>
      <c r="E1117" s="5" t="s">
        <v>382</v>
      </c>
    </row>
    <row r="1118" ht="15.75" customHeight="1">
      <c r="A1118" s="29"/>
      <c r="B1118" s="5" t="s">
        <v>4551</v>
      </c>
      <c r="C1118" s="5" t="s">
        <v>8</v>
      </c>
      <c r="D1118" s="5" t="s">
        <v>137</v>
      </c>
      <c r="E1118" s="5" t="s">
        <v>382</v>
      </c>
    </row>
    <row r="1119" ht="15.75" customHeight="1">
      <c r="A1119" s="29"/>
      <c r="B1119" s="5" t="s">
        <v>4759</v>
      </c>
      <c r="C1119" s="5" t="s">
        <v>22</v>
      </c>
      <c r="D1119" s="5" t="s">
        <v>137</v>
      </c>
      <c r="E1119" s="5" t="s">
        <v>382</v>
      </c>
    </row>
    <row r="1120" ht="15.75" customHeight="1">
      <c r="A1120" s="29"/>
      <c r="B1120" s="5" t="s">
        <v>4685</v>
      </c>
      <c r="C1120" s="5" t="s">
        <v>1938</v>
      </c>
      <c r="D1120" s="5" t="s">
        <v>137</v>
      </c>
      <c r="E1120" s="5" t="s">
        <v>382</v>
      </c>
    </row>
    <row r="1121" ht="15.75" customHeight="1">
      <c r="A1121" s="29"/>
      <c r="B1121" s="5" t="s">
        <v>3270</v>
      </c>
      <c r="C1121" s="5" t="s">
        <v>79</v>
      </c>
      <c r="D1121" s="5" t="s">
        <v>23</v>
      </c>
      <c r="E1121" s="5" t="s">
        <v>382</v>
      </c>
    </row>
    <row r="1122" ht="15.75" customHeight="1">
      <c r="A1122" s="29"/>
      <c r="B1122" s="5" t="s">
        <v>4579</v>
      </c>
      <c r="C1122" s="5" t="s">
        <v>158</v>
      </c>
      <c r="D1122" s="5" t="s">
        <v>12</v>
      </c>
      <c r="E1122" s="5" t="s">
        <v>382</v>
      </c>
    </row>
    <row r="1123" ht="15.75" customHeight="1">
      <c r="A1123" s="29"/>
      <c r="B1123" s="5" t="s">
        <v>3512</v>
      </c>
      <c r="C1123" s="5" t="s">
        <v>22</v>
      </c>
      <c r="D1123" s="5" t="s">
        <v>52</v>
      </c>
      <c r="E1123" s="5" t="s">
        <v>382</v>
      </c>
    </row>
    <row r="1124" ht="15.75" customHeight="1">
      <c r="A1124" s="29"/>
      <c r="B1124" s="5" t="s">
        <v>4801</v>
      </c>
      <c r="C1124" s="5" t="s">
        <v>77</v>
      </c>
      <c r="D1124" s="5" t="s">
        <v>129</v>
      </c>
      <c r="E1124" s="5" t="s">
        <v>382</v>
      </c>
    </row>
    <row r="1125" ht="15.75" customHeight="1">
      <c r="A1125" s="29"/>
      <c r="B1125" s="5" t="s">
        <v>4352</v>
      </c>
      <c r="C1125" s="5" t="s">
        <v>39</v>
      </c>
      <c r="D1125" s="5" t="s">
        <v>122</v>
      </c>
      <c r="E1125" s="5" t="s">
        <v>382</v>
      </c>
    </row>
    <row r="1126" ht="15.75" customHeight="1">
      <c r="A1126" s="29"/>
      <c r="B1126" s="5" t="s">
        <v>4929</v>
      </c>
      <c r="C1126" s="5" t="s">
        <v>14</v>
      </c>
      <c r="D1126" s="5" t="s">
        <v>120</v>
      </c>
      <c r="E1126" s="5" t="s">
        <v>382</v>
      </c>
    </row>
    <row r="1127" ht="15.75" customHeight="1">
      <c r="A1127" s="29"/>
      <c r="B1127" s="5" t="s">
        <v>4397</v>
      </c>
      <c r="C1127" s="5" t="s">
        <v>22</v>
      </c>
      <c r="D1127" s="5" t="s">
        <v>85</v>
      </c>
      <c r="E1127" s="5" t="s">
        <v>382</v>
      </c>
    </row>
    <row r="1128" ht="15.75" customHeight="1">
      <c r="A1128" s="29"/>
      <c r="B1128" s="5" t="s">
        <v>3631</v>
      </c>
      <c r="C1128" s="5" t="s">
        <v>220</v>
      </c>
      <c r="D1128" s="5" t="s">
        <v>113</v>
      </c>
      <c r="E1128" s="5" t="s">
        <v>382</v>
      </c>
    </row>
    <row r="1129" ht="15.75" customHeight="1">
      <c r="A1129" s="29"/>
      <c r="B1129" s="5" t="s">
        <v>4619</v>
      </c>
      <c r="C1129" s="5" t="s">
        <v>136</v>
      </c>
      <c r="D1129" s="5" t="s">
        <v>34</v>
      </c>
      <c r="E1129" s="5" t="s">
        <v>382</v>
      </c>
    </row>
    <row r="1130" ht="15.75" customHeight="1">
      <c r="A1130" s="29"/>
      <c r="B1130" s="5" t="s">
        <v>4504</v>
      </c>
      <c r="C1130" s="5" t="s">
        <v>8</v>
      </c>
      <c r="D1130" s="5" t="s">
        <v>82</v>
      </c>
      <c r="E1130" s="5" t="s">
        <v>382</v>
      </c>
    </row>
    <row r="1131" ht="15.75" customHeight="1">
      <c r="A1131" s="29"/>
      <c r="B1131" s="5" t="s">
        <v>5326</v>
      </c>
      <c r="C1131" s="5" t="s">
        <v>14</v>
      </c>
      <c r="D1131" s="5" t="s">
        <v>82</v>
      </c>
      <c r="E1131" s="5" t="s">
        <v>382</v>
      </c>
    </row>
    <row r="1132" ht="15.75" customHeight="1">
      <c r="A1132" s="29"/>
      <c r="B1132" s="5" t="s">
        <v>4486</v>
      </c>
      <c r="C1132" s="5" t="s">
        <v>79</v>
      </c>
      <c r="D1132" s="5" t="s">
        <v>82</v>
      </c>
      <c r="E1132" s="5" t="s">
        <v>382</v>
      </c>
    </row>
    <row r="1133" ht="15.75" customHeight="1">
      <c r="A1133" s="29"/>
      <c r="B1133" s="5" t="s">
        <v>5397</v>
      </c>
      <c r="C1133" s="5" t="s">
        <v>39</v>
      </c>
      <c r="D1133" s="5" t="s">
        <v>36</v>
      </c>
      <c r="E1133" s="5" t="s">
        <v>382</v>
      </c>
    </row>
    <row r="1134" ht="15.75" customHeight="1">
      <c r="A1134" s="29"/>
      <c r="B1134" s="5" t="s">
        <v>4688</v>
      </c>
      <c r="C1134" s="5" t="s">
        <v>262</v>
      </c>
      <c r="D1134" s="5" t="s">
        <v>129</v>
      </c>
      <c r="E1134" s="5" t="s">
        <v>382</v>
      </c>
    </row>
    <row r="1135" ht="15.75" customHeight="1">
      <c r="A1135" s="29"/>
      <c r="B1135" s="5" t="s">
        <v>3208</v>
      </c>
      <c r="C1135" s="5" t="s">
        <v>33</v>
      </c>
      <c r="D1135" s="5" t="s">
        <v>90</v>
      </c>
      <c r="E1135" s="5" t="s">
        <v>382</v>
      </c>
    </row>
    <row r="1136" ht="15.75" customHeight="1">
      <c r="A1136" s="29"/>
      <c r="B1136" s="5" t="s">
        <v>4446</v>
      </c>
      <c r="C1136" s="5" t="s">
        <v>220</v>
      </c>
      <c r="D1136" s="5" t="s">
        <v>99</v>
      </c>
      <c r="E1136" s="5" t="s">
        <v>382</v>
      </c>
    </row>
    <row r="1137" ht="15.75" customHeight="1">
      <c r="A1137" s="29"/>
      <c r="B1137" s="5" t="s">
        <v>5224</v>
      </c>
      <c r="C1137" s="5" t="s">
        <v>14</v>
      </c>
      <c r="D1137" s="5" t="s">
        <v>18</v>
      </c>
      <c r="E1137" s="5" t="s">
        <v>382</v>
      </c>
    </row>
    <row r="1138" ht="15.75" customHeight="1">
      <c r="A1138" s="29"/>
      <c r="B1138" s="5" t="s">
        <v>4045</v>
      </c>
      <c r="C1138" s="5" t="s">
        <v>79</v>
      </c>
      <c r="D1138" s="5" t="s">
        <v>95</v>
      </c>
      <c r="E1138" s="5" t="s">
        <v>382</v>
      </c>
    </row>
    <row r="1139" ht="15.75" customHeight="1">
      <c r="A1139" s="29"/>
      <c r="B1139" s="5" t="s">
        <v>3356</v>
      </c>
      <c r="C1139" s="5" t="s">
        <v>79</v>
      </c>
      <c r="D1139" s="5" t="s">
        <v>27</v>
      </c>
      <c r="E1139" s="5" t="s">
        <v>382</v>
      </c>
    </row>
    <row r="1140" ht="15.75" customHeight="1">
      <c r="A1140" s="29"/>
      <c r="B1140" s="5" t="s">
        <v>4564</v>
      </c>
      <c r="C1140" s="5" t="s">
        <v>189</v>
      </c>
      <c r="D1140" s="5" t="s">
        <v>71</v>
      </c>
      <c r="E1140" s="5" t="s">
        <v>382</v>
      </c>
    </row>
    <row r="1141" ht="15.75" customHeight="1">
      <c r="A1141" s="29"/>
      <c r="B1141" s="5" t="s">
        <v>4667</v>
      </c>
      <c r="C1141" s="5" t="s">
        <v>39</v>
      </c>
      <c r="D1141" s="5" t="s">
        <v>71</v>
      </c>
      <c r="E1141" s="5" t="s">
        <v>382</v>
      </c>
    </row>
    <row r="1142" ht="15.75" customHeight="1">
      <c r="A1142" s="29"/>
      <c r="B1142" s="5" t="s">
        <v>4789</v>
      </c>
      <c r="C1142" s="5" t="s">
        <v>20</v>
      </c>
      <c r="D1142" s="5" t="s">
        <v>23</v>
      </c>
      <c r="E1142" s="5" t="s">
        <v>382</v>
      </c>
    </row>
    <row r="1143" ht="15.75" customHeight="1">
      <c r="A1143" s="29"/>
      <c r="B1143" s="5" t="s">
        <v>4203</v>
      </c>
      <c r="C1143" s="5" t="s">
        <v>79</v>
      </c>
      <c r="D1143" s="5" t="s">
        <v>36</v>
      </c>
      <c r="E1143" s="5" t="s">
        <v>382</v>
      </c>
    </row>
    <row r="1144" ht="15.75" customHeight="1">
      <c r="A1144" s="29"/>
      <c r="B1144" s="5" t="s">
        <v>3359</v>
      </c>
      <c r="C1144" s="5" t="s">
        <v>79</v>
      </c>
      <c r="D1144" s="5" t="s">
        <v>71</v>
      </c>
      <c r="E1144" s="5" t="s">
        <v>382</v>
      </c>
    </row>
    <row r="1145" ht="15.75" customHeight="1">
      <c r="A1145" s="29"/>
      <c r="B1145" s="5" t="s">
        <v>3748</v>
      </c>
      <c r="C1145" s="5" t="s">
        <v>22</v>
      </c>
      <c r="D1145" s="5" t="s">
        <v>71</v>
      </c>
      <c r="E1145" s="5" t="s">
        <v>382</v>
      </c>
    </row>
    <row r="1146" ht="15.75" customHeight="1">
      <c r="A1146" s="29"/>
      <c r="B1146" s="5" t="s">
        <v>3621</v>
      </c>
      <c r="C1146" s="5" t="s">
        <v>79</v>
      </c>
      <c r="D1146" s="5" t="s">
        <v>25</v>
      </c>
      <c r="E1146" s="5" t="s">
        <v>382</v>
      </c>
    </row>
    <row r="1147" ht="15.75" customHeight="1">
      <c r="A1147" s="29"/>
      <c r="B1147" s="5" t="s">
        <v>5075</v>
      </c>
      <c r="C1147" s="5" t="s">
        <v>14</v>
      </c>
      <c r="D1147" s="5" t="s">
        <v>18</v>
      </c>
      <c r="E1147" s="5" t="s">
        <v>382</v>
      </c>
    </row>
    <row r="1148" ht="15.75" customHeight="1">
      <c r="A1148" s="29"/>
      <c r="B1148" s="5" t="s">
        <v>3503</v>
      </c>
      <c r="C1148" s="5" t="s">
        <v>79</v>
      </c>
      <c r="D1148" s="5" t="s">
        <v>36</v>
      </c>
      <c r="E1148" s="5" t="s">
        <v>382</v>
      </c>
    </row>
    <row r="1149" ht="15.75" customHeight="1">
      <c r="A1149" s="29"/>
      <c r="B1149" s="5" t="s">
        <v>4402</v>
      </c>
      <c r="C1149" s="5" t="s">
        <v>22</v>
      </c>
      <c r="D1149" s="5" t="s">
        <v>82</v>
      </c>
      <c r="E1149" s="5" t="s">
        <v>382</v>
      </c>
    </row>
    <row r="1150" ht="15.75" customHeight="1">
      <c r="A1150" s="29"/>
      <c r="B1150" s="5" t="s">
        <v>4829</v>
      </c>
      <c r="C1150" s="5" t="s">
        <v>48</v>
      </c>
      <c r="D1150" s="5" t="s">
        <v>120</v>
      </c>
      <c r="E1150" s="5" t="s">
        <v>382</v>
      </c>
    </row>
    <row r="1151" ht="15.75" customHeight="1">
      <c r="A1151" s="29"/>
      <c r="B1151" s="5" t="s">
        <v>4594</v>
      </c>
      <c r="C1151" s="5" t="s">
        <v>218</v>
      </c>
      <c r="D1151" s="5" t="s">
        <v>18</v>
      </c>
      <c r="E1151" s="5" t="s">
        <v>382</v>
      </c>
    </row>
    <row r="1152" ht="15.75" customHeight="1">
      <c r="A1152" s="29"/>
      <c r="B1152" s="5" t="s">
        <v>3784</v>
      </c>
      <c r="C1152" s="5" t="s">
        <v>22</v>
      </c>
      <c r="D1152" s="5" t="s">
        <v>46</v>
      </c>
      <c r="E1152" s="5" t="s">
        <v>382</v>
      </c>
    </row>
    <row r="1153" ht="15.75" customHeight="1">
      <c r="A1153" s="29"/>
      <c r="B1153" s="5" t="s">
        <v>4166</v>
      </c>
      <c r="C1153" s="5" t="s">
        <v>22</v>
      </c>
      <c r="D1153" s="5" t="s">
        <v>82</v>
      </c>
      <c r="E1153" s="5" t="s">
        <v>382</v>
      </c>
    </row>
    <row r="1154" ht="15.75" customHeight="1">
      <c r="A1154" s="29"/>
      <c r="B1154" s="5" t="s">
        <v>5282</v>
      </c>
      <c r="C1154" s="5" t="s">
        <v>17</v>
      </c>
      <c r="D1154" s="5" t="s">
        <v>31</v>
      </c>
      <c r="E1154" s="5" t="s">
        <v>382</v>
      </c>
    </row>
    <row r="1155" ht="15.75" customHeight="1">
      <c r="A1155" s="29"/>
      <c r="B1155" s="5" t="s">
        <v>5080</v>
      </c>
      <c r="C1155" s="5" t="s">
        <v>14</v>
      </c>
      <c r="D1155" s="5" t="s">
        <v>42</v>
      </c>
      <c r="E1155" s="5" t="s">
        <v>382</v>
      </c>
    </row>
    <row r="1156" ht="15.75" customHeight="1">
      <c r="A1156" s="29"/>
      <c r="B1156" s="5" t="s">
        <v>4433</v>
      </c>
      <c r="C1156" s="5" t="s">
        <v>79</v>
      </c>
      <c r="D1156" s="5" t="s">
        <v>73</v>
      </c>
      <c r="E1156" s="5" t="s">
        <v>382</v>
      </c>
    </row>
    <row r="1157" ht="15.75" customHeight="1">
      <c r="A1157" s="29"/>
      <c r="B1157" s="5" t="s">
        <v>4644</v>
      </c>
      <c r="C1157" s="5" t="s">
        <v>77</v>
      </c>
      <c r="D1157" s="5" t="s">
        <v>105</v>
      </c>
      <c r="E1157" s="5" t="s">
        <v>382</v>
      </c>
    </row>
    <row r="1158" ht="15.75" customHeight="1">
      <c r="A1158" s="29"/>
      <c r="B1158" s="5" t="s">
        <v>3673</v>
      </c>
      <c r="C1158" s="5" t="s">
        <v>22</v>
      </c>
      <c r="D1158" s="5" t="s">
        <v>90</v>
      </c>
      <c r="E1158" s="5" t="s">
        <v>382</v>
      </c>
    </row>
    <row r="1159" ht="15.75" customHeight="1">
      <c r="A1159" s="29"/>
      <c r="B1159" s="5" t="s">
        <v>4432</v>
      </c>
      <c r="C1159" s="5" t="s">
        <v>79</v>
      </c>
      <c r="D1159" s="5" t="s">
        <v>23</v>
      </c>
      <c r="E1159" s="5" t="s">
        <v>382</v>
      </c>
    </row>
    <row r="1160" ht="15.75" customHeight="1">
      <c r="A1160" s="29"/>
      <c r="B1160" s="5" t="s">
        <v>4966</v>
      </c>
      <c r="C1160" s="5" t="s">
        <v>11</v>
      </c>
      <c r="D1160" s="5" t="s">
        <v>25</v>
      </c>
      <c r="E1160" s="5" t="s">
        <v>382</v>
      </c>
    </row>
    <row r="1161" ht="15.75" customHeight="1">
      <c r="A1161" s="29"/>
      <c r="B1161" s="5" t="s">
        <v>3501</v>
      </c>
      <c r="C1161" s="5" t="s">
        <v>79</v>
      </c>
      <c r="D1161" s="5" t="s">
        <v>120</v>
      </c>
      <c r="E1161" s="5" t="s">
        <v>382</v>
      </c>
    </row>
    <row r="1162" ht="15.75" customHeight="1">
      <c r="A1162" s="29"/>
      <c r="B1162" s="5" t="s">
        <v>4967</v>
      </c>
      <c r="C1162" s="5" t="s">
        <v>20</v>
      </c>
      <c r="D1162" s="5" t="s">
        <v>122</v>
      </c>
      <c r="E1162" s="5" t="s">
        <v>382</v>
      </c>
    </row>
    <row r="1163" ht="15.75" customHeight="1">
      <c r="A1163" s="29"/>
      <c r="B1163" s="5" t="s">
        <v>3909</v>
      </c>
      <c r="C1163" s="5" t="s">
        <v>79</v>
      </c>
      <c r="D1163" s="5" t="s">
        <v>113</v>
      </c>
      <c r="E1163" s="5" t="s">
        <v>382</v>
      </c>
    </row>
    <row r="1164" ht="15.75" customHeight="1">
      <c r="A1164" s="29"/>
      <c r="B1164" s="5" t="s">
        <v>3361</v>
      </c>
      <c r="C1164" s="5" t="s">
        <v>79</v>
      </c>
      <c r="D1164" s="5" t="s">
        <v>113</v>
      </c>
      <c r="E1164" s="5" t="s">
        <v>382</v>
      </c>
    </row>
    <row r="1165" ht="15.75" customHeight="1">
      <c r="A1165" s="29"/>
      <c r="B1165" s="5" t="s">
        <v>4416</v>
      </c>
      <c r="C1165" s="5" t="s">
        <v>148</v>
      </c>
      <c r="D1165" s="5" t="s">
        <v>95</v>
      </c>
      <c r="E1165" s="5" t="s">
        <v>382</v>
      </c>
    </row>
    <row r="1166" ht="15.75" customHeight="1">
      <c r="A1166" s="29"/>
      <c r="B1166" s="5" t="s">
        <v>5595</v>
      </c>
      <c r="C1166" s="5" t="s">
        <v>14</v>
      </c>
      <c r="D1166" s="5" t="s">
        <v>52</v>
      </c>
      <c r="E1166" s="5" t="s">
        <v>382</v>
      </c>
    </row>
    <row r="1167" ht="15.75" customHeight="1">
      <c r="A1167" s="29"/>
      <c r="B1167" s="5" t="s">
        <v>3644</v>
      </c>
      <c r="C1167" s="5" t="s">
        <v>79</v>
      </c>
      <c r="D1167" s="5" t="s">
        <v>82</v>
      </c>
      <c r="E1167" s="5" t="s">
        <v>382</v>
      </c>
    </row>
    <row r="1168" ht="15.75" customHeight="1">
      <c r="A1168" s="29"/>
      <c r="B1168" s="5" t="s">
        <v>4009</v>
      </c>
      <c r="C1168" s="5" t="s">
        <v>79</v>
      </c>
      <c r="D1168" s="5" t="s">
        <v>15</v>
      </c>
      <c r="E1168" s="5" t="s">
        <v>382</v>
      </c>
    </row>
    <row r="1169" ht="15.75" customHeight="1">
      <c r="A1169" s="29"/>
      <c r="B1169" s="5" t="s">
        <v>4645</v>
      </c>
      <c r="C1169" s="5" t="s">
        <v>77</v>
      </c>
      <c r="D1169" s="5" t="s">
        <v>23</v>
      </c>
      <c r="E1169" s="5" t="s">
        <v>382</v>
      </c>
    </row>
    <row r="1170" ht="15.75" customHeight="1">
      <c r="A1170" s="29"/>
      <c r="B1170" s="5" t="s">
        <v>4355</v>
      </c>
      <c r="C1170" s="5" t="s">
        <v>79</v>
      </c>
      <c r="D1170" s="5" t="s">
        <v>140</v>
      </c>
      <c r="E1170" s="5" t="s">
        <v>382</v>
      </c>
    </row>
    <row r="1171" ht="15.75" customHeight="1">
      <c r="A1171" s="29"/>
      <c r="B1171" s="5" t="s">
        <v>3758</v>
      </c>
      <c r="C1171" s="5" t="s">
        <v>79</v>
      </c>
      <c r="D1171" s="5" t="s">
        <v>129</v>
      </c>
      <c r="E1171" s="5" t="s">
        <v>382</v>
      </c>
    </row>
    <row r="1172" ht="15.75" customHeight="1">
      <c r="A1172" s="29"/>
      <c r="B1172" s="5" t="s">
        <v>3639</v>
      </c>
      <c r="C1172" s="5" t="s">
        <v>79</v>
      </c>
      <c r="D1172" s="5" t="s">
        <v>206</v>
      </c>
      <c r="E1172" s="5" t="s">
        <v>382</v>
      </c>
    </row>
    <row r="1173" ht="15.75" customHeight="1">
      <c r="A1173" s="29"/>
      <c r="B1173" s="5" t="s">
        <v>4242</v>
      </c>
      <c r="C1173" s="5" t="s">
        <v>79</v>
      </c>
      <c r="D1173" s="5" t="s">
        <v>73</v>
      </c>
      <c r="E1173" s="5" t="s">
        <v>382</v>
      </c>
    </row>
    <row r="1174" ht="15.75" customHeight="1">
      <c r="A1174" s="29"/>
      <c r="B1174" s="5" t="s">
        <v>5039</v>
      </c>
      <c r="C1174" s="5" t="s">
        <v>63</v>
      </c>
      <c r="D1174" s="5" t="s">
        <v>18</v>
      </c>
      <c r="E1174" s="5" t="s">
        <v>382</v>
      </c>
    </row>
    <row r="1175" ht="15.75" customHeight="1">
      <c r="A1175" s="29"/>
      <c r="B1175" s="5" t="s">
        <v>3392</v>
      </c>
      <c r="C1175" s="5" t="s">
        <v>79</v>
      </c>
      <c r="D1175" s="5" t="s">
        <v>52</v>
      </c>
      <c r="E1175" s="5" t="s">
        <v>382</v>
      </c>
    </row>
    <row r="1176" ht="15.75" customHeight="1">
      <c r="A1176" s="29"/>
      <c r="B1176" s="5" t="s">
        <v>3415</v>
      </c>
      <c r="C1176" s="5" t="s">
        <v>79</v>
      </c>
      <c r="D1176" s="5" t="s">
        <v>31</v>
      </c>
      <c r="E1176" s="5" t="s">
        <v>382</v>
      </c>
    </row>
    <row r="1177" ht="15.75" customHeight="1">
      <c r="A1177" s="29"/>
      <c r="B1177" s="5" t="s">
        <v>4141</v>
      </c>
      <c r="C1177" s="5" t="s">
        <v>79</v>
      </c>
      <c r="D1177" s="5" t="s">
        <v>9</v>
      </c>
      <c r="E1177" s="5" t="s">
        <v>382</v>
      </c>
    </row>
    <row r="1178" ht="15.75" customHeight="1">
      <c r="A1178" s="29"/>
      <c r="B1178" s="5" t="s">
        <v>4326</v>
      </c>
      <c r="C1178" s="5" t="s">
        <v>79</v>
      </c>
      <c r="D1178" s="5" t="s">
        <v>140</v>
      </c>
      <c r="E1178" s="5" t="s">
        <v>382</v>
      </c>
    </row>
    <row r="1179" ht="15.75" customHeight="1">
      <c r="A1179" s="29"/>
      <c r="B1179" s="5" t="s">
        <v>3778</v>
      </c>
      <c r="C1179" s="5" t="s">
        <v>220</v>
      </c>
      <c r="D1179" s="5" t="s">
        <v>71</v>
      </c>
      <c r="E1179" s="5" t="s">
        <v>382</v>
      </c>
    </row>
    <row r="1180" ht="15.75" customHeight="1">
      <c r="A1180" s="29"/>
      <c r="B1180" s="5" t="s">
        <v>3460</v>
      </c>
      <c r="C1180" s="5" t="s">
        <v>79</v>
      </c>
      <c r="D1180" s="5" t="s">
        <v>9</v>
      </c>
      <c r="E1180" s="5" t="s">
        <v>382</v>
      </c>
    </row>
    <row r="1181" ht="15.75" customHeight="1">
      <c r="A1181" s="29"/>
      <c r="B1181" s="5" t="s">
        <v>3414</v>
      </c>
      <c r="C1181" s="5" t="s">
        <v>220</v>
      </c>
      <c r="D1181" s="5" t="s">
        <v>18</v>
      </c>
      <c r="E1181" s="5" t="s">
        <v>382</v>
      </c>
    </row>
    <row r="1182" ht="15.75" customHeight="1">
      <c r="A1182" s="29"/>
      <c r="B1182" s="5" t="s">
        <v>4519</v>
      </c>
      <c r="C1182" s="5" t="s">
        <v>63</v>
      </c>
      <c r="D1182" s="5" t="s">
        <v>46</v>
      </c>
      <c r="E1182" s="5" t="s">
        <v>382</v>
      </c>
    </row>
    <row r="1183" ht="15.75" customHeight="1">
      <c r="A1183" s="29"/>
      <c r="B1183" s="5" t="s">
        <v>4778</v>
      </c>
      <c r="C1183" s="5" t="s">
        <v>150</v>
      </c>
      <c r="D1183" s="5" t="s">
        <v>42</v>
      </c>
      <c r="E1183" s="5" t="s">
        <v>382</v>
      </c>
    </row>
    <row r="1184" ht="15.75" customHeight="1">
      <c r="A1184" s="29"/>
      <c r="B1184" s="5" t="s">
        <v>4314</v>
      </c>
      <c r="C1184" s="5" t="s">
        <v>79</v>
      </c>
      <c r="D1184" s="5" t="s">
        <v>122</v>
      </c>
      <c r="E1184" s="5" t="s">
        <v>382</v>
      </c>
    </row>
    <row r="1185" ht="15.75" customHeight="1">
      <c r="A1185" s="29"/>
      <c r="B1185" s="5" t="s">
        <v>4306</v>
      </c>
      <c r="C1185" s="5" t="s">
        <v>79</v>
      </c>
      <c r="D1185" s="5" t="s">
        <v>18</v>
      </c>
      <c r="E1185" s="5" t="s">
        <v>382</v>
      </c>
    </row>
    <row r="1186" ht="15.75" customHeight="1">
      <c r="A1186" s="29"/>
      <c r="B1186" s="5" t="s">
        <v>3493</v>
      </c>
      <c r="C1186" s="5" t="s">
        <v>79</v>
      </c>
      <c r="D1186" s="5" t="s">
        <v>71</v>
      </c>
      <c r="E1186" s="5" t="s">
        <v>382</v>
      </c>
    </row>
    <row r="1187" ht="15.75" customHeight="1">
      <c r="A1187" s="29"/>
      <c r="B1187" s="5" t="s">
        <v>4363</v>
      </c>
      <c r="C1187" s="5" t="s">
        <v>79</v>
      </c>
      <c r="D1187" s="5" t="s">
        <v>120</v>
      </c>
      <c r="E1187" s="5" t="s">
        <v>382</v>
      </c>
    </row>
    <row r="1188" ht="15.75" customHeight="1">
      <c r="A1188" s="29"/>
      <c r="B1188" s="5" t="s">
        <v>3389</v>
      </c>
      <c r="C1188" s="5" t="s">
        <v>218</v>
      </c>
      <c r="D1188" s="5" t="s">
        <v>122</v>
      </c>
      <c r="E1188" s="5" t="s">
        <v>382</v>
      </c>
    </row>
    <row r="1189" ht="15.75" customHeight="1">
      <c r="A1189" s="29"/>
      <c r="B1189" s="5" t="s">
        <v>5482</v>
      </c>
      <c r="C1189" s="5" t="s">
        <v>39</v>
      </c>
      <c r="D1189" s="5" t="s">
        <v>46</v>
      </c>
      <c r="E1189" s="5" t="s">
        <v>382</v>
      </c>
    </row>
    <row r="1190" ht="15.75" customHeight="1">
      <c r="A1190" s="29"/>
      <c r="B1190" s="5" t="s">
        <v>4522</v>
      </c>
      <c r="C1190" s="5" t="s">
        <v>22</v>
      </c>
      <c r="D1190" s="5" t="s">
        <v>140</v>
      </c>
      <c r="E1190" s="5" t="s">
        <v>382</v>
      </c>
    </row>
    <row r="1191" ht="15.75" customHeight="1">
      <c r="A1191" s="29"/>
      <c r="B1191" s="5" t="s">
        <v>3378</v>
      </c>
      <c r="C1191" s="5" t="s">
        <v>79</v>
      </c>
      <c r="D1191" s="5" t="s">
        <v>49</v>
      </c>
      <c r="E1191" s="5" t="s">
        <v>382</v>
      </c>
    </row>
    <row r="1192" ht="15.75" customHeight="1">
      <c r="A1192" s="29"/>
      <c r="B1192" s="5" t="s">
        <v>3859</v>
      </c>
      <c r="C1192" s="5" t="s">
        <v>22</v>
      </c>
      <c r="D1192" s="5" t="s">
        <v>99</v>
      </c>
      <c r="E1192" s="5" t="s">
        <v>382</v>
      </c>
    </row>
    <row r="1193" ht="15.75" customHeight="1">
      <c r="A1193" s="29"/>
      <c r="B1193" s="5" t="s">
        <v>4111</v>
      </c>
      <c r="C1193" s="5" t="s">
        <v>79</v>
      </c>
      <c r="D1193" s="5" t="s">
        <v>85</v>
      </c>
      <c r="E1193" s="5" t="s">
        <v>382</v>
      </c>
    </row>
    <row r="1194" ht="15.75" customHeight="1">
      <c r="A1194" s="29"/>
      <c r="B1194" s="5" t="s">
        <v>3422</v>
      </c>
      <c r="C1194" s="5" t="s">
        <v>79</v>
      </c>
      <c r="D1194" s="5" t="s">
        <v>27</v>
      </c>
      <c r="E1194" s="5" t="s">
        <v>382</v>
      </c>
    </row>
    <row r="1195" ht="15.75" customHeight="1">
      <c r="A1195" s="29"/>
      <c r="B1195" s="5" t="s">
        <v>4399</v>
      </c>
      <c r="C1195" s="5" t="s">
        <v>79</v>
      </c>
      <c r="D1195" s="5" t="s">
        <v>25</v>
      </c>
      <c r="E1195" s="5" t="s">
        <v>382</v>
      </c>
    </row>
    <row r="1196" ht="15.75" customHeight="1">
      <c r="A1196" s="29"/>
      <c r="B1196" s="5" t="s">
        <v>4575</v>
      </c>
      <c r="C1196" s="5" t="s">
        <v>79</v>
      </c>
      <c r="D1196" s="5" t="s">
        <v>82</v>
      </c>
      <c r="E1196" s="5" t="s">
        <v>382</v>
      </c>
    </row>
    <row r="1197" ht="15.75" customHeight="1">
      <c r="A1197" s="29"/>
      <c r="B1197" s="5" t="s">
        <v>3766</v>
      </c>
      <c r="C1197" s="5" t="s">
        <v>79</v>
      </c>
      <c r="D1197" s="5" t="s">
        <v>95</v>
      </c>
      <c r="E1197" s="5" t="s">
        <v>382</v>
      </c>
    </row>
    <row r="1198" ht="15.75" customHeight="1">
      <c r="A1198" s="29"/>
      <c r="B1198" s="5" t="s">
        <v>4254</v>
      </c>
      <c r="C1198" s="5" t="s">
        <v>79</v>
      </c>
      <c r="D1198" s="5" t="s">
        <v>122</v>
      </c>
      <c r="E1198" s="5" t="s">
        <v>382</v>
      </c>
    </row>
    <row r="1199" ht="15.75" customHeight="1">
      <c r="A1199" s="29"/>
      <c r="B1199" s="5" t="s">
        <v>5215</v>
      </c>
      <c r="C1199" s="5" t="s">
        <v>11</v>
      </c>
      <c r="D1199" s="5" t="s">
        <v>46</v>
      </c>
      <c r="E1199" s="5" t="s">
        <v>382</v>
      </c>
    </row>
    <row r="1200" ht="15.75" customHeight="1">
      <c r="A1200" s="29"/>
      <c r="B1200" s="5" t="s">
        <v>5554</v>
      </c>
      <c r="C1200" s="5" t="s">
        <v>55</v>
      </c>
      <c r="D1200" s="5" t="s">
        <v>36</v>
      </c>
      <c r="E1200" s="5" t="s">
        <v>382</v>
      </c>
    </row>
    <row r="1201" ht="15.75" customHeight="1">
      <c r="A1201" s="29"/>
      <c r="B1201" s="5" t="s">
        <v>4558</v>
      </c>
      <c r="C1201" s="5" t="s">
        <v>77</v>
      </c>
      <c r="D1201" s="5" t="s">
        <v>52</v>
      </c>
      <c r="E1201" s="5" t="s">
        <v>382</v>
      </c>
    </row>
    <row r="1202" ht="15.75" customHeight="1">
      <c r="A1202" s="29"/>
      <c r="B1202" s="5" t="s">
        <v>4101</v>
      </c>
      <c r="C1202" s="5" t="s">
        <v>79</v>
      </c>
      <c r="D1202" s="5" t="s">
        <v>120</v>
      </c>
      <c r="E1202" s="5" t="s">
        <v>382</v>
      </c>
    </row>
    <row r="1203" ht="15.75" customHeight="1">
      <c r="A1203" s="29"/>
      <c r="B1203" s="5" t="s">
        <v>4865</v>
      </c>
      <c r="C1203" s="5" t="s">
        <v>240</v>
      </c>
      <c r="D1203" s="5" t="s">
        <v>206</v>
      </c>
      <c r="E1203" s="5" t="s">
        <v>382</v>
      </c>
    </row>
    <row r="1204" ht="15.75" customHeight="1">
      <c r="A1204" s="29"/>
      <c r="B1204" s="5" t="s">
        <v>5512</v>
      </c>
      <c r="C1204" s="5" t="s">
        <v>39</v>
      </c>
      <c r="D1204" s="5" t="s">
        <v>85</v>
      </c>
      <c r="E1204" s="5" t="s">
        <v>382</v>
      </c>
    </row>
    <row r="1205" ht="15.75" customHeight="1">
      <c r="A1205" s="29"/>
      <c r="B1205" s="5" t="s">
        <v>4832</v>
      </c>
      <c r="C1205" s="5" t="s">
        <v>48</v>
      </c>
      <c r="D1205" s="5" t="s">
        <v>18</v>
      </c>
      <c r="E1205" s="5" t="s">
        <v>382</v>
      </c>
    </row>
    <row r="1206" ht="15.75" customHeight="1">
      <c r="A1206" s="29"/>
      <c r="B1206" s="5" t="s">
        <v>4349</v>
      </c>
      <c r="C1206" s="5" t="s">
        <v>79</v>
      </c>
      <c r="D1206" s="5" t="s">
        <v>99</v>
      </c>
      <c r="E1206" s="5" t="s">
        <v>382</v>
      </c>
    </row>
    <row r="1207" ht="15.75" customHeight="1">
      <c r="A1207" s="29"/>
      <c r="B1207" s="5" t="s">
        <v>4543</v>
      </c>
      <c r="C1207" s="5" t="s">
        <v>22</v>
      </c>
      <c r="D1207" s="5" t="s">
        <v>120</v>
      </c>
      <c r="E1207" s="5" t="s">
        <v>382</v>
      </c>
    </row>
    <row r="1208" ht="15.75" customHeight="1">
      <c r="A1208" s="29"/>
      <c r="B1208" s="5" t="s">
        <v>3363</v>
      </c>
      <c r="C1208" s="5" t="s">
        <v>79</v>
      </c>
      <c r="D1208" s="5" t="s">
        <v>52</v>
      </c>
      <c r="E1208" s="5" t="s">
        <v>382</v>
      </c>
    </row>
    <row r="1209" ht="15.75" customHeight="1">
      <c r="A1209" s="29"/>
      <c r="B1209" s="5" t="s">
        <v>4249</v>
      </c>
      <c r="C1209" s="5" t="s">
        <v>158</v>
      </c>
      <c r="D1209" s="5" t="s">
        <v>85</v>
      </c>
      <c r="E1209" s="5" t="s">
        <v>382</v>
      </c>
    </row>
    <row r="1210" ht="15.75" customHeight="1">
      <c r="A1210" s="29"/>
      <c r="B1210" s="5" t="s">
        <v>4356</v>
      </c>
      <c r="C1210" s="5" t="s">
        <v>220</v>
      </c>
      <c r="D1210" s="5" t="s">
        <v>140</v>
      </c>
      <c r="E1210" s="5" t="s">
        <v>382</v>
      </c>
    </row>
    <row r="1211" ht="15.75" customHeight="1">
      <c r="A1211" s="29"/>
      <c r="B1211" s="5" t="s">
        <v>3355</v>
      </c>
      <c r="C1211" s="5" t="s">
        <v>79</v>
      </c>
      <c r="D1211" s="5" t="s">
        <v>46</v>
      </c>
      <c r="E1211" s="5" t="s">
        <v>382</v>
      </c>
    </row>
    <row r="1212" ht="15.75" customHeight="1">
      <c r="A1212" s="29"/>
      <c r="B1212" s="5" t="s">
        <v>4613</v>
      </c>
      <c r="C1212" s="5" t="s">
        <v>439</v>
      </c>
      <c r="D1212" s="5" t="s">
        <v>140</v>
      </c>
      <c r="E1212" s="5" t="s">
        <v>382</v>
      </c>
    </row>
    <row r="1213" ht="15.75" customHeight="1">
      <c r="A1213" s="29"/>
      <c r="B1213" s="5" t="s">
        <v>3291</v>
      </c>
      <c r="C1213" s="5" t="s">
        <v>79</v>
      </c>
      <c r="D1213" s="5" t="s">
        <v>46</v>
      </c>
      <c r="E1213" s="5" t="s">
        <v>382</v>
      </c>
    </row>
    <row r="1214" ht="15.75" customHeight="1">
      <c r="A1214" s="29"/>
      <c r="B1214" s="5" t="s">
        <v>3568</v>
      </c>
      <c r="C1214" s="5" t="s">
        <v>79</v>
      </c>
      <c r="D1214" s="5" t="s">
        <v>52</v>
      </c>
      <c r="E1214" s="5" t="s">
        <v>382</v>
      </c>
    </row>
    <row r="1215" ht="15.75" customHeight="1">
      <c r="A1215" s="29"/>
      <c r="B1215" s="5" t="s">
        <v>4051</v>
      </c>
      <c r="C1215" s="5" t="s">
        <v>79</v>
      </c>
      <c r="D1215" s="5" t="s">
        <v>9</v>
      </c>
      <c r="E1215" s="5" t="s">
        <v>382</v>
      </c>
    </row>
    <row r="1216" ht="15.75" customHeight="1">
      <c r="A1216" s="29"/>
      <c r="B1216" s="5" t="s">
        <v>5524</v>
      </c>
      <c r="C1216" s="5" t="s">
        <v>1857</v>
      </c>
      <c r="D1216" s="5" t="s">
        <v>129</v>
      </c>
      <c r="E1216" s="5" t="s">
        <v>382</v>
      </c>
    </row>
    <row r="1217" ht="15.75" customHeight="1">
      <c r="A1217" s="29"/>
      <c r="B1217" s="5" t="s">
        <v>4745</v>
      </c>
      <c r="C1217" s="5" t="s">
        <v>77</v>
      </c>
      <c r="D1217" s="5" t="s">
        <v>67</v>
      </c>
      <c r="E1217" s="5" t="s">
        <v>382</v>
      </c>
    </row>
    <row r="1218" ht="15.75" customHeight="1">
      <c r="A1218" s="29"/>
      <c r="B1218" s="5" t="s">
        <v>3354</v>
      </c>
      <c r="C1218" s="5" t="s">
        <v>79</v>
      </c>
      <c r="D1218" s="5" t="s">
        <v>90</v>
      </c>
      <c r="E1218" s="5" t="s">
        <v>382</v>
      </c>
    </row>
    <row r="1219" ht="15.75" customHeight="1">
      <c r="A1219" s="29"/>
      <c r="B1219" s="5" t="s">
        <v>3276</v>
      </c>
      <c r="C1219" s="5" t="s">
        <v>79</v>
      </c>
      <c r="D1219" s="5" t="s">
        <v>15</v>
      </c>
      <c r="E1219" s="5" t="s">
        <v>382</v>
      </c>
    </row>
    <row r="1220" ht="15.75" customHeight="1">
      <c r="A1220" s="29"/>
      <c r="B1220" s="5" t="s">
        <v>4478</v>
      </c>
      <c r="C1220" s="5" t="s">
        <v>79</v>
      </c>
      <c r="D1220" s="5" t="s">
        <v>90</v>
      </c>
      <c r="E1220" s="5" t="s">
        <v>382</v>
      </c>
    </row>
    <row r="1221" ht="15.75" customHeight="1">
      <c r="A1221" s="29"/>
      <c r="B1221" s="5" t="s">
        <v>3817</v>
      </c>
      <c r="C1221" s="5" t="s">
        <v>79</v>
      </c>
      <c r="D1221" s="5" t="s">
        <v>18</v>
      </c>
      <c r="E1221" s="5" t="s">
        <v>382</v>
      </c>
    </row>
    <row r="1222" ht="15.75" customHeight="1">
      <c r="A1222" s="29"/>
      <c r="B1222" s="5" t="s">
        <v>3657</v>
      </c>
      <c r="C1222" s="5" t="s">
        <v>79</v>
      </c>
      <c r="D1222" s="5" t="s">
        <v>71</v>
      </c>
      <c r="E1222" s="5" t="s">
        <v>382</v>
      </c>
    </row>
    <row r="1223" ht="15.75" customHeight="1">
      <c r="A1223" s="29"/>
      <c r="B1223" s="5" t="s">
        <v>3439</v>
      </c>
      <c r="C1223" s="5" t="s">
        <v>79</v>
      </c>
      <c r="D1223" s="5" t="s">
        <v>46</v>
      </c>
      <c r="E1223" s="5" t="s">
        <v>382</v>
      </c>
    </row>
    <row r="1224" ht="15.75" customHeight="1">
      <c r="A1224" s="29"/>
      <c r="B1224" s="5" t="s">
        <v>3300</v>
      </c>
      <c r="C1224" s="5" t="s">
        <v>220</v>
      </c>
      <c r="D1224" s="5" t="s">
        <v>25</v>
      </c>
      <c r="E1224" s="5" t="s">
        <v>382</v>
      </c>
    </row>
    <row r="1225" ht="15.75" customHeight="1">
      <c r="A1225" s="29"/>
      <c r="B1225" s="5" t="s">
        <v>3335</v>
      </c>
      <c r="C1225" s="5" t="s">
        <v>79</v>
      </c>
      <c r="D1225" s="5" t="s">
        <v>49</v>
      </c>
      <c r="E1225" s="5" t="s">
        <v>382</v>
      </c>
    </row>
    <row r="1226" ht="15.75" customHeight="1">
      <c r="A1226" s="29"/>
      <c r="B1226" s="5" t="s">
        <v>4064</v>
      </c>
      <c r="C1226" s="5" t="s">
        <v>79</v>
      </c>
      <c r="D1226" s="5" t="s">
        <v>31</v>
      </c>
      <c r="E1226" s="5" t="s">
        <v>382</v>
      </c>
    </row>
    <row r="1227" ht="15.75" customHeight="1">
      <c r="A1227" s="29"/>
      <c r="B1227" s="5" t="s">
        <v>3819</v>
      </c>
      <c r="C1227" s="5" t="s">
        <v>79</v>
      </c>
      <c r="D1227" s="5" t="s">
        <v>120</v>
      </c>
      <c r="E1227" s="5" t="s">
        <v>382</v>
      </c>
    </row>
    <row r="1228" ht="15.75" customHeight="1">
      <c r="A1228" s="29"/>
      <c r="B1228" s="5" t="s">
        <v>4840</v>
      </c>
      <c r="C1228" s="5" t="s">
        <v>77</v>
      </c>
      <c r="D1228" s="5" t="s">
        <v>34</v>
      </c>
      <c r="E1228" s="5" t="s">
        <v>382</v>
      </c>
    </row>
    <row r="1229" ht="15.75" customHeight="1">
      <c r="A1229" s="29"/>
      <c r="B1229" s="5" t="s">
        <v>5450</v>
      </c>
      <c r="C1229" s="5" t="s">
        <v>17</v>
      </c>
      <c r="D1229" s="5" t="s">
        <v>9</v>
      </c>
      <c r="E1229" s="5" t="s">
        <v>382</v>
      </c>
    </row>
    <row r="1230" ht="15.75" customHeight="1">
      <c r="A1230" s="29"/>
      <c r="B1230" s="5" t="s">
        <v>5250</v>
      </c>
      <c r="C1230" s="5" t="s">
        <v>77</v>
      </c>
      <c r="D1230" s="5" t="s">
        <v>23</v>
      </c>
      <c r="E1230" s="5" t="s">
        <v>382</v>
      </c>
    </row>
    <row r="1231" ht="15.75" customHeight="1">
      <c r="A1231" s="29"/>
      <c r="B1231" s="5" t="s">
        <v>4120</v>
      </c>
      <c r="C1231" s="5" t="s">
        <v>22</v>
      </c>
      <c r="D1231" s="5" t="s">
        <v>137</v>
      </c>
      <c r="E1231" s="5" t="s">
        <v>382</v>
      </c>
    </row>
    <row r="1232" ht="15.75" customHeight="1">
      <c r="A1232" s="29"/>
      <c r="B1232" s="5" t="s">
        <v>3427</v>
      </c>
      <c r="C1232" s="5" t="s">
        <v>79</v>
      </c>
      <c r="D1232" s="5" t="s">
        <v>31</v>
      </c>
      <c r="E1232" s="5" t="s">
        <v>382</v>
      </c>
    </row>
    <row r="1233" ht="15.75" customHeight="1">
      <c r="A1233" s="29"/>
      <c r="B1233" s="5" t="s">
        <v>3556</v>
      </c>
      <c r="C1233" s="5" t="s">
        <v>79</v>
      </c>
      <c r="D1233" s="5" t="s">
        <v>9</v>
      </c>
      <c r="E1233" s="5" t="s">
        <v>382</v>
      </c>
    </row>
    <row r="1234" ht="15.75" customHeight="1">
      <c r="A1234" s="29"/>
      <c r="B1234" s="5" t="s">
        <v>5317</v>
      </c>
      <c r="C1234" s="5" t="s">
        <v>14</v>
      </c>
      <c r="D1234" s="5" t="s">
        <v>73</v>
      </c>
      <c r="E1234" s="5" t="s">
        <v>382</v>
      </c>
    </row>
    <row r="1235" ht="15.75" customHeight="1">
      <c r="A1235" s="29"/>
      <c r="B1235" s="5" t="s">
        <v>4285</v>
      </c>
      <c r="C1235" s="5" t="s">
        <v>700</v>
      </c>
      <c r="D1235" s="5" t="s">
        <v>27</v>
      </c>
      <c r="E1235" s="5" t="s">
        <v>382</v>
      </c>
    </row>
    <row r="1236" ht="15.75" customHeight="1">
      <c r="A1236" s="29"/>
      <c r="B1236" s="5" t="s">
        <v>3249</v>
      </c>
      <c r="C1236" s="5" t="s">
        <v>79</v>
      </c>
      <c r="D1236" s="5" t="s">
        <v>49</v>
      </c>
      <c r="E1236" s="5" t="s">
        <v>382</v>
      </c>
    </row>
    <row r="1237" ht="15.75" customHeight="1">
      <c r="A1237" s="29"/>
      <c r="B1237" s="5" t="s">
        <v>3469</v>
      </c>
      <c r="C1237" s="5" t="s">
        <v>79</v>
      </c>
      <c r="D1237" s="5" t="s">
        <v>18</v>
      </c>
      <c r="E1237" s="5" t="s">
        <v>382</v>
      </c>
    </row>
    <row r="1238" ht="15.75" customHeight="1">
      <c r="A1238" s="29"/>
      <c r="B1238" s="5" t="s">
        <v>4732</v>
      </c>
      <c r="C1238" s="5" t="s">
        <v>240</v>
      </c>
      <c r="D1238" s="5" t="s">
        <v>15</v>
      </c>
      <c r="E1238" s="5" t="s">
        <v>382</v>
      </c>
    </row>
    <row r="1239" ht="15.75" customHeight="1">
      <c r="A1239" s="29"/>
      <c r="B1239" s="5" t="s">
        <v>4415</v>
      </c>
      <c r="C1239" s="5" t="s">
        <v>79</v>
      </c>
      <c r="D1239" s="5" t="s">
        <v>18</v>
      </c>
      <c r="E1239" s="5" t="s">
        <v>382</v>
      </c>
    </row>
    <row r="1240" ht="15.75" customHeight="1">
      <c r="A1240" s="29"/>
      <c r="B1240" s="5" t="s">
        <v>4882</v>
      </c>
      <c r="C1240" s="5" t="s">
        <v>77</v>
      </c>
      <c r="D1240" s="5" t="s">
        <v>137</v>
      </c>
      <c r="E1240" s="5" t="s">
        <v>382</v>
      </c>
    </row>
    <row r="1241" ht="15.75" customHeight="1">
      <c r="A1241" s="29"/>
      <c r="B1241" s="5" t="s">
        <v>4681</v>
      </c>
      <c r="C1241" s="5" t="s">
        <v>753</v>
      </c>
      <c r="D1241" s="5" t="s">
        <v>23</v>
      </c>
      <c r="E1241" s="5" t="s">
        <v>382</v>
      </c>
    </row>
    <row r="1242" ht="15.75" customHeight="1">
      <c r="A1242" s="29"/>
      <c r="B1242" s="5" t="s">
        <v>3596</v>
      </c>
      <c r="C1242" s="5" t="s">
        <v>79</v>
      </c>
      <c r="D1242" s="5" t="s">
        <v>18</v>
      </c>
      <c r="E1242" s="5" t="s">
        <v>382</v>
      </c>
    </row>
    <row r="1243" ht="15.75" customHeight="1">
      <c r="A1243" s="29"/>
      <c r="B1243" s="5" t="s">
        <v>4712</v>
      </c>
      <c r="C1243" s="5" t="s">
        <v>77</v>
      </c>
      <c r="D1243" s="5" t="s">
        <v>36</v>
      </c>
      <c r="E1243" s="5" t="s">
        <v>382</v>
      </c>
    </row>
    <row r="1244" ht="15.75" customHeight="1">
      <c r="A1244" s="29"/>
      <c r="B1244" s="5" t="s">
        <v>4692</v>
      </c>
      <c r="C1244" s="5" t="s">
        <v>136</v>
      </c>
      <c r="D1244" s="5" t="s">
        <v>23</v>
      </c>
      <c r="E1244" s="5" t="s">
        <v>382</v>
      </c>
    </row>
    <row r="1245" ht="15.75" customHeight="1">
      <c r="A1245" s="29"/>
      <c r="B1245" s="5" t="s">
        <v>4388</v>
      </c>
      <c r="C1245" s="5" t="s">
        <v>63</v>
      </c>
      <c r="D1245" s="5" t="s">
        <v>113</v>
      </c>
      <c r="E1245" s="5" t="s">
        <v>382</v>
      </c>
    </row>
    <row r="1246" ht="15.75" customHeight="1">
      <c r="A1246" s="29"/>
      <c r="B1246" s="5" t="s">
        <v>4528</v>
      </c>
      <c r="C1246" s="5" t="s">
        <v>22</v>
      </c>
      <c r="D1246" s="5" t="s">
        <v>9</v>
      </c>
      <c r="E1246" s="5" t="s">
        <v>382</v>
      </c>
    </row>
    <row r="1247" ht="15.75" customHeight="1">
      <c r="A1247" s="29"/>
      <c r="B1247" s="5" t="s">
        <v>5364</v>
      </c>
      <c r="C1247" s="5" t="s">
        <v>39</v>
      </c>
      <c r="D1247" s="5" t="s">
        <v>99</v>
      </c>
      <c r="E1247" s="5" t="s">
        <v>382</v>
      </c>
    </row>
    <row r="1248" ht="15.75" customHeight="1">
      <c r="A1248" s="29"/>
      <c r="B1248" s="5" t="s">
        <v>4968</v>
      </c>
      <c r="C1248" s="5" t="s">
        <v>136</v>
      </c>
      <c r="D1248" s="5" t="s">
        <v>95</v>
      </c>
      <c r="E1248" s="5" t="s">
        <v>382</v>
      </c>
    </row>
    <row r="1249" ht="15.75" customHeight="1">
      <c r="A1249" s="29"/>
      <c r="B1249" s="5" t="s">
        <v>5101</v>
      </c>
      <c r="C1249" s="5" t="s">
        <v>148</v>
      </c>
      <c r="D1249" s="5" t="s">
        <v>140</v>
      </c>
      <c r="E1249" s="5" t="s">
        <v>382</v>
      </c>
    </row>
    <row r="1250" ht="15.75" customHeight="1">
      <c r="A1250" s="29"/>
      <c r="B1250" s="5" t="s">
        <v>4525</v>
      </c>
      <c r="C1250" s="5" t="s">
        <v>22</v>
      </c>
      <c r="D1250" s="5" t="s">
        <v>137</v>
      </c>
      <c r="E1250" s="5" t="s">
        <v>382</v>
      </c>
    </row>
    <row r="1251" ht="15.75" customHeight="1">
      <c r="A1251" s="29"/>
      <c r="B1251" s="5" t="s">
        <v>4437</v>
      </c>
      <c r="C1251" s="5" t="s">
        <v>22</v>
      </c>
      <c r="D1251" s="5" t="s">
        <v>49</v>
      </c>
      <c r="E1251" s="5" t="s">
        <v>382</v>
      </c>
    </row>
    <row r="1252" ht="15.75" customHeight="1">
      <c r="A1252" s="29"/>
      <c r="B1252" s="5" t="s">
        <v>3947</v>
      </c>
      <c r="C1252" s="5" t="s">
        <v>22</v>
      </c>
      <c r="D1252" s="5" t="s">
        <v>73</v>
      </c>
      <c r="E1252" s="5" t="s">
        <v>382</v>
      </c>
    </row>
    <row r="1253" ht="15.75" customHeight="1">
      <c r="A1253" s="29"/>
      <c r="B1253" s="5" t="s">
        <v>3466</v>
      </c>
      <c r="C1253" s="5" t="s">
        <v>79</v>
      </c>
      <c r="D1253" s="5" t="s">
        <v>90</v>
      </c>
      <c r="E1253" s="5" t="s">
        <v>382</v>
      </c>
    </row>
    <row r="1254" ht="15.75" customHeight="1">
      <c r="A1254" s="29"/>
      <c r="B1254" s="5" t="s">
        <v>3435</v>
      </c>
      <c r="C1254" s="5" t="s">
        <v>79</v>
      </c>
      <c r="D1254" s="5" t="s">
        <v>42</v>
      </c>
      <c r="E1254" s="5" t="s">
        <v>382</v>
      </c>
    </row>
    <row r="1255" ht="15.75" customHeight="1">
      <c r="A1255" s="29"/>
      <c r="B1255" s="5" t="s">
        <v>3829</v>
      </c>
      <c r="C1255" s="5" t="s">
        <v>22</v>
      </c>
      <c r="D1255" s="5" t="s">
        <v>42</v>
      </c>
      <c r="E1255" s="5" t="s">
        <v>382</v>
      </c>
    </row>
    <row r="1256" ht="15.75" customHeight="1">
      <c r="A1256" s="29"/>
      <c r="B1256" s="5" t="s">
        <v>4021</v>
      </c>
      <c r="C1256" s="5" t="s">
        <v>79</v>
      </c>
      <c r="D1256" s="5" t="s">
        <v>42</v>
      </c>
      <c r="E1256" s="5" t="s">
        <v>382</v>
      </c>
    </row>
    <row r="1257" ht="15.75" customHeight="1">
      <c r="A1257" s="29"/>
      <c r="B1257" s="5" t="s">
        <v>3652</v>
      </c>
      <c r="C1257" s="5" t="s">
        <v>79</v>
      </c>
      <c r="D1257" s="5" t="s">
        <v>42</v>
      </c>
      <c r="E1257" s="5" t="s">
        <v>382</v>
      </c>
    </row>
    <row r="1258" ht="15.75" customHeight="1">
      <c r="A1258" s="29"/>
      <c r="B1258" s="5" t="s">
        <v>5128</v>
      </c>
      <c r="C1258" s="5" t="s">
        <v>14</v>
      </c>
      <c r="D1258" s="5" t="s">
        <v>206</v>
      </c>
      <c r="E1258" s="5" t="s">
        <v>382</v>
      </c>
    </row>
    <row r="1259" ht="15.75" customHeight="1">
      <c r="A1259" s="29"/>
      <c r="B1259" s="5" t="s">
        <v>4127</v>
      </c>
      <c r="C1259" s="5" t="s">
        <v>585</v>
      </c>
      <c r="D1259" s="5" t="s">
        <v>15</v>
      </c>
      <c r="E1259" s="5" t="s">
        <v>382</v>
      </c>
    </row>
    <row r="1260" ht="15.75" customHeight="1">
      <c r="A1260" s="29"/>
      <c r="B1260" s="5" t="s">
        <v>4170</v>
      </c>
      <c r="C1260" s="5" t="s">
        <v>79</v>
      </c>
      <c r="D1260" s="5" t="s">
        <v>113</v>
      </c>
      <c r="E1260" s="5" t="s">
        <v>382</v>
      </c>
    </row>
    <row r="1261" ht="15.75" customHeight="1">
      <c r="A1261" s="29"/>
      <c r="B1261" s="5" t="s">
        <v>4035</v>
      </c>
      <c r="C1261" s="5" t="s">
        <v>22</v>
      </c>
      <c r="D1261" s="5" t="s">
        <v>206</v>
      </c>
      <c r="E1261" s="5" t="s">
        <v>382</v>
      </c>
    </row>
    <row r="1262" ht="15.75" customHeight="1">
      <c r="A1262" s="29"/>
      <c r="B1262" s="5" t="s">
        <v>4703</v>
      </c>
      <c r="C1262" s="5" t="s">
        <v>346</v>
      </c>
      <c r="D1262" s="5" t="s">
        <v>73</v>
      </c>
      <c r="E1262" s="5" t="s">
        <v>382</v>
      </c>
    </row>
    <row r="1263" ht="15.75" customHeight="1">
      <c r="A1263" s="29"/>
      <c r="B1263" s="5" t="s">
        <v>3387</v>
      </c>
      <c r="C1263" s="5" t="s">
        <v>220</v>
      </c>
      <c r="D1263" s="5" t="s">
        <v>129</v>
      </c>
      <c r="E1263" s="5" t="s">
        <v>382</v>
      </c>
    </row>
    <row r="1264" ht="15.75" customHeight="1">
      <c r="A1264" s="29"/>
      <c r="B1264" s="5" t="s">
        <v>4682</v>
      </c>
      <c r="C1264" s="5" t="s">
        <v>39</v>
      </c>
      <c r="D1264" s="5" t="s">
        <v>27</v>
      </c>
      <c r="E1264" s="5" t="s">
        <v>382</v>
      </c>
    </row>
    <row r="1265" ht="15.75" customHeight="1">
      <c r="A1265" s="29"/>
      <c r="B1265" s="5" t="s">
        <v>4721</v>
      </c>
      <c r="C1265" s="5" t="s">
        <v>136</v>
      </c>
      <c r="D1265" s="5" t="s">
        <v>95</v>
      </c>
      <c r="E1265" s="5" t="s">
        <v>382</v>
      </c>
    </row>
    <row r="1266" ht="15.75" customHeight="1">
      <c r="A1266" s="29"/>
      <c r="B1266" s="5" t="s">
        <v>3459</v>
      </c>
      <c r="C1266" s="5" t="s">
        <v>700</v>
      </c>
      <c r="D1266" s="5" t="s">
        <v>113</v>
      </c>
      <c r="E1266" s="5" t="s">
        <v>382</v>
      </c>
    </row>
    <row r="1267" ht="15.75" customHeight="1">
      <c r="A1267" s="29"/>
      <c r="B1267" s="5" t="s">
        <v>5140</v>
      </c>
      <c r="C1267" s="5" t="s">
        <v>17</v>
      </c>
      <c r="D1267" s="5" t="s">
        <v>82</v>
      </c>
      <c r="E1267" s="5" t="s">
        <v>382</v>
      </c>
    </row>
    <row r="1268" ht="15.75" customHeight="1">
      <c r="A1268" s="29"/>
      <c r="B1268" s="5" t="s">
        <v>4534</v>
      </c>
      <c r="C1268" s="5" t="s">
        <v>79</v>
      </c>
      <c r="D1268" s="5" t="s">
        <v>9</v>
      </c>
      <c r="E1268" s="5" t="s">
        <v>382</v>
      </c>
    </row>
    <row r="1269" ht="15.75" customHeight="1">
      <c r="A1269" s="29"/>
      <c r="B1269" s="5" t="s">
        <v>4443</v>
      </c>
      <c r="C1269" s="5" t="s">
        <v>22</v>
      </c>
      <c r="D1269" s="5" t="s">
        <v>120</v>
      </c>
      <c r="E1269" s="5" t="s">
        <v>382</v>
      </c>
    </row>
    <row r="1270" ht="15.75" customHeight="1">
      <c r="A1270" s="29"/>
      <c r="B1270" s="5" t="s">
        <v>4810</v>
      </c>
      <c r="C1270" s="5" t="s">
        <v>55</v>
      </c>
      <c r="D1270" s="5" t="s">
        <v>73</v>
      </c>
      <c r="E1270" s="5" t="s">
        <v>382</v>
      </c>
    </row>
    <row r="1271" ht="15.75" customHeight="1">
      <c r="A1271" s="29"/>
      <c r="B1271" s="5" t="s">
        <v>5559</v>
      </c>
      <c r="C1271" s="5" t="s">
        <v>55</v>
      </c>
      <c r="D1271" s="5" t="s">
        <v>105</v>
      </c>
      <c r="E1271" s="5" t="s">
        <v>382</v>
      </c>
    </row>
    <row r="1272" ht="15.75" customHeight="1">
      <c r="A1272" s="29"/>
      <c r="B1272" s="5" t="s">
        <v>4845</v>
      </c>
      <c r="C1272" s="5" t="s">
        <v>11</v>
      </c>
      <c r="D1272" s="5" t="s">
        <v>105</v>
      </c>
      <c r="E1272" s="5" t="s">
        <v>382</v>
      </c>
    </row>
    <row r="1273" ht="15.75" customHeight="1">
      <c r="A1273" s="29"/>
      <c r="B1273" s="5" t="s">
        <v>4805</v>
      </c>
      <c r="C1273" s="5" t="s">
        <v>11</v>
      </c>
      <c r="D1273" s="5" t="s">
        <v>46</v>
      </c>
      <c r="E1273" s="5" t="s">
        <v>382</v>
      </c>
    </row>
    <row r="1274" ht="15.75" customHeight="1">
      <c r="A1274" s="29"/>
      <c r="B1274" s="5" t="s">
        <v>3975</v>
      </c>
      <c r="C1274" s="5" t="s">
        <v>22</v>
      </c>
      <c r="D1274" s="5" t="s">
        <v>46</v>
      </c>
      <c r="E1274" s="5" t="s">
        <v>382</v>
      </c>
    </row>
    <row r="1275" ht="15.75" customHeight="1">
      <c r="A1275" s="29"/>
      <c r="B1275" s="5" t="s">
        <v>4568</v>
      </c>
      <c r="C1275" s="5" t="s">
        <v>158</v>
      </c>
      <c r="D1275" s="5" t="s">
        <v>46</v>
      </c>
      <c r="E1275" s="5" t="s">
        <v>382</v>
      </c>
    </row>
    <row r="1276" ht="15.75" customHeight="1">
      <c r="A1276" s="29"/>
      <c r="B1276" s="5" t="s">
        <v>3854</v>
      </c>
      <c r="C1276" s="5" t="s">
        <v>79</v>
      </c>
      <c r="D1276" s="5" t="s">
        <v>113</v>
      </c>
      <c r="E1276" s="5" t="s">
        <v>382</v>
      </c>
    </row>
    <row r="1277" ht="15.75" customHeight="1">
      <c r="A1277" s="29"/>
      <c r="B1277" s="5" t="s">
        <v>4809</v>
      </c>
      <c r="C1277" s="5" t="s">
        <v>240</v>
      </c>
      <c r="D1277" s="5" t="s">
        <v>113</v>
      </c>
      <c r="E1277" s="5" t="s">
        <v>382</v>
      </c>
    </row>
    <row r="1278" ht="15.75" customHeight="1">
      <c r="A1278" s="29"/>
      <c r="B1278" s="5" t="s">
        <v>3787</v>
      </c>
      <c r="C1278" s="5" t="s">
        <v>22</v>
      </c>
      <c r="D1278" s="5" t="s">
        <v>18</v>
      </c>
      <c r="E1278" s="5" t="s">
        <v>382</v>
      </c>
    </row>
    <row r="1279" ht="15.75" customHeight="1">
      <c r="A1279" s="29"/>
      <c r="B1279" s="5" t="s">
        <v>4366</v>
      </c>
      <c r="C1279" s="5" t="s">
        <v>79</v>
      </c>
      <c r="D1279" s="5" t="s">
        <v>140</v>
      </c>
      <c r="E1279" s="5" t="s">
        <v>382</v>
      </c>
    </row>
    <row r="1280" ht="15.75" customHeight="1">
      <c r="A1280" s="29"/>
      <c r="B1280" s="5" t="s">
        <v>4159</v>
      </c>
      <c r="C1280" s="5" t="s">
        <v>79</v>
      </c>
      <c r="D1280" s="5" t="s">
        <v>129</v>
      </c>
      <c r="E1280" s="5" t="s">
        <v>382</v>
      </c>
    </row>
    <row r="1281" ht="15.75" customHeight="1">
      <c r="A1281" s="29"/>
      <c r="B1281" s="5" t="s">
        <v>5212</v>
      </c>
      <c r="C1281" s="5" t="s">
        <v>39</v>
      </c>
      <c r="D1281" s="5" t="s">
        <v>67</v>
      </c>
      <c r="E1281" s="5" t="s">
        <v>382</v>
      </c>
    </row>
    <row r="1282" ht="15.75" customHeight="1">
      <c r="A1282" s="29"/>
      <c r="B1282" s="5" t="s">
        <v>5568</v>
      </c>
      <c r="C1282" s="5" t="s">
        <v>17</v>
      </c>
      <c r="D1282" s="5" t="s">
        <v>36</v>
      </c>
      <c r="E1282" s="5" t="s">
        <v>382</v>
      </c>
    </row>
    <row r="1283" ht="15.75" customHeight="1">
      <c r="A1283" s="29"/>
      <c r="B1283" s="5" t="s">
        <v>3386</v>
      </c>
      <c r="C1283" s="5" t="s">
        <v>79</v>
      </c>
      <c r="D1283" s="5" t="s">
        <v>67</v>
      </c>
      <c r="E1283" s="5" t="s">
        <v>382</v>
      </c>
    </row>
    <row r="1284" ht="15.75" customHeight="1">
      <c r="A1284" s="29"/>
      <c r="B1284" s="5" t="s">
        <v>5190</v>
      </c>
      <c r="C1284" s="5" t="s">
        <v>17</v>
      </c>
      <c r="D1284" s="5" t="s">
        <v>67</v>
      </c>
      <c r="E1284" s="5" t="s">
        <v>382</v>
      </c>
    </row>
    <row r="1285" ht="15.75" customHeight="1">
      <c r="A1285" s="29"/>
      <c r="B1285" s="5" t="s">
        <v>5018</v>
      </c>
      <c r="C1285" s="5" t="s">
        <v>77</v>
      </c>
      <c r="D1285" s="5" t="s">
        <v>67</v>
      </c>
      <c r="E1285" s="5" t="s">
        <v>382</v>
      </c>
    </row>
    <row r="1286" ht="15.75" customHeight="1">
      <c r="A1286" s="29"/>
      <c r="B1286" s="5" t="s">
        <v>5410</v>
      </c>
      <c r="C1286" s="5" t="s">
        <v>20</v>
      </c>
      <c r="D1286" s="5" t="s">
        <v>67</v>
      </c>
      <c r="E1286" s="5" t="s">
        <v>382</v>
      </c>
    </row>
    <row r="1287" ht="15.75" customHeight="1">
      <c r="A1287" s="29"/>
      <c r="B1287" s="5" t="s">
        <v>4403</v>
      </c>
      <c r="C1287" s="5" t="s">
        <v>22</v>
      </c>
      <c r="D1287" s="5" t="s">
        <v>34</v>
      </c>
      <c r="E1287" s="5" t="s">
        <v>382</v>
      </c>
    </row>
    <row r="1288" ht="15.75" customHeight="1">
      <c r="A1288" s="29"/>
      <c r="B1288" s="5" t="s">
        <v>4781</v>
      </c>
      <c r="C1288" s="5" t="s">
        <v>33</v>
      </c>
      <c r="D1288" s="5" t="s">
        <v>206</v>
      </c>
      <c r="E1288" s="5" t="s">
        <v>382</v>
      </c>
    </row>
    <row r="1289" ht="15.75" customHeight="1">
      <c r="A1289" s="29"/>
      <c r="B1289" s="5" t="s">
        <v>3491</v>
      </c>
      <c r="C1289" s="5" t="s">
        <v>79</v>
      </c>
      <c r="D1289" s="5" t="s">
        <v>34</v>
      </c>
      <c r="E1289" s="5" t="s">
        <v>382</v>
      </c>
    </row>
    <row r="1290" ht="15.75" customHeight="1">
      <c r="A1290" s="29"/>
      <c r="B1290" s="5" t="s">
        <v>5468</v>
      </c>
      <c r="C1290" s="5" t="s">
        <v>39</v>
      </c>
      <c r="D1290" s="5" t="s">
        <v>9</v>
      </c>
      <c r="E1290" s="5" t="s">
        <v>382</v>
      </c>
    </row>
    <row r="1291" ht="15.75" customHeight="1">
      <c r="A1291" s="29"/>
      <c r="B1291" s="5" t="s">
        <v>4669</v>
      </c>
      <c r="C1291" s="5" t="s">
        <v>77</v>
      </c>
      <c r="D1291" s="5" t="s">
        <v>113</v>
      </c>
      <c r="E1291" s="5" t="s">
        <v>382</v>
      </c>
    </row>
    <row r="1292" ht="15.75" customHeight="1">
      <c r="A1292" s="29"/>
      <c r="B1292" s="5" t="s">
        <v>4307</v>
      </c>
      <c r="C1292" s="5" t="s">
        <v>79</v>
      </c>
      <c r="D1292" s="5" t="s">
        <v>71</v>
      </c>
      <c r="E1292" s="5" t="s">
        <v>382</v>
      </c>
    </row>
    <row r="1293" ht="15.75" customHeight="1">
      <c r="A1293" s="29"/>
      <c r="B1293" s="5" t="s">
        <v>3394</v>
      </c>
      <c r="C1293" s="5" t="s">
        <v>220</v>
      </c>
      <c r="D1293" s="5" t="s">
        <v>9</v>
      </c>
      <c r="E1293" s="5" t="s">
        <v>382</v>
      </c>
    </row>
    <row r="1294" ht="15.75" customHeight="1">
      <c r="A1294" s="29"/>
      <c r="B1294" s="5" t="s">
        <v>3188</v>
      </c>
      <c r="C1294" s="5" t="s">
        <v>22</v>
      </c>
      <c r="D1294" s="5" t="s">
        <v>85</v>
      </c>
      <c r="E1294" s="5" t="s">
        <v>382</v>
      </c>
    </row>
    <row r="1295" ht="15.75" customHeight="1">
      <c r="A1295" s="29"/>
      <c r="B1295" s="5" t="s">
        <v>5301</v>
      </c>
      <c r="C1295" s="5" t="s">
        <v>89</v>
      </c>
      <c r="D1295" s="5" t="s">
        <v>85</v>
      </c>
      <c r="E1295" s="5" t="s">
        <v>382</v>
      </c>
    </row>
    <row r="1296" ht="15.75" customHeight="1">
      <c r="A1296" s="29"/>
      <c r="B1296" s="5" t="s">
        <v>4885</v>
      </c>
      <c r="C1296" s="5" t="s">
        <v>33</v>
      </c>
      <c r="D1296" s="5" t="s">
        <v>85</v>
      </c>
      <c r="E1296" s="5" t="s">
        <v>382</v>
      </c>
    </row>
    <row r="1297" ht="15.75" customHeight="1">
      <c r="A1297" s="29"/>
      <c r="B1297" s="5" t="s">
        <v>5232</v>
      </c>
      <c r="C1297" s="5" t="s">
        <v>11</v>
      </c>
      <c r="D1297" s="5" t="s">
        <v>85</v>
      </c>
      <c r="E1297" s="5" t="s">
        <v>382</v>
      </c>
    </row>
    <row r="1298" ht="15.75" customHeight="1">
      <c r="A1298" s="29"/>
      <c r="B1298" s="5" t="s">
        <v>4806</v>
      </c>
      <c r="C1298" s="5" t="s">
        <v>33</v>
      </c>
      <c r="D1298" s="5" t="s">
        <v>85</v>
      </c>
      <c r="E1298" s="5" t="s">
        <v>382</v>
      </c>
    </row>
    <row r="1299" ht="15.75" customHeight="1">
      <c r="A1299" s="29"/>
      <c r="B1299" s="5" t="s">
        <v>4621</v>
      </c>
      <c r="C1299" s="5" t="s">
        <v>20</v>
      </c>
      <c r="D1299" s="5" t="s">
        <v>25</v>
      </c>
      <c r="E1299" s="5" t="s">
        <v>382</v>
      </c>
    </row>
    <row r="1300" ht="15.75" customHeight="1">
      <c r="A1300" s="29"/>
      <c r="B1300" s="5" t="s">
        <v>4724</v>
      </c>
      <c r="C1300" s="5" t="s">
        <v>20</v>
      </c>
      <c r="D1300" s="5" t="s">
        <v>85</v>
      </c>
      <c r="E1300" s="5" t="s">
        <v>382</v>
      </c>
    </row>
    <row r="1301" ht="15.75" customHeight="1">
      <c r="A1301" s="29"/>
      <c r="B1301" s="5" t="s">
        <v>5124</v>
      </c>
      <c r="C1301" s="5" t="s">
        <v>14</v>
      </c>
      <c r="D1301" s="5" t="s">
        <v>99</v>
      </c>
      <c r="E1301" s="5" t="s">
        <v>382</v>
      </c>
    </row>
    <row r="1302" ht="15.75" customHeight="1">
      <c r="A1302" s="29"/>
      <c r="B1302" s="5" t="s">
        <v>4919</v>
      </c>
      <c r="C1302" s="5" t="s">
        <v>14</v>
      </c>
      <c r="D1302" s="5" t="s">
        <v>99</v>
      </c>
      <c r="E1302" s="5" t="s">
        <v>382</v>
      </c>
    </row>
    <row r="1303" ht="15.75" customHeight="1">
      <c r="A1303" s="29"/>
      <c r="B1303" s="5" t="s">
        <v>4670</v>
      </c>
      <c r="C1303" s="5" t="s">
        <v>69</v>
      </c>
      <c r="D1303" s="5" t="s">
        <v>99</v>
      </c>
      <c r="E1303" s="5" t="s">
        <v>382</v>
      </c>
    </row>
    <row r="1304" ht="15.75" customHeight="1">
      <c r="A1304" s="29"/>
      <c r="B1304" s="5" t="s">
        <v>4704</v>
      </c>
      <c r="C1304" s="5" t="s">
        <v>283</v>
      </c>
      <c r="D1304" s="5" t="s">
        <v>36</v>
      </c>
      <c r="E1304" s="5" t="s">
        <v>382</v>
      </c>
    </row>
    <row r="1305" ht="15.75" customHeight="1">
      <c r="A1305" s="29"/>
      <c r="B1305" s="5" t="s">
        <v>4275</v>
      </c>
      <c r="C1305" s="5" t="s">
        <v>22</v>
      </c>
      <c r="D1305" s="5" t="s">
        <v>36</v>
      </c>
      <c r="E1305" s="5" t="s">
        <v>382</v>
      </c>
    </row>
    <row r="1306" ht="15.75" customHeight="1">
      <c r="A1306" s="29"/>
      <c r="B1306" s="5" t="s">
        <v>5275</v>
      </c>
      <c r="C1306" s="5" t="s">
        <v>89</v>
      </c>
      <c r="D1306" s="5" t="s">
        <v>36</v>
      </c>
      <c r="E1306" s="5" t="s">
        <v>382</v>
      </c>
    </row>
    <row r="1307" ht="15.75" customHeight="1">
      <c r="A1307" s="29"/>
      <c r="B1307" s="5" t="s">
        <v>4599</v>
      </c>
      <c r="C1307" s="5" t="s">
        <v>8</v>
      </c>
      <c r="D1307" s="5" t="s">
        <v>122</v>
      </c>
      <c r="E1307" s="5" t="s">
        <v>382</v>
      </c>
    </row>
    <row r="1308" ht="15.75" customHeight="1">
      <c r="A1308" s="29"/>
      <c r="B1308" s="5" t="s">
        <v>4795</v>
      </c>
      <c r="C1308" s="5" t="s">
        <v>39</v>
      </c>
      <c r="D1308" s="5" t="s">
        <v>23</v>
      </c>
      <c r="E1308" s="5" t="s">
        <v>382</v>
      </c>
    </row>
    <row r="1309" ht="15.75" customHeight="1">
      <c r="A1309" s="29"/>
      <c r="B1309" s="5" t="s">
        <v>5596</v>
      </c>
      <c r="C1309" s="5" t="s">
        <v>22</v>
      </c>
      <c r="D1309" s="5" t="s">
        <v>23</v>
      </c>
      <c r="E1309" s="5" t="s">
        <v>382</v>
      </c>
    </row>
    <row r="1310" ht="15.75" customHeight="1">
      <c r="A1310" s="29"/>
      <c r="B1310" s="5" t="s">
        <v>4358</v>
      </c>
      <c r="C1310" s="5" t="s">
        <v>585</v>
      </c>
      <c r="D1310" s="5" t="s">
        <v>23</v>
      </c>
      <c r="E1310" s="5" t="s">
        <v>382</v>
      </c>
    </row>
    <row r="1311" ht="15.75" customHeight="1">
      <c r="A1311" s="29"/>
      <c r="B1311" s="5" t="s">
        <v>3153</v>
      </c>
      <c r="C1311" s="5" t="s">
        <v>48</v>
      </c>
      <c r="D1311" s="5" t="s">
        <v>71</v>
      </c>
      <c r="E1311" s="5" t="s">
        <v>382</v>
      </c>
    </row>
    <row r="1312" ht="15.75" customHeight="1">
      <c r="A1312" s="29"/>
      <c r="B1312" s="5" t="s">
        <v>5300</v>
      </c>
      <c r="C1312" s="5" t="s">
        <v>39</v>
      </c>
      <c r="D1312" s="5" t="s">
        <v>120</v>
      </c>
      <c r="E1312" s="5" t="s">
        <v>382</v>
      </c>
    </row>
    <row r="1313" ht="15.75" customHeight="1">
      <c r="A1313" s="29"/>
      <c r="B1313" s="5" t="s">
        <v>4183</v>
      </c>
      <c r="C1313" s="5" t="s">
        <v>585</v>
      </c>
      <c r="D1313" s="5" t="s">
        <v>137</v>
      </c>
      <c r="E1313" s="5" t="s">
        <v>382</v>
      </c>
    </row>
    <row r="1314" ht="15.75" customHeight="1">
      <c r="A1314" s="29"/>
      <c r="B1314" s="5" t="s">
        <v>4372</v>
      </c>
      <c r="C1314" s="5" t="s">
        <v>79</v>
      </c>
      <c r="D1314" s="5" t="s">
        <v>31</v>
      </c>
      <c r="E1314" s="5" t="s">
        <v>382</v>
      </c>
    </row>
    <row r="1315" ht="15.75" customHeight="1">
      <c r="A1315" s="29"/>
      <c r="B1315" s="5" t="s">
        <v>4802</v>
      </c>
      <c r="C1315" s="5" t="s">
        <v>39</v>
      </c>
      <c r="D1315" s="5" t="s">
        <v>31</v>
      </c>
      <c r="E1315" s="5" t="s">
        <v>382</v>
      </c>
    </row>
    <row r="1316" ht="15.75" customHeight="1">
      <c r="A1316" s="29"/>
      <c r="B1316" s="5" t="s">
        <v>4100</v>
      </c>
      <c r="C1316" s="5" t="s">
        <v>220</v>
      </c>
      <c r="D1316" s="5" t="s">
        <v>71</v>
      </c>
      <c r="E1316" s="5" t="s">
        <v>382</v>
      </c>
    </row>
    <row r="1317" ht="15.75" customHeight="1">
      <c r="A1317" s="29"/>
      <c r="B1317" s="5" t="s">
        <v>5597</v>
      </c>
      <c r="C1317" s="5" t="s">
        <v>39</v>
      </c>
      <c r="D1317" s="5" t="s">
        <v>137</v>
      </c>
      <c r="E1317" s="5" t="s">
        <v>382</v>
      </c>
    </row>
    <row r="1318" ht="15.75" customHeight="1">
      <c r="A1318" s="29"/>
      <c r="B1318" s="5" t="s">
        <v>4529</v>
      </c>
      <c r="C1318" s="5" t="s">
        <v>22</v>
      </c>
      <c r="D1318" s="5" t="s">
        <v>12</v>
      </c>
      <c r="E1318" s="5" t="s">
        <v>382</v>
      </c>
    </row>
    <row r="1319" ht="15.75" customHeight="1">
      <c r="A1319" s="29"/>
      <c r="B1319" s="5" t="s">
        <v>4154</v>
      </c>
      <c r="C1319" s="5" t="s">
        <v>79</v>
      </c>
      <c r="D1319" s="5" t="s">
        <v>52</v>
      </c>
      <c r="E1319" s="5" t="s">
        <v>382</v>
      </c>
    </row>
    <row r="1320" ht="15.75" customHeight="1">
      <c r="A1320" s="29"/>
      <c r="B1320" s="5" t="s">
        <v>3184</v>
      </c>
      <c r="C1320" s="5" t="s">
        <v>22</v>
      </c>
      <c r="D1320" s="5" t="s">
        <v>52</v>
      </c>
      <c r="E1320" s="5" t="s">
        <v>382</v>
      </c>
    </row>
    <row r="1321" ht="15.75" customHeight="1">
      <c r="A1321" s="29"/>
      <c r="B1321" s="5" t="s">
        <v>4157</v>
      </c>
      <c r="C1321" s="5" t="s">
        <v>22</v>
      </c>
      <c r="D1321" s="5" t="s">
        <v>36</v>
      </c>
      <c r="E1321" s="5" t="s">
        <v>382</v>
      </c>
    </row>
    <row r="1322" ht="15.75" customHeight="1">
      <c r="A1322" s="29"/>
      <c r="B1322" s="5" t="s">
        <v>4768</v>
      </c>
      <c r="C1322" s="5" t="s">
        <v>20</v>
      </c>
      <c r="D1322" s="5" t="s">
        <v>95</v>
      </c>
      <c r="E1322" s="5" t="s">
        <v>382</v>
      </c>
    </row>
    <row r="1323" ht="15.75" customHeight="1">
      <c r="A1323" s="29"/>
      <c r="B1323" s="5" t="s">
        <v>5237</v>
      </c>
      <c r="C1323" s="5" t="s">
        <v>17</v>
      </c>
      <c r="D1323" s="5" t="s">
        <v>122</v>
      </c>
      <c r="E1323" s="5" t="s">
        <v>382</v>
      </c>
    </row>
    <row r="1324" ht="15.75" customHeight="1">
      <c r="A1324" s="29"/>
      <c r="B1324" s="5" t="s">
        <v>5127</v>
      </c>
      <c r="C1324" s="5" t="s">
        <v>39</v>
      </c>
      <c r="D1324" s="5" t="s">
        <v>122</v>
      </c>
      <c r="E1324" s="5" t="s">
        <v>382</v>
      </c>
    </row>
    <row r="1325" ht="15.75" customHeight="1">
      <c r="A1325" s="29"/>
      <c r="B1325" s="5" t="s">
        <v>4039</v>
      </c>
      <c r="C1325" s="5" t="s">
        <v>22</v>
      </c>
      <c r="D1325" s="5" t="s">
        <v>82</v>
      </c>
      <c r="E1325" s="5" t="s">
        <v>382</v>
      </c>
    </row>
    <row r="1326" ht="15.75" customHeight="1">
      <c r="A1326" s="29"/>
      <c r="B1326" s="5" t="s">
        <v>3410</v>
      </c>
      <c r="C1326" s="5" t="s">
        <v>79</v>
      </c>
      <c r="D1326" s="5" t="s">
        <v>82</v>
      </c>
      <c r="E1326" s="5" t="s">
        <v>382</v>
      </c>
    </row>
    <row r="1327" ht="15.75" customHeight="1">
      <c r="A1327" s="29"/>
      <c r="B1327" s="5" t="s">
        <v>4200</v>
      </c>
      <c r="C1327" s="5" t="s">
        <v>79</v>
      </c>
      <c r="D1327" s="5" t="s">
        <v>82</v>
      </c>
      <c r="E1327" s="5" t="s">
        <v>382</v>
      </c>
    </row>
    <row r="1328" ht="15.75" customHeight="1">
      <c r="A1328" s="29"/>
      <c r="B1328" s="5" t="s">
        <v>4943</v>
      </c>
      <c r="C1328" s="5" t="s">
        <v>20</v>
      </c>
      <c r="D1328" s="5" t="s">
        <v>90</v>
      </c>
      <c r="E1328" s="5" t="s">
        <v>382</v>
      </c>
    </row>
    <row r="1329" ht="15.75" customHeight="1">
      <c r="A1329" s="29"/>
      <c r="B1329" s="5" t="s">
        <v>4848</v>
      </c>
      <c r="C1329" s="5" t="s">
        <v>69</v>
      </c>
      <c r="D1329" s="5" t="s">
        <v>31</v>
      </c>
      <c r="E1329" s="5" t="s">
        <v>382</v>
      </c>
    </row>
    <row r="1330" ht="15.75" customHeight="1">
      <c r="A1330" s="29"/>
      <c r="B1330" s="5" t="s">
        <v>5372</v>
      </c>
      <c r="C1330" s="5" t="s">
        <v>39</v>
      </c>
      <c r="D1330" s="5" t="s">
        <v>71</v>
      </c>
      <c r="E1330" s="5" t="s">
        <v>382</v>
      </c>
    </row>
    <row r="1331" ht="15.75" customHeight="1">
      <c r="A1331" s="29"/>
      <c r="B1331" s="5" t="s">
        <v>4215</v>
      </c>
      <c r="C1331" s="5" t="s">
        <v>79</v>
      </c>
      <c r="D1331" s="5" t="s">
        <v>71</v>
      </c>
      <c r="E1331" s="5" t="s">
        <v>382</v>
      </c>
    </row>
    <row r="1332" ht="15.75" customHeight="1">
      <c r="A1332" s="29"/>
      <c r="B1332" s="5" t="s">
        <v>4197</v>
      </c>
      <c r="C1332" s="5" t="s">
        <v>22</v>
      </c>
      <c r="D1332" s="5" t="s">
        <v>31</v>
      </c>
      <c r="E1332" s="5" t="s">
        <v>382</v>
      </c>
    </row>
    <row r="1333" ht="15.75" customHeight="1">
      <c r="A1333" s="29"/>
      <c r="B1333" s="5" t="s">
        <v>5117</v>
      </c>
      <c r="C1333" s="5" t="s">
        <v>14</v>
      </c>
      <c r="D1333" s="5" t="s">
        <v>71</v>
      </c>
      <c r="E1333" s="5" t="s">
        <v>382</v>
      </c>
    </row>
    <row r="1334" ht="15.75" customHeight="1">
      <c r="A1334" s="29"/>
      <c r="B1334" s="5" t="s">
        <v>5251</v>
      </c>
      <c r="C1334" s="5" t="s">
        <v>39</v>
      </c>
      <c r="D1334" s="5" t="s">
        <v>71</v>
      </c>
      <c r="E1334" s="5" t="s">
        <v>382</v>
      </c>
    </row>
    <row r="1335" ht="15.75" customHeight="1">
      <c r="A1335" s="29"/>
      <c r="B1335" s="5" t="s">
        <v>3423</v>
      </c>
      <c r="C1335" s="5" t="s">
        <v>79</v>
      </c>
      <c r="D1335" s="5" t="s">
        <v>15</v>
      </c>
      <c r="E1335" s="5" t="s">
        <v>382</v>
      </c>
    </row>
    <row r="1336" ht="15.75" customHeight="1">
      <c r="A1336" s="29"/>
      <c r="B1336" s="5" t="s">
        <v>4526</v>
      </c>
      <c r="C1336" s="5" t="s">
        <v>77</v>
      </c>
      <c r="D1336" s="5" t="s">
        <v>15</v>
      </c>
      <c r="E1336" s="5" t="s">
        <v>382</v>
      </c>
    </row>
    <row r="1337" ht="15.75" customHeight="1">
      <c r="A1337" s="29"/>
      <c r="B1337" s="5" t="s">
        <v>5324</v>
      </c>
      <c r="C1337" s="5" t="s">
        <v>14</v>
      </c>
      <c r="D1337" s="5" t="s">
        <v>15</v>
      </c>
      <c r="E1337" s="5" t="s">
        <v>382</v>
      </c>
    </row>
    <row r="1338" ht="15.75" customHeight="1">
      <c r="A1338" s="29"/>
      <c r="B1338" s="5" t="s">
        <v>5052</v>
      </c>
      <c r="C1338" s="5" t="s">
        <v>14</v>
      </c>
      <c r="D1338" s="5" t="s">
        <v>18</v>
      </c>
      <c r="E1338" s="5" t="s">
        <v>382</v>
      </c>
    </row>
    <row r="1339" ht="15.75" customHeight="1">
      <c r="A1339" s="29"/>
      <c r="B1339" s="5" t="s">
        <v>4720</v>
      </c>
      <c r="C1339" s="5" t="s">
        <v>22</v>
      </c>
      <c r="D1339" s="5" t="s">
        <v>137</v>
      </c>
      <c r="E1339" s="5" t="s">
        <v>382</v>
      </c>
    </row>
    <row r="1340" ht="15.75" customHeight="1">
      <c r="A1340" s="29"/>
      <c r="B1340" s="5" t="s">
        <v>4565</v>
      </c>
      <c r="C1340" s="5" t="s">
        <v>8</v>
      </c>
      <c r="D1340" s="5" t="s">
        <v>18</v>
      </c>
      <c r="E1340" s="5" t="s">
        <v>382</v>
      </c>
    </row>
    <row r="1341" ht="15.75" customHeight="1">
      <c r="A1341" s="29"/>
      <c r="B1341" s="5" t="s">
        <v>4777</v>
      </c>
      <c r="C1341" s="5" t="s">
        <v>69</v>
      </c>
      <c r="D1341" s="5" t="s">
        <v>12</v>
      </c>
      <c r="E1341" s="5" t="s">
        <v>382</v>
      </c>
    </row>
    <row r="1342" ht="15.75" customHeight="1">
      <c r="A1342" s="29"/>
      <c r="B1342" s="5" t="s">
        <v>4674</v>
      </c>
      <c r="C1342" s="5" t="s">
        <v>11</v>
      </c>
      <c r="D1342" s="5" t="s">
        <v>18</v>
      </c>
      <c r="E1342" s="5" t="s">
        <v>382</v>
      </c>
    </row>
    <row r="1343" ht="15.75" customHeight="1">
      <c r="A1343" s="29"/>
      <c r="B1343" s="5" t="s">
        <v>4188</v>
      </c>
      <c r="C1343" s="5" t="s">
        <v>79</v>
      </c>
      <c r="D1343" s="5" t="s">
        <v>18</v>
      </c>
      <c r="E1343" s="5" t="s">
        <v>382</v>
      </c>
    </row>
    <row r="1344" ht="15.75" customHeight="1">
      <c r="A1344" s="29"/>
      <c r="B1344" s="5" t="s">
        <v>4151</v>
      </c>
      <c r="C1344" s="5" t="s">
        <v>79</v>
      </c>
      <c r="D1344" s="5" t="s">
        <v>122</v>
      </c>
      <c r="E1344" s="5" t="s">
        <v>382</v>
      </c>
    </row>
    <row r="1345" ht="15.75" customHeight="1">
      <c r="A1345" s="29"/>
      <c r="B1345" s="5" t="s">
        <v>5598</v>
      </c>
      <c r="C1345" s="5" t="s">
        <v>79</v>
      </c>
      <c r="D1345" s="5" t="s">
        <v>105</v>
      </c>
      <c r="E1345" s="5" t="s">
        <v>382</v>
      </c>
    </row>
    <row r="1346" ht="15.75" customHeight="1">
      <c r="A1346" s="29"/>
      <c r="B1346" s="5" t="s">
        <v>3150</v>
      </c>
      <c r="C1346" s="5" t="s">
        <v>22</v>
      </c>
      <c r="D1346" s="5" t="s">
        <v>85</v>
      </c>
      <c r="E1346" s="5" t="s">
        <v>382</v>
      </c>
    </row>
    <row r="1347" ht="15.75" customHeight="1">
      <c r="A1347" s="29"/>
      <c r="B1347" s="5" t="s">
        <v>3898</v>
      </c>
      <c r="C1347" s="5" t="s">
        <v>79</v>
      </c>
      <c r="D1347" s="5" t="s">
        <v>73</v>
      </c>
      <c r="E1347" s="5" t="s">
        <v>382</v>
      </c>
    </row>
    <row r="1348" ht="15.75" customHeight="1">
      <c r="A1348" s="29"/>
      <c r="B1348" s="5" t="s">
        <v>4853</v>
      </c>
      <c r="C1348" s="5" t="s">
        <v>20</v>
      </c>
      <c r="D1348" s="5" t="s">
        <v>95</v>
      </c>
      <c r="E1348" s="5" t="s">
        <v>382</v>
      </c>
    </row>
    <row r="1349" ht="15.75" customHeight="1">
      <c r="A1349" s="29"/>
      <c r="B1349" s="5" t="s">
        <v>4340</v>
      </c>
      <c r="C1349" s="5" t="s">
        <v>79</v>
      </c>
      <c r="D1349" s="5" t="s">
        <v>105</v>
      </c>
      <c r="E1349" s="5" t="s">
        <v>382</v>
      </c>
    </row>
    <row r="1350" ht="15.75" customHeight="1">
      <c r="A1350" s="29"/>
      <c r="B1350" s="5" t="s">
        <v>5442</v>
      </c>
      <c r="C1350" s="5" t="s">
        <v>39</v>
      </c>
      <c r="D1350" s="5" t="s">
        <v>18</v>
      </c>
      <c r="E1350" s="5" t="s">
        <v>382</v>
      </c>
    </row>
    <row r="1351" ht="15.75" customHeight="1">
      <c r="A1351" s="29"/>
      <c r="B1351" s="5" t="s">
        <v>4097</v>
      </c>
      <c r="C1351" s="5" t="s">
        <v>22</v>
      </c>
      <c r="D1351" s="5" t="s">
        <v>90</v>
      </c>
      <c r="E1351" s="5" t="s">
        <v>382</v>
      </c>
    </row>
    <row r="1352" ht="15.75" customHeight="1">
      <c r="A1352" s="29"/>
      <c r="B1352" s="5" t="s">
        <v>3280</v>
      </c>
      <c r="C1352" s="5" t="s">
        <v>79</v>
      </c>
      <c r="D1352" s="5" t="s">
        <v>15</v>
      </c>
      <c r="E1352" s="5" t="s">
        <v>382</v>
      </c>
    </row>
    <row r="1353" ht="15.75" customHeight="1">
      <c r="A1353" s="29"/>
      <c r="B1353" s="5" t="s">
        <v>4031</v>
      </c>
      <c r="C1353" s="5" t="s">
        <v>79</v>
      </c>
      <c r="D1353" s="5" t="s">
        <v>85</v>
      </c>
      <c r="E1353" s="5" t="s">
        <v>382</v>
      </c>
    </row>
    <row r="1354" ht="15.75" customHeight="1">
      <c r="A1354" s="29"/>
      <c r="B1354" s="5" t="s">
        <v>4997</v>
      </c>
      <c r="C1354" s="5" t="s">
        <v>63</v>
      </c>
      <c r="D1354" s="5" t="s">
        <v>36</v>
      </c>
      <c r="E1354" s="5" t="s">
        <v>382</v>
      </c>
    </row>
    <row r="1355" ht="15.75" customHeight="1">
      <c r="A1355" s="29"/>
      <c r="B1355" s="5" t="s">
        <v>3769</v>
      </c>
      <c r="C1355" s="5" t="s">
        <v>79</v>
      </c>
      <c r="D1355" s="5" t="s">
        <v>42</v>
      </c>
      <c r="E1355" s="5" t="s">
        <v>382</v>
      </c>
    </row>
    <row r="1356" ht="15.75" customHeight="1">
      <c r="A1356" s="29"/>
      <c r="B1356" s="5" t="s">
        <v>3845</v>
      </c>
      <c r="C1356" s="5" t="s">
        <v>79</v>
      </c>
      <c r="D1356" s="5" t="s">
        <v>34</v>
      </c>
      <c r="E1356" s="5" t="s">
        <v>382</v>
      </c>
    </row>
    <row r="1357" ht="15.75" customHeight="1">
      <c r="A1357" s="29"/>
      <c r="B1357" s="5" t="s">
        <v>4118</v>
      </c>
      <c r="C1357" s="5" t="s">
        <v>79</v>
      </c>
      <c r="D1357" s="5" t="s">
        <v>90</v>
      </c>
      <c r="E1357" s="5" t="s">
        <v>382</v>
      </c>
    </row>
    <row r="1358" ht="15.75" customHeight="1">
      <c r="A1358" s="29"/>
      <c r="B1358" s="5" t="s">
        <v>3514</v>
      </c>
      <c r="C1358" s="5" t="s">
        <v>79</v>
      </c>
      <c r="D1358" s="5" t="s">
        <v>105</v>
      </c>
      <c r="E1358" s="5" t="s">
        <v>382</v>
      </c>
    </row>
    <row r="1359" ht="15.75" customHeight="1">
      <c r="A1359" s="29"/>
      <c r="B1359" s="5" t="s">
        <v>3306</v>
      </c>
      <c r="C1359" s="5" t="s">
        <v>79</v>
      </c>
      <c r="D1359" s="5" t="s">
        <v>52</v>
      </c>
      <c r="E1359" s="5" t="s">
        <v>382</v>
      </c>
    </row>
    <row r="1360" ht="15.75" customHeight="1">
      <c r="A1360" s="29"/>
      <c r="B1360" s="5" t="s">
        <v>3281</v>
      </c>
      <c r="C1360" s="5" t="s">
        <v>79</v>
      </c>
      <c r="D1360" s="5" t="s">
        <v>15</v>
      </c>
      <c r="E1360" s="5" t="s">
        <v>382</v>
      </c>
    </row>
    <row r="1361" ht="15.75" customHeight="1">
      <c r="A1361" s="29"/>
      <c r="B1361" s="5" t="s">
        <v>3242</v>
      </c>
      <c r="C1361" s="5" t="s">
        <v>79</v>
      </c>
      <c r="D1361" s="5" t="s">
        <v>18</v>
      </c>
      <c r="E1361" s="5" t="s">
        <v>382</v>
      </c>
    </row>
    <row r="1362" ht="15.75" customHeight="1">
      <c r="A1362" s="29"/>
      <c r="B1362" s="5" t="s">
        <v>3509</v>
      </c>
      <c r="C1362" s="5" t="s">
        <v>585</v>
      </c>
      <c r="D1362" s="5" t="s">
        <v>122</v>
      </c>
      <c r="E1362" s="5" t="s">
        <v>382</v>
      </c>
    </row>
    <row r="1363" ht="15.75" customHeight="1">
      <c r="A1363" s="29"/>
      <c r="B1363" s="5" t="s">
        <v>3483</v>
      </c>
      <c r="C1363" s="5" t="s">
        <v>79</v>
      </c>
      <c r="D1363" s="5" t="s">
        <v>9</v>
      </c>
      <c r="E1363" s="5" t="s">
        <v>382</v>
      </c>
    </row>
    <row r="1364" ht="15.75" customHeight="1">
      <c r="A1364" s="29"/>
      <c r="B1364" s="5" t="s">
        <v>4473</v>
      </c>
      <c r="C1364" s="5" t="s">
        <v>79</v>
      </c>
      <c r="D1364" s="5" t="s">
        <v>67</v>
      </c>
      <c r="E1364" s="5" t="s">
        <v>382</v>
      </c>
    </row>
    <row r="1365" ht="15.75" customHeight="1">
      <c r="A1365" s="29"/>
      <c r="B1365" s="5" t="s">
        <v>4024</v>
      </c>
      <c r="C1365" s="5" t="s">
        <v>79</v>
      </c>
      <c r="D1365" s="5" t="s">
        <v>95</v>
      </c>
      <c r="E1365" s="5" t="s">
        <v>382</v>
      </c>
    </row>
    <row r="1366" ht="15.75" customHeight="1">
      <c r="A1366" s="29"/>
      <c r="B1366" s="5" t="s">
        <v>4577</v>
      </c>
      <c r="C1366" s="5" t="s">
        <v>240</v>
      </c>
      <c r="D1366" s="5" t="s">
        <v>206</v>
      </c>
      <c r="E1366" s="5" t="s">
        <v>382</v>
      </c>
    </row>
    <row r="1367" ht="15.75" customHeight="1">
      <c r="A1367" s="29"/>
      <c r="B1367" s="5" t="s">
        <v>3548</v>
      </c>
      <c r="C1367" s="5" t="s">
        <v>79</v>
      </c>
      <c r="D1367" s="5" t="s">
        <v>71</v>
      </c>
      <c r="E1367" s="5" t="s">
        <v>382</v>
      </c>
    </row>
    <row r="1368" ht="15.75" customHeight="1">
      <c r="A1368" s="29"/>
      <c r="B1368" s="5" t="s">
        <v>3655</v>
      </c>
      <c r="C1368" s="5" t="s">
        <v>79</v>
      </c>
      <c r="D1368" s="5" t="s">
        <v>90</v>
      </c>
      <c r="E1368" s="5" t="s">
        <v>382</v>
      </c>
    </row>
    <row r="1369" ht="15.75" customHeight="1">
      <c r="A1369" s="29"/>
      <c r="B1369" s="5" t="s">
        <v>3313</v>
      </c>
      <c r="C1369" s="5" t="s">
        <v>22</v>
      </c>
      <c r="D1369" s="5" t="s">
        <v>105</v>
      </c>
      <c r="E1369" s="5" t="s">
        <v>382</v>
      </c>
    </row>
    <row r="1370" ht="15.75" customHeight="1">
      <c r="A1370" s="29"/>
      <c r="B1370" s="5" t="s">
        <v>4342</v>
      </c>
      <c r="C1370" s="5" t="s">
        <v>79</v>
      </c>
      <c r="D1370" s="5" t="s">
        <v>18</v>
      </c>
      <c r="E1370" s="5" t="s">
        <v>382</v>
      </c>
    </row>
    <row r="1371" ht="15.75" customHeight="1">
      <c r="A1371" s="29"/>
      <c r="B1371" s="5" t="s">
        <v>4769</v>
      </c>
      <c r="C1371" s="5" t="s">
        <v>77</v>
      </c>
      <c r="D1371" s="5" t="s">
        <v>140</v>
      </c>
      <c r="E1371" s="5" t="s">
        <v>382</v>
      </c>
    </row>
    <row r="1372" ht="15.75" customHeight="1">
      <c r="A1372" s="29"/>
      <c r="B1372" s="5" t="s">
        <v>3453</v>
      </c>
      <c r="C1372" s="5" t="s">
        <v>79</v>
      </c>
      <c r="D1372" s="5" t="s">
        <v>90</v>
      </c>
      <c r="E1372" s="5" t="s">
        <v>382</v>
      </c>
    </row>
    <row r="1373" ht="15.75" customHeight="1">
      <c r="A1373" s="29"/>
      <c r="B1373" s="5" t="s">
        <v>3500</v>
      </c>
      <c r="C1373" s="5" t="s">
        <v>79</v>
      </c>
      <c r="D1373" s="5" t="s">
        <v>31</v>
      </c>
      <c r="E1373" s="5" t="s">
        <v>382</v>
      </c>
    </row>
    <row r="1374" ht="15.75" customHeight="1">
      <c r="A1374" s="29"/>
      <c r="B1374" s="5" t="s">
        <v>4728</v>
      </c>
      <c r="C1374" s="5" t="s">
        <v>218</v>
      </c>
      <c r="D1374" s="5" t="s">
        <v>99</v>
      </c>
      <c r="E1374" s="5" t="s">
        <v>382</v>
      </c>
    </row>
    <row r="1375" ht="15.75" customHeight="1">
      <c r="A1375" s="29"/>
      <c r="B1375" s="5" t="s">
        <v>4453</v>
      </c>
      <c r="C1375" s="5" t="s">
        <v>79</v>
      </c>
      <c r="D1375" s="5" t="s">
        <v>18</v>
      </c>
      <c r="E1375" s="5" t="s">
        <v>382</v>
      </c>
    </row>
    <row r="1376" ht="15.75" customHeight="1">
      <c r="A1376" s="29"/>
      <c r="B1376" s="5" t="s">
        <v>4891</v>
      </c>
      <c r="C1376" s="5" t="s">
        <v>33</v>
      </c>
      <c r="D1376" s="5" t="s">
        <v>31</v>
      </c>
      <c r="E1376" s="5" t="s">
        <v>382</v>
      </c>
    </row>
    <row r="1377" ht="15.75" customHeight="1">
      <c r="A1377" s="29"/>
      <c r="B1377" s="5" t="s">
        <v>4260</v>
      </c>
      <c r="C1377" s="5" t="s">
        <v>22</v>
      </c>
      <c r="D1377" s="5" t="s">
        <v>99</v>
      </c>
      <c r="E1377" s="5" t="s">
        <v>382</v>
      </c>
    </row>
    <row r="1378" ht="15.75" customHeight="1">
      <c r="A1378" s="29"/>
      <c r="B1378" s="5" t="s">
        <v>4930</v>
      </c>
      <c r="C1378" s="5" t="s">
        <v>1857</v>
      </c>
      <c r="D1378" s="5" t="s">
        <v>25</v>
      </c>
      <c r="E1378" s="5" t="s">
        <v>382</v>
      </c>
    </row>
    <row r="1379" ht="15.75" customHeight="1">
      <c r="A1379" s="29"/>
      <c r="B1379" s="5" t="s">
        <v>5599</v>
      </c>
      <c r="C1379" s="5" t="s">
        <v>79</v>
      </c>
      <c r="D1379" s="5" t="s">
        <v>129</v>
      </c>
      <c r="E1379" s="5" t="s">
        <v>382</v>
      </c>
    </row>
    <row r="1380" ht="15.75" customHeight="1">
      <c r="A1380" s="29"/>
      <c r="B1380" s="5" t="s">
        <v>5090</v>
      </c>
      <c r="C1380" s="5" t="s">
        <v>89</v>
      </c>
      <c r="D1380" s="5" t="s">
        <v>15</v>
      </c>
      <c r="E1380" s="5" t="s">
        <v>382</v>
      </c>
    </row>
    <row r="1381" ht="15.75" customHeight="1">
      <c r="A1381" s="29"/>
      <c r="B1381" s="5" t="s">
        <v>4036</v>
      </c>
      <c r="C1381" s="5" t="s">
        <v>79</v>
      </c>
      <c r="D1381" s="5" t="s">
        <v>52</v>
      </c>
      <c r="E1381" s="5" t="s">
        <v>382</v>
      </c>
    </row>
    <row r="1382" ht="15.75" customHeight="1">
      <c r="A1382" s="29"/>
      <c r="B1382" s="5" t="s">
        <v>3816</v>
      </c>
      <c r="C1382" s="5" t="s">
        <v>22</v>
      </c>
      <c r="D1382" s="5" t="s">
        <v>113</v>
      </c>
      <c r="E1382" s="5" t="s">
        <v>382</v>
      </c>
    </row>
    <row r="1383" ht="15.75" customHeight="1">
      <c r="A1383" s="29"/>
      <c r="B1383" s="5" t="s">
        <v>3324</v>
      </c>
      <c r="C1383" s="5" t="s">
        <v>79</v>
      </c>
      <c r="D1383" s="5" t="s">
        <v>122</v>
      </c>
      <c r="E1383" s="5" t="s">
        <v>382</v>
      </c>
    </row>
    <row r="1384" ht="15.75" customHeight="1">
      <c r="A1384" s="29"/>
      <c r="B1384" s="5" t="s">
        <v>3426</v>
      </c>
      <c r="C1384" s="5" t="s">
        <v>79</v>
      </c>
      <c r="D1384" s="5" t="s">
        <v>9</v>
      </c>
      <c r="E1384" s="5" t="s">
        <v>382</v>
      </c>
    </row>
    <row r="1385" ht="15.75" customHeight="1">
      <c r="A1385" s="29"/>
      <c r="B1385" s="5" t="s">
        <v>3799</v>
      </c>
      <c r="C1385" s="5" t="s">
        <v>79</v>
      </c>
      <c r="D1385" s="5" t="s">
        <v>85</v>
      </c>
      <c r="E1385" s="5" t="s">
        <v>382</v>
      </c>
    </row>
    <row r="1386" ht="15.75" customHeight="1">
      <c r="A1386" s="29"/>
      <c r="B1386" s="5" t="s">
        <v>4173</v>
      </c>
      <c r="C1386" s="5" t="s">
        <v>79</v>
      </c>
      <c r="D1386" s="5" t="s">
        <v>137</v>
      </c>
      <c r="E1386" s="5" t="s">
        <v>382</v>
      </c>
    </row>
    <row r="1387" ht="15.75" customHeight="1">
      <c r="A1387" s="29"/>
      <c r="B1387" s="5" t="s">
        <v>3552</v>
      </c>
      <c r="C1387" s="5" t="s">
        <v>79</v>
      </c>
      <c r="D1387" s="5" t="s">
        <v>206</v>
      </c>
      <c r="E1387" s="5" t="s">
        <v>382</v>
      </c>
    </row>
    <row r="1388" ht="15.75" customHeight="1">
      <c r="A1388" s="29"/>
      <c r="B1388" s="5" t="s">
        <v>4475</v>
      </c>
      <c r="C1388" s="5" t="s">
        <v>79</v>
      </c>
      <c r="D1388" s="5" t="s">
        <v>34</v>
      </c>
      <c r="E1388" s="5" t="s">
        <v>382</v>
      </c>
    </row>
    <row r="1389" ht="15.75" customHeight="1">
      <c r="A1389" s="29"/>
      <c r="B1389" s="5" t="s">
        <v>4612</v>
      </c>
      <c r="C1389" s="5" t="s">
        <v>77</v>
      </c>
      <c r="D1389" s="5" t="s">
        <v>71</v>
      </c>
      <c r="E1389" s="5" t="s">
        <v>382</v>
      </c>
    </row>
    <row r="1390" ht="15.75" customHeight="1">
      <c r="A1390" s="29"/>
      <c r="B1390" s="5" t="s">
        <v>4449</v>
      </c>
      <c r="C1390" s="5" t="s">
        <v>79</v>
      </c>
      <c r="D1390" s="5" t="s">
        <v>12</v>
      </c>
      <c r="E1390" s="5" t="s">
        <v>382</v>
      </c>
    </row>
    <row r="1391" ht="15.75" customHeight="1">
      <c r="A1391" s="29"/>
      <c r="B1391" s="5" t="s">
        <v>4320</v>
      </c>
      <c r="C1391" s="5" t="s">
        <v>79</v>
      </c>
      <c r="D1391" s="5" t="s">
        <v>42</v>
      </c>
      <c r="E1391" s="5" t="s">
        <v>382</v>
      </c>
    </row>
    <row r="1392" ht="15.75" customHeight="1">
      <c r="A1392" s="29"/>
      <c r="B1392" s="5" t="s">
        <v>5544</v>
      </c>
      <c r="C1392" s="5" t="s">
        <v>48</v>
      </c>
      <c r="D1392" s="5" t="s">
        <v>73</v>
      </c>
      <c r="E1392" s="5" t="s">
        <v>382</v>
      </c>
    </row>
    <row r="1393" ht="15.75" customHeight="1">
      <c r="A1393" s="29"/>
      <c r="B1393" s="5" t="s">
        <v>3708</v>
      </c>
      <c r="C1393" s="5" t="s">
        <v>79</v>
      </c>
      <c r="D1393" s="5" t="s">
        <v>52</v>
      </c>
      <c r="E1393" s="5" t="s">
        <v>382</v>
      </c>
    </row>
    <row r="1394" ht="15.75" customHeight="1">
      <c r="A1394" s="29"/>
      <c r="B1394" s="5" t="s">
        <v>3315</v>
      </c>
      <c r="C1394" s="5" t="s">
        <v>79</v>
      </c>
      <c r="D1394" s="5" t="s">
        <v>36</v>
      </c>
      <c r="E1394" s="5" t="s">
        <v>382</v>
      </c>
    </row>
    <row r="1395" ht="15.75" customHeight="1">
      <c r="A1395" s="29"/>
      <c r="B1395" s="5" t="s">
        <v>3468</v>
      </c>
      <c r="C1395" s="5" t="s">
        <v>79</v>
      </c>
      <c r="D1395" s="5" t="s">
        <v>9</v>
      </c>
      <c r="E1395" s="5" t="s">
        <v>382</v>
      </c>
    </row>
    <row r="1396" ht="15.75" customHeight="1">
      <c r="A1396" s="29"/>
      <c r="B1396" s="5" t="s">
        <v>4213</v>
      </c>
      <c r="C1396" s="5" t="s">
        <v>79</v>
      </c>
      <c r="D1396" s="5" t="s">
        <v>137</v>
      </c>
      <c r="E1396" s="5" t="s">
        <v>382</v>
      </c>
    </row>
    <row r="1397" ht="15.75" customHeight="1">
      <c r="A1397" s="29"/>
      <c r="B1397" s="5" t="s">
        <v>3536</v>
      </c>
      <c r="C1397" s="5" t="s">
        <v>79</v>
      </c>
      <c r="D1397" s="5" t="s">
        <v>137</v>
      </c>
      <c r="E1397" s="5" t="s">
        <v>382</v>
      </c>
    </row>
    <row r="1398" ht="15.75" customHeight="1">
      <c r="A1398" s="29"/>
      <c r="B1398" s="5" t="s">
        <v>4666</v>
      </c>
      <c r="C1398" s="5" t="s">
        <v>1918</v>
      </c>
      <c r="D1398" s="5" t="s">
        <v>85</v>
      </c>
      <c r="E1398" s="5" t="s">
        <v>382</v>
      </c>
    </row>
    <row r="1399" ht="15.75" customHeight="1">
      <c r="A1399" s="29"/>
      <c r="B1399" s="5" t="s">
        <v>4414</v>
      </c>
      <c r="C1399" s="5" t="s">
        <v>79</v>
      </c>
      <c r="D1399" s="5" t="s">
        <v>140</v>
      </c>
      <c r="E1399" s="5" t="s">
        <v>382</v>
      </c>
    </row>
    <row r="1400" ht="15.75" customHeight="1">
      <c r="A1400" s="29"/>
      <c r="B1400" s="5" t="s">
        <v>4080</v>
      </c>
      <c r="C1400" s="5" t="s">
        <v>79</v>
      </c>
      <c r="D1400" s="5" t="s">
        <v>73</v>
      </c>
      <c r="E1400" s="5" t="s">
        <v>382</v>
      </c>
    </row>
    <row r="1401" ht="15.75" customHeight="1">
      <c r="A1401" s="29"/>
      <c r="B1401" s="5" t="s">
        <v>3541</v>
      </c>
      <c r="C1401" s="5" t="s">
        <v>79</v>
      </c>
      <c r="D1401" s="5" t="s">
        <v>46</v>
      </c>
      <c r="E1401" s="5" t="s">
        <v>382</v>
      </c>
    </row>
    <row r="1402" ht="15.75" customHeight="1">
      <c r="A1402" s="29"/>
      <c r="B1402" s="5" t="s">
        <v>4168</v>
      </c>
      <c r="C1402" s="5" t="s">
        <v>79</v>
      </c>
      <c r="D1402" s="5" t="s">
        <v>52</v>
      </c>
      <c r="E1402" s="5" t="s">
        <v>382</v>
      </c>
    </row>
    <row r="1403" ht="15.75" customHeight="1">
      <c r="A1403" s="29"/>
      <c r="B1403" s="5" t="s">
        <v>4455</v>
      </c>
      <c r="C1403" s="5" t="s">
        <v>79</v>
      </c>
      <c r="D1403" s="5" t="s">
        <v>12</v>
      </c>
      <c r="E1403" s="5" t="s">
        <v>382</v>
      </c>
    </row>
    <row r="1404" ht="15.75" customHeight="1">
      <c r="A1404" s="29"/>
      <c r="B1404" s="5" t="s">
        <v>3598</v>
      </c>
      <c r="C1404" s="5" t="s">
        <v>79</v>
      </c>
      <c r="D1404" s="5" t="s">
        <v>42</v>
      </c>
      <c r="E1404" s="5" t="s">
        <v>382</v>
      </c>
    </row>
    <row r="1405" ht="15.75" customHeight="1">
      <c r="A1405" s="29"/>
      <c r="B1405" s="5" t="s">
        <v>3818</v>
      </c>
      <c r="C1405" s="5" t="s">
        <v>79</v>
      </c>
      <c r="D1405" s="5" t="s">
        <v>95</v>
      </c>
      <c r="E1405" s="5" t="s">
        <v>382</v>
      </c>
    </row>
    <row r="1406" ht="15.75" customHeight="1">
      <c r="A1406" s="29"/>
      <c r="B1406" s="5" t="s">
        <v>3681</v>
      </c>
      <c r="C1406" s="5" t="s">
        <v>79</v>
      </c>
      <c r="D1406" s="5" t="s">
        <v>46</v>
      </c>
      <c r="E1406" s="5" t="s">
        <v>382</v>
      </c>
    </row>
    <row r="1407" ht="15.75" customHeight="1">
      <c r="A1407" s="29"/>
      <c r="B1407" s="5" t="s">
        <v>4351</v>
      </c>
      <c r="C1407" s="5" t="s">
        <v>220</v>
      </c>
      <c r="D1407" s="5" t="s">
        <v>140</v>
      </c>
      <c r="E1407" s="5" t="s">
        <v>382</v>
      </c>
    </row>
    <row r="1408" ht="15.75" customHeight="1">
      <c r="A1408" s="29"/>
      <c r="B1408" s="5" t="s">
        <v>4539</v>
      </c>
      <c r="C1408" s="5" t="s">
        <v>22</v>
      </c>
      <c r="D1408" s="5" t="s">
        <v>73</v>
      </c>
      <c r="E1408" s="5" t="s">
        <v>382</v>
      </c>
    </row>
    <row r="1409" ht="15.75" customHeight="1">
      <c r="A1409" s="29"/>
      <c r="B1409" s="5" t="s">
        <v>5337</v>
      </c>
      <c r="C1409" s="5" t="s">
        <v>77</v>
      </c>
      <c r="D1409" s="5" t="s">
        <v>206</v>
      </c>
      <c r="E1409" s="5" t="s">
        <v>382</v>
      </c>
    </row>
    <row r="1410" ht="15.75" customHeight="1">
      <c r="A1410" s="29"/>
      <c r="B1410" s="5" t="s">
        <v>4319</v>
      </c>
      <c r="C1410" s="5" t="s">
        <v>79</v>
      </c>
      <c r="D1410" s="5" t="s">
        <v>18</v>
      </c>
      <c r="E1410" s="5" t="s">
        <v>382</v>
      </c>
    </row>
    <row r="1411" ht="15.75" customHeight="1">
      <c r="A1411" s="29"/>
      <c r="B1411" s="5" t="s">
        <v>3636</v>
      </c>
      <c r="C1411" s="5" t="s">
        <v>79</v>
      </c>
      <c r="D1411" s="5" t="s">
        <v>122</v>
      </c>
      <c r="E1411" s="5" t="s">
        <v>382</v>
      </c>
    </row>
    <row r="1412" ht="15.75" customHeight="1">
      <c r="A1412" s="29"/>
      <c r="B1412" s="5" t="s">
        <v>4555</v>
      </c>
      <c r="C1412" s="5" t="s">
        <v>87</v>
      </c>
      <c r="D1412" s="5" t="s">
        <v>105</v>
      </c>
      <c r="E1412" s="5" t="s">
        <v>382</v>
      </c>
    </row>
    <row r="1413" ht="15.75" customHeight="1">
      <c r="A1413" s="29"/>
      <c r="B1413" s="5" t="s">
        <v>3454</v>
      </c>
      <c r="C1413" s="5" t="s">
        <v>79</v>
      </c>
      <c r="D1413" s="5" t="s">
        <v>90</v>
      </c>
      <c r="E1413" s="5" t="s">
        <v>382</v>
      </c>
    </row>
    <row r="1414" ht="15.75" customHeight="1">
      <c r="A1414" s="29"/>
      <c r="B1414" s="5" t="s">
        <v>5304</v>
      </c>
      <c r="C1414" s="5" t="s">
        <v>20</v>
      </c>
      <c r="D1414" s="5" t="s">
        <v>25</v>
      </c>
      <c r="E1414" s="5" t="s">
        <v>382</v>
      </c>
    </row>
    <row r="1415" ht="15.75" customHeight="1">
      <c r="A1415" s="29"/>
      <c r="B1415" s="5" t="s">
        <v>4279</v>
      </c>
      <c r="C1415" s="5" t="s">
        <v>79</v>
      </c>
      <c r="D1415" s="5" t="s">
        <v>71</v>
      </c>
      <c r="E1415" s="5" t="s">
        <v>382</v>
      </c>
    </row>
    <row r="1416" ht="15.75" customHeight="1">
      <c r="A1416" s="29"/>
      <c r="B1416" s="5" t="s">
        <v>5516</v>
      </c>
      <c r="C1416" s="5" t="s">
        <v>33</v>
      </c>
      <c r="D1416" s="5" t="s">
        <v>27</v>
      </c>
      <c r="E1416" s="5" t="s">
        <v>382</v>
      </c>
    </row>
    <row r="1417" ht="15.75" customHeight="1">
      <c r="A1417" s="29"/>
      <c r="B1417" s="5" t="s">
        <v>3575</v>
      </c>
      <c r="C1417" s="5" t="s">
        <v>79</v>
      </c>
      <c r="D1417" s="5" t="s">
        <v>206</v>
      </c>
      <c r="E1417" s="5" t="s">
        <v>382</v>
      </c>
    </row>
    <row r="1418" ht="15.75" customHeight="1">
      <c r="A1418" s="29"/>
      <c r="B1418" s="5" t="s">
        <v>5175</v>
      </c>
      <c r="C1418" s="5" t="s">
        <v>39</v>
      </c>
      <c r="D1418" s="5" t="s">
        <v>71</v>
      </c>
      <c r="E1418" s="5" t="s">
        <v>382</v>
      </c>
    </row>
    <row r="1419" ht="15.75" customHeight="1">
      <c r="A1419" s="29"/>
      <c r="B1419" s="5" t="s">
        <v>5560</v>
      </c>
      <c r="C1419" s="5" t="s">
        <v>48</v>
      </c>
      <c r="D1419" s="5" t="s">
        <v>34</v>
      </c>
      <c r="E1419" s="5" t="s">
        <v>382</v>
      </c>
    </row>
    <row r="1420" ht="15.75" customHeight="1">
      <c r="A1420" s="29"/>
      <c r="B1420" s="5" t="s">
        <v>4214</v>
      </c>
      <c r="C1420" s="5" t="s">
        <v>79</v>
      </c>
      <c r="D1420" s="5" t="s">
        <v>99</v>
      </c>
      <c r="E1420" s="5" t="s">
        <v>382</v>
      </c>
    </row>
    <row r="1421" ht="15.75" customHeight="1">
      <c r="A1421" s="29"/>
      <c r="B1421" s="5" t="s">
        <v>5099</v>
      </c>
      <c r="C1421" s="5" t="s">
        <v>11</v>
      </c>
      <c r="D1421" s="5" t="s">
        <v>73</v>
      </c>
      <c r="E1421" s="5" t="s">
        <v>382</v>
      </c>
    </row>
    <row r="1422" ht="15.75" customHeight="1">
      <c r="A1422" s="29"/>
      <c r="B1422" s="5" t="s">
        <v>4620</v>
      </c>
      <c r="C1422" s="5" t="s">
        <v>218</v>
      </c>
      <c r="D1422" s="5" t="s">
        <v>12</v>
      </c>
      <c r="E1422" s="5" t="s">
        <v>382</v>
      </c>
    </row>
    <row r="1423" ht="15.75" customHeight="1">
      <c r="A1423" s="29"/>
      <c r="B1423" s="5" t="s">
        <v>4569</v>
      </c>
      <c r="C1423" s="5" t="s">
        <v>79</v>
      </c>
      <c r="D1423" s="5" t="s">
        <v>15</v>
      </c>
      <c r="E1423" s="5" t="s">
        <v>382</v>
      </c>
    </row>
    <row r="1424" ht="15.75" customHeight="1">
      <c r="A1424" s="29"/>
      <c r="B1424" s="5" t="s">
        <v>5007</v>
      </c>
      <c r="C1424" s="5" t="s">
        <v>55</v>
      </c>
      <c r="D1424" s="5" t="s">
        <v>120</v>
      </c>
      <c r="E1424" s="5" t="s">
        <v>382</v>
      </c>
    </row>
    <row r="1425" ht="15.75" customHeight="1">
      <c r="A1425" s="29"/>
      <c r="B1425" s="5" t="s">
        <v>3806</v>
      </c>
      <c r="C1425" s="5" t="s">
        <v>22</v>
      </c>
      <c r="D1425" s="5" t="s">
        <v>52</v>
      </c>
      <c r="E1425" s="5" t="s">
        <v>382</v>
      </c>
    </row>
    <row r="1426" ht="15.75" customHeight="1">
      <c r="A1426" s="29"/>
      <c r="B1426" s="5" t="s">
        <v>5386</v>
      </c>
      <c r="C1426" s="5" t="s">
        <v>20</v>
      </c>
      <c r="D1426" s="5" t="s">
        <v>42</v>
      </c>
      <c r="E1426" s="5" t="s">
        <v>382</v>
      </c>
    </row>
    <row r="1427" ht="15.75" customHeight="1">
      <c r="A1427" s="29"/>
      <c r="B1427" s="5" t="s">
        <v>4300</v>
      </c>
      <c r="C1427" s="5" t="s">
        <v>22</v>
      </c>
      <c r="D1427" s="5" t="s">
        <v>120</v>
      </c>
      <c r="E1427" s="5" t="s">
        <v>382</v>
      </c>
    </row>
    <row r="1428" ht="15.75" customHeight="1">
      <c r="A1428" s="29"/>
      <c r="B1428" s="5" t="s">
        <v>3739</v>
      </c>
      <c r="C1428" s="5" t="s">
        <v>22</v>
      </c>
      <c r="D1428" s="5" t="s">
        <v>82</v>
      </c>
      <c r="E1428" s="5" t="s">
        <v>382</v>
      </c>
    </row>
    <row r="1429" ht="15.75" customHeight="1">
      <c r="A1429" s="29"/>
      <c r="B1429" s="5" t="s">
        <v>4378</v>
      </c>
      <c r="C1429" s="5" t="s">
        <v>79</v>
      </c>
      <c r="D1429" s="5" t="s">
        <v>73</v>
      </c>
      <c r="E1429" s="5" t="s">
        <v>382</v>
      </c>
    </row>
    <row r="1430" ht="15.75" customHeight="1">
      <c r="A1430" s="29"/>
      <c r="B1430" s="5" t="s">
        <v>4546</v>
      </c>
      <c r="C1430" s="5" t="s">
        <v>69</v>
      </c>
      <c r="D1430" s="5" t="s">
        <v>73</v>
      </c>
      <c r="E1430" s="5" t="s">
        <v>382</v>
      </c>
    </row>
    <row r="1431" ht="15.75" customHeight="1">
      <c r="A1431" s="29"/>
      <c r="B1431" s="5" t="s">
        <v>4420</v>
      </c>
      <c r="C1431" s="5" t="s">
        <v>22</v>
      </c>
      <c r="D1431" s="5" t="s">
        <v>99</v>
      </c>
      <c r="E1431" s="5" t="s">
        <v>382</v>
      </c>
    </row>
    <row r="1432" ht="15.75" customHeight="1">
      <c r="A1432" s="29"/>
      <c r="B1432" s="5" t="s">
        <v>3446</v>
      </c>
      <c r="C1432" s="5" t="s">
        <v>79</v>
      </c>
      <c r="D1432" s="5" t="s">
        <v>9</v>
      </c>
      <c r="E1432" s="5" t="s">
        <v>382</v>
      </c>
    </row>
    <row r="1433" ht="15.75" customHeight="1">
      <c r="A1433" s="29"/>
      <c r="B1433" s="5" t="s">
        <v>3339</v>
      </c>
      <c r="C1433" s="5" t="s">
        <v>79</v>
      </c>
      <c r="D1433" s="5" t="s">
        <v>90</v>
      </c>
      <c r="E1433" s="5" t="s">
        <v>382</v>
      </c>
    </row>
    <row r="1434" ht="15.75" customHeight="1">
      <c r="A1434" s="29"/>
      <c r="B1434" s="5" t="s">
        <v>5262</v>
      </c>
      <c r="C1434" s="5" t="s">
        <v>55</v>
      </c>
      <c r="D1434" s="5" t="s">
        <v>25</v>
      </c>
      <c r="E1434" s="5" t="s">
        <v>382</v>
      </c>
    </row>
    <row r="1435" ht="15.75" customHeight="1">
      <c r="A1435" s="29"/>
      <c r="B1435" s="5" t="s">
        <v>4417</v>
      </c>
      <c r="C1435" s="5" t="s">
        <v>79</v>
      </c>
      <c r="D1435" s="5" t="s">
        <v>85</v>
      </c>
      <c r="E1435" s="5" t="s">
        <v>382</v>
      </c>
    </row>
    <row r="1436" ht="15.75" customHeight="1">
      <c r="A1436" s="29"/>
      <c r="B1436" s="5" t="s">
        <v>4827</v>
      </c>
      <c r="C1436" s="5" t="s">
        <v>77</v>
      </c>
      <c r="D1436" s="5" t="s">
        <v>137</v>
      </c>
      <c r="E1436" s="5" t="s">
        <v>382</v>
      </c>
    </row>
    <row r="1437" ht="15.75" customHeight="1">
      <c r="A1437" s="29"/>
      <c r="B1437" s="5" t="s">
        <v>3333</v>
      </c>
      <c r="C1437" s="5" t="s">
        <v>79</v>
      </c>
      <c r="D1437" s="5" t="s">
        <v>90</v>
      </c>
      <c r="E1437" s="5" t="s">
        <v>382</v>
      </c>
    </row>
    <row r="1438" ht="15.75" customHeight="1">
      <c r="A1438" s="29"/>
      <c r="B1438" s="5" t="s">
        <v>4281</v>
      </c>
      <c r="C1438" s="5" t="s">
        <v>79</v>
      </c>
      <c r="D1438" s="5" t="s">
        <v>23</v>
      </c>
      <c r="E1438" s="5" t="s">
        <v>382</v>
      </c>
    </row>
    <row r="1439" ht="15.75" customHeight="1">
      <c r="A1439" s="29"/>
      <c r="B1439" s="5" t="s">
        <v>3828</v>
      </c>
      <c r="C1439" s="5" t="s">
        <v>79</v>
      </c>
      <c r="D1439" s="5" t="s">
        <v>129</v>
      </c>
      <c r="E1439" s="5" t="s">
        <v>382</v>
      </c>
    </row>
    <row r="1440" ht="15.75" customHeight="1">
      <c r="A1440" s="29"/>
      <c r="B1440" s="5" t="s">
        <v>3611</v>
      </c>
      <c r="C1440" s="5" t="s">
        <v>79</v>
      </c>
      <c r="D1440" s="5" t="s">
        <v>34</v>
      </c>
      <c r="E1440" s="5" t="s">
        <v>382</v>
      </c>
    </row>
    <row r="1441" ht="15.75" customHeight="1">
      <c r="A1441" s="29"/>
      <c r="B1441" s="5" t="s">
        <v>3695</v>
      </c>
      <c r="C1441" s="5" t="s">
        <v>79</v>
      </c>
      <c r="D1441" s="5" t="s">
        <v>137</v>
      </c>
      <c r="E1441" s="5" t="s">
        <v>382</v>
      </c>
    </row>
    <row r="1442" ht="15.75" customHeight="1">
      <c r="A1442" s="29"/>
      <c r="B1442" s="5" t="s">
        <v>4276</v>
      </c>
      <c r="C1442" s="5" t="s">
        <v>79</v>
      </c>
      <c r="D1442" s="5" t="s">
        <v>27</v>
      </c>
      <c r="E1442" s="5" t="s">
        <v>382</v>
      </c>
    </row>
    <row r="1443" ht="15.75" customHeight="1">
      <c r="A1443" s="29"/>
      <c r="B1443" s="5" t="s">
        <v>3801</v>
      </c>
      <c r="C1443" s="5" t="s">
        <v>22</v>
      </c>
      <c r="D1443" s="5" t="s">
        <v>52</v>
      </c>
      <c r="E1443" s="5" t="s">
        <v>382</v>
      </c>
    </row>
    <row r="1444" ht="15.75" customHeight="1">
      <c r="A1444" s="29"/>
      <c r="B1444" s="5" t="s">
        <v>4194</v>
      </c>
      <c r="C1444" s="5" t="s">
        <v>79</v>
      </c>
      <c r="D1444" s="5" t="s">
        <v>49</v>
      </c>
      <c r="E1444" s="5" t="s">
        <v>382</v>
      </c>
    </row>
    <row r="1445" ht="15.75" customHeight="1">
      <c r="A1445" s="29"/>
      <c r="B1445" s="5" t="s">
        <v>4632</v>
      </c>
      <c r="C1445" s="5" t="s">
        <v>218</v>
      </c>
      <c r="D1445" s="5" t="s">
        <v>129</v>
      </c>
      <c r="E1445" s="5" t="s">
        <v>382</v>
      </c>
    </row>
    <row r="1446" ht="15.75" customHeight="1">
      <c r="A1446" s="29"/>
      <c r="B1446" s="5" t="s">
        <v>3455</v>
      </c>
      <c r="C1446" s="5" t="s">
        <v>79</v>
      </c>
      <c r="D1446" s="5" t="s">
        <v>9</v>
      </c>
      <c r="E1446" s="5" t="s">
        <v>382</v>
      </c>
    </row>
    <row r="1447" ht="15.75" customHeight="1">
      <c r="A1447" s="29"/>
      <c r="B1447" s="5" t="s">
        <v>4408</v>
      </c>
      <c r="C1447" s="5" t="s">
        <v>79</v>
      </c>
      <c r="D1447" s="5" t="s">
        <v>31</v>
      </c>
      <c r="E1447" s="5" t="s">
        <v>382</v>
      </c>
    </row>
    <row r="1448" ht="15.75" customHeight="1">
      <c r="A1448" s="29"/>
      <c r="B1448" s="5" t="s">
        <v>3400</v>
      </c>
      <c r="C1448" s="5" t="s">
        <v>79</v>
      </c>
      <c r="D1448" s="5" t="s">
        <v>46</v>
      </c>
      <c r="E1448" s="5" t="s">
        <v>382</v>
      </c>
    </row>
    <row r="1449" ht="15.75" customHeight="1">
      <c r="A1449" s="29"/>
      <c r="B1449" s="5" t="s">
        <v>3441</v>
      </c>
      <c r="C1449" s="5" t="s">
        <v>22</v>
      </c>
      <c r="D1449" s="5" t="s">
        <v>18</v>
      </c>
      <c r="E1449" s="5" t="s">
        <v>382</v>
      </c>
    </row>
    <row r="1450" ht="15.75" customHeight="1">
      <c r="A1450" s="29"/>
      <c r="B1450" s="5" t="s">
        <v>4139</v>
      </c>
      <c r="C1450" s="5" t="s">
        <v>79</v>
      </c>
      <c r="D1450" s="5" t="s">
        <v>99</v>
      </c>
      <c r="E1450" s="5" t="s">
        <v>382</v>
      </c>
    </row>
    <row r="1451" ht="15.75" customHeight="1">
      <c r="A1451" s="29"/>
      <c r="B1451" s="5" t="s">
        <v>3490</v>
      </c>
      <c r="C1451" s="5" t="s">
        <v>79</v>
      </c>
      <c r="D1451" s="5" t="s">
        <v>15</v>
      </c>
      <c r="E1451" s="5" t="s">
        <v>382</v>
      </c>
    </row>
    <row r="1452" ht="15.75" customHeight="1">
      <c r="A1452" s="29"/>
      <c r="B1452" s="5" t="s">
        <v>4286</v>
      </c>
      <c r="C1452" s="5" t="s">
        <v>79</v>
      </c>
      <c r="D1452" s="5" t="s">
        <v>137</v>
      </c>
      <c r="E1452" s="5" t="s">
        <v>382</v>
      </c>
    </row>
    <row r="1453" ht="15.75" customHeight="1">
      <c r="A1453" s="29"/>
      <c r="B1453" s="5" t="s">
        <v>5530</v>
      </c>
      <c r="C1453" s="5" t="s">
        <v>77</v>
      </c>
      <c r="D1453" s="5" t="s">
        <v>71</v>
      </c>
      <c r="E1453" s="5" t="s">
        <v>382</v>
      </c>
    </row>
    <row r="1454" ht="15.75" customHeight="1">
      <c r="A1454" s="29"/>
      <c r="B1454" s="5" t="s">
        <v>5552</v>
      </c>
      <c r="C1454" s="5" t="s">
        <v>77</v>
      </c>
      <c r="D1454" s="5" t="s">
        <v>73</v>
      </c>
      <c r="E1454" s="5" t="s">
        <v>382</v>
      </c>
    </row>
    <row r="1455" ht="15.75" customHeight="1">
      <c r="A1455" s="29"/>
      <c r="B1455" s="5" t="s">
        <v>4098</v>
      </c>
      <c r="C1455" s="5" t="s">
        <v>79</v>
      </c>
      <c r="D1455" s="5" t="s">
        <v>85</v>
      </c>
      <c r="E1455" s="5" t="s">
        <v>382</v>
      </c>
    </row>
    <row r="1456" ht="15.75" customHeight="1">
      <c r="A1456" s="29"/>
      <c r="B1456" s="5" t="s">
        <v>4736</v>
      </c>
      <c r="C1456" s="5" t="s">
        <v>11</v>
      </c>
      <c r="D1456" s="5" t="s">
        <v>25</v>
      </c>
      <c r="E1456" s="5" t="s">
        <v>382</v>
      </c>
    </row>
    <row r="1457" ht="15.75" customHeight="1">
      <c r="A1457" s="29"/>
      <c r="B1457" s="5" t="s">
        <v>4256</v>
      </c>
      <c r="C1457" s="5" t="s">
        <v>79</v>
      </c>
      <c r="D1457" s="5" t="s">
        <v>105</v>
      </c>
      <c r="E1457" s="5" t="s">
        <v>382</v>
      </c>
    </row>
    <row r="1458" ht="15.75" customHeight="1">
      <c r="A1458" s="29"/>
      <c r="B1458" s="5" t="s">
        <v>5523</v>
      </c>
      <c r="C1458" s="5" t="s">
        <v>77</v>
      </c>
      <c r="D1458" s="5" t="s">
        <v>46</v>
      </c>
      <c r="E1458" s="5" t="s">
        <v>382</v>
      </c>
    </row>
    <row r="1459" ht="15.75" customHeight="1">
      <c r="A1459" s="29"/>
      <c r="B1459" s="5" t="s">
        <v>3467</v>
      </c>
      <c r="C1459" s="5" t="s">
        <v>79</v>
      </c>
      <c r="D1459" s="5" t="s">
        <v>18</v>
      </c>
      <c r="E1459" s="5" t="s">
        <v>382</v>
      </c>
    </row>
    <row r="1460" ht="15.75" customHeight="1">
      <c r="A1460" s="29"/>
      <c r="B1460" s="5" t="s">
        <v>5368</v>
      </c>
      <c r="C1460" s="5" t="s">
        <v>240</v>
      </c>
      <c r="D1460" s="5" t="s">
        <v>137</v>
      </c>
      <c r="E1460" s="5" t="s">
        <v>382</v>
      </c>
    </row>
    <row r="1461" ht="15.75" customHeight="1">
      <c r="A1461" s="29"/>
      <c r="B1461" s="5" t="s">
        <v>4755</v>
      </c>
      <c r="C1461" s="5" t="s">
        <v>39</v>
      </c>
      <c r="D1461" s="5" t="s">
        <v>25</v>
      </c>
      <c r="E1461" s="5" t="s">
        <v>382</v>
      </c>
    </row>
    <row r="1462" ht="15.75" customHeight="1">
      <c r="A1462" s="29"/>
      <c r="B1462" s="5" t="s">
        <v>5486</v>
      </c>
      <c r="C1462" s="5" t="s">
        <v>14</v>
      </c>
      <c r="D1462" s="5" t="s">
        <v>206</v>
      </c>
      <c r="E1462" s="5" t="s">
        <v>382</v>
      </c>
    </row>
    <row r="1463" ht="15.75" customHeight="1">
      <c r="A1463" s="29"/>
      <c r="B1463" s="5" t="s">
        <v>5537</v>
      </c>
      <c r="C1463" s="5" t="s">
        <v>77</v>
      </c>
      <c r="D1463" s="5" t="s">
        <v>90</v>
      </c>
      <c r="E1463" s="5" t="s">
        <v>382</v>
      </c>
    </row>
    <row r="1464" ht="15.75" customHeight="1">
      <c r="A1464" s="29"/>
      <c r="B1464" s="5" t="s">
        <v>4570</v>
      </c>
      <c r="C1464" s="5" t="s">
        <v>218</v>
      </c>
      <c r="D1464" s="5" t="s">
        <v>105</v>
      </c>
      <c r="E1464" s="5" t="s">
        <v>382</v>
      </c>
    </row>
    <row r="1465" ht="15.75" customHeight="1">
      <c r="A1465" s="29"/>
      <c r="B1465" s="5" t="s">
        <v>3385</v>
      </c>
      <c r="C1465" s="5" t="s">
        <v>79</v>
      </c>
      <c r="D1465" s="5" t="s">
        <v>206</v>
      </c>
      <c r="E1465" s="5" t="s">
        <v>382</v>
      </c>
    </row>
    <row r="1466" ht="15.75" customHeight="1">
      <c r="A1466" s="29"/>
      <c r="B1466" s="5" t="s">
        <v>5155</v>
      </c>
      <c r="C1466" s="5" t="s">
        <v>48</v>
      </c>
      <c r="D1466" s="5" t="s">
        <v>129</v>
      </c>
      <c r="E1466" s="5" t="s">
        <v>382</v>
      </c>
    </row>
    <row r="1467" ht="15.75" customHeight="1">
      <c r="A1467" s="29"/>
      <c r="B1467" s="5" t="s">
        <v>4467</v>
      </c>
      <c r="C1467" s="5" t="s">
        <v>1712</v>
      </c>
      <c r="D1467" s="5" t="s">
        <v>113</v>
      </c>
      <c r="E1467" s="5" t="s">
        <v>382</v>
      </c>
    </row>
    <row r="1468" ht="15.75" customHeight="1">
      <c r="A1468" s="29"/>
      <c r="B1468" s="5" t="s">
        <v>4509</v>
      </c>
      <c r="C1468" s="5" t="s">
        <v>240</v>
      </c>
      <c r="D1468" s="5" t="s">
        <v>85</v>
      </c>
      <c r="E1468" s="5" t="s">
        <v>382</v>
      </c>
    </row>
    <row r="1469" ht="15.75" customHeight="1">
      <c r="A1469" s="29"/>
      <c r="B1469" s="5" t="s">
        <v>5272</v>
      </c>
      <c r="C1469" s="5" t="s">
        <v>20</v>
      </c>
      <c r="D1469" s="5" t="s">
        <v>34</v>
      </c>
      <c r="E1469" s="5" t="s">
        <v>382</v>
      </c>
    </row>
    <row r="1470" ht="15.75" customHeight="1">
      <c r="A1470" s="29"/>
      <c r="B1470" s="5" t="s">
        <v>3865</v>
      </c>
      <c r="C1470" s="5" t="s">
        <v>79</v>
      </c>
      <c r="D1470" s="5" t="s">
        <v>99</v>
      </c>
      <c r="E1470" s="5" t="s">
        <v>382</v>
      </c>
    </row>
    <row r="1471" ht="15.75" customHeight="1">
      <c r="A1471" s="29"/>
      <c r="B1471" s="5" t="s">
        <v>5402</v>
      </c>
      <c r="C1471" s="5" t="s">
        <v>17</v>
      </c>
      <c r="D1471" s="5" t="s">
        <v>46</v>
      </c>
      <c r="E1471" s="5" t="s">
        <v>382</v>
      </c>
    </row>
    <row r="1472" ht="15.75" customHeight="1">
      <c r="A1472" s="29"/>
      <c r="B1472" s="5" t="s">
        <v>5138</v>
      </c>
      <c r="C1472" s="5" t="s">
        <v>8</v>
      </c>
      <c r="D1472" s="5" t="s">
        <v>15</v>
      </c>
      <c r="E1472" s="5" t="s">
        <v>382</v>
      </c>
    </row>
    <row r="1473" ht="15.75" customHeight="1">
      <c r="A1473" s="29"/>
      <c r="B1473" s="5" t="s">
        <v>4678</v>
      </c>
      <c r="C1473" s="5" t="s">
        <v>8</v>
      </c>
      <c r="D1473" s="5" t="s">
        <v>206</v>
      </c>
      <c r="E1473" s="5" t="s">
        <v>382</v>
      </c>
    </row>
    <row r="1474" ht="15.75" customHeight="1">
      <c r="A1474" s="29"/>
      <c r="B1474" s="5" t="s">
        <v>5600</v>
      </c>
      <c r="C1474" s="5" t="s">
        <v>79</v>
      </c>
      <c r="D1474" s="5" t="s">
        <v>140</v>
      </c>
      <c r="E1474" s="5" t="s">
        <v>382</v>
      </c>
    </row>
    <row r="1475" ht="15.75" customHeight="1">
      <c r="A1475" s="29"/>
      <c r="B1475" s="5" t="s">
        <v>4726</v>
      </c>
      <c r="C1475" s="5" t="s">
        <v>11</v>
      </c>
      <c r="D1475" s="5" t="s">
        <v>73</v>
      </c>
      <c r="E1475" s="5" t="s">
        <v>382</v>
      </c>
    </row>
    <row r="1476" ht="15.75" customHeight="1">
      <c r="A1476" s="29"/>
      <c r="B1476" s="5" t="s">
        <v>4103</v>
      </c>
      <c r="C1476" s="5" t="s">
        <v>22</v>
      </c>
      <c r="D1476" s="5" t="s">
        <v>206</v>
      </c>
      <c r="E1476" s="5" t="s">
        <v>382</v>
      </c>
    </row>
    <row r="1477" ht="15.75" customHeight="1">
      <c r="A1477" s="29"/>
      <c r="B1477" s="5" t="s">
        <v>4011</v>
      </c>
      <c r="C1477" s="5" t="s">
        <v>22</v>
      </c>
      <c r="D1477" s="5" t="s">
        <v>113</v>
      </c>
      <c r="E1477" s="5" t="s">
        <v>382</v>
      </c>
    </row>
    <row r="1478" ht="15.75" customHeight="1">
      <c r="A1478" s="29"/>
      <c r="B1478" s="5" t="s">
        <v>3932</v>
      </c>
      <c r="C1478" s="5" t="s">
        <v>79</v>
      </c>
      <c r="D1478" s="5" t="s">
        <v>140</v>
      </c>
      <c r="E1478" s="5" t="s">
        <v>382</v>
      </c>
    </row>
    <row r="1479" ht="15.75" customHeight="1">
      <c r="A1479" s="29"/>
      <c r="B1479" s="5" t="s">
        <v>4073</v>
      </c>
      <c r="C1479" s="5" t="s">
        <v>79</v>
      </c>
      <c r="D1479" s="5" t="s">
        <v>49</v>
      </c>
      <c r="E1479" s="5" t="s">
        <v>382</v>
      </c>
    </row>
    <row r="1480" ht="15.75" customHeight="1">
      <c r="A1480" s="29"/>
      <c r="B1480" s="5" t="s">
        <v>4858</v>
      </c>
      <c r="C1480" s="5" t="s">
        <v>55</v>
      </c>
      <c r="D1480" s="5" t="s">
        <v>140</v>
      </c>
      <c r="E1480" s="5" t="s">
        <v>382</v>
      </c>
    </row>
    <row r="1481" ht="15.75" customHeight="1">
      <c r="A1481" s="29"/>
      <c r="B1481" s="5" t="s">
        <v>3375</v>
      </c>
      <c r="C1481" s="5" t="s">
        <v>79</v>
      </c>
      <c r="D1481" s="5" t="s">
        <v>71</v>
      </c>
      <c r="E1481" s="5" t="s">
        <v>382</v>
      </c>
    </row>
    <row r="1482" ht="15.75" customHeight="1">
      <c r="A1482" s="29"/>
      <c r="B1482" s="5" t="s">
        <v>4116</v>
      </c>
      <c r="C1482" s="5" t="s">
        <v>79</v>
      </c>
      <c r="D1482" s="5" t="s">
        <v>15</v>
      </c>
      <c r="E1482" s="5" t="s">
        <v>382</v>
      </c>
    </row>
    <row r="1483" ht="15.75" customHeight="1">
      <c r="A1483" s="29"/>
      <c r="B1483" s="5" t="s">
        <v>3425</v>
      </c>
      <c r="C1483" s="5" t="s">
        <v>79</v>
      </c>
      <c r="D1483" s="5" t="s">
        <v>67</v>
      </c>
      <c r="E1483" s="5" t="s">
        <v>382</v>
      </c>
    </row>
    <row r="1484" ht="15.75" customHeight="1">
      <c r="A1484" s="29"/>
      <c r="B1484" s="5" t="s">
        <v>3398</v>
      </c>
      <c r="C1484" s="5" t="s">
        <v>79</v>
      </c>
      <c r="D1484" s="5" t="s">
        <v>49</v>
      </c>
      <c r="E1484" s="5" t="s">
        <v>382</v>
      </c>
    </row>
    <row r="1485" ht="15.75" customHeight="1">
      <c r="A1485" s="29"/>
      <c r="B1485" s="5" t="s">
        <v>4219</v>
      </c>
      <c r="C1485" s="5" t="s">
        <v>79</v>
      </c>
      <c r="D1485" s="5" t="s">
        <v>95</v>
      </c>
      <c r="E1485" s="5" t="s">
        <v>382</v>
      </c>
    </row>
    <row r="1486" ht="15.75" customHeight="1">
      <c r="A1486" s="29"/>
      <c r="B1486" s="5" t="s">
        <v>3633</v>
      </c>
      <c r="C1486" s="5" t="s">
        <v>79</v>
      </c>
      <c r="D1486" s="5" t="s">
        <v>73</v>
      </c>
      <c r="E1486" s="5" t="s">
        <v>382</v>
      </c>
    </row>
    <row r="1487" ht="15.75" customHeight="1">
      <c r="A1487" s="29"/>
      <c r="B1487" s="5" t="s">
        <v>4071</v>
      </c>
      <c r="C1487" s="5" t="s">
        <v>79</v>
      </c>
      <c r="D1487" s="5" t="s">
        <v>42</v>
      </c>
      <c r="E1487" s="5" t="s">
        <v>382</v>
      </c>
    </row>
    <row r="1488" ht="15.75" customHeight="1">
      <c r="A1488" s="29"/>
      <c r="B1488" s="5" t="s">
        <v>3921</v>
      </c>
      <c r="C1488" s="5" t="s">
        <v>22</v>
      </c>
      <c r="D1488" s="5" t="s">
        <v>12</v>
      </c>
      <c r="E1488" s="5" t="s">
        <v>382</v>
      </c>
    </row>
    <row r="1489" ht="15.75" customHeight="1">
      <c r="A1489" s="29"/>
      <c r="B1489" s="5" t="s">
        <v>4740</v>
      </c>
      <c r="C1489" s="5" t="s">
        <v>77</v>
      </c>
      <c r="D1489" s="5" t="s">
        <v>46</v>
      </c>
      <c r="E1489" s="5" t="s">
        <v>382</v>
      </c>
    </row>
    <row r="1490" ht="15.75" customHeight="1">
      <c r="A1490" s="29"/>
      <c r="B1490" s="5" t="s">
        <v>3445</v>
      </c>
      <c r="C1490" s="5" t="s">
        <v>220</v>
      </c>
      <c r="D1490" s="5" t="s">
        <v>206</v>
      </c>
      <c r="E1490" s="5" t="s">
        <v>382</v>
      </c>
    </row>
    <row r="1491" ht="15.75" customHeight="1">
      <c r="A1491" s="29"/>
      <c r="B1491" s="5" t="s">
        <v>3473</v>
      </c>
      <c r="C1491" s="5" t="s">
        <v>79</v>
      </c>
      <c r="D1491" s="5" t="s">
        <v>34</v>
      </c>
      <c r="E1491" s="5" t="s">
        <v>382</v>
      </c>
    </row>
    <row r="1492" ht="15.75" customHeight="1">
      <c r="A1492" s="29"/>
      <c r="B1492" s="5" t="s">
        <v>4702</v>
      </c>
      <c r="C1492" s="5" t="s">
        <v>220</v>
      </c>
      <c r="D1492" s="5" t="s">
        <v>12</v>
      </c>
      <c r="E1492" s="5" t="s">
        <v>382</v>
      </c>
    </row>
    <row r="1493" ht="15.75" customHeight="1">
      <c r="A1493" s="29"/>
      <c r="B1493" s="5" t="s">
        <v>4646</v>
      </c>
      <c r="C1493" s="5" t="s">
        <v>220</v>
      </c>
      <c r="D1493" s="5" t="s">
        <v>25</v>
      </c>
      <c r="E1493" s="5" t="s">
        <v>382</v>
      </c>
    </row>
    <row r="1494" ht="15.75" customHeight="1">
      <c r="A1494" s="29"/>
      <c r="B1494" s="5" t="s">
        <v>3246</v>
      </c>
      <c r="C1494" s="5" t="s">
        <v>218</v>
      </c>
      <c r="D1494" s="5" t="s">
        <v>105</v>
      </c>
      <c r="E1494" s="5" t="s">
        <v>382</v>
      </c>
    </row>
    <row r="1495" ht="15.75" customHeight="1">
      <c r="A1495" s="29"/>
      <c r="B1495" s="5" t="s">
        <v>4511</v>
      </c>
      <c r="C1495" s="5" t="s">
        <v>79</v>
      </c>
      <c r="D1495" s="5" t="s">
        <v>105</v>
      </c>
      <c r="E1495" s="5" t="s">
        <v>382</v>
      </c>
    </row>
    <row r="1496" ht="15.75" customHeight="1">
      <c r="A1496" s="29"/>
      <c r="B1496" s="5" t="s">
        <v>4272</v>
      </c>
      <c r="C1496" s="5" t="s">
        <v>79</v>
      </c>
      <c r="D1496" s="5" t="s">
        <v>27</v>
      </c>
      <c r="E1496" s="5" t="s">
        <v>382</v>
      </c>
    </row>
    <row r="1497" ht="15.75" customHeight="1">
      <c r="A1497" s="29"/>
      <c r="B1497" s="5" t="s">
        <v>4423</v>
      </c>
      <c r="C1497" s="5" t="s">
        <v>79</v>
      </c>
      <c r="D1497" s="5" t="s">
        <v>85</v>
      </c>
      <c r="E1497" s="5" t="s">
        <v>382</v>
      </c>
    </row>
    <row r="1498" ht="15.75" customHeight="1">
      <c r="A1498" s="29"/>
      <c r="B1498" s="5" t="s">
        <v>4693</v>
      </c>
      <c r="C1498" s="5" t="s">
        <v>1947</v>
      </c>
      <c r="D1498" s="5" t="s">
        <v>34</v>
      </c>
      <c r="E1498" s="5" t="s">
        <v>382</v>
      </c>
    </row>
    <row r="1499" ht="15.75" customHeight="1">
      <c r="A1499" s="29"/>
      <c r="B1499" s="5" t="s">
        <v>3370</v>
      </c>
      <c r="C1499" s="5" t="s">
        <v>220</v>
      </c>
      <c r="D1499" s="5" t="s">
        <v>34</v>
      </c>
      <c r="E1499" s="5" t="s">
        <v>382</v>
      </c>
    </row>
    <row r="1500" ht="15.75" customHeight="1">
      <c r="A1500" s="29"/>
      <c r="B1500" s="5" t="s">
        <v>4435</v>
      </c>
      <c r="C1500" s="5" t="s">
        <v>262</v>
      </c>
      <c r="D1500" s="5" t="s">
        <v>9</v>
      </c>
      <c r="E1500" s="5" t="s">
        <v>382</v>
      </c>
    </row>
    <row r="1501" ht="15.75" customHeight="1">
      <c r="A1501" s="29"/>
      <c r="B1501" s="5" t="s">
        <v>4786</v>
      </c>
      <c r="C1501" s="5" t="s">
        <v>87</v>
      </c>
      <c r="D1501" s="5" t="s">
        <v>9</v>
      </c>
      <c r="E1501" s="5" t="s">
        <v>382</v>
      </c>
    </row>
    <row r="1502" ht="15.75" customHeight="1">
      <c r="A1502" s="29"/>
      <c r="B1502" s="5" t="s">
        <v>3419</v>
      </c>
      <c r="C1502" s="5" t="s">
        <v>79</v>
      </c>
      <c r="D1502" s="5" t="s">
        <v>71</v>
      </c>
      <c r="E1502" s="5" t="s">
        <v>382</v>
      </c>
    </row>
    <row r="1503" ht="15.75" customHeight="1">
      <c r="A1503" s="29"/>
      <c r="B1503" s="5" t="s">
        <v>3516</v>
      </c>
      <c r="C1503" s="5" t="s">
        <v>220</v>
      </c>
      <c r="D1503" s="5" t="s">
        <v>85</v>
      </c>
      <c r="E1503" s="5" t="s">
        <v>382</v>
      </c>
    </row>
    <row r="1504" ht="15.75" customHeight="1">
      <c r="A1504" s="29"/>
      <c r="B1504" s="5" t="s">
        <v>4212</v>
      </c>
      <c r="C1504" s="5" t="s">
        <v>79</v>
      </c>
      <c r="D1504" s="5" t="s">
        <v>34</v>
      </c>
      <c r="E1504" s="5" t="s">
        <v>382</v>
      </c>
    </row>
    <row r="1505" ht="15.75" customHeight="1">
      <c r="A1505" s="29"/>
      <c r="B1505" s="5" t="s">
        <v>4495</v>
      </c>
      <c r="C1505" s="5" t="s">
        <v>585</v>
      </c>
      <c r="D1505" s="5" t="s">
        <v>36</v>
      </c>
      <c r="E1505" s="5" t="s">
        <v>382</v>
      </c>
    </row>
    <row r="1506" ht="15.75" customHeight="1">
      <c r="A1506" s="29"/>
      <c r="B1506" s="5" t="s">
        <v>4892</v>
      </c>
      <c r="C1506" s="5" t="s">
        <v>17</v>
      </c>
      <c r="D1506" s="5" t="s">
        <v>25</v>
      </c>
      <c r="E1506" s="5" t="s">
        <v>382</v>
      </c>
    </row>
    <row r="1507" ht="15.75" customHeight="1">
      <c r="A1507" s="29"/>
      <c r="B1507" s="5" t="s">
        <v>3563</v>
      </c>
      <c r="C1507" s="5" t="s">
        <v>22</v>
      </c>
      <c r="D1507" s="5" t="s">
        <v>120</v>
      </c>
      <c r="E1507" s="5" t="s">
        <v>382</v>
      </c>
    </row>
    <row r="1508" ht="15.75" customHeight="1">
      <c r="A1508" s="29"/>
      <c r="B1508" s="5" t="s">
        <v>3510</v>
      </c>
      <c r="C1508" s="5" t="s">
        <v>79</v>
      </c>
      <c r="D1508" s="5" t="s">
        <v>99</v>
      </c>
      <c r="E1508" s="5" t="s">
        <v>382</v>
      </c>
    </row>
    <row r="1509" ht="15.75" customHeight="1">
      <c r="A1509" s="29"/>
      <c r="B1509" s="5" t="s">
        <v>4893</v>
      </c>
      <c r="C1509" s="5" t="s">
        <v>33</v>
      </c>
      <c r="D1509" s="5" t="s">
        <v>120</v>
      </c>
      <c r="E1509" s="5" t="s">
        <v>382</v>
      </c>
    </row>
    <row r="1510" ht="15.75" customHeight="1">
      <c r="A1510" s="29"/>
      <c r="B1510" s="5" t="s">
        <v>5567</v>
      </c>
      <c r="C1510" s="5" t="s">
        <v>39</v>
      </c>
      <c r="D1510" s="5" t="s">
        <v>120</v>
      </c>
      <c r="E1510" s="5" t="s">
        <v>382</v>
      </c>
    </row>
    <row r="1511" ht="15.75" customHeight="1">
      <c r="A1511" s="29"/>
      <c r="B1511" s="5" t="s">
        <v>5015</v>
      </c>
      <c r="C1511" s="5" t="s">
        <v>14</v>
      </c>
      <c r="D1511" s="5" t="s">
        <v>122</v>
      </c>
      <c r="E1511" s="5" t="s">
        <v>382</v>
      </c>
    </row>
    <row r="1512" ht="15.75" customHeight="1">
      <c r="A1512" s="29"/>
      <c r="B1512" s="5" t="s">
        <v>4538</v>
      </c>
      <c r="C1512" s="5" t="s">
        <v>79</v>
      </c>
      <c r="D1512" s="5" t="s">
        <v>99</v>
      </c>
      <c r="E1512" s="5" t="s">
        <v>382</v>
      </c>
    </row>
    <row r="1513" ht="15.75" customHeight="1">
      <c r="A1513" s="29"/>
      <c r="B1513" s="5" t="s">
        <v>3232</v>
      </c>
      <c r="C1513" s="5" t="s">
        <v>22</v>
      </c>
      <c r="D1513" s="5" t="s">
        <v>137</v>
      </c>
      <c r="E1513" s="5" t="s">
        <v>382</v>
      </c>
    </row>
    <row r="1514" ht="15.75" customHeight="1">
      <c r="A1514" s="29"/>
      <c r="B1514" s="5" t="s">
        <v>4709</v>
      </c>
      <c r="C1514" s="5" t="s">
        <v>55</v>
      </c>
      <c r="D1514" s="5" t="s">
        <v>9</v>
      </c>
      <c r="E1514" s="5" t="s">
        <v>382</v>
      </c>
    </row>
    <row r="1515" ht="15.75" customHeight="1">
      <c r="A1515" s="29"/>
      <c r="B1515" s="5" t="s">
        <v>4830</v>
      </c>
      <c r="C1515" s="5" t="s">
        <v>77</v>
      </c>
      <c r="D1515" s="5" t="s">
        <v>120</v>
      </c>
      <c r="E1515" s="5" t="s">
        <v>382</v>
      </c>
    </row>
    <row r="1516" ht="15.75" customHeight="1">
      <c r="A1516" s="29"/>
      <c r="B1516" s="5" t="s">
        <v>4081</v>
      </c>
      <c r="C1516" s="5" t="s">
        <v>22</v>
      </c>
      <c r="D1516" s="5" t="s">
        <v>52</v>
      </c>
      <c r="E1516" s="5" t="s">
        <v>382</v>
      </c>
    </row>
    <row r="1517" ht="15.75" customHeight="1">
      <c r="A1517" s="29"/>
      <c r="B1517" s="5" t="s">
        <v>4661</v>
      </c>
      <c r="C1517" s="5" t="s">
        <v>69</v>
      </c>
      <c r="D1517" s="5" t="s">
        <v>67</v>
      </c>
      <c r="E1517" s="5" t="s">
        <v>382</v>
      </c>
    </row>
    <row r="1518" ht="15.75" customHeight="1">
      <c r="A1518" s="29"/>
      <c r="B1518" s="5" t="s">
        <v>3798</v>
      </c>
      <c r="C1518" s="5" t="s">
        <v>79</v>
      </c>
      <c r="D1518" s="5" t="s">
        <v>34</v>
      </c>
      <c r="E1518" s="5" t="s">
        <v>382</v>
      </c>
    </row>
    <row r="1519" ht="15.75" customHeight="1">
      <c r="A1519" s="29"/>
      <c r="B1519" s="5" t="s">
        <v>3930</v>
      </c>
      <c r="C1519" s="5" t="s">
        <v>22</v>
      </c>
      <c r="D1519" s="5" t="s">
        <v>122</v>
      </c>
      <c r="E1519" s="5" t="s">
        <v>382</v>
      </c>
    </row>
    <row r="1520" ht="15.75" customHeight="1">
      <c r="A1520" s="29"/>
      <c r="B1520" s="5" t="s">
        <v>3496</v>
      </c>
      <c r="C1520" s="5" t="s">
        <v>79</v>
      </c>
      <c r="D1520" s="5" t="s">
        <v>95</v>
      </c>
      <c r="E1520" s="5" t="s">
        <v>382</v>
      </c>
    </row>
    <row r="1521" ht="15.75" customHeight="1">
      <c r="A1521" s="29"/>
      <c r="B1521" s="5" t="s">
        <v>3299</v>
      </c>
      <c r="C1521" s="5" t="s">
        <v>79</v>
      </c>
      <c r="D1521" s="5" t="s">
        <v>82</v>
      </c>
      <c r="E1521" s="5" t="s">
        <v>382</v>
      </c>
    </row>
    <row r="1522" ht="15.75" customHeight="1">
      <c r="A1522" s="29"/>
      <c r="B1522" s="5" t="s">
        <v>3183</v>
      </c>
      <c r="C1522" s="5" t="s">
        <v>218</v>
      </c>
      <c r="D1522" s="5" t="s">
        <v>18</v>
      </c>
      <c r="E1522" s="5" t="s">
        <v>382</v>
      </c>
    </row>
    <row r="1523" ht="15.75" customHeight="1">
      <c r="A1523" s="29"/>
      <c r="B1523" s="5" t="s">
        <v>4457</v>
      </c>
      <c r="C1523" s="5" t="s">
        <v>283</v>
      </c>
      <c r="D1523" s="5" t="s">
        <v>73</v>
      </c>
      <c r="E1523" s="5" t="s">
        <v>382</v>
      </c>
    </row>
    <row r="1524" ht="15.75" customHeight="1">
      <c r="A1524" s="29"/>
      <c r="B1524" s="5" t="s">
        <v>4000</v>
      </c>
      <c r="C1524" s="5" t="s">
        <v>22</v>
      </c>
      <c r="D1524" s="5" t="s">
        <v>71</v>
      </c>
      <c r="E1524" s="5" t="s">
        <v>382</v>
      </c>
    </row>
    <row r="1525" ht="15.75" customHeight="1">
      <c r="A1525" s="29"/>
      <c r="B1525" s="5" t="s">
        <v>5547</v>
      </c>
      <c r="C1525" s="5" t="s">
        <v>17</v>
      </c>
      <c r="D1525" s="5" t="s">
        <v>71</v>
      </c>
      <c r="E1525" s="5" t="s">
        <v>382</v>
      </c>
    </row>
    <row r="1526" ht="15.75" customHeight="1">
      <c r="A1526" s="29"/>
      <c r="B1526" s="5" t="s">
        <v>3914</v>
      </c>
      <c r="C1526" s="5" t="s">
        <v>79</v>
      </c>
      <c r="D1526" s="5" t="s">
        <v>122</v>
      </c>
      <c r="E1526" s="5" t="s">
        <v>382</v>
      </c>
    </row>
    <row r="1527" ht="15.75" customHeight="1">
      <c r="A1527" s="29"/>
      <c r="B1527" s="5" t="s">
        <v>4343</v>
      </c>
      <c r="C1527" s="5" t="s">
        <v>79</v>
      </c>
      <c r="D1527" s="5" t="s">
        <v>36</v>
      </c>
      <c r="E1527" s="5" t="s">
        <v>382</v>
      </c>
    </row>
    <row r="1528" ht="15.75" customHeight="1">
      <c r="A1528" s="29"/>
      <c r="B1528" s="5" t="s">
        <v>4308</v>
      </c>
      <c r="C1528" s="5" t="s">
        <v>79</v>
      </c>
      <c r="D1528" s="5" t="s">
        <v>18</v>
      </c>
      <c r="E1528" s="5" t="s">
        <v>382</v>
      </c>
    </row>
    <row r="1529" ht="15.75" customHeight="1">
      <c r="A1529" s="29"/>
      <c r="B1529" s="5" t="s">
        <v>4459</v>
      </c>
      <c r="C1529" s="5" t="s">
        <v>220</v>
      </c>
      <c r="D1529" s="5" t="s">
        <v>15</v>
      </c>
      <c r="E1529" s="5" t="s">
        <v>382</v>
      </c>
    </row>
    <row r="1530" ht="15.75" customHeight="1">
      <c r="A1530" s="29"/>
      <c r="B1530" s="5" t="s">
        <v>3894</v>
      </c>
      <c r="C1530" s="5" t="s">
        <v>22</v>
      </c>
      <c r="D1530" s="5" t="s">
        <v>67</v>
      </c>
      <c r="E1530" s="5" t="s">
        <v>382</v>
      </c>
    </row>
    <row r="1531" ht="15.75" customHeight="1">
      <c r="A1531" s="29"/>
      <c r="B1531" s="5" t="s">
        <v>5601</v>
      </c>
      <c r="C1531" s="5" t="s">
        <v>17</v>
      </c>
      <c r="D1531" s="5" t="s">
        <v>85</v>
      </c>
      <c r="E1531" s="5" t="s">
        <v>382</v>
      </c>
    </row>
    <row r="1532" ht="15.75" customHeight="1">
      <c r="A1532" s="29"/>
      <c r="B1532" s="5" t="s">
        <v>3734</v>
      </c>
      <c r="C1532" s="5" t="s">
        <v>22</v>
      </c>
      <c r="D1532" s="5" t="s">
        <v>52</v>
      </c>
      <c r="E1532" s="5" t="s">
        <v>382</v>
      </c>
    </row>
    <row r="1533" ht="15.75" customHeight="1">
      <c r="A1533" s="29"/>
      <c r="B1533" s="5" t="s">
        <v>3566</v>
      </c>
      <c r="C1533" s="5" t="s">
        <v>79</v>
      </c>
      <c r="D1533" s="5" t="s">
        <v>27</v>
      </c>
      <c r="E1533" s="5" t="s">
        <v>382</v>
      </c>
    </row>
    <row r="1534" ht="15.75" customHeight="1">
      <c r="A1534" s="29"/>
      <c r="B1534" s="5" t="s">
        <v>3399</v>
      </c>
      <c r="C1534" s="5" t="s">
        <v>79</v>
      </c>
      <c r="D1534" s="5" t="s">
        <v>15</v>
      </c>
      <c r="E1534" s="5" t="s">
        <v>382</v>
      </c>
    </row>
    <row r="1535" ht="15.75" customHeight="1">
      <c r="A1535" s="29"/>
      <c r="B1535" s="5" t="s">
        <v>3654</v>
      </c>
      <c r="C1535" s="5" t="s">
        <v>22</v>
      </c>
      <c r="D1535" s="5" t="s">
        <v>15</v>
      </c>
      <c r="E1535" s="5" t="s">
        <v>382</v>
      </c>
    </row>
    <row r="1536" ht="15.75" customHeight="1">
      <c r="A1536" s="29"/>
      <c r="B1536" s="5" t="s">
        <v>3745</v>
      </c>
      <c r="C1536" s="5" t="s">
        <v>79</v>
      </c>
      <c r="D1536" s="5" t="s">
        <v>129</v>
      </c>
      <c r="E1536" s="5" t="s">
        <v>382</v>
      </c>
    </row>
    <row r="1537" ht="15.75" customHeight="1">
      <c r="A1537" s="29"/>
      <c r="B1537" s="5" t="s">
        <v>4112</v>
      </c>
      <c r="C1537" s="5" t="s">
        <v>79</v>
      </c>
      <c r="D1537" s="5" t="s">
        <v>49</v>
      </c>
      <c r="E1537" s="5" t="s">
        <v>382</v>
      </c>
    </row>
    <row r="1538" ht="15.75" customHeight="1">
      <c r="A1538" s="29"/>
      <c r="B1538" s="5" t="s">
        <v>5534</v>
      </c>
      <c r="C1538" s="5" t="s">
        <v>11</v>
      </c>
      <c r="D1538" s="5" t="s">
        <v>140</v>
      </c>
      <c r="E1538" s="5" t="s">
        <v>382</v>
      </c>
    </row>
    <row r="1539" ht="15.75" customHeight="1">
      <c r="A1539" s="29"/>
      <c r="B1539" s="5" t="s">
        <v>4751</v>
      </c>
      <c r="C1539" s="5" t="s">
        <v>63</v>
      </c>
      <c r="D1539" s="5" t="s">
        <v>140</v>
      </c>
      <c r="E1539" s="5" t="s">
        <v>382</v>
      </c>
    </row>
    <row r="1540" ht="15.75" customHeight="1">
      <c r="A1540" s="29"/>
      <c r="B1540" s="5" t="s">
        <v>3679</v>
      </c>
      <c r="C1540" s="5" t="s">
        <v>22</v>
      </c>
      <c r="D1540" s="5" t="s">
        <v>140</v>
      </c>
      <c r="E1540" s="5" t="s">
        <v>382</v>
      </c>
    </row>
    <row r="1541" ht="15.75" customHeight="1">
      <c r="A1541" s="29"/>
      <c r="B1541" s="5" t="s">
        <v>5291</v>
      </c>
      <c r="C1541" s="5" t="s">
        <v>39</v>
      </c>
      <c r="D1541" s="5" t="s">
        <v>140</v>
      </c>
      <c r="E1541" s="5" t="s">
        <v>382</v>
      </c>
    </row>
    <row r="1542" ht="15.75" customHeight="1">
      <c r="A1542" s="29"/>
      <c r="B1542" s="5" t="s">
        <v>4668</v>
      </c>
      <c r="C1542" s="5" t="s">
        <v>77</v>
      </c>
      <c r="D1542" s="5" t="s">
        <v>49</v>
      </c>
      <c r="E1542" s="5" t="s">
        <v>382</v>
      </c>
    </row>
    <row r="1543" ht="15.75" customHeight="1">
      <c r="A1543" s="29"/>
      <c r="B1543" s="5" t="s">
        <v>5004</v>
      </c>
      <c r="C1543" s="5" t="s">
        <v>20</v>
      </c>
      <c r="D1543" s="5" t="s">
        <v>49</v>
      </c>
      <c r="E1543" s="5" t="s">
        <v>382</v>
      </c>
    </row>
    <row r="1544" ht="15.75" customHeight="1">
      <c r="A1544" s="29"/>
      <c r="B1544" s="5" t="s">
        <v>3447</v>
      </c>
      <c r="C1544" s="5" t="s">
        <v>22</v>
      </c>
      <c r="D1544" s="5" t="s">
        <v>49</v>
      </c>
      <c r="E1544" s="5" t="s">
        <v>382</v>
      </c>
    </row>
    <row r="1545" ht="15.75" customHeight="1">
      <c r="A1545" s="29"/>
      <c r="B1545" s="5" t="s">
        <v>5579</v>
      </c>
      <c r="C1545" s="5" t="s">
        <v>39</v>
      </c>
      <c r="D1545" s="5" t="s">
        <v>120</v>
      </c>
      <c r="E1545" s="5" t="s">
        <v>382</v>
      </c>
    </row>
    <row r="1546" ht="15.75" customHeight="1">
      <c r="A1546" s="29"/>
      <c r="B1546" s="5" t="s">
        <v>4978</v>
      </c>
      <c r="C1546" s="5" t="s">
        <v>39</v>
      </c>
      <c r="D1546" s="5" t="s">
        <v>49</v>
      </c>
      <c r="E1546" s="5" t="s">
        <v>382</v>
      </c>
    </row>
    <row r="1547" ht="15.75" customHeight="1">
      <c r="A1547" s="29"/>
      <c r="B1547" s="5" t="s">
        <v>5172</v>
      </c>
      <c r="C1547" s="5" t="s">
        <v>14</v>
      </c>
      <c r="D1547" s="5" t="s">
        <v>73</v>
      </c>
      <c r="E1547" s="5" t="s">
        <v>382</v>
      </c>
    </row>
    <row r="1548" ht="15.75" customHeight="1">
      <c r="A1548" s="29"/>
      <c r="B1548" s="5" t="s">
        <v>5602</v>
      </c>
      <c r="C1548" s="5" t="s">
        <v>11</v>
      </c>
      <c r="D1548" s="5" t="s">
        <v>73</v>
      </c>
      <c r="E1548" s="5" t="s">
        <v>382</v>
      </c>
    </row>
    <row r="1549" ht="15.75" customHeight="1">
      <c r="A1549" s="29"/>
      <c r="B1549" s="5" t="s">
        <v>5507</v>
      </c>
      <c r="C1549" s="5" t="s">
        <v>14</v>
      </c>
      <c r="D1549" s="5" t="s">
        <v>73</v>
      </c>
      <c r="E1549" s="5" t="s">
        <v>382</v>
      </c>
    </row>
    <row r="1550" ht="15.75" customHeight="1">
      <c r="A1550" s="29"/>
      <c r="B1550" s="5" t="s">
        <v>3550</v>
      </c>
      <c r="C1550" s="5" t="s">
        <v>22</v>
      </c>
      <c r="D1550" s="5" t="s">
        <v>73</v>
      </c>
      <c r="E1550" s="5" t="s">
        <v>382</v>
      </c>
    </row>
    <row r="1551" ht="15.75" customHeight="1">
      <c r="A1551" s="29"/>
      <c r="B1551" s="5" t="s">
        <v>4983</v>
      </c>
      <c r="C1551" s="5" t="s">
        <v>11</v>
      </c>
      <c r="D1551" s="5" t="s">
        <v>42</v>
      </c>
      <c r="E1551" s="5" t="s">
        <v>382</v>
      </c>
    </row>
    <row r="1552" ht="15.75" customHeight="1">
      <c r="A1552" s="29"/>
      <c r="B1552" s="5" t="s">
        <v>4918</v>
      </c>
      <c r="C1552" s="5" t="s">
        <v>14</v>
      </c>
      <c r="D1552" s="5" t="s">
        <v>140</v>
      </c>
      <c r="E1552" s="5" t="s">
        <v>382</v>
      </c>
    </row>
    <row r="1553" ht="15.75" customHeight="1">
      <c r="A1553" s="29"/>
      <c r="B1553" s="5" t="s">
        <v>5079</v>
      </c>
      <c r="C1553" s="5" t="s">
        <v>39</v>
      </c>
      <c r="D1553" s="5" t="s">
        <v>42</v>
      </c>
      <c r="E1553" s="5" t="s">
        <v>382</v>
      </c>
    </row>
    <row r="1554" ht="15.75" customHeight="1">
      <c r="A1554" s="29"/>
      <c r="B1554" s="5" t="s">
        <v>3990</v>
      </c>
      <c r="C1554" s="5" t="s">
        <v>79</v>
      </c>
      <c r="D1554" s="5" t="s">
        <v>42</v>
      </c>
      <c r="E1554" s="5" t="s">
        <v>382</v>
      </c>
    </row>
    <row r="1555" ht="15.75" customHeight="1">
      <c r="A1555" s="29"/>
      <c r="B1555" s="5" t="s">
        <v>4222</v>
      </c>
      <c r="C1555" s="5" t="s">
        <v>79</v>
      </c>
      <c r="D1555" s="5" t="s">
        <v>206</v>
      </c>
      <c r="E1555" s="5" t="s">
        <v>382</v>
      </c>
    </row>
    <row r="1556" ht="15.75" customHeight="1">
      <c r="A1556" s="29"/>
      <c r="B1556" s="5" t="s">
        <v>4451</v>
      </c>
      <c r="C1556" s="5" t="s">
        <v>79</v>
      </c>
      <c r="D1556" s="5" t="s">
        <v>206</v>
      </c>
      <c r="E1556" s="5" t="s">
        <v>382</v>
      </c>
    </row>
    <row r="1557" ht="15.75" customHeight="1">
      <c r="A1557" s="29"/>
      <c r="B1557" s="5" t="s">
        <v>3451</v>
      </c>
      <c r="C1557" s="5" t="s">
        <v>220</v>
      </c>
      <c r="D1557" s="5" t="s">
        <v>206</v>
      </c>
      <c r="E1557" s="5" t="s">
        <v>382</v>
      </c>
    </row>
    <row r="1558" ht="15.75" customHeight="1">
      <c r="A1558" s="29"/>
      <c r="B1558" s="5" t="s">
        <v>3944</v>
      </c>
      <c r="C1558" s="5" t="s">
        <v>22</v>
      </c>
      <c r="D1558" s="5" t="s">
        <v>206</v>
      </c>
      <c r="E1558" s="5" t="s">
        <v>382</v>
      </c>
    </row>
    <row r="1559" ht="15.75" customHeight="1">
      <c r="A1559" s="29"/>
      <c r="B1559" s="5" t="s">
        <v>4886</v>
      </c>
      <c r="C1559" s="5" t="s">
        <v>33</v>
      </c>
      <c r="D1559" s="5" t="s">
        <v>140</v>
      </c>
      <c r="E1559" s="5" t="s">
        <v>382</v>
      </c>
    </row>
    <row r="1560" ht="15.75" customHeight="1">
      <c r="A1560" s="29"/>
      <c r="B1560" s="5" t="s">
        <v>4780</v>
      </c>
      <c r="C1560" s="5" t="s">
        <v>39</v>
      </c>
      <c r="D1560" s="5" t="s">
        <v>129</v>
      </c>
      <c r="E1560" s="5" t="s">
        <v>382</v>
      </c>
    </row>
    <row r="1561" ht="15.75" customHeight="1">
      <c r="A1561" s="29"/>
      <c r="B1561" s="5" t="s">
        <v>5334</v>
      </c>
      <c r="C1561" s="5" t="s">
        <v>39</v>
      </c>
      <c r="D1561" s="5" t="s">
        <v>129</v>
      </c>
      <c r="E1561" s="5" t="s">
        <v>382</v>
      </c>
    </row>
    <row r="1562" ht="15.75" customHeight="1">
      <c r="A1562" s="29"/>
      <c r="B1562" s="5" t="s">
        <v>4054</v>
      </c>
      <c r="C1562" s="5" t="s">
        <v>22</v>
      </c>
      <c r="D1562" s="5" t="s">
        <v>12</v>
      </c>
      <c r="E1562" s="5" t="s">
        <v>382</v>
      </c>
    </row>
    <row r="1563" ht="15.75" customHeight="1">
      <c r="A1563" s="29"/>
      <c r="B1563" s="5" t="s">
        <v>4583</v>
      </c>
      <c r="C1563" s="5" t="s">
        <v>79</v>
      </c>
      <c r="D1563" s="5" t="s">
        <v>137</v>
      </c>
      <c r="E1563" s="5" t="s">
        <v>382</v>
      </c>
    </row>
    <row r="1564" ht="15.75" customHeight="1">
      <c r="A1564" s="29"/>
      <c r="B1564" s="5" t="s">
        <v>5171</v>
      </c>
      <c r="C1564" s="5" t="s">
        <v>77</v>
      </c>
      <c r="D1564" s="5" t="s">
        <v>12</v>
      </c>
      <c r="E1564" s="5" t="s">
        <v>382</v>
      </c>
    </row>
    <row r="1565" ht="15.75" customHeight="1">
      <c r="A1565" s="29"/>
      <c r="B1565" s="5" t="s">
        <v>4050</v>
      </c>
      <c r="C1565" s="5" t="s">
        <v>22</v>
      </c>
      <c r="D1565" s="5" t="s">
        <v>12</v>
      </c>
      <c r="E1565" s="5" t="s">
        <v>382</v>
      </c>
    </row>
    <row r="1566" ht="15.75" customHeight="1">
      <c r="A1566" s="29"/>
      <c r="B1566" s="5" t="s">
        <v>4985</v>
      </c>
      <c r="C1566" s="5" t="s">
        <v>39</v>
      </c>
      <c r="D1566" s="5" t="s">
        <v>12</v>
      </c>
      <c r="E1566" s="5" t="s">
        <v>382</v>
      </c>
    </row>
    <row r="1567" ht="15.75" customHeight="1">
      <c r="A1567" s="29"/>
      <c r="B1567" s="5" t="s">
        <v>5443</v>
      </c>
      <c r="C1567" s="5" t="s">
        <v>20</v>
      </c>
      <c r="D1567" s="5" t="s">
        <v>105</v>
      </c>
      <c r="E1567" s="5" t="s">
        <v>382</v>
      </c>
    </row>
    <row r="1568" ht="15.75" customHeight="1">
      <c r="A1568" s="29"/>
      <c r="B1568" s="5" t="s">
        <v>3632</v>
      </c>
      <c r="C1568" s="5" t="s">
        <v>22</v>
      </c>
      <c r="D1568" s="5" t="s">
        <v>105</v>
      </c>
      <c r="E1568" s="5" t="s">
        <v>382</v>
      </c>
    </row>
    <row r="1569" ht="15.75" customHeight="1">
      <c r="A1569" s="29"/>
      <c r="B1569" s="5" t="s">
        <v>5227</v>
      </c>
      <c r="C1569" s="5" t="s">
        <v>14</v>
      </c>
      <c r="D1569" s="5" t="s">
        <v>73</v>
      </c>
      <c r="E1569" s="5" t="s">
        <v>382</v>
      </c>
    </row>
    <row r="1570" ht="15.75" customHeight="1">
      <c r="A1570" s="29"/>
      <c r="B1570" s="5" t="s">
        <v>4866</v>
      </c>
      <c r="C1570" s="5" t="s">
        <v>33</v>
      </c>
      <c r="D1570" s="5" t="s">
        <v>122</v>
      </c>
      <c r="E1570" s="5" t="s">
        <v>382</v>
      </c>
    </row>
    <row r="1571" ht="15.75" customHeight="1">
      <c r="A1571" s="29"/>
      <c r="B1571" s="5" t="s">
        <v>3913</v>
      </c>
      <c r="C1571" s="5" t="s">
        <v>79</v>
      </c>
      <c r="D1571" s="5" t="s">
        <v>46</v>
      </c>
      <c r="E1571" s="5" t="s">
        <v>382</v>
      </c>
    </row>
    <row r="1572" ht="15.75" customHeight="1">
      <c r="A1572" s="29"/>
      <c r="B1572" s="5" t="s">
        <v>3588</v>
      </c>
      <c r="C1572" s="5" t="s">
        <v>22</v>
      </c>
      <c r="D1572" s="5" t="s">
        <v>12</v>
      </c>
      <c r="E1572" s="5" t="s">
        <v>382</v>
      </c>
    </row>
    <row r="1573" ht="15.75" customHeight="1">
      <c r="A1573" s="29"/>
      <c r="B1573" s="5" t="s">
        <v>5072</v>
      </c>
      <c r="C1573" s="5" t="s">
        <v>39</v>
      </c>
      <c r="D1573" s="5" t="s">
        <v>71</v>
      </c>
      <c r="E1573" s="5" t="s">
        <v>382</v>
      </c>
    </row>
    <row r="1574" ht="15.75" customHeight="1">
      <c r="A1574" s="29"/>
      <c r="B1574" s="5" t="s">
        <v>5218</v>
      </c>
      <c r="C1574" s="5" t="s">
        <v>48</v>
      </c>
      <c r="D1574" s="5" t="s">
        <v>113</v>
      </c>
      <c r="E1574" s="5" t="s">
        <v>382</v>
      </c>
    </row>
    <row r="1575" ht="15.75" customHeight="1">
      <c r="A1575" s="29"/>
      <c r="B1575" s="5" t="s">
        <v>5195</v>
      </c>
      <c r="C1575" s="5" t="s">
        <v>39</v>
      </c>
      <c r="D1575" s="5" t="s">
        <v>113</v>
      </c>
      <c r="E1575" s="5" t="s">
        <v>382</v>
      </c>
    </row>
    <row r="1576" ht="15.75" customHeight="1">
      <c r="A1576" s="29"/>
      <c r="B1576" s="5" t="s">
        <v>5351</v>
      </c>
      <c r="C1576" s="5" t="s">
        <v>20</v>
      </c>
      <c r="D1576" s="5" t="s">
        <v>113</v>
      </c>
      <c r="E1576" s="5" t="s">
        <v>382</v>
      </c>
    </row>
    <row r="1577" ht="15.75" customHeight="1">
      <c r="A1577" s="29"/>
      <c r="B1577" s="5" t="s">
        <v>5550</v>
      </c>
      <c r="C1577" s="5" t="s">
        <v>33</v>
      </c>
      <c r="D1577" s="5" t="s">
        <v>113</v>
      </c>
      <c r="E1577" s="5" t="s">
        <v>382</v>
      </c>
    </row>
    <row r="1578" ht="15.75" customHeight="1">
      <c r="A1578" s="29"/>
      <c r="B1578" s="5" t="s">
        <v>3709</v>
      </c>
      <c r="C1578" s="5" t="s">
        <v>22</v>
      </c>
      <c r="D1578" s="5" t="s">
        <v>113</v>
      </c>
      <c r="E1578" s="5" t="s">
        <v>382</v>
      </c>
    </row>
    <row r="1579" ht="15.75" customHeight="1">
      <c r="A1579" s="29"/>
      <c r="B1579" s="5" t="s">
        <v>3220</v>
      </c>
      <c r="C1579" s="5" t="s">
        <v>33</v>
      </c>
      <c r="D1579" s="5" t="s">
        <v>140</v>
      </c>
      <c r="E1579" s="5" t="s">
        <v>382</v>
      </c>
    </row>
    <row r="1580" ht="15.75" customHeight="1">
      <c r="A1580" s="29"/>
      <c r="B1580" s="5" t="s">
        <v>4557</v>
      </c>
      <c r="C1580" s="5" t="s">
        <v>22</v>
      </c>
      <c r="D1580" s="5" t="s">
        <v>140</v>
      </c>
      <c r="E1580" s="5" t="s">
        <v>382</v>
      </c>
    </row>
    <row r="1581" ht="15.75" customHeight="1">
      <c r="A1581" s="29"/>
      <c r="B1581" s="5" t="s">
        <v>5242</v>
      </c>
      <c r="C1581" s="5" t="s">
        <v>14</v>
      </c>
      <c r="D1581" s="5" t="s">
        <v>27</v>
      </c>
      <c r="E1581" s="5" t="s">
        <v>382</v>
      </c>
    </row>
    <row r="1582" ht="15.75" customHeight="1">
      <c r="A1582" s="29"/>
      <c r="B1582" s="5" t="s">
        <v>3717</v>
      </c>
      <c r="C1582" s="5" t="s">
        <v>22</v>
      </c>
      <c r="D1582" s="5" t="s">
        <v>27</v>
      </c>
      <c r="E1582" s="5" t="s">
        <v>382</v>
      </c>
    </row>
    <row r="1583" ht="15.75" customHeight="1">
      <c r="A1583" s="29"/>
      <c r="B1583" s="5" t="s">
        <v>4690</v>
      </c>
      <c r="C1583" s="5" t="s">
        <v>22</v>
      </c>
      <c r="D1583" s="5" t="s">
        <v>67</v>
      </c>
      <c r="E1583" s="5" t="s">
        <v>382</v>
      </c>
    </row>
    <row r="1584" ht="15.75" customHeight="1">
      <c r="A1584" s="29"/>
      <c r="B1584" s="5" t="s">
        <v>4547</v>
      </c>
      <c r="C1584" s="5" t="s">
        <v>22</v>
      </c>
      <c r="D1584" s="5" t="s">
        <v>67</v>
      </c>
      <c r="E1584" s="5" t="s">
        <v>382</v>
      </c>
    </row>
    <row r="1585" ht="15.75" customHeight="1">
      <c r="A1585" s="29"/>
      <c r="B1585" s="5" t="s">
        <v>5233</v>
      </c>
      <c r="C1585" s="5" t="s">
        <v>39</v>
      </c>
      <c r="D1585" s="5" t="s">
        <v>34</v>
      </c>
      <c r="E1585" s="5" t="s">
        <v>382</v>
      </c>
    </row>
    <row r="1586" ht="15.75" customHeight="1">
      <c r="A1586" s="29"/>
      <c r="B1586" s="5" t="s">
        <v>5369</v>
      </c>
      <c r="C1586" s="5" t="s">
        <v>14</v>
      </c>
      <c r="D1586" s="5" t="s">
        <v>34</v>
      </c>
      <c r="E1586" s="5" t="s">
        <v>382</v>
      </c>
    </row>
    <row r="1587" ht="15.75" customHeight="1">
      <c r="A1587" s="29"/>
      <c r="B1587" s="5" t="s">
        <v>4970</v>
      </c>
      <c r="C1587" s="5" t="s">
        <v>14</v>
      </c>
      <c r="D1587" s="5" t="s">
        <v>129</v>
      </c>
      <c r="E1587" s="5" t="s">
        <v>382</v>
      </c>
    </row>
    <row r="1588" ht="15.75" customHeight="1">
      <c r="A1588" s="29"/>
      <c r="B1588" s="5" t="s">
        <v>3722</v>
      </c>
      <c r="C1588" s="5" t="s">
        <v>22</v>
      </c>
      <c r="D1588" s="5" t="s">
        <v>34</v>
      </c>
      <c r="E1588" s="5" t="s">
        <v>382</v>
      </c>
    </row>
    <row r="1589" ht="15.75" customHeight="1">
      <c r="A1589" s="29"/>
      <c r="B1589" s="5" t="s">
        <v>5084</v>
      </c>
      <c r="C1589" s="5" t="s">
        <v>14</v>
      </c>
      <c r="D1589" s="5" t="s">
        <v>34</v>
      </c>
      <c r="E1589" s="5" t="s">
        <v>382</v>
      </c>
    </row>
    <row r="1590" ht="15.75" customHeight="1">
      <c r="A1590" s="29"/>
      <c r="B1590" s="5" t="s">
        <v>5274</v>
      </c>
      <c r="C1590" s="5" t="s">
        <v>77</v>
      </c>
      <c r="D1590" s="5" t="s">
        <v>9</v>
      </c>
      <c r="E1590" s="5" t="s">
        <v>382</v>
      </c>
    </row>
    <row r="1591" ht="15.75" customHeight="1">
      <c r="A1591" s="29"/>
      <c r="B1591" s="5" t="s">
        <v>5433</v>
      </c>
      <c r="C1591" s="5" t="s">
        <v>14</v>
      </c>
      <c r="D1591" s="5" t="s">
        <v>42</v>
      </c>
      <c r="E1591" s="5" t="s">
        <v>382</v>
      </c>
    </row>
    <row r="1592" ht="15.75" customHeight="1">
      <c r="A1592" s="29"/>
      <c r="B1592" s="5" t="s">
        <v>3581</v>
      </c>
      <c r="C1592" s="5" t="s">
        <v>22</v>
      </c>
      <c r="D1592" s="5" t="s">
        <v>9</v>
      </c>
      <c r="E1592" s="5" t="s">
        <v>382</v>
      </c>
    </row>
    <row r="1593" ht="15.75" customHeight="1">
      <c r="A1593" s="29"/>
      <c r="B1593" s="5" t="s">
        <v>4587</v>
      </c>
      <c r="C1593" s="5" t="s">
        <v>218</v>
      </c>
      <c r="D1593" s="5" t="s">
        <v>71</v>
      </c>
      <c r="E1593" s="5" t="s">
        <v>382</v>
      </c>
    </row>
    <row r="1594" ht="15.75" customHeight="1">
      <c r="A1594" s="29"/>
      <c r="B1594" s="5" t="s">
        <v>5487</v>
      </c>
      <c r="C1594" s="5" t="s">
        <v>77</v>
      </c>
      <c r="D1594" s="5" t="s">
        <v>85</v>
      </c>
      <c r="E1594" s="5" t="s">
        <v>382</v>
      </c>
    </row>
    <row r="1595" ht="15.75" customHeight="1">
      <c r="A1595" s="29"/>
      <c r="B1595" s="5" t="s">
        <v>4798</v>
      </c>
      <c r="C1595" s="5" t="s">
        <v>48</v>
      </c>
      <c r="D1595" s="5" t="s">
        <v>85</v>
      </c>
      <c r="E1595" s="5" t="s">
        <v>382</v>
      </c>
    </row>
    <row r="1596" ht="15.75" customHeight="1">
      <c r="A1596" s="29"/>
      <c r="B1596" s="5" t="s">
        <v>4920</v>
      </c>
      <c r="C1596" s="5" t="s">
        <v>14</v>
      </c>
      <c r="D1596" s="5" t="s">
        <v>85</v>
      </c>
      <c r="E1596" s="5" t="s">
        <v>382</v>
      </c>
    </row>
    <row r="1597" ht="15.75" customHeight="1">
      <c r="A1597" s="29"/>
      <c r="B1597" s="5" t="s">
        <v>5046</v>
      </c>
      <c r="C1597" s="5" t="s">
        <v>39</v>
      </c>
      <c r="D1597" s="5" t="s">
        <v>85</v>
      </c>
      <c r="E1597" s="5" t="s">
        <v>382</v>
      </c>
    </row>
    <row r="1598" ht="15.75" customHeight="1">
      <c r="A1598" s="29"/>
      <c r="B1598" s="5" t="s">
        <v>5134</v>
      </c>
      <c r="C1598" s="5" t="s">
        <v>39</v>
      </c>
      <c r="D1598" s="5" t="s">
        <v>85</v>
      </c>
      <c r="E1598" s="5" t="s">
        <v>382</v>
      </c>
    </row>
    <row r="1599" ht="15.75" customHeight="1">
      <c r="A1599" s="29"/>
      <c r="B1599" s="5" t="s">
        <v>3864</v>
      </c>
      <c r="C1599" s="5" t="s">
        <v>22</v>
      </c>
      <c r="D1599" s="5" t="s">
        <v>25</v>
      </c>
      <c r="E1599" s="5" t="s">
        <v>382</v>
      </c>
    </row>
    <row r="1600" ht="15.75" customHeight="1">
      <c r="A1600" s="29"/>
      <c r="B1600" s="5" t="s">
        <v>5089</v>
      </c>
      <c r="C1600" s="5" t="s">
        <v>39</v>
      </c>
      <c r="D1600" s="5" t="s">
        <v>25</v>
      </c>
      <c r="E1600" s="5" t="s">
        <v>382</v>
      </c>
    </row>
    <row r="1601" ht="15.75" customHeight="1">
      <c r="A1601" s="29"/>
      <c r="B1601" s="5" t="s">
        <v>5508</v>
      </c>
      <c r="C1601" s="5" t="s">
        <v>77</v>
      </c>
      <c r="D1601" s="5" t="s">
        <v>85</v>
      </c>
      <c r="E1601" s="5" t="s">
        <v>382</v>
      </c>
    </row>
    <row r="1602" ht="15.75" customHeight="1">
      <c r="A1602" s="29"/>
      <c r="B1602" s="5" t="s">
        <v>4059</v>
      </c>
      <c r="C1602" s="5" t="s">
        <v>22</v>
      </c>
      <c r="D1602" s="5" t="s">
        <v>25</v>
      </c>
      <c r="E1602" s="5" t="s">
        <v>382</v>
      </c>
    </row>
    <row r="1603" ht="15.75" customHeight="1">
      <c r="A1603" s="29"/>
      <c r="B1603" s="5" t="s">
        <v>4926</v>
      </c>
      <c r="C1603" s="5" t="s">
        <v>14</v>
      </c>
      <c r="D1603" s="5" t="s">
        <v>25</v>
      </c>
      <c r="E1603" s="5" t="s">
        <v>382</v>
      </c>
    </row>
    <row r="1604" ht="15.75" customHeight="1">
      <c r="A1604" s="29"/>
      <c r="B1604" s="5" t="s">
        <v>3289</v>
      </c>
      <c r="C1604" s="5" t="s">
        <v>79</v>
      </c>
      <c r="D1604" s="5" t="s">
        <v>99</v>
      </c>
      <c r="E1604" s="5" t="s">
        <v>382</v>
      </c>
    </row>
    <row r="1605" ht="15.75" customHeight="1">
      <c r="A1605" s="29"/>
      <c r="B1605" s="5" t="s">
        <v>5529</v>
      </c>
      <c r="C1605" s="5" t="s">
        <v>39</v>
      </c>
      <c r="D1605" s="5" t="s">
        <v>99</v>
      </c>
      <c r="E1605" s="5" t="s">
        <v>382</v>
      </c>
    </row>
    <row r="1606" ht="15.75" customHeight="1">
      <c r="A1606" s="29"/>
      <c r="B1606" s="5" t="s">
        <v>3756</v>
      </c>
      <c r="C1606" s="5" t="s">
        <v>22</v>
      </c>
      <c r="D1606" s="5" t="s">
        <v>99</v>
      </c>
      <c r="E1606" s="5" t="s">
        <v>382</v>
      </c>
    </row>
    <row r="1607" ht="15.75" customHeight="1">
      <c r="A1607" s="29"/>
      <c r="B1607" s="5" t="s">
        <v>4640</v>
      </c>
      <c r="C1607" s="5" t="s">
        <v>69</v>
      </c>
      <c r="D1607" s="5" t="s">
        <v>99</v>
      </c>
      <c r="E1607" s="5" t="s">
        <v>382</v>
      </c>
    </row>
    <row r="1608" ht="15.75" customHeight="1">
      <c r="A1608" s="29"/>
      <c r="B1608" s="5" t="s">
        <v>4872</v>
      </c>
      <c r="C1608" s="5" t="s">
        <v>69</v>
      </c>
      <c r="D1608" s="5" t="s">
        <v>90</v>
      </c>
      <c r="E1608" s="5" t="s">
        <v>382</v>
      </c>
    </row>
    <row r="1609" ht="15.75" customHeight="1">
      <c r="A1609" s="29"/>
      <c r="B1609" s="5" t="s">
        <v>5114</v>
      </c>
      <c r="C1609" s="5" t="s">
        <v>77</v>
      </c>
      <c r="D1609" s="5" t="s">
        <v>36</v>
      </c>
      <c r="E1609" s="5" t="s">
        <v>382</v>
      </c>
    </row>
    <row r="1610" ht="15.75" customHeight="1">
      <c r="A1610" s="29"/>
      <c r="B1610" s="5" t="s">
        <v>5504</v>
      </c>
      <c r="C1610" s="5" t="s">
        <v>48</v>
      </c>
      <c r="D1610" s="5" t="s">
        <v>36</v>
      </c>
      <c r="E1610" s="5" t="s">
        <v>382</v>
      </c>
    </row>
    <row r="1611" ht="15.75" customHeight="1">
      <c r="A1611" s="29"/>
      <c r="B1611" s="5" t="s">
        <v>4911</v>
      </c>
      <c r="C1611" s="5" t="s">
        <v>14</v>
      </c>
      <c r="D1611" s="5" t="s">
        <v>36</v>
      </c>
      <c r="E1611" s="5" t="s">
        <v>382</v>
      </c>
    </row>
    <row r="1612" ht="15.75" customHeight="1">
      <c r="A1612" s="29"/>
      <c r="B1612" s="5" t="s">
        <v>5069</v>
      </c>
      <c r="C1612" s="5" t="s">
        <v>14</v>
      </c>
      <c r="D1612" s="5" t="s">
        <v>36</v>
      </c>
      <c r="E1612" s="5" t="s">
        <v>382</v>
      </c>
    </row>
    <row r="1613" ht="15.75" customHeight="1">
      <c r="A1613" s="29"/>
      <c r="B1613" s="5" t="s">
        <v>5255</v>
      </c>
      <c r="C1613" s="5" t="s">
        <v>17</v>
      </c>
      <c r="D1613" s="5" t="s">
        <v>36</v>
      </c>
      <c r="E1613" s="5" t="s">
        <v>382</v>
      </c>
    </row>
    <row r="1614" ht="15.75" customHeight="1">
      <c r="A1614" s="29"/>
      <c r="B1614" s="5" t="s">
        <v>3846</v>
      </c>
      <c r="C1614" s="5" t="s">
        <v>22</v>
      </c>
      <c r="D1614" s="5" t="s">
        <v>23</v>
      </c>
      <c r="E1614" s="5" t="s">
        <v>382</v>
      </c>
    </row>
    <row r="1615" ht="15.75" customHeight="1">
      <c r="A1615" s="29"/>
      <c r="B1615" s="5" t="s">
        <v>3992</v>
      </c>
      <c r="C1615" s="5" t="s">
        <v>22</v>
      </c>
      <c r="D1615" s="5" t="s">
        <v>23</v>
      </c>
      <c r="E1615" s="5" t="s">
        <v>382</v>
      </c>
    </row>
    <row r="1616" ht="15.75" customHeight="1">
      <c r="A1616" s="29"/>
      <c r="B1616" s="5" t="s">
        <v>5143</v>
      </c>
      <c r="C1616" s="5" t="s">
        <v>77</v>
      </c>
      <c r="D1616" s="5" t="s">
        <v>23</v>
      </c>
      <c r="E1616" s="5" t="s">
        <v>382</v>
      </c>
    </row>
    <row r="1617" ht="15.75" customHeight="1">
      <c r="A1617" s="29"/>
      <c r="B1617" s="5" t="s">
        <v>4083</v>
      </c>
      <c r="C1617" s="5" t="s">
        <v>79</v>
      </c>
      <c r="D1617" s="5" t="s">
        <v>12</v>
      </c>
      <c r="E1617" s="5" t="s">
        <v>382</v>
      </c>
    </row>
    <row r="1618" ht="15.75" customHeight="1">
      <c r="A1618" s="29"/>
      <c r="B1618" s="5" t="s">
        <v>5276</v>
      </c>
      <c r="C1618" s="5" t="s">
        <v>14</v>
      </c>
      <c r="D1618" s="5" t="s">
        <v>120</v>
      </c>
      <c r="E1618" s="5" t="s">
        <v>382</v>
      </c>
    </row>
    <row r="1619" ht="15.75" customHeight="1">
      <c r="A1619" s="29"/>
      <c r="B1619" s="5" t="s">
        <v>5577</v>
      </c>
      <c r="C1619" s="5" t="s">
        <v>17</v>
      </c>
      <c r="D1619" s="5" t="s">
        <v>206</v>
      </c>
      <c r="E1619" s="5" t="s">
        <v>382</v>
      </c>
    </row>
    <row r="1620" ht="15.75" customHeight="1">
      <c r="A1620" s="29"/>
      <c r="B1620" s="5" t="s">
        <v>5463</v>
      </c>
      <c r="C1620" s="5" t="s">
        <v>14</v>
      </c>
      <c r="D1620" s="5" t="s">
        <v>120</v>
      </c>
      <c r="E1620" s="5" t="s">
        <v>382</v>
      </c>
    </row>
    <row r="1621" ht="15.75" customHeight="1">
      <c r="A1621" s="29"/>
      <c r="B1621" s="5" t="s">
        <v>3538</v>
      </c>
      <c r="C1621" s="5" t="s">
        <v>585</v>
      </c>
      <c r="D1621" s="5" t="s">
        <v>120</v>
      </c>
      <c r="E1621" s="5" t="s">
        <v>382</v>
      </c>
    </row>
    <row r="1622" ht="15.75" customHeight="1">
      <c r="A1622" s="29"/>
      <c r="B1622" s="5" t="s">
        <v>5111</v>
      </c>
      <c r="C1622" s="5" t="s">
        <v>14</v>
      </c>
      <c r="D1622" s="5" t="s">
        <v>67</v>
      </c>
      <c r="E1622" s="5" t="s">
        <v>382</v>
      </c>
    </row>
    <row r="1623" ht="15.75" customHeight="1">
      <c r="A1623" s="29"/>
      <c r="B1623" s="5" t="s">
        <v>5307</v>
      </c>
      <c r="C1623" s="5" t="s">
        <v>48</v>
      </c>
      <c r="D1623" s="5" t="s">
        <v>31</v>
      </c>
      <c r="E1623" s="5" t="s">
        <v>382</v>
      </c>
    </row>
    <row r="1624" ht="15.75" customHeight="1">
      <c r="A1624" s="29"/>
      <c r="B1624" s="5" t="s">
        <v>3763</v>
      </c>
      <c r="C1624" s="5" t="s">
        <v>22</v>
      </c>
      <c r="D1624" s="5" t="s">
        <v>31</v>
      </c>
      <c r="E1624" s="5" t="s">
        <v>382</v>
      </c>
    </row>
    <row r="1625" ht="15.75" customHeight="1">
      <c r="A1625" s="29"/>
      <c r="B1625" s="5" t="s">
        <v>4003</v>
      </c>
      <c r="C1625" s="5" t="s">
        <v>22</v>
      </c>
      <c r="D1625" s="5" t="s">
        <v>137</v>
      </c>
      <c r="E1625" s="5" t="s">
        <v>382</v>
      </c>
    </row>
    <row r="1626" ht="15.75" customHeight="1">
      <c r="A1626" s="29"/>
      <c r="B1626" s="5" t="s">
        <v>3963</v>
      </c>
      <c r="C1626" s="5" t="s">
        <v>22</v>
      </c>
      <c r="D1626" s="5" t="s">
        <v>137</v>
      </c>
      <c r="E1626" s="5" t="s">
        <v>382</v>
      </c>
    </row>
    <row r="1627" ht="15.75" customHeight="1">
      <c r="A1627" s="29"/>
      <c r="B1627" s="5" t="s">
        <v>5170</v>
      </c>
      <c r="C1627" s="5" t="s">
        <v>17</v>
      </c>
      <c r="D1627" s="5" t="s">
        <v>137</v>
      </c>
      <c r="E1627" s="5" t="s">
        <v>382</v>
      </c>
    </row>
    <row r="1628" ht="15.75" customHeight="1">
      <c r="A1628" s="29"/>
      <c r="B1628" s="5" t="s">
        <v>5085</v>
      </c>
      <c r="C1628" s="5" t="s">
        <v>39</v>
      </c>
      <c r="D1628" s="5" t="s">
        <v>137</v>
      </c>
      <c r="E1628" s="5" t="s">
        <v>382</v>
      </c>
    </row>
    <row r="1629" ht="15.75" customHeight="1">
      <c r="A1629" s="29"/>
      <c r="B1629" s="5" t="s">
        <v>4932</v>
      </c>
      <c r="C1629" s="5" t="s">
        <v>14</v>
      </c>
      <c r="D1629" s="5" t="s">
        <v>90</v>
      </c>
      <c r="E1629" s="5" t="s">
        <v>382</v>
      </c>
    </row>
    <row r="1630" ht="15.75" customHeight="1">
      <c r="A1630" s="29"/>
      <c r="B1630" s="5" t="s">
        <v>5467</v>
      </c>
      <c r="C1630" s="5" t="s">
        <v>17</v>
      </c>
      <c r="D1630" s="5" t="s">
        <v>52</v>
      </c>
      <c r="E1630" s="5" t="s">
        <v>382</v>
      </c>
    </row>
    <row r="1631" ht="15.75" customHeight="1">
      <c r="A1631" s="29"/>
      <c r="B1631" s="5" t="s">
        <v>5036</v>
      </c>
      <c r="C1631" s="5" t="s">
        <v>48</v>
      </c>
      <c r="D1631" s="5" t="s">
        <v>52</v>
      </c>
      <c r="E1631" s="5" t="s">
        <v>382</v>
      </c>
    </row>
    <row r="1632" ht="15.75" customHeight="1">
      <c r="A1632" s="29"/>
      <c r="B1632" s="5" t="s">
        <v>4489</v>
      </c>
      <c r="C1632" s="5" t="s">
        <v>220</v>
      </c>
      <c r="D1632" s="5" t="s">
        <v>52</v>
      </c>
      <c r="E1632" s="5" t="s">
        <v>382</v>
      </c>
    </row>
    <row r="1633" ht="15.75" customHeight="1">
      <c r="A1633" s="29"/>
      <c r="B1633" s="5" t="s">
        <v>3951</v>
      </c>
      <c r="C1633" s="5" t="s">
        <v>22</v>
      </c>
      <c r="D1633" s="5" t="s">
        <v>95</v>
      </c>
      <c r="E1633" s="5" t="s">
        <v>382</v>
      </c>
    </row>
    <row r="1634" ht="15.75" customHeight="1">
      <c r="A1634" s="29"/>
      <c r="B1634" s="5" t="s">
        <v>4479</v>
      </c>
      <c r="C1634" s="5" t="s">
        <v>79</v>
      </c>
      <c r="D1634" s="5" t="s">
        <v>95</v>
      </c>
      <c r="E1634" s="5" t="s">
        <v>382</v>
      </c>
    </row>
    <row r="1635" ht="15.75" customHeight="1">
      <c r="A1635" s="29"/>
      <c r="B1635" s="5" t="s">
        <v>5441</v>
      </c>
      <c r="C1635" s="5" t="s">
        <v>39</v>
      </c>
      <c r="D1635" s="5" t="s">
        <v>206</v>
      </c>
      <c r="E1635" s="5" t="s">
        <v>382</v>
      </c>
    </row>
    <row r="1636" ht="15.75" customHeight="1">
      <c r="A1636" s="29"/>
      <c r="B1636" s="5" t="s">
        <v>5065</v>
      </c>
      <c r="C1636" s="5" t="s">
        <v>11</v>
      </c>
      <c r="D1636" s="5" t="s">
        <v>122</v>
      </c>
      <c r="E1636" s="5" t="s">
        <v>382</v>
      </c>
    </row>
    <row r="1637" ht="15.75" customHeight="1">
      <c r="A1637" s="29"/>
      <c r="B1637" s="5" t="s">
        <v>3578</v>
      </c>
      <c r="C1637" s="5" t="s">
        <v>22</v>
      </c>
      <c r="D1637" s="5" t="s">
        <v>122</v>
      </c>
      <c r="E1637" s="5" t="s">
        <v>382</v>
      </c>
    </row>
    <row r="1638" ht="15.75" customHeight="1">
      <c r="A1638" s="29"/>
      <c r="B1638" s="5" t="s">
        <v>5035</v>
      </c>
      <c r="C1638" s="5" t="s">
        <v>14</v>
      </c>
      <c r="D1638" s="5" t="s">
        <v>122</v>
      </c>
      <c r="E1638" s="5" t="s">
        <v>382</v>
      </c>
    </row>
    <row r="1639" ht="15.75" customHeight="1">
      <c r="A1639" s="29"/>
      <c r="B1639" s="5" t="s">
        <v>5371</v>
      </c>
      <c r="C1639" s="5" t="s">
        <v>55</v>
      </c>
      <c r="D1639" s="5" t="s">
        <v>122</v>
      </c>
      <c r="E1639" s="5" t="s">
        <v>382</v>
      </c>
    </row>
    <row r="1640" ht="15.75" customHeight="1">
      <c r="A1640" s="29"/>
      <c r="B1640" s="5" t="s">
        <v>5256</v>
      </c>
      <c r="C1640" s="5" t="s">
        <v>20</v>
      </c>
      <c r="D1640" s="5" t="s">
        <v>82</v>
      </c>
      <c r="E1640" s="5" t="s">
        <v>382</v>
      </c>
    </row>
    <row r="1641" ht="15.75" customHeight="1">
      <c r="A1641" s="29"/>
      <c r="B1641" s="5" t="s">
        <v>5077</v>
      </c>
      <c r="C1641" s="5" t="s">
        <v>11</v>
      </c>
      <c r="D1641" s="5" t="s">
        <v>82</v>
      </c>
      <c r="E1641" s="5" t="s">
        <v>382</v>
      </c>
    </row>
    <row r="1642" ht="15.75" customHeight="1">
      <c r="A1642" s="29"/>
      <c r="B1642" s="5" t="s">
        <v>4867</v>
      </c>
      <c r="C1642" s="5" t="s">
        <v>77</v>
      </c>
      <c r="D1642" s="5" t="s">
        <v>82</v>
      </c>
      <c r="E1642" s="5" t="s">
        <v>382</v>
      </c>
    </row>
    <row r="1643" ht="15.75" customHeight="1">
      <c r="A1643" s="29"/>
      <c r="B1643" s="5" t="s">
        <v>5043</v>
      </c>
      <c r="C1643" s="5" t="s">
        <v>11</v>
      </c>
      <c r="D1643" s="5" t="s">
        <v>105</v>
      </c>
      <c r="E1643" s="5" t="s">
        <v>382</v>
      </c>
    </row>
    <row r="1644" ht="15.75" customHeight="1">
      <c r="A1644" s="29"/>
      <c r="B1644" s="5" t="s">
        <v>4037</v>
      </c>
      <c r="C1644" s="5" t="s">
        <v>79</v>
      </c>
      <c r="D1644" s="5" t="s">
        <v>82</v>
      </c>
      <c r="E1644" s="5" t="s">
        <v>382</v>
      </c>
    </row>
    <row r="1645" ht="15.75" customHeight="1">
      <c r="A1645" s="29"/>
      <c r="B1645" s="5" t="s">
        <v>5139</v>
      </c>
      <c r="C1645" s="5" t="s">
        <v>77</v>
      </c>
      <c r="D1645" s="5" t="s">
        <v>42</v>
      </c>
      <c r="E1645" s="5" t="s">
        <v>382</v>
      </c>
    </row>
    <row r="1646" ht="15.75" customHeight="1">
      <c r="A1646" s="29"/>
      <c r="B1646" s="5" t="s">
        <v>3587</v>
      </c>
      <c r="C1646" s="5" t="s">
        <v>22</v>
      </c>
      <c r="D1646" s="5" t="s">
        <v>82</v>
      </c>
      <c r="E1646" s="5" t="s">
        <v>382</v>
      </c>
    </row>
    <row r="1647" ht="15.75" customHeight="1">
      <c r="A1647" s="29"/>
      <c r="B1647" s="5" t="s">
        <v>5286</v>
      </c>
      <c r="C1647" s="5" t="s">
        <v>39</v>
      </c>
      <c r="D1647" s="5" t="s">
        <v>90</v>
      </c>
      <c r="E1647" s="5" t="s">
        <v>382</v>
      </c>
    </row>
    <row r="1648" ht="15.75" customHeight="1">
      <c r="A1648" s="29"/>
      <c r="B1648" s="5" t="s">
        <v>3666</v>
      </c>
      <c r="C1648" s="5" t="s">
        <v>22</v>
      </c>
      <c r="D1648" s="5" t="s">
        <v>31</v>
      </c>
      <c r="E1648" s="5" t="s">
        <v>382</v>
      </c>
    </row>
    <row r="1649" ht="15.75" customHeight="1">
      <c r="A1649" s="29"/>
      <c r="B1649" s="5" t="s">
        <v>4783</v>
      </c>
      <c r="C1649" s="5" t="s">
        <v>11</v>
      </c>
      <c r="D1649" s="5" t="s">
        <v>82</v>
      </c>
      <c r="E1649" s="5" t="s">
        <v>382</v>
      </c>
    </row>
    <row r="1650" ht="15.75" customHeight="1">
      <c r="A1650" s="29"/>
      <c r="B1650" s="5" t="s">
        <v>4715</v>
      </c>
      <c r="C1650" s="5" t="s">
        <v>218</v>
      </c>
      <c r="D1650" s="5" t="s">
        <v>71</v>
      </c>
      <c r="E1650" s="5" t="s">
        <v>382</v>
      </c>
    </row>
    <row r="1651" ht="15.75" customHeight="1">
      <c r="A1651" s="29"/>
      <c r="B1651" s="5" t="s">
        <v>3764</v>
      </c>
      <c r="C1651" s="5" t="s">
        <v>22</v>
      </c>
      <c r="D1651" s="5" t="s">
        <v>71</v>
      </c>
      <c r="E1651" s="5" t="s">
        <v>382</v>
      </c>
    </row>
    <row r="1652" ht="15.75" customHeight="1">
      <c r="A1652" s="29"/>
      <c r="B1652" s="5" t="s">
        <v>3576</v>
      </c>
      <c r="C1652" s="5" t="s">
        <v>22</v>
      </c>
      <c r="D1652" s="5" t="s">
        <v>71</v>
      </c>
      <c r="E1652" s="5" t="s">
        <v>382</v>
      </c>
    </row>
    <row r="1653" ht="15.75" customHeight="1">
      <c r="A1653" s="29"/>
      <c r="B1653" s="5" t="s">
        <v>5411</v>
      </c>
      <c r="C1653" s="5" t="s">
        <v>11</v>
      </c>
      <c r="D1653" s="5" t="s">
        <v>15</v>
      </c>
      <c r="E1653" s="5" t="s">
        <v>382</v>
      </c>
    </row>
    <row r="1654" ht="15.75" customHeight="1">
      <c r="A1654" s="29"/>
      <c r="B1654" s="5" t="s">
        <v>3800</v>
      </c>
      <c r="C1654" s="5" t="s">
        <v>22</v>
      </c>
      <c r="D1654" s="5" t="s">
        <v>15</v>
      </c>
      <c r="E1654" s="5" t="s">
        <v>382</v>
      </c>
    </row>
    <row r="1655" ht="15.75" customHeight="1">
      <c r="A1655" s="29"/>
      <c r="B1655" s="5" t="s">
        <v>5040</v>
      </c>
      <c r="C1655" s="5" t="s">
        <v>14</v>
      </c>
      <c r="D1655" s="5" t="s">
        <v>15</v>
      </c>
      <c r="E1655" s="5" t="s">
        <v>382</v>
      </c>
    </row>
    <row r="1656" ht="15.75" customHeight="1">
      <c r="A1656" s="29"/>
      <c r="B1656" s="5" t="s">
        <v>3997</v>
      </c>
      <c r="C1656" s="5" t="s">
        <v>22</v>
      </c>
      <c r="D1656" s="5" t="s">
        <v>15</v>
      </c>
      <c r="E1656" s="5" t="s">
        <v>382</v>
      </c>
    </row>
    <row r="1657" ht="15.75" customHeight="1">
      <c r="A1657" s="29"/>
      <c r="B1657" s="5" t="s">
        <v>3949</v>
      </c>
      <c r="C1657" s="5" t="s">
        <v>11</v>
      </c>
      <c r="D1657" s="5" t="s">
        <v>120</v>
      </c>
      <c r="E1657" s="5" t="s">
        <v>382</v>
      </c>
    </row>
    <row r="1658" ht="15.75" customHeight="1">
      <c r="A1658" s="29"/>
      <c r="B1658" s="5" t="s">
        <v>4950</v>
      </c>
      <c r="C1658" s="5" t="s">
        <v>39</v>
      </c>
      <c r="D1658" s="5" t="s">
        <v>18</v>
      </c>
      <c r="E1658" s="5" t="s">
        <v>382</v>
      </c>
    </row>
    <row r="1659" ht="15.75" customHeight="1">
      <c r="A1659" s="29"/>
      <c r="B1659" s="5" t="s">
        <v>3549</v>
      </c>
      <c r="C1659" s="5" t="s">
        <v>22</v>
      </c>
      <c r="D1659" s="5" t="s">
        <v>18</v>
      </c>
      <c r="E1659" s="5" t="s">
        <v>382</v>
      </c>
    </row>
    <row r="1660" ht="15.75" customHeight="1">
      <c r="A1660" s="29"/>
      <c r="B1660" s="5" t="s">
        <v>4056</v>
      </c>
      <c r="C1660" s="5" t="s">
        <v>22</v>
      </c>
      <c r="D1660" s="5" t="s">
        <v>18</v>
      </c>
      <c r="E1660" s="5" t="s">
        <v>382</v>
      </c>
    </row>
    <row r="1661" ht="15.75" customHeight="1">
      <c r="A1661" s="29"/>
      <c r="B1661" s="5" t="s">
        <v>4233</v>
      </c>
      <c r="C1661" s="5" t="s">
        <v>22</v>
      </c>
      <c r="D1661" s="5" t="s">
        <v>18</v>
      </c>
      <c r="E1661" s="5" t="s">
        <v>382</v>
      </c>
    </row>
    <row r="1662" ht="15.75" customHeight="1">
      <c r="A1662" s="29"/>
      <c r="B1662" s="5" t="s">
        <v>5068</v>
      </c>
      <c r="C1662" s="5" t="s">
        <v>14</v>
      </c>
      <c r="D1662" s="5" t="s">
        <v>140</v>
      </c>
      <c r="E1662" s="5" t="s">
        <v>382</v>
      </c>
    </row>
    <row r="1663" ht="15.75" customHeight="1">
      <c r="A1663" s="29"/>
      <c r="B1663" s="5" t="s">
        <v>3991</v>
      </c>
      <c r="C1663" s="5" t="s">
        <v>22</v>
      </c>
      <c r="D1663" s="5" t="s">
        <v>140</v>
      </c>
      <c r="E1663" s="5" t="s">
        <v>382</v>
      </c>
    </row>
    <row r="1664" ht="15.75" customHeight="1">
      <c r="A1664" s="29"/>
      <c r="B1664" s="5" t="s">
        <v>4831</v>
      </c>
      <c r="C1664" s="5" t="s">
        <v>14</v>
      </c>
      <c r="D1664" s="5" t="s">
        <v>140</v>
      </c>
      <c r="E1664" s="5" t="s">
        <v>382</v>
      </c>
    </row>
    <row r="1665" ht="15.75" customHeight="1">
      <c r="A1665" s="29"/>
      <c r="B1665" s="5" t="s">
        <v>5314</v>
      </c>
      <c r="C1665" s="5" t="s">
        <v>39</v>
      </c>
      <c r="D1665" s="5" t="s">
        <v>140</v>
      </c>
      <c r="E1665" s="5" t="s">
        <v>382</v>
      </c>
    </row>
    <row r="1666" ht="15.75" customHeight="1">
      <c r="A1666" s="29"/>
      <c r="B1666" s="5" t="s">
        <v>4707</v>
      </c>
      <c r="C1666" s="5" t="s">
        <v>48</v>
      </c>
      <c r="D1666" s="5" t="s">
        <v>18</v>
      </c>
      <c r="E1666" s="5" t="s">
        <v>382</v>
      </c>
    </row>
    <row r="1667" ht="15.75" customHeight="1">
      <c r="A1667" s="29"/>
      <c r="B1667" s="5" t="s">
        <v>3842</v>
      </c>
      <c r="C1667" s="5" t="s">
        <v>22</v>
      </c>
      <c r="D1667" s="5" t="s">
        <v>122</v>
      </c>
      <c r="E1667" s="5" t="s">
        <v>382</v>
      </c>
    </row>
    <row r="1668" ht="15.75" customHeight="1">
      <c r="A1668" s="29"/>
      <c r="B1668" s="5" t="s">
        <v>4034</v>
      </c>
      <c r="C1668" s="5" t="s">
        <v>79</v>
      </c>
      <c r="D1668" s="5" t="s">
        <v>49</v>
      </c>
      <c r="E1668" s="5" t="s">
        <v>382</v>
      </c>
    </row>
    <row r="1669" ht="15.75" customHeight="1">
      <c r="A1669" s="29"/>
      <c r="B1669" s="5" t="s">
        <v>3749</v>
      </c>
      <c r="C1669" s="5" t="s">
        <v>79</v>
      </c>
      <c r="D1669" s="5" t="s">
        <v>49</v>
      </c>
      <c r="E1669" s="5" t="s">
        <v>382</v>
      </c>
    </row>
    <row r="1670" ht="15.75" customHeight="1">
      <c r="A1670" s="29"/>
      <c r="B1670" s="5" t="s">
        <v>3912</v>
      </c>
      <c r="C1670" s="5" t="s">
        <v>22</v>
      </c>
      <c r="D1670" s="5" t="s">
        <v>49</v>
      </c>
      <c r="E1670" s="5" t="s">
        <v>382</v>
      </c>
    </row>
    <row r="1671" ht="15.75" customHeight="1">
      <c r="A1671" s="29"/>
      <c r="B1671" s="5" t="s">
        <v>4365</v>
      </c>
      <c r="C1671" s="5" t="s">
        <v>79</v>
      </c>
      <c r="D1671" s="5" t="s">
        <v>73</v>
      </c>
      <c r="E1671" s="5" t="s">
        <v>382</v>
      </c>
    </row>
    <row r="1672" ht="15.75" customHeight="1">
      <c r="A1672" s="29"/>
      <c r="B1672" s="5" t="s">
        <v>3994</v>
      </c>
      <c r="C1672" s="5" t="s">
        <v>22</v>
      </c>
      <c r="D1672" s="5" t="s">
        <v>73</v>
      </c>
      <c r="E1672" s="5" t="s">
        <v>382</v>
      </c>
    </row>
    <row r="1673" ht="15.75" customHeight="1">
      <c r="A1673" s="29"/>
      <c r="B1673" s="5" t="s">
        <v>3559</v>
      </c>
      <c r="C1673" s="5" t="s">
        <v>22</v>
      </c>
      <c r="D1673" s="5" t="s">
        <v>73</v>
      </c>
      <c r="E1673" s="5" t="s">
        <v>382</v>
      </c>
    </row>
    <row r="1674" ht="15.75" customHeight="1">
      <c r="A1674" s="29"/>
      <c r="B1674" s="5" t="s">
        <v>4662</v>
      </c>
      <c r="C1674" s="5" t="s">
        <v>22</v>
      </c>
      <c r="D1674" s="5" t="s">
        <v>73</v>
      </c>
      <c r="E1674" s="5" t="s">
        <v>382</v>
      </c>
    </row>
    <row r="1675" ht="15.75" customHeight="1">
      <c r="A1675" s="29"/>
      <c r="B1675" s="5" t="s">
        <v>4463</v>
      </c>
      <c r="C1675" s="5" t="s">
        <v>22</v>
      </c>
      <c r="D1675" s="5" t="s">
        <v>73</v>
      </c>
      <c r="E1675" s="5" t="s">
        <v>382</v>
      </c>
    </row>
    <row r="1676" ht="15.75" customHeight="1">
      <c r="A1676" s="29"/>
      <c r="B1676" s="5" t="s">
        <v>5316</v>
      </c>
      <c r="C1676" s="5" t="s">
        <v>39</v>
      </c>
      <c r="D1676" s="5" t="s">
        <v>42</v>
      </c>
      <c r="E1676" s="5" t="s">
        <v>382</v>
      </c>
    </row>
    <row r="1677" ht="15.75" customHeight="1">
      <c r="A1677" s="29"/>
      <c r="B1677" s="5" t="s">
        <v>4302</v>
      </c>
      <c r="C1677" s="5" t="s">
        <v>22</v>
      </c>
      <c r="D1677" s="5" t="s">
        <v>42</v>
      </c>
      <c r="E1677" s="5" t="s">
        <v>382</v>
      </c>
    </row>
    <row r="1678" ht="15.75" customHeight="1">
      <c r="A1678" s="29"/>
      <c r="B1678" s="5" t="s">
        <v>3537</v>
      </c>
      <c r="C1678" s="5" t="s">
        <v>585</v>
      </c>
      <c r="D1678" s="5" t="s">
        <v>34</v>
      </c>
      <c r="E1678" s="5" t="s">
        <v>382</v>
      </c>
    </row>
    <row r="1679" ht="15.75" customHeight="1">
      <c r="A1679" s="29"/>
      <c r="B1679" s="5" t="s">
        <v>5329</v>
      </c>
      <c r="C1679" s="5" t="s">
        <v>14</v>
      </c>
      <c r="D1679" s="5" t="s">
        <v>42</v>
      </c>
      <c r="E1679" s="5" t="s">
        <v>382</v>
      </c>
    </row>
    <row r="1680" ht="15.75" customHeight="1">
      <c r="A1680" s="29"/>
      <c r="B1680" s="5" t="s">
        <v>5498</v>
      </c>
      <c r="C1680" s="5" t="s">
        <v>11</v>
      </c>
      <c r="D1680" s="5" t="s">
        <v>42</v>
      </c>
      <c r="E1680" s="5" t="s">
        <v>382</v>
      </c>
    </row>
    <row r="1681" ht="15.75" customHeight="1">
      <c r="A1681" s="29"/>
      <c r="B1681" s="5" t="s">
        <v>4431</v>
      </c>
      <c r="C1681" s="5" t="s">
        <v>79</v>
      </c>
      <c r="D1681" s="5" t="s">
        <v>206</v>
      </c>
      <c r="E1681" s="5" t="s">
        <v>382</v>
      </c>
    </row>
    <row r="1682" ht="15.75" customHeight="1">
      <c r="A1682" s="29"/>
      <c r="B1682" s="5" t="s">
        <v>5061</v>
      </c>
      <c r="C1682" s="5" t="s">
        <v>39</v>
      </c>
      <c r="D1682" s="5" t="s">
        <v>206</v>
      </c>
      <c r="E1682" s="5" t="s">
        <v>382</v>
      </c>
    </row>
    <row r="1683" ht="15.75" customHeight="1">
      <c r="A1683" s="29"/>
      <c r="B1683" s="5" t="s">
        <v>5243</v>
      </c>
      <c r="C1683" s="5" t="s">
        <v>77</v>
      </c>
      <c r="D1683" s="5" t="s">
        <v>122</v>
      </c>
      <c r="E1683" s="5" t="s">
        <v>382</v>
      </c>
    </row>
    <row r="1684" ht="15.75" customHeight="1">
      <c r="A1684" s="29"/>
      <c r="B1684" s="5" t="s">
        <v>4764</v>
      </c>
      <c r="C1684" s="5" t="s">
        <v>14</v>
      </c>
      <c r="D1684" s="5" t="s">
        <v>113</v>
      </c>
      <c r="E1684" s="5" t="s">
        <v>382</v>
      </c>
    </row>
    <row r="1685" ht="15.75" customHeight="1">
      <c r="A1685" s="29"/>
      <c r="B1685" s="5" t="s">
        <v>4984</v>
      </c>
      <c r="C1685" s="5" t="s">
        <v>55</v>
      </c>
      <c r="D1685" s="5" t="s">
        <v>206</v>
      </c>
      <c r="E1685" s="5" t="s">
        <v>382</v>
      </c>
    </row>
    <row r="1686" ht="15.75" customHeight="1">
      <c r="A1686" s="29"/>
      <c r="B1686" s="5" t="s">
        <v>5420</v>
      </c>
      <c r="C1686" s="5" t="s">
        <v>39</v>
      </c>
      <c r="D1686" s="5" t="s">
        <v>129</v>
      </c>
      <c r="E1686" s="5" t="s">
        <v>382</v>
      </c>
    </row>
    <row r="1687" ht="15.75" customHeight="1">
      <c r="A1687" s="29"/>
      <c r="B1687" s="5" t="s">
        <v>5263</v>
      </c>
      <c r="C1687" s="5" t="s">
        <v>17</v>
      </c>
      <c r="D1687" s="5" t="s">
        <v>23</v>
      </c>
      <c r="E1687" s="5" t="s">
        <v>382</v>
      </c>
    </row>
    <row r="1688" ht="15.75" customHeight="1">
      <c r="A1688" s="29"/>
      <c r="B1688" s="5" t="s">
        <v>3729</v>
      </c>
      <c r="C1688" s="5" t="s">
        <v>22</v>
      </c>
      <c r="D1688" s="5" t="s">
        <v>129</v>
      </c>
      <c r="E1688" s="5" t="s">
        <v>382</v>
      </c>
    </row>
    <row r="1689" ht="15.75" customHeight="1">
      <c r="A1689" s="29"/>
      <c r="B1689" s="5" t="s">
        <v>3577</v>
      </c>
      <c r="C1689" s="5" t="s">
        <v>22</v>
      </c>
      <c r="D1689" s="5" t="s">
        <v>31</v>
      </c>
      <c r="E1689" s="5" t="s">
        <v>382</v>
      </c>
    </row>
    <row r="1690" ht="15.75" customHeight="1">
      <c r="A1690" s="29"/>
      <c r="B1690" s="5" t="s">
        <v>3945</v>
      </c>
      <c r="C1690" s="5" t="s">
        <v>22</v>
      </c>
      <c r="D1690" s="5" t="s">
        <v>129</v>
      </c>
      <c r="E1690" s="5" t="s">
        <v>382</v>
      </c>
    </row>
    <row r="1691" ht="15.75" customHeight="1">
      <c r="A1691" s="29"/>
      <c r="B1691" s="5" t="s">
        <v>5348</v>
      </c>
      <c r="C1691" s="5" t="s">
        <v>14</v>
      </c>
      <c r="D1691" s="5" t="s">
        <v>12</v>
      </c>
      <c r="E1691" s="5" t="s">
        <v>382</v>
      </c>
    </row>
    <row r="1692" ht="15.75" customHeight="1">
      <c r="A1692" s="29"/>
      <c r="B1692" s="5" t="s">
        <v>5177</v>
      </c>
      <c r="C1692" s="5" t="s">
        <v>14</v>
      </c>
      <c r="D1692" s="5" t="s">
        <v>12</v>
      </c>
      <c r="E1692" s="5" t="s">
        <v>382</v>
      </c>
    </row>
    <row r="1693" ht="15.75" customHeight="1">
      <c r="A1693" s="29"/>
      <c r="B1693" s="5" t="s">
        <v>4240</v>
      </c>
      <c r="C1693" s="5" t="s">
        <v>22</v>
      </c>
      <c r="D1693" s="5" t="s">
        <v>12</v>
      </c>
      <c r="E1693" s="5" t="s">
        <v>382</v>
      </c>
    </row>
    <row r="1694" ht="15.75" customHeight="1">
      <c r="A1694" s="29"/>
      <c r="B1694" s="5" t="s">
        <v>5446</v>
      </c>
      <c r="C1694" s="5" t="s">
        <v>14</v>
      </c>
      <c r="D1694" s="5" t="s">
        <v>12</v>
      </c>
      <c r="E1694" s="5" t="s">
        <v>382</v>
      </c>
    </row>
    <row r="1695" ht="15.75" customHeight="1">
      <c r="A1695" s="29"/>
      <c r="B1695" s="5" t="s">
        <v>5418</v>
      </c>
      <c r="C1695" s="5" t="s">
        <v>14</v>
      </c>
      <c r="D1695" s="5" t="s">
        <v>12</v>
      </c>
      <c r="E1695" s="5" t="s">
        <v>382</v>
      </c>
    </row>
    <row r="1696" ht="15.75" customHeight="1">
      <c r="A1696" s="29"/>
      <c r="B1696" s="5" t="s">
        <v>4480</v>
      </c>
      <c r="C1696" s="5" t="s">
        <v>79</v>
      </c>
      <c r="D1696" s="5" t="s">
        <v>105</v>
      </c>
      <c r="E1696" s="5" t="s">
        <v>382</v>
      </c>
    </row>
    <row r="1697" ht="15.75" customHeight="1">
      <c r="A1697" s="29"/>
      <c r="B1697" s="5" t="s">
        <v>3675</v>
      </c>
      <c r="C1697" s="5" t="s">
        <v>22</v>
      </c>
      <c r="D1697" s="5" t="s">
        <v>105</v>
      </c>
      <c r="E1697" s="5" t="s">
        <v>382</v>
      </c>
    </row>
    <row r="1698" ht="15.75" customHeight="1">
      <c r="A1698" s="29"/>
      <c r="B1698" s="5" t="s">
        <v>5011</v>
      </c>
      <c r="C1698" s="5" t="s">
        <v>55</v>
      </c>
      <c r="D1698" s="5" t="s">
        <v>120</v>
      </c>
      <c r="E1698" s="5" t="s">
        <v>382</v>
      </c>
    </row>
    <row r="1699" ht="15.75" customHeight="1">
      <c r="A1699" s="29"/>
      <c r="B1699" s="5" t="s">
        <v>4140</v>
      </c>
      <c r="C1699" s="5" t="s">
        <v>79</v>
      </c>
      <c r="D1699" s="5" t="s">
        <v>122</v>
      </c>
      <c r="E1699" s="5" t="s">
        <v>382</v>
      </c>
    </row>
    <row r="1700" ht="15.75" customHeight="1">
      <c r="A1700" s="29"/>
      <c r="B1700" s="5" t="s">
        <v>4925</v>
      </c>
      <c r="C1700" s="5" t="s">
        <v>14</v>
      </c>
      <c r="D1700" s="5" t="s">
        <v>46</v>
      </c>
      <c r="E1700" s="5" t="s">
        <v>382</v>
      </c>
    </row>
    <row r="1701" ht="15.75" customHeight="1">
      <c r="A1701" s="29"/>
      <c r="B1701" s="5" t="s">
        <v>4128</v>
      </c>
      <c r="C1701" s="5" t="s">
        <v>79</v>
      </c>
      <c r="D1701" s="5" t="s">
        <v>105</v>
      </c>
      <c r="E1701" s="5" t="s">
        <v>382</v>
      </c>
    </row>
    <row r="1702" ht="15.75" customHeight="1">
      <c r="A1702" s="29"/>
      <c r="B1702" s="5" t="s">
        <v>3765</v>
      </c>
      <c r="C1702" s="5" t="s">
        <v>22</v>
      </c>
      <c r="D1702" s="5" t="s">
        <v>46</v>
      </c>
      <c r="E1702" s="5" t="s">
        <v>382</v>
      </c>
    </row>
    <row r="1703" ht="15.75" customHeight="1">
      <c r="A1703" s="29"/>
      <c r="B1703" s="5" t="s">
        <v>4931</v>
      </c>
      <c r="C1703" s="5" t="s">
        <v>14</v>
      </c>
      <c r="D1703" s="5" t="s">
        <v>46</v>
      </c>
      <c r="E1703" s="5" t="s">
        <v>382</v>
      </c>
    </row>
    <row r="1704" ht="15.75" customHeight="1">
      <c r="A1704" s="29"/>
      <c r="B1704" s="5" t="s">
        <v>4220</v>
      </c>
      <c r="C1704" s="5" t="s">
        <v>79</v>
      </c>
      <c r="D1704" s="5" t="s">
        <v>46</v>
      </c>
      <c r="E1704" s="5" t="s">
        <v>382</v>
      </c>
    </row>
    <row r="1705" ht="15.75" customHeight="1">
      <c r="A1705" s="29"/>
      <c r="B1705" s="5" t="s">
        <v>4500</v>
      </c>
      <c r="C1705" s="5" t="s">
        <v>79</v>
      </c>
      <c r="D1705" s="5" t="s">
        <v>113</v>
      </c>
      <c r="E1705" s="5" t="s">
        <v>382</v>
      </c>
    </row>
    <row r="1706" ht="15.75" customHeight="1">
      <c r="A1706" s="29"/>
      <c r="B1706" s="5" t="s">
        <v>5196</v>
      </c>
      <c r="C1706" s="5" t="s">
        <v>39</v>
      </c>
      <c r="D1706" s="5" t="s">
        <v>113</v>
      </c>
      <c r="E1706" s="5" t="s">
        <v>382</v>
      </c>
    </row>
    <row r="1707" ht="15.75" customHeight="1">
      <c r="A1707" s="29"/>
      <c r="B1707" s="5" t="s">
        <v>5012</v>
      </c>
      <c r="C1707" s="5" t="s">
        <v>77</v>
      </c>
      <c r="D1707" s="5" t="s">
        <v>113</v>
      </c>
      <c r="E1707" s="5" t="s">
        <v>382</v>
      </c>
    </row>
    <row r="1708" ht="15.75" customHeight="1">
      <c r="A1708" s="29"/>
      <c r="B1708" s="5" t="s">
        <v>4336</v>
      </c>
      <c r="C1708" s="5" t="s">
        <v>79</v>
      </c>
      <c r="D1708" s="5" t="s">
        <v>27</v>
      </c>
      <c r="E1708" s="5" t="s">
        <v>382</v>
      </c>
    </row>
    <row r="1709" ht="15.75" customHeight="1">
      <c r="A1709" s="29"/>
      <c r="B1709" s="5" t="s">
        <v>4879</v>
      </c>
      <c r="C1709" s="5" t="s">
        <v>33</v>
      </c>
      <c r="D1709" s="5" t="s">
        <v>129</v>
      </c>
      <c r="E1709" s="5" t="s">
        <v>382</v>
      </c>
    </row>
    <row r="1710" ht="15.75" customHeight="1">
      <c r="A1710" s="29"/>
      <c r="B1710" s="5" t="s">
        <v>5437</v>
      </c>
      <c r="C1710" s="5" t="s">
        <v>55</v>
      </c>
      <c r="D1710" s="5" t="s">
        <v>27</v>
      </c>
      <c r="E1710" s="5" t="s">
        <v>382</v>
      </c>
    </row>
    <row r="1711" ht="15.75" customHeight="1">
      <c r="A1711" s="29"/>
      <c r="B1711" s="5" t="s">
        <v>5031</v>
      </c>
      <c r="C1711" s="5" t="s">
        <v>14</v>
      </c>
      <c r="D1711" s="5" t="s">
        <v>27</v>
      </c>
      <c r="E1711" s="5" t="s">
        <v>382</v>
      </c>
    </row>
    <row r="1712" ht="15.75" customHeight="1">
      <c r="A1712" s="29"/>
      <c r="B1712" s="5" t="s">
        <v>3726</v>
      </c>
      <c r="C1712" s="5" t="s">
        <v>22</v>
      </c>
      <c r="D1712" s="5" t="s">
        <v>27</v>
      </c>
      <c r="E1712" s="5" t="s">
        <v>382</v>
      </c>
    </row>
    <row r="1713" ht="15.75" customHeight="1">
      <c r="A1713" s="29"/>
      <c r="B1713" s="5" t="s">
        <v>3915</v>
      </c>
      <c r="C1713" s="5" t="s">
        <v>22</v>
      </c>
      <c r="D1713" s="5" t="s">
        <v>67</v>
      </c>
      <c r="E1713" s="5" t="s">
        <v>382</v>
      </c>
    </row>
    <row r="1714" ht="15.75" customHeight="1">
      <c r="A1714" s="29"/>
      <c r="B1714" s="5" t="s">
        <v>3382</v>
      </c>
      <c r="C1714" s="5" t="s">
        <v>220</v>
      </c>
      <c r="D1714" s="5" t="s">
        <v>67</v>
      </c>
      <c r="E1714" s="5" t="s">
        <v>382</v>
      </c>
    </row>
    <row r="1715" ht="15.75" customHeight="1">
      <c r="A1715" s="29"/>
      <c r="B1715" s="5" t="s">
        <v>4713</v>
      </c>
      <c r="C1715" s="5" t="s">
        <v>63</v>
      </c>
      <c r="D1715" s="5" t="s">
        <v>67</v>
      </c>
      <c r="E1715" s="5" t="s">
        <v>382</v>
      </c>
    </row>
    <row r="1716" ht="15.75" customHeight="1">
      <c r="A1716" s="29"/>
      <c r="B1716" s="5" t="s">
        <v>5202</v>
      </c>
      <c r="C1716" s="5" t="s">
        <v>39</v>
      </c>
      <c r="D1716" s="5" t="s">
        <v>23</v>
      </c>
      <c r="E1716" s="5" t="s">
        <v>382</v>
      </c>
    </row>
    <row r="1717" ht="15.75" customHeight="1">
      <c r="A1717" s="29"/>
      <c r="B1717" s="5" t="s">
        <v>4744</v>
      </c>
      <c r="C1717" s="5" t="s">
        <v>11</v>
      </c>
      <c r="D1717" s="5" t="s">
        <v>67</v>
      </c>
      <c r="E1717" s="5" t="s">
        <v>382</v>
      </c>
    </row>
    <row r="1718" ht="15.75" customHeight="1">
      <c r="A1718" s="29"/>
      <c r="B1718" s="5" t="s">
        <v>4016</v>
      </c>
      <c r="C1718" s="5" t="s">
        <v>79</v>
      </c>
      <c r="D1718" s="5" t="s">
        <v>34</v>
      </c>
      <c r="E1718" s="5" t="s">
        <v>382</v>
      </c>
    </row>
    <row r="1719" ht="15.75" customHeight="1">
      <c r="A1719" s="29"/>
      <c r="B1719" s="5" t="s">
        <v>4999</v>
      </c>
      <c r="C1719" s="5" t="s">
        <v>39</v>
      </c>
      <c r="D1719" s="5" t="s">
        <v>34</v>
      </c>
      <c r="E1719" s="5" t="s">
        <v>382</v>
      </c>
    </row>
    <row r="1720" ht="15.75" customHeight="1">
      <c r="A1720" s="29"/>
      <c r="B1720" s="5" t="s">
        <v>5142</v>
      </c>
      <c r="C1720" s="5" t="s">
        <v>39</v>
      </c>
      <c r="D1720" s="5" t="s">
        <v>34</v>
      </c>
      <c r="E1720" s="5" t="s">
        <v>382</v>
      </c>
    </row>
    <row r="1721" ht="15.75" customHeight="1">
      <c r="A1721" s="29"/>
      <c r="B1721" s="5" t="s">
        <v>3982</v>
      </c>
      <c r="C1721" s="5" t="s">
        <v>22</v>
      </c>
      <c r="D1721" s="5" t="s">
        <v>34</v>
      </c>
      <c r="E1721" s="5" t="s">
        <v>382</v>
      </c>
    </row>
    <row r="1722" ht="15.75" customHeight="1">
      <c r="A1722" s="29"/>
      <c r="B1722" s="5" t="s">
        <v>3711</v>
      </c>
      <c r="C1722" s="5" t="s">
        <v>22</v>
      </c>
      <c r="D1722" s="5" t="s">
        <v>9</v>
      </c>
      <c r="E1722" s="5" t="s">
        <v>382</v>
      </c>
    </row>
    <row r="1723" ht="15.75" customHeight="1">
      <c r="A1723" s="29"/>
      <c r="B1723" s="5" t="s">
        <v>3792</v>
      </c>
      <c r="C1723" s="5" t="s">
        <v>22</v>
      </c>
      <c r="D1723" s="5" t="s">
        <v>9</v>
      </c>
      <c r="E1723" s="5" t="s">
        <v>382</v>
      </c>
    </row>
    <row r="1724" ht="15.75" customHeight="1">
      <c r="A1724" s="29"/>
      <c r="B1724" s="5" t="s">
        <v>4353</v>
      </c>
      <c r="C1724" s="5" t="s">
        <v>79</v>
      </c>
      <c r="D1724" s="5" t="s">
        <v>140</v>
      </c>
      <c r="E1724" s="5" t="s">
        <v>382</v>
      </c>
    </row>
    <row r="1725" ht="15.75" customHeight="1">
      <c r="A1725" s="29"/>
      <c r="B1725" s="5" t="s">
        <v>4834</v>
      </c>
      <c r="C1725" s="5" t="s">
        <v>77</v>
      </c>
      <c r="D1725" s="5" t="s">
        <v>42</v>
      </c>
      <c r="E1725" s="5" t="s">
        <v>382</v>
      </c>
    </row>
    <row r="1726" ht="15.75" customHeight="1">
      <c r="A1726" s="29"/>
      <c r="B1726" s="5" t="s">
        <v>5501</v>
      </c>
      <c r="C1726" s="5" t="s">
        <v>14</v>
      </c>
      <c r="D1726" s="5" t="s">
        <v>85</v>
      </c>
      <c r="E1726" s="5" t="s">
        <v>382</v>
      </c>
    </row>
    <row r="1727" ht="15.75" customHeight="1">
      <c r="A1727" s="29"/>
      <c r="B1727" s="5" t="s">
        <v>4603</v>
      </c>
      <c r="C1727" s="5" t="s">
        <v>220</v>
      </c>
      <c r="D1727" s="5" t="s">
        <v>90</v>
      </c>
      <c r="E1727" s="5" t="s">
        <v>382</v>
      </c>
    </row>
    <row r="1728" ht="15.75" customHeight="1">
      <c r="A1728" s="29"/>
      <c r="B1728" s="5" t="s">
        <v>3686</v>
      </c>
      <c r="C1728" s="5" t="s">
        <v>22</v>
      </c>
      <c r="D1728" s="5" t="s">
        <v>85</v>
      </c>
      <c r="E1728" s="5" t="s">
        <v>382</v>
      </c>
    </row>
    <row r="1729" ht="15.75" customHeight="1">
      <c r="A1729" s="29"/>
      <c r="B1729" s="5" t="s">
        <v>5339</v>
      </c>
      <c r="C1729" s="5" t="s">
        <v>48</v>
      </c>
      <c r="D1729" s="5" t="s">
        <v>85</v>
      </c>
      <c r="E1729" s="5" t="s">
        <v>382</v>
      </c>
    </row>
    <row r="1730" ht="15.75" customHeight="1">
      <c r="A1730" s="29"/>
      <c r="B1730" s="5" t="s">
        <v>5475</v>
      </c>
      <c r="C1730" s="5" t="s">
        <v>14</v>
      </c>
      <c r="D1730" s="5" t="s">
        <v>85</v>
      </c>
      <c r="E1730" s="5" t="s">
        <v>382</v>
      </c>
    </row>
    <row r="1731" ht="15.75" customHeight="1">
      <c r="A1731" s="29"/>
      <c r="B1731" s="5" t="s">
        <v>5259</v>
      </c>
      <c r="C1731" s="5" t="s">
        <v>39</v>
      </c>
      <c r="D1731" s="5" t="s">
        <v>25</v>
      </c>
      <c r="E1731" s="5" t="s">
        <v>382</v>
      </c>
    </row>
    <row r="1732" ht="15.75" customHeight="1">
      <c r="A1732" s="29"/>
      <c r="B1732" s="5" t="s">
        <v>5423</v>
      </c>
      <c r="C1732" s="5" t="s">
        <v>17</v>
      </c>
      <c r="D1732" s="5" t="s">
        <v>25</v>
      </c>
      <c r="E1732" s="5" t="s">
        <v>382</v>
      </c>
    </row>
    <row r="1733" ht="15.75" customHeight="1">
      <c r="A1733" s="29"/>
      <c r="B1733" s="5" t="s">
        <v>4887</v>
      </c>
      <c r="C1733" s="5" t="s">
        <v>77</v>
      </c>
      <c r="D1733" s="5" t="s">
        <v>25</v>
      </c>
      <c r="E1733" s="5" t="s">
        <v>382</v>
      </c>
    </row>
    <row r="1734" ht="15.75" customHeight="1">
      <c r="A1734" s="29"/>
      <c r="B1734" s="5" t="s">
        <v>5603</v>
      </c>
      <c r="C1734" s="5" t="s">
        <v>39</v>
      </c>
      <c r="D1734" s="5" t="s">
        <v>25</v>
      </c>
      <c r="E1734" s="5" t="s">
        <v>382</v>
      </c>
    </row>
    <row r="1735" ht="15.75" customHeight="1">
      <c r="A1735" s="29"/>
      <c r="B1735" s="5" t="s">
        <v>5370</v>
      </c>
      <c r="C1735" s="5" t="s">
        <v>11</v>
      </c>
      <c r="D1735" s="5" t="s">
        <v>99</v>
      </c>
      <c r="E1735" s="5" t="s">
        <v>382</v>
      </c>
    </row>
    <row r="1736" ht="15.75" customHeight="1">
      <c r="A1736" s="29"/>
      <c r="B1736" s="5" t="s">
        <v>3839</v>
      </c>
      <c r="C1736" s="5" t="s">
        <v>22</v>
      </c>
      <c r="D1736" s="5" t="s">
        <v>99</v>
      </c>
      <c r="E1736" s="5" t="s">
        <v>382</v>
      </c>
    </row>
    <row r="1737" ht="15.75" customHeight="1">
      <c r="A1737" s="29"/>
      <c r="B1737" s="5" t="s">
        <v>4924</v>
      </c>
      <c r="C1737" s="5" t="s">
        <v>11</v>
      </c>
      <c r="D1737" s="5" t="s">
        <v>99</v>
      </c>
      <c r="E1737" s="5" t="s">
        <v>382</v>
      </c>
    </row>
    <row r="1738" ht="15.75" customHeight="1">
      <c r="A1738" s="29"/>
      <c r="B1738" s="5" t="s">
        <v>5388</v>
      </c>
      <c r="C1738" s="5" t="s">
        <v>55</v>
      </c>
      <c r="D1738" s="5" t="s">
        <v>49</v>
      </c>
      <c r="E1738" s="5" t="s">
        <v>382</v>
      </c>
    </row>
    <row r="1739" ht="15.75" customHeight="1">
      <c r="A1739" s="29"/>
      <c r="B1739" s="5" t="s">
        <v>5462</v>
      </c>
      <c r="C1739" s="5" t="s">
        <v>48</v>
      </c>
      <c r="D1739" s="5" t="s">
        <v>99</v>
      </c>
      <c r="E1739" s="5" t="s">
        <v>382</v>
      </c>
    </row>
    <row r="1740" ht="15.75" customHeight="1">
      <c r="A1740" s="29"/>
      <c r="B1740" s="5" t="s">
        <v>5604</v>
      </c>
      <c r="C1740" s="5" t="s">
        <v>39</v>
      </c>
      <c r="D1740" s="5" t="s">
        <v>36</v>
      </c>
      <c r="E1740" s="5" t="s">
        <v>382</v>
      </c>
    </row>
    <row r="1741" ht="15.75" customHeight="1">
      <c r="A1741" s="29"/>
      <c r="B1741" s="5" t="s">
        <v>3597</v>
      </c>
      <c r="C1741" s="5" t="s">
        <v>22</v>
      </c>
      <c r="D1741" s="5" t="s">
        <v>52</v>
      </c>
      <c r="E1741" s="5" t="s">
        <v>382</v>
      </c>
    </row>
    <row r="1742" ht="15.75" customHeight="1">
      <c r="A1742" s="29"/>
      <c r="B1742" s="5" t="s">
        <v>5342</v>
      </c>
      <c r="C1742" s="5" t="s">
        <v>11</v>
      </c>
      <c r="D1742" s="5" t="s">
        <v>122</v>
      </c>
      <c r="E1742" s="5" t="s">
        <v>382</v>
      </c>
    </row>
    <row r="1743" ht="15.75" customHeight="1">
      <c r="A1743" s="29"/>
      <c r="B1743" s="5" t="s">
        <v>3978</v>
      </c>
      <c r="C1743" s="5" t="s">
        <v>22</v>
      </c>
      <c r="D1743" s="5" t="s">
        <v>15</v>
      </c>
      <c r="E1743" s="5" t="s">
        <v>382</v>
      </c>
    </row>
    <row r="1744" ht="15.75" customHeight="1">
      <c r="A1744" s="29"/>
      <c r="B1744" s="5" t="s">
        <v>4940</v>
      </c>
      <c r="C1744" s="5" t="s">
        <v>77</v>
      </c>
      <c r="D1744" s="5" t="s">
        <v>23</v>
      </c>
      <c r="E1744" s="5" t="s">
        <v>382</v>
      </c>
    </row>
    <row r="1745" ht="15.75" customHeight="1">
      <c r="A1745" s="29"/>
      <c r="B1745" s="5" t="s">
        <v>4161</v>
      </c>
      <c r="C1745" s="5" t="s">
        <v>22</v>
      </c>
      <c r="D1745" s="5" t="s">
        <v>23</v>
      </c>
      <c r="E1745" s="5" t="s">
        <v>382</v>
      </c>
    </row>
    <row r="1746" ht="15.75" customHeight="1">
      <c r="A1746" s="29"/>
      <c r="B1746" s="5" t="s">
        <v>5206</v>
      </c>
      <c r="C1746" s="5" t="s">
        <v>39</v>
      </c>
      <c r="D1746" s="5" t="s">
        <v>23</v>
      </c>
      <c r="E1746" s="5" t="s">
        <v>382</v>
      </c>
    </row>
    <row r="1747" ht="15.75" customHeight="1">
      <c r="A1747" s="29"/>
      <c r="B1747" s="5" t="s">
        <v>4496</v>
      </c>
      <c r="C1747" s="5" t="s">
        <v>79</v>
      </c>
      <c r="D1747" s="5" t="s">
        <v>31</v>
      </c>
      <c r="E1747" s="5" t="s">
        <v>382</v>
      </c>
    </row>
    <row r="1748" ht="15.75" customHeight="1">
      <c r="A1748" s="29"/>
      <c r="B1748" s="5" t="s">
        <v>5174</v>
      </c>
      <c r="C1748" s="5" t="s">
        <v>39</v>
      </c>
      <c r="D1748" s="5" t="s">
        <v>23</v>
      </c>
      <c r="E1748" s="5" t="s">
        <v>382</v>
      </c>
    </row>
    <row r="1749" ht="15.75" customHeight="1">
      <c r="A1749" s="29"/>
      <c r="B1749" s="5" t="s">
        <v>5308</v>
      </c>
      <c r="C1749" s="5" t="s">
        <v>48</v>
      </c>
      <c r="D1749" s="5" t="s">
        <v>120</v>
      </c>
      <c r="E1749" s="5" t="s">
        <v>382</v>
      </c>
    </row>
    <row r="1750" ht="15.75" customHeight="1">
      <c r="A1750" s="29"/>
      <c r="B1750" s="5" t="s">
        <v>5087</v>
      </c>
      <c r="C1750" s="5" t="s">
        <v>14</v>
      </c>
      <c r="D1750" s="5" t="s">
        <v>120</v>
      </c>
      <c r="E1750" s="5" t="s">
        <v>382</v>
      </c>
    </row>
    <row r="1751" ht="15.75" customHeight="1">
      <c r="A1751" s="29"/>
      <c r="B1751" s="5" t="s">
        <v>4965</v>
      </c>
      <c r="C1751" s="5" t="s">
        <v>39</v>
      </c>
      <c r="D1751" s="5" t="s">
        <v>105</v>
      </c>
      <c r="E1751" s="5" t="s">
        <v>382</v>
      </c>
    </row>
    <row r="1752" ht="15.75" customHeight="1">
      <c r="A1752" s="29"/>
      <c r="B1752" s="5" t="s">
        <v>5019</v>
      </c>
      <c r="C1752" s="5" t="s">
        <v>14</v>
      </c>
      <c r="D1752" s="5" t="s">
        <v>120</v>
      </c>
      <c r="E1752" s="5" t="s">
        <v>382</v>
      </c>
    </row>
    <row r="1753" ht="15.75" customHeight="1">
      <c r="A1753" s="29"/>
      <c r="B1753" s="5" t="s">
        <v>4063</v>
      </c>
      <c r="C1753" s="5" t="s">
        <v>79</v>
      </c>
      <c r="D1753" s="5" t="s">
        <v>31</v>
      </c>
      <c r="E1753" s="5" t="s">
        <v>382</v>
      </c>
    </row>
    <row r="1754" ht="15.75" customHeight="1">
      <c r="A1754" s="29"/>
      <c r="B1754" s="5" t="s">
        <v>4650</v>
      </c>
      <c r="C1754" s="5" t="s">
        <v>22</v>
      </c>
      <c r="D1754" s="5" t="s">
        <v>71</v>
      </c>
      <c r="E1754" s="5" t="s">
        <v>382</v>
      </c>
    </row>
    <row r="1755" ht="15.75" customHeight="1">
      <c r="A1755" s="29"/>
      <c r="B1755" s="5" t="s">
        <v>3861</v>
      </c>
      <c r="C1755" s="5" t="s">
        <v>22</v>
      </c>
      <c r="D1755" s="5" t="s">
        <v>31</v>
      </c>
      <c r="E1755" s="5" t="s">
        <v>382</v>
      </c>
    </row>
    <row r="1756" ht="15.75" customHeight="1">
      <c r="A1756" s="29"/>
      <c r="B1756" s="5" t="s">
        <v>3714</v>
      </c>
      <c r="C1756" s="5" t="s">
        <v>22</v>
      </c>
      <c r="D1756" s="5" t="s">
        <v>31</v>
      </c>
      <c r="E1756" s="5" t="s">
        <v>382</v>
      </c>
    </row>
    <row r="1757" ht="15.75" customHeight="1">
      <c r="A1757" s="29"/>
      <c r="B1757" s="5" t="s">
        <v>4156</v>
      </c>
      <c r="C1757" s="5" t="s">
        <v>22</v>
      </c>
      <c r="D1757" s="5" t="s">
        <v>42</v>
      </c>
      <c r="E1757" s="5" t="s">
        <v>382</v>
      </c>
    </row>
    <row r="1758" ht="15.75" customHeight="1">
      <c r="A1758" s="29"/>
      <c r="B1758" s="5" t="s">
        <v>5505</v>
      </c>
      <c r="C1758" s="5" t="s">
        <v>48</v>
      </c>
      <c r="D1758" s="5" t="s">
        <v>137</v>
      </c>
      <c r="E1758" s="5" t="s">
        <v>382</v>
      </c>
    </row>
    <row r="1759" ht="15.75" customHeight="1">
      <c r="A1759" s="29"/>
      <c r="B1759" s="5" t="s">
        <v>3831</v>
      </c>
      <c r="C1759" s="5" t="s">
        <v>22</v>
      </c>
      <c r="D1759" s="5" t="s">
        <v>137</v>
      </c>
      <c r="E1759" s="5" t="s">
        <v>382</v>
      </c>
    </row>
    <row r="1760" ht="15.75" customHeight="1">
      <c r="A1760" s="29"/>
      <c r="B1760" s="5" t="s">
        <v>4841</v>
      </c>
      <c r="C1760" s="5" t="s">
        <v>17</v>
      </c>
      <c r="D1760" s="5" t="s">
        <v>137</v>
      </c>
      <c r="E1760" s="5" t="s">
        <v>382</v>
      </c>
    </row>
    <row r="1761" ht="15.75" customHeight="1">
      <c r="A1761" s="29"/>
      <c r="B1761" s="5" t="s">
        <v>4954</v>
      </c>
      <c r="C1761" s="5" t="s">
        <v>14</v>
      </c>
      <c r="D1761" s="5" t="s">
        <v>12</v>
      </c>
      <c r="E1761" s="5" t="s">
        <v>382</v>
      </c>
    </row>
    <row r="1762" ht="15.75" customHeight="1">
      <c r="A1762" s="29"/>
      <c r="B1762" s="5" t="s">
        <v>3955</v>
      </c>
      <c r="C1762" s="5" t="s">
        <v>22</v>
      </c>
      <c r="D1762" s="5" t="s">
        <v>52</v>
      </c>
      <c r="E1762" s="5" t="s">
        <v>382</v>
      </c>
    </row>
    <row r="1763" ht="15.75" customHeight="1">
      <c r="A1763" s="29"/>
      <c r="B1763" s="5" t="s">
        <v>4082</v>
      </c>
      <c r="C1763" s="5" t="s">
        <v>79</v>
      </c>
      <c r="D1763" s="5" t="s">
        <v>95</v>
      </c>
      <c r="E1763" s="5" t="s">
        <v>382</v>
      </c>
    </row>
    <row r="1764" ht="15.75" customHeight="1">
      <c r="A1764" s="29"/>
      <c r="B1764" s="5" t="s">
        <v>5581</v>
      </c>
      <c r="C1764" s="5" t="s">
        <v>77</v>
      </c>
      <c r="D1764" s="5" t="s">
        <v>52</v>
      </c>
      <c r="E1764" s="5" t="s">
        <v>382</v>
      </c>
    </row>
    <row r="1765" ht="15.75" customHeight="1">
      <c r="A1765" s="29"/>
      <c r="B1765" s="5" t="s">
        <v>5444</v>
      </c>
      <c r="C1765" s="5" t="s">
        <v>39</v>
      </c>
      <c r="D1765" s="5" t="s">
        <v>42</v>
      </c>
      <c r="E1765" s="5" t="s">
        <v>382</v>
      </c>
    </row>
    <row r="1766" ht="15.75" customHeight="1">
      <c r="A1766" s="29"/>
      <c r="B1766" s="5" t="s">
        <v>5055</v>
      </c>
      <c r="C1766" s="5" t="s">
        <v>14</v>
      </c>
      <c r="D1766" s="5" t="s">
        <v>95</v>
      </c>
      <c r="E1766" s="5" t="s">
        <v>382</v>
      </c>
    </row>
    <row r="1767" ht="15.75" customHeight="1">
      <c r="A1767" s="29"/>
      <c r="B1767" s="5" t="s">
        <v>5014</v>
      </c>
      <c r="C1767" s="5" t="s">
        <v>14</v>
      </c>
      <c r="D1767" s="5" t="s">
        <v>95</v>
      </c>
      <c r="E1767" s="5" t="s">
        <v>382</v>
      </c>
    </row>
    <row r="1768" ht="15.75" customHeight="1">
      <c r="A1768" s="29"/>
      <c r="B1768" s="5" t="s">
        <v>5538</v>
      </c>
      <c r="C1768" s="5" t="s">
        <v>77</v>
      </c>
      <c r="D1768" s="5" t="s">
        <v>95</v>
      </c>
      <c r="E1768" s="5" t="s">
        <v>382</v>
      </c>
    </row>
    <row r="1769" ht="15.75" customHeight="1">
      <c r="A1769" s="29"/>
      <c r="B1769" s="5" t="s">
        <v>5289</v>
      </c>
      <c r="C1769" s="5" t="s">
        <v>39</v>
      </c>
      <c r="D1769" s="5" t="s">
        <v>95</v>
      </c>
      <c r="E1769" s="5" t="s">
        <v>382</v>
      </c>
    </row>
    <row r="1770" ht="15.75" customHeight="1">
      <c r="A1770" s="29"/>
      <c r="B1770" s="5" t="s">
        <v>3301</v>
      </c>
      <c r="C1770" s="5" t="s">
        <v>79</v>
      </c>
      <c r="D1770" s="5" t="s">
        <v>129</v>
      </c>
      <c r="E1770" s="5" t="s">
        <v>382</v>
      </c>
    </row>
    <row r="1771" ht="15.75" customHeight="1">
      <c r="A1771" s="29"/>
      <c r="B1771" s="5" t="s">
        <v>3986</v>
      </c>
      <c r="C1771" s="5" t="s">
        <v>22</v>
      </c>
      <c r="D1771" s="5" t="s">
        <v>122</v>
      </c>
      <c r="E1771" s="5" t="s">
        <v>382</v>
      </c>
    </row>
    <row r="1772" ht="15.75" customHeight="1">
      <c r="A1772" s="29"/>
      <c r="B1772" s="5" t="s">
        <v>4297</v>
      </c>
      <c r="C1772" s="5" t="s">
        <v>79</v>
      </c>
      <c r="D1772" s="5" t="s">
        <v>122</v>
      </c>
      <c r="E1772" s="5" t="s">
        <v>382</v>
      </c>
    </row>
    <row r="1773" ht="15.75" customHeight="1">
      <c r="A1773" s="29"/>
      <c r="B1773" s="5" t="s">
        <v>3810</v>
      </c>
      <c r="C1773" s="5" t="s">
        <v>22</v>
      </c>
      <c r="D1773" s="5" t="s">
        <v>122</v>
      </c>
      <c r="E1773" s="5" t="s">
        <v>382</v>
      </c>
    </row>
    <row r="1774" ht="15.75" customHeight="1">
      <c r="A1774" s="29"/>
      <c r="B1774" s="5" t="s">
        <v>4263</v>
      </c>
      <c r="C1774" s="5" t="s">
        <v>79</v>
      </c>
      <c r="D1774" s="5" t="s">
        <v>82</v>
      </c>
      <c r="E1774" s="5" t="s">
        <v>382</v>
      </c>
    </row>
    <row r="1775" ht="15.75" customHeight="1">
      <c r="A1775" s="29"/>
      <c r="B1775" s="5" t="s">
        <v>5378</v>
      </c>
      <c r="C1775" s="5" t="s">
        <v>55</v>
      </c>
      <c r="D1775" s="5" t="s">
        <v>82</v>
      </c>
      <c r="E1775" s="5" t="s">
        <v>382</v>
      </c>
    </row>
    <row r="1776" ht="15.75" customHeight="1">
      <c r="A1776" s="29"/>
      <c r="B1776" s="5" t="s">
        <v>4152</v>
      </c>
      <c r="C1776" s="5" t="s">
        <v>220</v>
      </c>
      <c r="D1776" s="5" t="s">
        <v>82</v>
      </c>
      <c r="E1776" s="5" t="s">
        <v>382</v>
      </c>
    </row>
    <row r="1777" ht="15.75" customHeight="1">
      <c r="A1777" s="29"/>
      <c r="B1777" s="5" t="s">
        <v>3936</v>
      </c>
      <c r="C1777" s="5" t="s">
        <v>22</v>
      </c>
      <c r="D1777" s="5" t="s">
        <v>90</v>
      </c>
      <c r="E1777" s="5" t="s">
        <v>382</v>
      </c>
    </row>
    <row r="1778" ht="15.75" customHeight="1">
      <c r="A1778" s="29"/>
      <c r="B1778" s="5" t="s">
        <v>3641</v>
      </c>
      <c r="C1778" s="5" t="s">
        <v>22</v>
      </c>
      <c r="D1778" s="5" t="s">
        <v>90</v>
      </c>
      <c r="E1778" s="5" t="s">
        <v>382</v>
      </c>
    </row>
    <row r="1779" ht="15.75" customHeight="1">
      <c r="A1779" s="29"/>
      <c r="B1779" s="5" t="s">
        <v>3862</v>
      </c>
      <c r="C1779" s="5" t="s">
        <v>22</v>
      </c>
      <c r="D1779" s="5" t="s">
        <v>12</v>
      </c>
      <c r="E1779" s="5" t="s">
        <v>382</v>
      </c>
    </row>
    <row r="1780" ht="15.75" customHeight="1">
      <c r="A1780" s="29"/>
      <c r="B1780" s="5" t="s">
        <v>3720</v>
      </c>
      <c r="C1780" s="5" t="s">
        <v>79</v>
      </c>
      <c r="D1780" s="5" t="s">
        <v>90</v>
      </c>
      <c r="E1780" s="5" t="s">
        <v>382</v>
      </c>
    </row>
    <row r="1781" ht="15.75" customHeight="1">
      <c r="A1781" s="29"/>
      <c r="B1781" s="5" t="s">
        <v>3452</v>
      </c>
      <c r="C1781" s="5" t="s">
        <v>22</v>
      </c>
      <c r="D1781" s="5" t="s">
        <v>71</v>
      </c>
      <c r="E1781" s="5" t="s">
        <v>382</v>
      </c>
    </row>
    <row r="1782" ht="15.75" customHeight="1">
      <c r="A1782" s="29"/>
      <c r="B1782" s="5" t="s">
        <v>3970</v>
      </c>
      <c r="C1782" s="5" t="s">
        <v>22</v>
      </c>
      <c r="D1782" s="5" t="s">
        <v>71</v>
      </c>
      <c r="E1782" s="5" t="s">
        <v>382</v>
      </c>
    </row>
    <row r="1783" ht="15.75" customHeight="1">
      <c r="A1783" s="29"/>
      <c r="B1783" s="5" t="s">
        <v>3879</v>
      </c>
      <c r="C1783" s="5" t="s">
        <v>22</v>
      </c>
      <c r="D1783" s="5" t="s">
        <v>71</v>
      </c>
      <c r="E1783" s="5" t="s">
        <v>382</v>
      </c>
    </row>
    <row r="1784" ht="15.75" customHeight="1">
      <c r="A1784" s="29"/>
      <c r="B1784" s="5" t="s">
        <v>5357</v>
      </c>
      <c r="C1784" s="5" t="s">
        <v>11</v>
      </c>
      <c r="D1784" s="5" t="s">
        <v>71</v>
      </c>
      <c r="E1784" s="5" t="s">
        <v>382</v>
      </c>
    </row>
    <row r="1785" ht="15.75" customHeight="1">
      <c r="A1785" s="29"/>
      <c r="B1785" s="5" t="s">
        <v>4928</v>
      </c>
      <c r="C1785" s="5" t="s">
        <v>17</v>
      </c>
      <c r="D1785" s="5" t="s">
        <v>85</v>
      </c>
      <c r="E1785" s="5" t="s">
        <v>382</v>
      </c>
    </row>
    <row r="1786" ht="15.75" customHeight="1">
      <c r="A1786" s="29"/>
      <c r="B1786" s="5" t="s">
        <v>4468</v>
      </c>
      <c r="C1786" s="5" t="s">
        <v>11</v>
      </c>
      <c r="D1786" s="5" t="s">
        <v>15</v>
      </c>
      <c r="E1786" s="5" t="s">
        <v>382</v>
      </c>
    </row>
    <row r="1787" ht="15.75" customHeight="1">
      <c r="A1787" s="29"/>
      <c r="B1787" s="5" t="s">
        <v>5432</v>
      </c>
      <c r="C1787" s="5" t="s">
        <v>11</v>
      </c>
      <c r="D1787" s="5" t="s">
        <v>15</v>
      </c>
      <c r="E1787" s="5" t="s">
        <v>382</v>
      </c>
    </row>
    <row r="1788" ht="15.75" customHeight="1">
      <c r="A1788" s="29"/>
      <c r="B1788" s="5" t="s">
        <v>5245</v>
      </c>
      <c r="C1788" s="5" t="s">
        <v>14</v>
      </c>
      <c r="D1788" s="5" t="s">
        <v>15</v>
      </c>
      <c r="E1788" s="5" t="s">
        <v>382</v>
      </c>
    </row>
    <row r="1789" ht="15.75" customHeight="1">
      <c r="A1789" s="29"/>
      <c r="B1789" s="5" t="s">
        <v>4753</v>
      </c>
      <c r="C1789" s="5" t="s">
        <v>77</v>
      </c>
      <c r="D1789" s="5" t="s">
        <v>18</v>
      </c>
      <c r="E1789" s="5" t="s">
        <v>382</v>
      </c>
    </row>
    <row r="1790" ht="15.75" customHeight="1">
      <c r="A1790" s="29"/>
      <c r="B1790" s="5" t="s">
        <v>3835</v>
      </c>
      <c r="C1790" s="5" t="s">
        <v>22</v>
      </c>
      <c r="D1790" s="5" t="s">
        <v>18</v>
      </c>
      <c r="E1790" s="5" t="s">
        <v>382</v>
      </c>
    </row>
    <row r="1791" ht="15.75" customHeight="1">
      <c r="A1791" s="29"/>
      <c r="B1791" s="5" t="s">
        <v>4956</v>
      </c>
      <c r="C1791" s="5" t="s">
        <v>14</v>
      </c>
      <c r="D1791" s="5" t="s">
        <v>18</v>
      </c>
      <c r="E1791" s="5" t="s">
        <v>382</v>
      </c>
    </row>
    <row r="1792" ht="15.75" customHeight="1">
      <c r="A1792" s="29"/>
      <c r="B1792" s="5" t="s">
        <v>3860</v>
      </c>
      <c r="C1792" s="5" t="s">
        <v>22</v>
      </c>
      <c r="D1792" s="5" t="s">
        <v>18</v>
      </c>
      <c r="E1792" s="5" t="s">
        <v>382</v>
      </c>
    </row>
    <row r="1793" ht="15.75" customHeight="1">
      <c r="A1793" s="29"/>
      <c r="B1793" s="5" t="s">
        <v>3916</v>
      </c>
      <c r="C1793" s="5" t="s">
        <v>22</v>
      </c>
      <c r="D1793" s="5" t="s">
        <v>99</v>
      </c>
      <c r="E1793" s="5" t="s">
        <v>382</v>
      </c>
    </row>
    <row r="1794" ht="15.75" customHeight="1">
      <c r="A1794" s="29"/>
      <c r="B1794" s="5" t="s">
        <v>3747</v>
      </c>
      <c r="C1794" s="5" t="s">
        <v>22</v>
      </c>
      <c r="D1794" s="5" t="s">
        <v>18</v>
      </c>
      <c r="E1794" s="5" t="s">
        <v>382</v>
      </c>
    </row>
    <row r="1795" ht="15.75" customHeight="1">
      <c r="A1795" s="29"/>
      <c r="B1795" s="5" t="s">
        <v>3662</v>
      </c>
      <c r="C1795" s="5" t="s">
        <v>22</v>
      </c>
      <c r="D1795" s="5" t="s">
        <v>67</v>
      </c>
      <c r="E1795" s="5" t="s">
        <v>382</v>
      </c>
    </row>
    <row r="1796" ht="15.75" customHeight="1">
      <c r="A1796" s="29"/>
      <c r="B1796" s="5" t="s">
        <v>5345</v>
      </c>
      <c r="C1796" s="5" t="s">
        <v>8</v>
      </c>
      <c r="D1796" s="5" t="s">
        <v>9</v>
      </c>
      <c r="E1796" s="5" t="s">
        <v>382</v>
      </c>
    </row>
    <row r="1797" ht="15.75" customHeight="1">
      <c r="A1797" s="29"/>
      <c r="B1797" s="5" t="s">
        <v>4531</v>
      </c>
      <c r="C1797" s="5" t="s">
        <v>218</v>
      </c>
      <c r="D1797" s="5" t="s">
        <v>129</v>
      </c>
      <c r="E1797" s="5" t="s">
        <v>382</v>
      </c>
    </row>
    <row r="1798" ht="15.75" customHeight="1">
      <c r="A1798" s="29"/>
      <c r="B1798" s="5" t="s">
        <v>3530</v>
      </c>
      <c r="C1798" s="5" t="s">
        <v>79</v>
      </c>
      <c r="D1798" s="5" t="s">
        <v>95</v>
      </c>
      <c r="E1798" s="5" t="s">
        <v>382</v>
      </c>
    </row>
    <row r="1799" ht="15.75" customHeight="1">
      <c r="A1799" s="29"/>
      <c r="B1799" s="5" t="s">
        <v>4908</v>
      </c>
      <c r="C1799" s="5" t="s">
        <v>55</v>
      </c>
      <c r="D1799" s="5" t="s">
        <v>67</v>
      </c>
      <c r="E1799" s="5" t="s">
        <v>382</v>
      </c>
    </row>
    <row r="1800" ht="15.75" customHeight="1">
      <c r="A1800" s="29"/>
      <c r="B1800" s="5" t="s">
        <v>5360</v>
      </c>
      <c r="C1800" s="5" t="s">
        <v>11</v>
      </c>
      <c r="D1800" s="5" t="s">
        <v>42</v>
      </c>
      <c r="E1800" s="5" t="s">
        <v>382</v>
      </c>
    </row>
    <row r="1801" ht="15.75" customHeight="1">
      <c r="A1801" s="29"/>
      <c r="B1801" s="5" t="s">
        <v>5238</v>
      </c>
      <c r="C1801" s="5" t="s">
        <v>39</v>
      </c>
      <c r="D1801" s="5" t="s">
        <v>71</v>
      </c>
      <c r="E1801" s="5" t="s">
        <v>382</v>
      </c>
    </row>
    <row r="1802" ht="15.75" customHeight="1">
      <c r="A1802" s="29"/>
      <c r="B1802" s="5" t="s">
        <v>5526</v>
      </c>
      <c r="C1802" s="5" t="s">
        <v>48</v>
      </c>
      <c r="D1802" s="5" t="s">
        <v>113</v>
      </c>
      <c r="E1802" s="5" t="s">
        <v>382</v>
      </c>
    </row>
    <row r="1803" ht="15.75" customHeight="1">
      <c r="A1803" s="29"/>
      <c r="B1803" s="5" t="s">
        <v>4862</v>
      </c>
      <c r="C1803" s="5" t="s">
        <v>11</v>
      </c>
      <c r="D1803" s="5" t="s">
        <v>18</v>
      </c>
      <c r="E1803" s="5" t="s">
        <v>382</v>
      </c>
    </row>
    <row r="1804" ht="15.75" customHeight="1">
      <c r="A1804" s="29"/>
      <c r="B1804" s="5" t="s">
        <v>4376</v>
      </c>
      <c r="C1804" s="5" t="s">
        <v>22</v>
      </c>
      <c r="D1804" s="5" t="s">
        <v>95</v>
      </c>
      <c r="E1804" s="5" t="s">
        <v>382</v>
      </c>
    </row>
    <row r="1805" ht="15.75" customHeight="1">
      <c r="A1805" s="29"/>
      <c r="B1805" s="5" t="s">
        <v>4136</v>
      </c>
      <c r="C1805" s="5" t="s">
        <v>79</v>
      </c>
      <c r="D1805" s="5" t="s">
        <v>90</v>
      </c>
      <c r="E1805" s="5" t="s">
        <v>382</v>
      </c>
    </row>
    <row r="1806" ht="15.75" customHeight="1">
      <c r="A1806" s="29"/>
      <c r="B1806" s="5" t="s">
        <v>3906</v>
      </c>
      <c r="C1806" s="5" t="s">
        <v>79</v>
      </c>
      <c r="D1806" s="5" t="s">
        <v>113</v>
      </c>
      <c r="E1806" s="5" t="s">
        <v>382</v>
      </c>
    </row>
    <row r="1807" ht="15.75" customHeight="1">
      <c r="A1807" s="29"/>
      <c r="B1807" s="5" t="s">
        <v>4634</v>
      </c>
      <c r="C1807" s="5" t="s">
        <v>240</v>
      </c>
      <c r="D1807" s="5" t="s">
        <v>140</v>
      </c>
      <c r="E1807" s="5" t="s">
        <v>382</v>
      </c>
    </row>
    <row r="1808" ht="15.75" customHeight="1">
      <c r="A1808" s="29"/>
      <c r="B1808" s="5" t="s">
        <v>4047</v>
      </c>
      <c r="C1808" s="5" t="s">
        <v>79</v>
      </c>
      <c r="D1808" s="5" t="s">
        <v>120</v>
      </c>
      <c r="E1808" s="5" t="s">
        <v>382</v>
      </c>
    </row>
    <row r="1809" ht="15.75" customHeight="1">
      <c r="A1809" s="29"/>
      <c r="B1809" s="5" t="s">
        <v>4800</v>
      </c>
      <c r="C1809" s="5" t="s">
        <v>77</v>
      </c>
      <c r="D1809" s="5" t="s">
        <v>73</v>
      </c>
      <c r="E1809" s="5" t="s">
        <v>382</v>
      </c>
    </row>
    <row r="1810" ht="15.75" customHeight="1">
      <c r="A1810" s="29"/>
      <c r="B1810" s="5" t="s">
        <v>4301</v>
      </c>
      <c r="C1810" s="5" t="s">
        <v>79</v>
      </c>
      <c r="D1810" s="5" t="s">
        <v>52</v>
      </c>
      <c r="E1810" s="5" t="s">
        <v>382</v>
      </c>
    </row>
    <row r="1811" ht="15.75" customHeight="1">
      <c r="A1811" s="29"/>
      <c r="B1811" s="5" t="s">
        <v>4006</v>
      </c>
      <c r="C1811" s="5" t="s">
        <v>79</v>
      </c>
      <c r="D1811" s="5" t="s">
        <v>52</v>
      </c>
      <c r="E1811" s="5" t="s">
        <v>382</v>
      </c>
    </row>
    <row r="1812" ht="15.75" customHeight="1">
      <c r="A1812" s="29"/>
      <c r="B1812" s="5" t="s">
        <v>4714</v>
      </c>
      <c r="C1812" s="5" t="s">
        <v>69</v>
      </c>
      <c r="D1812" s="5" t="s">
        <v>99</v>
      </c>
      <c r="E1812" s="5" t="s">
        <v>382</v>
      </c>
    </row>
    <row r="1813" ht="15.75" customHeight="1">
      <c r="A1813" s="29"/>
      <c r="B1813" s="5" t="s">
        <v>4474</v>
      </c>
      <c r="C1813" s="5" t="s">
        <v>79</v>
      </c>
      <c r="D1813" s="5" t="s">
        <v>42</v>
      </c>
      <c r="E1813" s="5" t="s">
        <v>382</v>
      </c>
    </row>
    <row r="1814" ht="15.75" customHeight="1">
      <c r="A1814" s="29"/>
      <c r="B1814" s="5" t="s">
        <v>4105</v>
      </c>
      <c r="C1814" s="5" t="s">
        <v>79</v>
      </c>
      <c r="D1814" s="5" t="s">
        <v>85</v>
      </c>
      <c r="E1814" s="5" t="s">
        <v>382</v>
      </c>
    </row>
    <row r="1815" ht="15.75" customHeight="1">
      <c r="A1815" s="29"/>
      <c r="B1815" s="5" t="s">
        <v>4239</v>
      </c>
      <c r="C1815" s="5" t="s">
        <v>79</v>
      </c>
      <c r="D1815" s="5" t="s">
        <v>105</v>
      </c>
      <c r="E1815" s="5" t="s">
        <v>382</v>
      </c>
    </row>
    <row r="1816" ht="15.75" customHeight="1">
      <c r="A1816" s="29"/>
      <c r="B1816" s="5" t="s">
        <v>4562</v>
      </c>
      <c r="C1816" s="5" t="s">
        <v>283</v>
      </c>
      <c r="D1816" s="5" t="s">
        <v>34</v>
      </c>
      <c r="E1816" s="5" t="s">
        <v>382</v>
      </c>
    </row>
    <row r="1817" ht="15.75" customHeight="1">
      <c r="A1817" s="29"/>
      <c r="B1817" s="5" t="s">
        <v>3472</v>
      </c>
      <c r="C1817" s="5" t="s">
        <v>79</v>
      </c>
      <c r="D1817" s="5" t="s">
        <v>99</v>
      </c>
      <c r="E1817" s="5" t="s">
        <v>382</v>
      </c>
    </row>
    <row r="1818" ht="15.75" customHeight="1">
      <c r="A1818" s="29"/>
      <c r="B1818" s="5" t="s">
        <v>4341</v>
      </c>
      <c r="C1818" s="5" t="s">
        <v>79</v>
      </c>
      <c r="D1818" s="5" t="s">
        <v>42</v>
      </c>
      <c r="E1818" s="5" t="s">
        <v>382</v>
      </c>
    </row>
    <row r="1819" ht="15.75" customHeight="1">
      <c r="A1819" s="29"/>
      <c r="B1819" s="5" t="s">
        <v>4184</v>
      </c>
      <c r="C1819" s="5" t="s">
        <v>79</v>
      </c>
      <c r="D1819" s="5" t="s">
        <v>129</v>
      </c>
      <c r="E1819" s="5" t="s">
        <v>382</v>
      </c>
    </row>
    <row r="1820" ht="15.75" customHeight="1">
      <c r="A1820" s="29"/>
      <c r="B1820" s="5" t="s">
        <v>3546</v>
      </c>
      <c r="C1820" s="5" t="s">
        <v>79</v>
      </c>
      <c r="D1820" s="5" t="s">
        <v>36</v>
      </c>
      <c r="E1820" s="5" t="s">
        <v>382</v>
      </c>
    </row>
    <row r="1821" ht="15.75" customHeight="1">
      <c r="A1821" s="29"/>
      <c r="B1821" s="5" t="s">
        <v>4335</v>
      </c>
      <c r="C1821" s="5" t="s">
        <v>79</v>
      </c>
      <c r="D1821" s="5" t="s">
        <v>140</v>
      </c>
      <c r="E1821" s="5" t="s">
        <v>382</v>
      </c>
    </row>
    <row r="1822" ht="15.75" customHeight="1">
      <c r="A1822" s="29"/>
      <c r="B1822" s="5" t="s">
        <v>3856</v>
      </c>
      <c r="C1822" s="5" t="s">
        <v>79</v>
      </c>
      <c r="D1822" s="5" t="s">
        <v>206</v>
      </c>
      <c r="E1822" s="5" t="s">
        <v>382</v>
      </c>
    </row>
    <row r="1823" ht="15.75" customHeight="1">
      <c r="A1823" s="29"/>
      <c r="B1823" s="5" t="s">
        <v>5522</v>
      </c>
      <c r="C1823" s="5" t="s">
        <v>14</v>
      </c>
      <c r="D1823" s="5" t="s">
        <v>18</v>
      </c>
      <c r="E1823" s="5" t="s">
        <v>382</v>
      </c>
    </row>
    <row r="1824" ht="15.75" customHeight="1">
      <c r="A1824" s="29"/>
      <c r="B1824" s="5" t="s">
        <v>4630</v>
      </c>
      <c r="C1824" s="5" t="s">
        <v>189</v>
      </c>
      <c r="D1824" s="5" t="s">
        <v>25</v>
      </c>
      <c r="E1824" s="5" t="s">
        <v>382</v>
      </c>
    </row>
    <row r="1825" ht="15.75" customHeight="1">
      <c r="A1825" s="29"/>
      <c r="B1825" s="5" t="s">
        <v>4293</v>
      </c>
      <c r="C1825" s="5" t="s">
        <v>79</v>
      </c>
      <c r="D1825" s="5" t="s">
        <v>90</v>
      </c>
      <c r="E1825" s="5" t="s">
        <v>382</v>
      </c>
    </row>
    <row r="1826" ht="15.75" customHeight="1">
      <c r="A1826" s="29"/>
      <c r="B1826" s="5" t="s">
        <v>4499</v>
      </c>
      <c r="C1826" s="5" t="s">
        <v>22</v>
      </c>
      <c r="D1826" s="5" t="s">
        <v>52</v>
      </c>
      <c r="E1826" s="5" t="s">
        <v>382</v>
      </c>
    </row>
    <row r="1827" ht="15.75" customHeight="1">
      <c r="A1827" s="29"/>
      <c r="B1827" s="5" t="s">
        <v>4187</v>
      </c>
      <c r="C1827" s="5" t="s">
        <v>79</v>
      </c>
      <c r="D1827" s="5" t="s">
        <v>25</v>
      </c>
      <c r="E1827" s="5" t="s">
        <v>382</v>
      </c>
    </row>
    <row r="1828" ht="15.75" customHeight="1">
      <c r="A1828" s="29"/>
      <c r="B1828" s="5" t="s">
        <v>5576</v>
      </c>
      <c r="C1828" s="5" t="s">
        <v>283</v>
      </c>
      <c r="D1828" s="5" t="s">
        <v>206</v>
      </c>
      <c r="E1828" s="5" t="s">
        <v>382</v>
      </c>
    </row>
    <row r="1829" ht="15.75" customHeight="1">
      <c r="A1829" s="29"/>
      <c r="B1829" s="5" t="s">
        <v>3699</v>
      </c>
      <c r="C1829" s="5" t="s">
        <v>79</v>
      </c>
      <c r="D1829" s="5" t="s">
        <v>36</v>
      </c>
      <c r="E1829" s="5" t="s">
        <v>382</v>
      </c>
    </row>
    <row r="1830" ht="15.75" customHeight="1">
      <c r="A1830" s="29"/>
      <c r="B1830" s="5" t="s">
        <v>4410</v>
      </c>
      <c r="C1830" s="5" t="s">
        <v>79</v>
      </c>
      <c r="D1830" s="5" t="s">
        <v>52</v>
      </c>
      <c r="E1830" s="5" t="s">
        <v>382</v>
      </c>
    </row>
    <row r="1831" ht="15.75" customHeight="1">
      <c r="A1831" s="29"/>
      <c r="B1831" s="5" t="s">
        <v>3434</v>
      </c>
      <c r="C1831" s="5" t="s">
        <v>79</v>
      </c>
      <c r="D1831" s="5" t="s">
        <v>206</v>
      </c>
      <c r="E1831" s="5" t="s">
        <v>382</v>
      </c>
    </row>
    <row r="1832" ht="15.75" customHeight="1">
      <c r="A1832" s="29"/>
      <c r="B1832" s="5" t="s">
        <v>4961</v>
      </c>
      <c r="C1832" s="5" t="s">
        <v>11</v>
      </c>
      <c r="D1832" s="5" t="s">
        <v>25</v>
      </c>
      <c r="E1832" s="5" t="s">
        <v>382</v>
      </c>
    </row>
    <row r="1833" ht="15.75" customHeight="1">
      <c r="A1833" s="29"/>
      <c r="B1833" s="5" t="s">
        <v>4237</v>
      </c>
      <c r="C1833" s="5" t="s">
        <v>79</v>
      </c>
      <c r="D1833" s="5" t="s">
        <v>99</v>
      </c>
      <c r="E1833" s="5" t="s">
        <v>382</v>
      </c>
    </row>
    <row r="1834" ht="15.75" customHeight="1">
      <c r="A1834" s="29"/>
      <c r="B1834" s="5" t="s">
        <v>4763</v>
      </c>
      <c r="C1834" s="5" t="s">
        <v>48</v>
      </c>
      <c r="D1834" s="5" t="s">
        <v>105</v>
      </c>
      <c r="E1834" s="5" t="s">
        <v>382</v>
      </c>
    </row>
    <row r="1835" ht="15.75" customHeight="1">
      <c r="A1835" s="29"/>
      <c r="B1835" s="5" t="s">
        <v>3904</v>
      </c>
      <c r="C1835" s="5" t="s">
        <v>79</v>
      </c>
      <c r="D1835" s="5" t="s">
        <v>122</v>
      </c>
      <c r="E1835" s="5" t="s">
        <v>382</v>
      </c>
    </row>
    <row r="1836" ht="15.75" customHeight="1">
      <c r="A1836" s="29"/>
      <c r="B1836" s="5" t="s">
        <v>5436</v>
      </c>
      <c r="C1836" s="5" t="s">
        <v>87</v>
      </c>
      <c r="D1836" s="5" t="s">
        <v>120</v>
      </c>
      <c r="E1836" s="5" t="s">
        <v>382</v>
      </c>
    </row>
    <row r="1837" ht="15.75" customHeight="1">
      <c r="A1837" s="29"/>
      <c r="B1837" s="5" t="s">
        <v>4066</v>
      </c>
      <c r="C1837" s="5" t="s">
        <v>79</v>
      </c>
      <c r="D1837" s="5" t="s">
        <v>36</v>
      </c>
      <c r="E1837" s="5" t="s">
        <v>382</v>
      </c>
    </row>
    <row r="1838" ht="15.75" customHeight="1">
      <c r="A1838" s="29"/>
      <c r="B1838" s="5" t="s">
        <v>4368</v>
      </c>
      <c r="C1838" s="5" t="s">
        <v>79</v>
      </c>
      <c r="D1838" s="5" t="s">
        <v>42</v>
      </c>
      <c r="E1838" s="5" t="s">
        <v>382</v>
      </c>
    </row>
    <row r="1839" ht="15.75" customHeight="1">
      <c r="A1839" s="29"/>
      <c r="B1839" s="5" t="s">
        <v>4230</v>
      </c>
      <c r="C1839" s="5" t="s">
        <v>79</v>
      </c>
      <c r="D1839" s="5" t="s">
        <v>120</v>
      </c>
      <c r="E1839" s="5" t="s">
        <v>382</v>
      </c>
    </row>
    <row r="1840" ht="15.75" customHeight="1">
      <c r="A1840" s="29"/>
      <c r="B1840" s="5" t="s">
        <v>4177</v>
      </c>
      <c r="C1840" s="5" t="s">
        <v>79</v>
      </c>
      <c r="D1840" s="5" t="s">
        <v>23</v>
      </c>
      <c r="E1840" s="5" t="s">
        <v>382</v>
      </c>
    </row>
    <row r="1841" ht="15.75" customHeight="1">
      <c r="A1841" s="29"/>
      <c r="B1841" s="5" t="s">
        <v>4521</v>
      </c>
      <c r="C1841" s="5" t="s">
        <v>79</v>
      </c>
      <c r="D1841" s="5" t="s">
        <v>140</v>
      </c>
      <c r="E1841" s="5" t="s">
        <v>382</v>
      </c>
    </row>
    <row r="1842" ht="15.75" customHeight="1">
      <c r="A1842" s="29"/>
      <c r="B1842" s="5" t="s">
        <v>4588</v>
      </c>
      <c r="C1842" s="5" t="s">
        <v>220</v>
      </c>
      <c r="D1842" s="5" t="s">
        <v>99</v>
      </c>
      <c r="E1842" s="5" t="s">
        <v>382</v>
      </c>
    </row>
    <row r="1843" ht="15.75" customHeight="1">
      <c r="A1843" s="29"/>
      <c r="B1843" s="5" t="s">
        <v>5060</v>
      </c>
      <c r="C1843" s="5" t="s">
        <v>77</v>
      </c>
      <c r="D1843" s="5" t="s">
        <v>67</v>
      </c>
      <c r="E1843" s="5" t="s">
        <v>382</v>
      </c>
    </row>
    <row r="1844" ht="15.75" customHeight="1">
      <c r="A1844" s="29"/>
      <c r="B1844" s="5" t="s">
        <v>3337</v>
      </c>
      <c r="C1844" s="5" t="s">
        <v>79</v>
      </c>
      <c r="D1844" s="5" t="s">
        <v>9</v>
      </c>
      <c r="E1844" s="5" t="s">
        <v>382</v>
      </c>
    </row>
    <row r="1845" ht="15.75" customHeight="1">
      <c r="A1845" s="29"/>
      <c r="B1845" s="5" t="s">
        <v>3442</v>
      </c>
      <c r="C1845" s="5" t="s">
        <v>79</v>
      </c>
      <c r="D1845" s="5" t="s">
        <v>46</v>
      </c>
      <c r="E1845" s="5" t="s">
        <v>382</v>
      </c>
    </row>
    <row r="1846" ht="15.75" customHeight="1">
      <c r="A1846" s="29"/>
      <c r="B1846" s="5" t="s">
        <v>4235</v>
      </c>
      <c r="C1846" s="5" t="s">
        <v>79</v>
      </c>
      <c r="D1846" s="5" t="s">
        <v>42</v>
      </c>
      <c r="E1846" s="5" t="s">
        <v>382</v>
      </c>
    </row>
    <row r="1847" ht="15.75" customHeight="1">
      <c r="A1847" s="29"/>
      <c r="B1847" s="5" t="s">
        <v>5361</v>
      </c>
      <c r="C1847" s="5" t="s">
        <v>63</v>
      </c>
      <c r="D1847" s="5" t="s">
        <v>206</v>
      </c>
      <c r="E1847" s="5" t="s">
        <v>382</v>
      </c>
    </row>
    <row r="1848" ht="15.75" customHeight="1">
      <c r="A1848" s="29"/>
      <c r="B1848" s="5" t="s">
        <v>4255</v>
      </c>
      <c r="C1848" s="5" t="s">
        <v>79</v>
      </c>
      <c r="D1848" s="5" t="s">
        <v>31</v>
      </c>
      <c r="E1848" s="5" t="s">
        <v>382</v>
      </c>
    </row>
    <row r="1849" ht="15.75" customHeight="1">
      <c r="A1849" s="29"/>
      <c r="B1849" s="5" t="s">
        <v>4110</v>
      </c>
      <c r="C1849" s="5" t="s">
        <v>79</v>
      </c>
      <c r="D1849" s="5" t="s">
        <v>140</v>
      </c>
      <c r="E1849" s="5" t="s">
        <v>382</v>
      </c>
    </row>
    <row r="1850" ht="15.75" customHeight="1">
      <c r="A1850" s="29"/>
      <c r="B1850" s="5" t="s">
        <v>3517</v>
      </c>
      <c r="C1850" s="5" t="s">
        <v>79</v>
      </c>
      <c r="D1850" s="5" t="s">
        <v>129</v>
      </c>
      <c r="E1850" s="5" t="s">
        <v>382</v>
      </c>
    </row>
    <row r="1851" ht="15.75" customHeight="1">
      <c r="A1851" s="29"/>
      <c r="B1851" s="5" t="s">
        <v>4346</v>
      </c>
      <c r="C1851" s="5" t="s">
        <v>79</v>
      </c>
      <c r="D1851" s="5" t="s">
        <v>113</v>
      </c>
      <c r="E1851" s="5" t="s">
        <v>382</v>
      </c>
    </row>
    <row r="1852" ht="15.75" customHeight="1">
      <c r="A1852" s="29"/>
      <c r="B1852" s="5" t="s">
        <v>4386</v>
      </c>
      <c r="C1852" s="5" t="s">
        <v>79</v>
      </c>
      <c r="D1852" s="5" t="s">
        <v>206</v>
      </c>
      <c r="E1852" s="5" t="s">
        <v>382</v>
      </c>
    </row>
    <row r="1853" ht="15.75" customHeight="1">
      <c r="A1853" s="29"/>
      <c r="B1853" s="5" t="s">
        <v>4894</v>
      </c>
      <c r="C1853" s="5" t="s">
        <v>77</v>
      </c>
      <c r="D1853" s="5" t="s">
        <v>90</v>
      </c>
      <c r="E1853" s="5" t="s">
        <v>382</v>
      </c>
    </row>
    <row r="1854" ht="15.75" customHeight="1">
      <c r="A1854" s="29"/>
      <c r="B1854" s="5" t="s">
        <v>4689</v>
      </c>
      <c r="C1854" s="5" t="s">
        <v>55</v>
      </c>
      <c r="D1854" s="5" t="s">
        <v>95</v>
      </c>
      <c r="E1854" s="5" t="s">
        <v>382</v>
      </c>
    </row>
    <row r="1855" ht="15.75" customHeight="1">
      <c r="A1855" s="29"/>
      <c r="B1855" s="5" t="s">
        <v>4099</v>
      </c>
      <c r="C1855" s="5" t="s">
        <v>79</v>
      </c>
      <c r="D1855" s="5" t="s">
        <v>67</v>
      </c>
      <c r="E1855" s="5" t="s">
        <v>382</v>
      </c>
    </row>
    <row r="1856" ht="15.75" customHeight="1">
      <c r="A1856" s="29"/>
      <c r="B1856" s="5" t="s">
        <v>4711</v>
      </c>
      <c r="C1856" s="5" t="s">
        <v>1938</v>
      </c>
      <c r="D1856" s="5" t="s">
        <v>46</v>
      </c>
      <c r="E1856" s="5" t="s">
        <v>382</v>
      </c>
    </row>
    <row r="1857" ht="15.75" customHeight="1">
      <c r="A1857" s="29"/>
      <c r="B1857" s="5" t="s">
        <v>4899</v>
      </c>
      <c r="C1857" s="5" t="s">
        <v>77</v>
      </c>
      <c r="D1857" s="5" t="s">
        <v>15</v>
      </c>
      <c r="E1857" s="5" t="s">
        <v>382</v>
      </c>
    </row>
    <row r="1858" ht="15.75" customHeight="1">
      <c r="A1858" s="29"/>
      <c r="B1858" s="5" t="s">
        <v>4150</v>
      </c>
      <c r="C1858" s="5" t="s">
        <v>79</v>
      </c>
      <c r="D1858" s="5" t="s">
        <v>67</v>
      </c>
      <c r="E1858" s="5" t="s">
        <v>382</v>
      </c>
    </row>
    <row r="1859" ht="15.75" customHeight="1">
      <c r="A1859" s="29"/>
      <c r="B1859" s="5" t="s">
        <v>5521</v>
      </c>
      <c r="C1859" s="5" t="s">
        <v>8</v>
      </c>
      <c r="D1859" s="5" t="s">
        <v>67</v>
      </c>
      <c r="E1859" s="5" t="s">
        <v>382</v>
      </c>
    </row>
    <row r="1860" ht="15.75" customHeight="1">
      <c r="A1860" s="29"/>
      <c r="B1860" s="5" t="s">
        <v>5151</v>
      </c>
      <c r="C1860" s="5" t="s">
        <v>89</v>
      </c>
      <c r="D1860" s="5" t="s">
        <v>73</v>
      </c>
      <c r="E1860" s="5" t="s">
        <v>382</v>
      </c>
    </row>
    <row r="1861" ht="15.75" customHeight="1">
      <c r="A1861" s="29"/>
      <c r="B1861" s="5" t="s">
        <v>4906</v>
      </c>
      <c r="C1861" s="5" t="s">
        <v>33</v>
      </c>
      <c r="D1861" s="5" t="s">
        <v>122</v>
      </c>
      <c r="E1861" s="5" t="s">
        <v>382</v>
      </c>
    </row>
    <row r="1862" ht="15.75" customHeight="1">
      <c r="A1862" s="29"/>
      <c r="B1862" s="5" t="s">
        <v>3623</v>
      </c>
      <c r="C1862" s="5" t="s">
        <v>22</v>
      </c>
      <c r="D1862" s="5" t="s">
        <v>31</v>
      </c>
      <c r="E1862" s="5" t="s">
        <v>382</v>
      </c>
    </row>
    <row r="1863" ht="15.75" customHeight="1">
      <c r="A1863" s="29"/>
      <c r="B1863" s="5" t="s">
        <v>4790</v>
      </c>
      <c r="C1863" s="5" t="s">
        <v>48</v>
      </c>
      <c r="D1863" s="5" t="s">
        <v>95</v>
      </c>
      <c r="E1863" s="5" t="s">
        <v>382</v>
      </c>
    </row>
    <row r="1864" ht="15.75" customHeight="1">
      <c r="A1864" s="29"/>
      <c r="B1864" s="5" t="s">
        <v>4174</v>
      </c>
      <c r="C1864" s="5" t="s">
        <v>220</v>
      </c>
      <c r="D1864" s="5" t="s">
        <v>23</v>
      </c>
      <c r="E1864" s="5" t="s">
        <v>382</v>
      </c>
    </row>
    <row r="1865" ht="15.75" customHeight="1">
      <c r="A1865" s="29"/>
      <c r="B1865" s="5" t="s">
        <v>4660</v>
      </c>
      <c r="C1865" s="5" t="s">
        <v>77</v>
      </c>
      <c r="D1865" s="5" t="s">
        <v>71</v>
      </c>
      <c r="E1865" s="5" t="s">
        <v>382</v>
      </c>
    </row>
    <row r="1866" ht="15.75" customHeight="1">
      <c r="A1866" s="29"/>
      <c r="B1866" s="5" t="s">
        <v>4370</v>
      </c>
      <c r="C1866" s="5" t="s">
        <v>79</v>
      </c>
      <c r="D1866" s="5" t="s">
        <v>25</v>
      </c>
      <c r="E1866" s="5" t="s">
        <v>382</v>
      </c>
    </row>
    <row r="1867" ht="15.75" customHeight="1">
      <c r="A1867" s="29"/>
      <c r="B1867" s="5" t="s">
        <v>3351</v>
      </c>
      <c r="C1867" s="5" t="s">
        <v>79</v>
      </c>
      <c r="D1867" s="5" t="s">
        <v>27</v>
      </c>
      <c r="E1867" s="5" t="s">
        <v>382</v>
      </c>
    </row>
    <row r="1868" ht="15.75" customHeight="1">
      <c r="A1868" s="29"/>
      <c r="B1868" s="5" t="s">
        <v>3397</v>
      </c>
      <c r="C1868" s="5" t="s">
        <v>79</v>
      </c>
      <c r="D1868" s="5" t="s">
        <v>31</v>
      </c>
      <c r="E1868" s="5" t="s">
        <v>382</v>
      </c>
    </row>
    <row r="1869" ht="15.75" customHeight="1">
      <c r="A1869" s="29"/>
      <c r="B1869" s="5" t="s">
        <v>3705</v>
      </c>
      <c r="C1869" s="5" t="s">
        <v>79</v>
      </c>
      <c r="D1869" s="5" t="s">
        <v>49</v>
      </c>
      <c r="E1869" s="5" t="s">
        <v>382</v>
      </c>
    </row>
    <row r="1870" ht="15.75" customHeight="1">
      <c r="A1870" s="29"/>
      <c r="B1870" s="5" t="s">
        <v>4107</v>
      </c>
      <c r="C1870" s="5" t="s">
        <v>22</v>
      </c>
      <c r="D1870" s="5" t="s">
        <v>49</v>
      </c>
      <c r="E1870" s="5" t="s">
        <v>382</v>
      </c>
    </row>
    <row r="1871" ht="15.75" customHeight="1">
      <c r="A1871" s="29"/>
      <c r="B1871" s="5" t="s">
        <v>3987</v>
      </c>
      <c r="C1871" s="5" t="s">
        <v>79</v>
      </c>
      <c r="D1871" s="5" t="s">
        <v>122</v>
      </c>
      <c r="E1871" s="5" t="s">
        <v>382</v>
      </c>
    </row>
    <row r="1872" ht="15.75" customHeight="1">
      <c r="A1872" s="29"/>
      <c r="B1872" s="5" t="s">
        <v>3497</v>
      </c>
      <c r="C1872" s="5" t="s">
        <v>79</v>
      </c>
      <c r="D1872" s="5" t="s">
        <v>18</v>
      </c>
      <c r="E1872" s="5" t="s">
        <v>382</v>
      </c>
    </row>
    <row r="1873" ht="15.75" customHeight="1">
      <c r="A1873" s="29"/>
      <c r="B1873" s="5" t="s">
        <v>4723</v>
      </c>
      <c r="C1873" s="5" t="s">
        <v>150</v>
      </c>
      <c r="D1873" s="5" t="s">
        <v>27</v>
      </c>
      <c r="E1873" s="5" t="s">
        <v>382</v>
      </c>
    </row>
    <row r="1874" ht="15.75" customHeight="1">
      <c r="A1874" s="29"/>
      <c r="B1874" s="5" t="s">
        <v>4283</v>
      </c>
      <c r="C1874" s="5" t="s">
        <v>79</v>
      </c>
      <c r="D1874" s="5" t="s">
        <v>27</v>
      </c>
      <c r="E1874" s="5" t="s">
        <v>382</v>
      </c>
    </row>
    <row r="1875" ht="15.75" customHeight="1">
      <c r="A1875" s="29"/>
      <c r="B1875" s="5" t="s">
        <v>4216</v>
      </c>
      <c r="C1875" s="5" t="s">
        <v>79</v>
      </c>
      <c r="D1875" s="5" t="s">
        <v>113</v>
      </c>
      <c r="E1875" s="5" t="s">
        <v>382</v>
      </c>
    </row>
    <row r="1876" ht="15.75" customHeight="1">
      <c r="A1876" s="29"/>
      <c r="B1876" s="5" t="s">
        <v>3420</v>
      </c>
      <c r="C1876" s="5" t="s">
        <v>79</v>
      </c>
      <c r="D1876" s="5" t="s">
        <v>46</v>
      </c>
      <c r="E1876" s="5" t="s">
        <v>382</v>
      </c>
    </row>
    <row r="1877" ht="15.75" customHeight="1">
      <c r="A1877" s="29"/>
      <c r="B1877" s="5" t="s">
        <v>4248</v>
      </c>
      <c r="C1877" s="5" t="s">
        <v>22</v>
      </c>
      <c r="D1877" s="5" t="s">
        <v>46</v>
      </c>
      <c r="E1877" s="5" t="s">
        <v>382</v>
      </c>
    </row>
    <row r="1878" ht="15.75" customHeight="1">
      <c r="A1878" s="29"/>
      <c r="B1878" s="5" t="s">
        <v>4556</v>
      </c>
      <c r="C1878" s="5" t="s">
        <v>33</v>
      </c>
      <c r="D1878" s="5" t="s">
        <v>46</v>
      </c>
      <c r="E1878" s="5" t="s">
        <v>382</v>
      </c>
    </row>
    <row r="1879" ht="15.75" customHeight="1">
      <c r="A1879" s="29"/>
      <c r="B1879" s="5" t="s">
        <v>4898</v>
      </c>
      <c r="C1879" s="5" t="s">
        <v>77</v>
      </c>
      <c r="D1879" s="5" t="s">
        <v>82</v>
      </c>
      <c r="E1879" s="5" t="s">
        <v>382</v>
      </c>
    </row>
    <row r="1880" ht="15.75" customHeight="1">
      <c r="A1880" s="29"/>
      <c r="B1880" s="5" t="s">
        <v>4175</v>
      </c>
      <c r="C1880" s="5" t="s">
        <v>79</v>
      </c>
      <c r="D1880" s="5" t="s">
        <v>105</v>
      </c>
      <c r="E1880" s="5" t="s">
        <v>382</v>
      </c>
    </row>
    <row r="1881" ht="15.75" customHeight="1">
      <c r="A1881" s="29"/>
      <c r="B1881" s="5" t="s">
        <v>4374</v>
      </c>
      <c r="C1881" s="5" t="s">
        <v>79</v>
      </c>
      <c r="D1881" s="5" t="s">
        <v>36</v>
      </c>
      <c r="E1881" s="5" t="s">
        <v>382</v>
      </c>
    </row>
    <row r="1882" ht="15.75" customHeight="1">
      <c r="A1882" s="29"/>
      <c r="B1882" s="5" t="s">
        <v>5297</v>
      </c>
      <c r="C1882" s="5" t="s">
        <v>14</v>
      </c>
      <c r="D1882" s="5" t="s">
        <v>67</v>
      </c>
      <c r="E1882" s="5" t="s">
        <v>382</v>
      </c>
    </row>
    <row r="1883" ht="15.75" customHeight="1">
      <c r="A1883" s="29"/>
      <c r="B1883" s="5" t="s">
        <v>5515</v>
      </c>
      <c r="C1883" s="5" t="s">
        <v>39</v>
      </c>
      <c r="D1883" s="5" t="s">
        <v>140</v>
      </c>
      <c r="E1883" s="5" t="s">
        <v>382</v>
      </c>
    </row>
    <row r="1884" ht="15.75" customHeight="1">
      <c r="A1884" s="29"/>
      <c r="B1884" s="5" t="s">
        <v>3562</v>
      </c>
      <c r="C1884" s="5" t="s">
        <v>79</v>
      </c>
      <c r="D1884" s="5" t="s">
        <v>82</v>
      </c>
      <c r="E1884" s="5" t="s">
        <v>382</v>
      </c>
    </row>
    <row r="1885" ht="15.75" customHeight="1">
      <c r="A1885" s="29"/>
      <c r="B1885" s="5" t="s">
        <v>3267</v>
      </c>
      <c r="C1885" s="5" t="s">
        <v>79</v>
      </c>
      <c r="D1885" s="5" t="s">
        <v>129</v>
      </c>
      <c r="E1885" s="5" t="s">
        <v>382</v>
      </c>
    </row>
    <row r="1886" ht="15.75" customHeight="1">
      <c r="A1886" s="29"/>
      <c r="B1886" s="5" t="s">
        <v>4114</v>
      </c>
      <c r="C1886" s="5" t="s">
        <v>79</v>
      </c>
      <c r="D1886" s="5" t="s">
        <v>129</v>
      </c>
      <c r="E1886" s="5" t="s">
        <v>382</v>
      </c>
    </row>
    <row r="1887" ht="15.75" customHeight="1">
      <c r="A1887" s="29"/>
      <c r="B1887" s="5" t="s">
        <v>4464</v>
      </c>
      <c r="C1887" s="5" t="s">
        <v>22</v>
      </c>
      <c r="D1887" s="5" t="s">
        <v>42</v>
      </c>
      <c r="E1887" s="5" t="s">
        <v>382</v>
      </c>
    </row>
    <row r="1888" ht="15.75" customHeight="1">
      <c r="A1888" s="29"/>
      <c r="B1888" s="5" t="s">
        <v>3634</v>
      </c>
      <c r="C1888" s="5" t="s">
        <v>79</v>
      </c>
      <c r="D1888" s="5" t="s">
        <v>23</v>
      </c>
      <c r="E1888" s="5" t="s">
        <v>382</v>
      </c>
    </row>
    <row r="1889" ht="15.75" customHeight="1">
      <c r="A1889" s="29"/>
      <c r="B1889" s="5" t="s">
        <v>4784</v>
      </c>
      <c r="C1889" s="5" t="s">
        <v>218</v>
      </c>
      <c r="D1889" s="5" t="s">
        <v>73</v>
      </c>
      <c r="E1889" s="5" t="s">
        <v>382</v>
      </c>
    </row>
    <row r="1890" ht="15.75" customHeight="1">
      <c r="A1890" s="29"/>
      <c r="B1890" s="5" t="s">
        <v>3520</v>
      </c>
      <c r="C1890" s="5" t="s">
        <v>79</v>
      </c>
      <c r="D1890" s="5" t="s">
        <v>15</v>
      </c>
      <c r="E1890" s="5" t="s">
        <v>382</v>
      </c>
    </row>
    <row r="1891" ht="15.75" customHeight="1">
      <c r="A1891" s="29"/>
      <c r="B1891" s="5" t="s">
        <v>3777</v>
      </c>
      <c r="C1891" s="5" t="s">
        <v>79</v>
      </c>
      <c r="D1891" s="5" t="s">
        <v>34</v>
      </c>
      <c r="E1891" s="5" t="s">
        <v>382</v>
      </c>
    </row>
    <row r="1892" ht="15.75" customHeight="1">
      <c r="A1892" s="29"/>
      <c r="B1892" s="5" t="s">
        <v>3245</v>
      </c>
      <c r="C1892" s="5" t="s">
        <v>22</v>
      </c>
      <c r="D1892" s="5" t="s">
        <v>23</v>
      </c>
      <c r="E1892" s="5" t="s">
        <v>382</v>
      </c>
    </row>
    <row r="1893" ht="15.75" customHeight="1">
      <c r="A1893" s="29"/>
      <c r="B1893" s="5" t="s">
        <v>4393</v>
      </c>
      <c r="C1893" s="5" t="s">
        <v>22</v>
      </c>
      <c r="D1893" s="5" t="s">
        <v>137</v>
      </c>
      <c r="E1893" s="5" t="s">
        <v>382</v>
      </c>
    </row>
    <row r="1894" ht="15.75" customHeight="1">
      <c r="A1894" s="29"/>
      <c r="B1894" s="5" t="s">
        <v>4506</v>
      </c>
      <c r="C1894" s="5" t="s">
        <v>79</v>
      </c>
      <c r="D1894" s="5" t="s">
        <v>73</v>
      </c>
      <c r="E1894" s="5" t="s">
        <v>382</v>
      </c>
    </row>
    <row r="1895" ht="15.75" customHeight="1">
      <c r="A1895" s="29"/>
      <c r="B1895" s="5" t="s">
        <v>5563</v>
      </c>
      <c r="C1895" s="5" t="s">
        <v>33</v>
      </c>
      <c r="D1895" s="5" t="s">
        <v>95</v>
      </c>
      <c r="E1895" s="5" t="s">
        <v>382</v>
      </c>
    </row>
    <row r="1896" ht="15.75" customHeight="1">
      <c r="A1896" s="29"/>
      <c r="B1896" s="5" t="s">
        <v>4284</v>
      </c>
      <c r="C1896" s="5" t="s">
        <v>79</v>
      </c>
      <c r="D1896" s="5" t="s">
        <v>71</v>
      </c>
      <c r="E1896" s="5" t="s">
        <v>382</v>
      </c>
    </row>
    <row r="1897" ht="15.75" customHeight="1">
      <c r="A1897" s="29"/>
      <c r="B1897" s="5" t="s">
        <v>5548</v>
      </c>
      <c r="C1897" s="5" t="s">
        <v>11</v>
      </c>
      <c r="D1897" s="5" t="s">
        <v>71</v>
      </c>
      <c r="E1897" s="5" t="s">
        <v>382</v>
      </c>
    </row>
    <row r="1898" ht="15.75" customHeight="1">
      <c r="A1898" s="29"/>
      <c r="B1898" s="5" t="s">
        <v>4820</v>
      </c>
      <c r="C1898" s="5" t="s">
        <v>20</v>
      </c>
      <c r="D1898" s="5" t="s">
        <v>122</v>
      </c>
      <c r="E1898" s="5" t="s">
        <v>382</v>
      </c>
    </row>
    <row r="1899" ht="15.75" customHeight="1">
      <c r="A1899" s="29"/>
      <c r="B1899" s="5" t="s">
        <v>4549</v>
      </c>
      <c r="C1899" s="5" t="s">
        <v>220</v>
      </c>
      <c r="D1899" s="5" t="s">
        <v>140</v>
      </c>
      <c r="E1899" s="5" t="s">
        <v>382</v>
      </c>
    </row>
    <row r="1900" ht="15.75" customHeight="1">
      <c r="A1900" s="29"/>
      <c r="B1900" s="5" t="s">
        <v>4093</v>
      </c>
      <c r="C1900" s="5" t="s">
        <v>79</v>
      </c>
      <c r="D1900" s="5" t="s">
        <v>206</v>
      </c>
      <c r="E1900" s="5" t="s">
        <v>382</v>
      </c>
    </row>
    <row r="1901" ht="15.75" customHeight="1">
      <c r="A1901" s="29"/>
      <c r="B1901" s="5" t="s">
        <v>4143</v>
      </c>
      <c r="C1901" s="5" t="s">
        <v>79</v>
      </c>
      <c r="D1901" s="5" t="s">
        <v>206</v>
      </c>
      <c r="E1901" s="5" t="s">
        <v>382</v>
      </c>
    </row>
    <row r="1902" ht="15.75" customHeight="1">
      <c r="A1902" s="29"/>
      <c r="B1902" s="5" t="s">
        <v>4648</v>
      </c>
      <c r="C1902" s="5" t="s">
        <v>619</v>
      </c>
      <c r="D1902" s="5" t="s">
        <v>9</v>
      </c>
      <c r="E1902" s="5" t="s">
        <v>382</v>
      </c>
    </row>
    <row r="1903" ht="15.75" customHeight="1">
      <c r="A1903" s="29"/>
      <c r="B1903" s="5" t="s">
        <v>4527</v>
      </c>
      <c r="C1903" s="5" t="s">
        <v>22</v>
      </c>
      <c r="D1903" s="5" t="s">
        <v>140</v>
      </c>
      <c r="E1903" s="5" t="s">
        <v>382</v>
      </c>
    </row>
    <row r="1904" ht="15.75" customHeight="1">
      <c r="A1904" s="29"/>
      <c r="B1904" s="5" t="s">
        <v>3310</v>
      </c>
      <c r="C1904" s="5" t="s">
        <v>79</v>
      </c>
      <c r="D1904" s="5" t="s">
        <v>90</v>
      </c>
      <c r="E1904" s="5" t="s">
        <v>382</v>
      </c>
    </row>
    <row r="1905" ht="15.75" customHeight="1">
      <c r="A1905" s="29"/>
      <c r="B1905" s="5" t="s">
        <v>4838</v>
      </c>
      <c r="C1905" s="5" t="s">
        <v>48</v>
      </c>
      <c r="D1905" s="5" t="s">
        <v>25</v>
      </c>
      <c r="E1905" s="5" t="s">
        <v>382</v>
      </c>
    </row>
    <row r="1906" ht="15.75" customHeight="1">
      <c r="A1906" s="29"/>
      <c r="B1906" s="5" t="s">
        <v>3540</v>
      </c>
      <c r="C1906" s="5" t="s">
        <v>79</v>
      </c>
      <c r="D1906" s="5" t="s">
        <v>9</v>
      </c>
      <c r="E1906" s="5" t="s">
        <v>382</v>
      </c>
    </row>
    <row r="1907" ht="15.75" customHeight="1">
      <c r="A1907" s="29"/>
      <c r="B1907" s="5" t="s">
        <v>4348</v>
      </c>
      <c r="C1907" s="5" t="s">
        <v>79</v>
      </c>
      <c r="D1907" s="5" t="s">
        <v>122</v>
      </c>
      <c r="E1907" s="5" t="s">
        <v>382</v>
      </c>
    </row>
    <row r="1908" ht="15.75" customHeight="1">
      <c r="A1908" s="29"/>
      <c r="B1908" s="5" t="s">
        <v>4217</v>
      </c>
      <c r="C1908" s="5" t="s">
        <v>79</v>
      </c>
      <c r="D1908" s="5" t="s">
        <v>31</v>
      </c>
      <c r="E1908" s="5" t="s">
        <v>382</v>
      </c>
    </row>
    <row r="1909" ht="15.75" customHeight="1">
      <c r="A1909" s="29"/>
      <c r="B1909" s="5" t="s">
        <v>3544</v>
      </c>
      <c r="C1909" s="5" t="s">
        <v>79</v>
      </c>
      <c r="D1909" s="5" t="s">
        <v>137</v>
      </c>
      <c r="E1909" s="5" t="s">
        <v>382</v>
      </c>
    </row>
    <row r="1910" ht="15.75" customHeight="1">
      <c r="A1910" s="29"/>
      <c r="B1910" s="5" t="s">
        <v>4843</v>
      </c>
      <c r="C1910" s="5" t="s">
        <v>55</v>
      </c>
      <c r="D1910" s="5" t="s">
        <v>52</v>
      </c>
      <c r="E1910" s="5" t="s">
        <v>382</v>
      </c>
    </row>
    <row r="1911" ht="15.75" customHeight="1">
      <c r="A1911" s="29"/>
      <c r="B1911" s="5" t="s">
        <v>4288</v>
      </c>
      <c r="C1911" s="5" t="s">
        <v>79</v>
      </c>
      <c r="D1911" s="5" t="s">
        <v>113</v>
      </c>
      <c r="E1911" s="5" t="s">
        <v>382</v>
      </c>
    </row>
    <row r="1912" ht="15.75" customHeight="1">
      <c r="A1912" s="29"/>
      <c r="B1912" s="5" t="s">
        <v>3539</v>
      </c>
      <c r="C1912" s="5" t="s">
        <v>79</v>
      </c>
      <c r="D1912" s="5" t="s">
        <v>129</v>
      </c>
      <c r="E1912" s="5" t="s">
        <v>382</v>
      </c>
    </row>
    <row r="1913" ht="15.75" customHeight="1">
      <c r="A1913" s="29"/>
      <c r="B1913" s="5" t="s">
        <v>3688</v>
      </c>
      <c r="C1913" s="5" t="s">
        <v>22</v>
      </c>
      <c r="D1913" s="5" t="s">
        <v>67</v>
      </c>
      <c r="E1913" s="5" t="s">
        <v>382</v>
      </c>
    </row>
    <row r="1914" ht="15.75" customHeight="1">
      <c r="A1914" s="29"/>
      <c r="B1914" s="5" t="s">
        <v>3369</v>
      </c>
      <c r="C1914" s="5" t="s">
        <v>79</v>
      </c>
      <c r="D1914" s="5" t="s">
        <v>95</v>
      </c>
      <c r="E1914" s="5" t="s">
        <v>382</v>
      </c>
    </row>
    <row r="1915" ht="15.75" customHeight="1">
      <c r="A1915" s="29"/>
      <c r="B1915" s="5" t="s">
        <v>5539</v>
      </c>
      <c r="C1915" s="5" t="s">
        <v>33</v>
      </c>
      <c r="D1915" s="5" t="s">
        <v>36</v>
      </c>
      <c r="E1915" s="5" t="s">
        <v>382</v>
      </c>
    </row>
    <row r="1916" ht="15.75" customHeight="1">
      <c r="A1916" s="29"/>
      <c r="B1916" s="5" t="s">
        <v>4123</v>
      </c>
      <c r="C1916" s="5" t="s">
        <v>79</v>
      </c>
      <c r="D1916" s="5" t="s">
        <v>120</v>
      </c>
      <c r="E1916" s="5" t="s">
        <v>382</v>
      </c>
    </row>
    <row r="1917" ht="15.75" customHeight="1">
      <c r="A1917" s="29"/>
      <c r="B1917" s="5" t="s">
        <v>5569</v>
      </c>
      <c r="C1917" s="5" t="s">
        <v>14</v>
      </c>
      <c r="D1917" s="5" t="s">
        <v>120</v>
      </c>
      <c r="E1917" s="5" t="s">
        <v>382</v>
      </c>
    </row>
    <row r="1918" ht="15.75" customHeight="1">
      <c r="A1918" s="29"/>
      <c r="B1918" s="5" t="s">
        <v>4503</v>
      </c>
      <c r="C1918" s="5" t="s">
        <v>79</v>
      </c>
      <c r="D1918" s="5" t="s">
        <v>99</v>
      </c>
      <c r="E1918" s="5" t="s">
        <v>382</v>
      </c>
    </row>
    <row r="1919" ht="15.75" customHeight="1">
      <c r="A1919" s="29"/>
      <c r="B1919" s="5" t="s">
        <v>3169</v>
      </c>
      <c r="C1919" s="5" t="s">
        <v>262</v>
      </c>
      <c r="D1919" s="5" t="s">
        <v>137</v>
      </c>
      <c r="E1919" s="5" t="s">
        <v>382</v>
      </c>
    </row>
    <row r="1920" ht="15.75" customHeight="1">
      <c r="A1920" s="29"/>
      <c r="B1920" s="5" t="s">
        <v>3269</v>
      </c>
      <c r="C1920" s="5" t="s">
        <v>220</v>
      </c>
      <c r="D1920" s="5" t="s">
        <v>82</v>
      </c>
      <c r="E1920" s="5" t="s">
        <v>382</v>
      </c>
    </row>
    <row r="1921" ht="15.75" customHeight="1">
      <c r="A1921" s="29"/>
      <c r="B1921" s="5" t="s">
        <v>4710</v>
      </c>
      <c r="C1921" s="5" t="s">
        <v>39</v>
      </c>
      <c r="D1921" s="5" t="s">
        <v>129</v>
      </c>
      <c r="E1921" s="5" t="s">
        <v>382</v>
      </c>
    </row>
    <row r="1922" ht="15.75" customHeight="1">
      <c r="A1922" s="29"/>
      <c r="B1922" s="5" t="s">
        <v>5200</v>
      </c>
      <c r="C1922" s="5" t="s">
        <v>39</v>
      </c>
      <c r="D1922" s="5" t="s">
        <v>140</v>
      </c>
      <c r="E1922" s="5" t="s">
        <v>382</v>
      </c>
    </row>
    <row r="1923" ht="15.75" customHeight="1">
      <c r="A1923" s="29"/>
      <c r="B1923" s="5" t="s">
        <v>4133</v>
      </c>
      <c r="C1923" s="5" t="s">
        <v>79</v>
      </c>
      <c r="D1923" s="5" t="s">
        <v>140</v>
      </c>
      <c r="E1923" s="5" t="s">
        <v>382</v>
      </c>
    </row>
    <row r="1924" ht="15.75" customHeight="1">
      <c r="A1924" s="29"/>
      <c r="B1924" s="5" t="s">
        <v>3572</v>
      </c>
      <c r="C1924" s="5" t="s">
        <v>22</v>
      </c>
      <c r="D1924" s="5" t="s">
        <v>140</v>
      </c>
      <c r="E1924" s="5" t="s">
        <v>382</v>
      </c>
    </row>
    <row r="1925" ht="15.75" customHeight="1">
      <c r="A1925" s="29"/>
      <c r="B1925" s="5" t="s">
        <v>3725</v>
      </c>
      <c r="C1925" s="5" t="s">
        <v>22</v>
      </c>
      <c r="D1925" s="5" t="s">
        <v>140</v>
      </c>
      <c r="E1925" s="5" t="s">
        <v>382</v>
      </c>
    </row>
    <row r="1926" ht="15.75" customHeight="1">
      <c r="A1926" s="29"/>
      <c r="B1926" s="5" t="s">
        <v>3903</v>
      </c>
      <c r="C1926" s="5" t="s">
        <v>22</v>
      </c>
      <c r="D1926" s="5" t="s">
        <v>137</v>
      </c>
      <c r="E1926" s="5" t="s">
        <v>382</v>
      </c>
    </row>
    <row r="1927" ht="15.75" customHeight="1">
      <c r="A1927" s="29"/>
      <c r="B1927" s="5" t="s">
        <v>3878</v>
      </c>
      <c r="C1927" s="5" t="s">
        <v>22</v>
      </c>
      <c r="D1927" s="5" t="s">
        <v>140</v>
      </c>
      <c r="E1927" s="5" t="s">
        <v>382</v>
      </c>
    </row>
    <row r="1928" ht="15.75" customHeight="1">
      <c r="A1928" s="29"/>
      <c r="B1928" s="5" t="s">
        <v>5453</v>
      </c>
      <c r="C1928" s="5" t="s">
        <v>77</v>
      </c>
      <c r="D1928" s="5" t="s">
        <v>120</v>
      </c>
      <c r="E1928" s="5" t="s">
        <v>382</v>
      </c>
    </row>
    <row r="1929" ht="15.75" customHeight="1">
      <c r="A1929" s="29"/>
      <c r="B1929" s="5" t="s">
        <v>5008</v>
      </c>
      <c r="C1929" s="5" t="s">
        <v>14</v>
      </c>
      <c r="D1929" s="5" t="s">
        <v>49</v>
      </c>
      <c r="E1929" s="5" t="s">
        <v>382</v>
      </c>
    </row>
    <row r="1930" ht="15.75" customHeight="1">
      <c r="A1930" s="29"/>
      <c r="B1930" s="5" t="s">
        <v>4981</v>
      </c>
      <c r="C1930" s="5" t="s">
        <v>14</v>
      </c>
      <c r="D1930" s="5" t="s">
        <v>73</v>
      </c>
      <c r="E1930" s="5" t="s">
        <v>382</v>
      </c>
    </row>
    <row r="1931" ht="15.75" customHeight="1">
      <c r="A1931" s="29"/>
      <c r="B1931" s="5" t="s">
        <v>5160</v>
      </c>
      <c r="C1931" s="5" t="s">
        <v>14</v>
      </c>
      <c r="D1931" s="5" t="s">
        <v>73</v>
      </c>
      <c r="E1931" s="5" t="s">
        <v>382</v>
      </c>
    </row>
    <row r="1932" ht="15.75" customHeight="1">
      <c r="A1932" s="29"/>
      <c r="B1932" s="5" t="s">
        <v>5220</v>
      </c>
      <c r="C1932" s="5" t="s">
        <v>55</v>
      </c>
      <c r="D1932" s="5" t="s">
        <v>73</v>
      </c>
      <c r="E1932" s="5" t="s">
        <v>382</v>
      </c>
    </row>
    <row r="1933" ht="15.75" customHeight="1">
      <c r="A1933" s="29"/>
      <c r="B1933" s="5" t="s">
        <v>4910</v>
      </c>
      <c r="C1933" s="5" t="s">
        <v>14</v>
      </c>
      <c r="D1933" s="5" t="s">
        <v>42</v>
      </c>
      <c r="E1933" s="5" t="s">
        <v>382</v>
      </c>
    </row>
    <row r="1934" ht="15.75" customHeight="1">
      <c r="A1934" s="29"/>
      <c r="B1934" s="5" t="s">
        <v>5353</v>
      </c>
      <c r="C1934" s="5" t="s">
        <v>39</v>
      </c>
      <c r="D1934" s="5" t="s">
        <v>42</v>
      </c>
      <c r="E1934" s="5" t="s">
        <v>382</v>
      </c>
    </row>
    <row r="1935" ht="15.75" customHeight="1">
      <c r="A1935" s="29"/>
      <c r="B1935" s="5" t="s">
        <v>5447</v>
      </c>
      <c r="C1935" s="5" t="s">
        <v>14</v>
      </c>
      <c r="D1935" s="5" t="s">
        <v>42</v>
      </c>
      <c r="E1935" s="5" t="s">
        <v>382</v>
      </c>
    </row>
    <row r="1936" ht="15.75" customHeight="1">
      <c r="A1936" s="29"/>
      <c r="B1936" s="5" t="s">
        <v>3852</v>
      </c>
      <c r="C1936" s="5" t="s">
        <v>22</v>
      </c>
      <c r="D1936" s="5" t="s">
        <v>42</v>
      </c>
      <c r="E1936" s="5" t="s">
        <v>382</v>
      </c>
    </row>
    <row r="1937" ht="15.75" customHeight="1">
      <c r="A1937" s="29"/>
      <c r="B1937" s="5" t="s">
        <v>3989</v>
      </c>
      <c r="C1937" s="5" t="s">
        <v>22</v>
      </c>
      <c r="D1937" s="5" t="s">
        <v>42</v>
      </c>
      <c r="E1937" s="5" t="s">
        <v>382</v>
      </c>
    </row>
    <row r="1938" ht="15.75" customHeight="1">
      <c r="A1938" s="29"/>
      <c r="B1938" s="5" t="s">
        <v>3569</v>
      </c>
      <c r="C1938" s="5" t="s">
        <v>22</v>
      </c>
      <c r="D1938" s="5" t="s">
        <v>206</v>
      </c>
      <c r="E1938" s="5" t="s">
        <v>382</v>
      </c>
    </row>
    <row r="1939" ht="15.75" customHeight="1">
      <c r="A1939" s="29"/>
      <c r="B1939" s="5" t="s">
        <v>5481</v>
      </c>
      <c r="C1939" s="5" t="s">
        <v>77</v>
      </c>
      <c r="D1939" s="5" t="s">
        <v>206</v>
      </c>
      <c r="E1939" s="5" t="s">
        <v>382</v>
      </c>
    </row>
    <row r="1940" ht="15.75" customHeight="1">
      <c r="A1940" s="29"/>
      <c r="B1940" s="5" t="s">
        <v>3692</v>
      </c>
      <c r="C1940" s="5" t="s">
        <v>22</v>
      </c>
      <c r="D1940" s="5" t="s">
        <v>206</v>
      </c>
      <c r="E1940" s="5" t="s">
        <v>382</v>
      </c>
    </row>
    <row r="1941" ht="15.75" customHeight="1">
      <c r="A1941" s="29"/>
      <c r="B1941" s="5" t="s">
        <v>4938</v>
      </c>
      <c r="C1941" s="5" t="s">
        <v>11</v>
      </c>
      <c r="D1941" s="5" t="s">
        <v>206</v>
      </c>
      <c r="E1941" s="5" t="s">
        <v>382</v>
      </c>
    </row>
    <row r="1942" ht="15.75" customHeight="1">
      <c r="A1942" s="29"/>
      <c r="B1942" s="5" t="s">
        <v>5405</v>
      </c>
      <c r="C1942" s="5" t="s">
        <v>39</v>
      </c>
      <c r="D1942" s="5" t="s">
        <v>206</v>
      </c>
      <c r="E1942" s="5" t="s">
        <v>382</v>
      </c>
    </row>
    <row r="1943" ht="15.75" customHeight="1">
      <c r="A1943" s="29"/>
      <c r="B1943" s="5" t="s">
        <v>5277</v>
      </c>
      <c r="C1943" s="5" t="s">
        <v>48</v>
      </c>
      <c r="D1943" s="5" t="s">
        <v>206</v>
      </c>
      <c r="E1943" s="5" t="s">
        <v>382</v>
      </c>
    </row>
    <row r="1944" ht="15.75" customHeight="1">
      <c r="A1944" s="29"/>
      <c r="B1944" s="5" t="s">
        <v>4042</v>
      </c>
      <c r="C1944" s="5" t="s">
        <v>22</v>
      </c>
      <c r="D1944" s="5" t="s">
        <v>206</v>
      </c>
      <c r="E1944" s="5" t="s">
        <v>382</v>
      </c>
    </row>
    <row r="1945" ht="15.75" customHeight="1">
      <c r="A1945" s="29"/>
      <c r="B1945" s="5" t="s">
        <v>5349</v>
      </c>
      <c r="C1945" s="5" t="s">
        <v>240</v>
      </c>
      <c r="D1945" s="5" t="s">
        <v>129</v>
      </c>
      <c r="E1945" s="5" t="s">
        <v>382</v>
      </c>
    </row>
    <row r="1946" ht="15.75" customHeight="1">
      <c r="A1946" s="29"/>
      <c r="B1946" s="5" t="s">
        <v>5045</v>
      </c>
      <c r="C1946" s="5" t="s">
        <v>89</v>
      </c>
      <c r="D1946" s="5" t="s">
        <v>129</v>
      </c>
      <c r="E1946" s="5" t="s">
        <v>382</v>
      </c>
    </row>
    <row r="1947" ht="15.75" customHeight="1">
      <c r="A1947" s="29"/>
      <c r="B1947" s="5" t="s">
        <v>4921</v>
      </c>
      <c r="C1947" s="5" t="s">
        <v>8</v>
      </c>
      <c r="D1947" s="5" t="s">
        <v>129</v>
      </c>
      <c r="E1947" s="5" t="s">
        <v>382</v>
      </c>
    </row>
    <row r="1948" ht="15.75" customHeight="1">
      <c r="A1948" s="29"/>
      <c r="B1948" s="5" t="s">
        <v>3231</v>
      </c>
      <c r="C1948" s="5" t="s">
        <v>22</v>
      </c>
      <c r="D1948" s="5" t="s">
        <v>129</v>
      </c>
      <c r="E1948" s="5" t="s">
        <v>382</v>
      </c>
    </row>
    <row r="1949" ht="15.75" customHeight="1">
      <c r="A1949" s="29"/>
      <c r="B1949" s="5" t="s">
        <v>4488</v>
      </c>
      <c r="C1949" s="5" t="s">
        <v>22</v>
      </c>
      <c r="D1949" s="5" t="s">
        <v>82</v>
      </c>
      <c r="E1949" s="5" t="s">
        <v>382</v>
      </c>
    </row>
    <row r="1950" ht="15.75" customHeight="1">
      <c r="A1950" s="29"/>
      <c r="B1950" s="5" t="s">
        <v>3704</v>
      </c>
      <c r="C1950" s="5" t="s">
        <v>22</v>
      </c>
      <c r="D1950" s="5" t="s">
        <v>12</v>
      </c>
      <c r="E1950" s="5" t="s">
        <v>382</v>
      </c>
    </row>
    <row r="1951" ht="15.75" customHeight="1">
      <c r="A1951" s="29"/>
      <c r="B1951" s="5" t="s">
        <v>4947</v>
      </c>
      <c r="C1951" s="5" t="s">
        <v>14</v>
      </c>
      <c r="D1951" s="5" t="s">
        <v>12</v>
      </c>
      <c r="E1951" s="5" t="s">
        <v>382</v>
      </c>
    </row>
    <row r="1952" ht="15.75" customHeight="1">
      <c r="A1952" s="29"/>
      <c r="B1952" s="5" t="s">
        <v>5419</v>
      </c>
      <c r="C1952" s="5" t="s">
        <v>14</v>
      </c>
      <c r="D1952" s="5" t="s">
        <v>12</v>
      </c>
      <c r="E1952" s="5" t="s">
        <v>382</v>
      </c>
    </row>
    <row r="1953" ht="15.75" customHeight="1">
      <c r="A1953" s="29"/>
      <c r="B1953" s="5" t="s">
        <v>5131</v>
      </c>
      <c r="C1953" s="5" t="s">
        <v>63</v>
      </c>
      <c r="D1953" s="5" t="s">
        <v>105</v>
      </c>
      <c r="E1953" s="5" t="s">
        <v>382</v>
      </c>
    </row>
    <row r="1954" ht="15.75" customHeight="1">
      <c r="A1954" s="29"/>
      <c r="B1954" s="5" t="s">
        <v>3627</v>
      </c>
      <c r="C1954" s="5" t="s">
        <v>22</v>
      </c>
      <c r="D1954" s="5" t="s">
        <v>105</v>
      </c>
      <c r="E1954" s="5" t="s">
        <v>382</v>
      </c>
    </row>
    <row r="1955" ht="15.75" customHeight="1">
      <c r="A1955" s="29"/>
      <c r="B1955" s="5" t="s">
        <v>5136</v>
      </c>
      <c r="C1955" s="5" t="s">
        <v>11</v>
      </c>
      <c r="D1955" s="5" t="s">
        <v>105</v>
      </c>
      <c r="E1955" s="5" t="s">
        <v>382</v>
      </c>
    </row>
    <row r="1956" ht="15.75" customHeight="1">
      <c r="A1956" s="29"/>
      <c r="B1956" s="5" t="s">
        <v>4993</v>
      </c>
      <c r="C1956" s="5" t="s">
        <v>20</v>
      </c>
      <c r="D1956" s="5" t="s">
        <v>105</v>
      </c>
      <c r="E1956" s="5" t="s">
        <v>382</v>
      </c>
    </row>
    <row r="1957" ht="15.75" customHeight="1">
      <c r="A1957" s="29"/>
      <c r="B1957" s="5" t="s">
        <v>5261</v>
      </c>
      <c r="C1957" s="5" t="s">
        <v>14</v>
      </c>
      <c r="D1957" s="5" t="s">
        <v>113</v>
      </c>
      <c r="E1957" s="5" t="s">
        <v>382</v>
      </c>
    </row>
    <row r="1958" ht="15.75" customHeight="1">
      <c r="A1958" s="29"/>
      <c r="B1958" s="5" t="s">
        <v>5125</v>
      </c>
      <c r="C1958" s="5" t="s">
        <v>11</v>
      </c>
      <c r="D1958" s="5" t="s">
        <v>113</v>
      </c>
      <c r="E1958" s="5" t="s">
        <v>382</v>
      </c>
    </row>
    <row r="1959" ht="15.75" customHeight="1">
      <c r="A1959" s="29"/>
      <c r="B1959" s="5" t="s">
        <v>5480</v>
      </c>
      <c r="C1959" s="5" t="s">
        <v>17</v>
      </c>
      <c r="D1959" s="5" t="s">
        <v>27</v>
      </c>
      <c r="E1959" s="5" t="s">
        <v>382</v>
      </c>
    </row>
    <row r="1960" ht="15.75" customHeight="1">
      <c r="A1960" s="29"/>
      <c r="B1960" s="5" t="s">
        <v>4190</v>
      </c>
      <c r="C1960" s="5" t="s">
        <v>22</v>
      </c>
      <c r="D1960" s="5" t="s">
        <v>27</v>
      </c>
      <c r="E1960" s="5" t="s">
        <v>382</v>
      </c>
    </row>
    <row r="1961" ht="15.75" customHeight="1">
      <c r="A1961" s="29"/>
      <c r="B1961" s="5" t="s">
        <v>5145</v>
      </c>
      <c r="C1961" s="5" t="s">
        <v>14</v>
      </c>
      <c r="D1961" s="5" t="s">
        <v>27</v>
      </c>
      <c r="E1961" s="5" t="s">
        <v>382</v>
      </c>
    </row>
    <row r="1962" ht="15.75" customHeight="1">
      <c r="A1962" s="29"/>
      <c r="B1962" s="5" t="s">
        <v>5009</v>
      </c>
      <c r="C1962" s="5" t="s">
        <v>77</v>
      </c>
      <c r="D1962" s="5" t="s">
        <v>27</v>
      </c>
      <c r="E1962" s="5" t="s">
        <v>382</v>
      </c>
    </row>
    <row r="1963" ht="15.75" customHeight="1">
      <c r="A1963" s="29"/>
      <c r="B1963" s="5" t="s">
        <v>5268</v>
      </c>
      <c r="C1963" s="5" t="s">
        <v>14</v>
      </c>
      <c r="D1963" s="5" t="s">
        <v>27</v>
      </c>
      <c r="E1963" s="5" t="s">
        <v>382</v>
      </c>
    </row>
    <row r="1964" ht="15.75" customHeight="1">
      <c r="A1964" s="29"/>
      <c r="B1964" s="5" t="s">
        <v>3738</v>
      </c>
      <c r="C1964" s="5" t="s">
        <v>22</v>
      </c>
      <c r="D1964" s="5" t="s">
        <v>67</v>
      </c>
      <c r="E1964" s="5" t="s">
        <v>382</v>
      </c>
    </row>
    <row r="1965" ht="15.75" customHeight="1">
      <c r="A1965" s="29"/>
      <c r="B1965" s="5" t="s">
        <v>5416</v>
      </c>
      <c r="C1965" s="5" t="s">
        <v>14</v>
      </c>
      <c r="D1965" s="5" t="s">
        <v>67</v>
      </c>
      <c r="E1965" s="5" t="s">
        <v>382</v>
      </c>
    </row>
    <row r="1966" ht="15.75" customHeight="1">
      <c r="A1966" s="29"/>
      <c r="B1966" s="5" t="s">
        <v>3767</v>
      </c>
      <c r="C1966" s="5" t="s">
        <v>22</v>
      </c>
      <c r="D1966" s="5" t="s">
        <v>34</v>
      </c>
      <c r="E1966" s="5" t="s">
        <v>382</v>
      </c>
    </row>
    <row r="1967" ht="15.75" customHeight="1">
      <c r="A1967" s="29"/>
      <c r="B1967" s="5" t="s">
        <v>5358</v>
      </c>
      <c r="C1967" s="5" t="s">
        <v>39</v>
      </c>
      <c r="D1967" s="5" t="s">
        <v>34</v>
      </c>
      <c r="E1967" s="5" t="s">
        <v>382</v>
      </c>
    </row>
    <row r="1968" ht="15.75" customHeight="1">
      <c r="A1968" s="29"/>
      <c r="B1968" s="5" t="s">
        <v>4038</v>
      </c>
      <c r="C1968" s="5" t="s">
        <v>22</v>
      </c>
      <c r="D1968" s="5" t="s">
        <v>34</v>
      </c>
      <c r="E1968" s="5" t="s">
        <v>382</v>
      </c>
    </row>
    <row r="1969" ht="15.75" customHeight="1">
      <c r="A1969" s="29"/>
      <c r="B1969" s="5" t="s">
        <v>4117</v>
      </c>
      <c r="C1969" s="5" t="s">
        <v>79</v>
      </c>
      <c r="D1969" s="5" t="s">
        <v>34</v>
      </c>
      <c r="E1969" s="5" t="s">
        <v>382</v>
      </c>
    </row>
    <row r="1970" ht="15.75" customHeight="1">
      <c r="A1970" s="29"/>
      <c r="B1970" s="5" t="s">
        <v>4969</v>
      </c>
      <c r="C1970" s="5" t="s">
        <v>14</v>
      </c>
      <c r="D1970" s="5" t="s">
        <v>34</v>
      </c>
      <c r="E1970" s="5" t="s">
        <v>382</v>
      </c>
    </row>
    <row r="1971" ht="15.75" customHeight="1">
      <c r="A1971" s="29"/>
      <c r="B1971" s="5" t="s">
        <v>5064</v>
      </c>
      <c r="C1971" s="5" t="s">
        <v>14</v>
      </c>
      <c r="D1971" s="5" t="s">
        <v>9</v>
      </c>
      <c r="E1971" s="5" t="s">
        <v>382</v>
      </c>
    </row>
    <row r="1972" ht="15.75" customHeight="1">
      <c r="A1972" s="29"/>
      <c r="B1972" s="5" t="s">
        <v>5323</v>
      </c>
      <c r="C1972" s="5" t="s">
        <v>48</v>
      </c>
      <c r="D1972" s="5" t="s">
        <v>9</v>
      </c>
      <c r="E1972" s="5" t="s">
        <v>382</v>
      </c>
    </row>
    <row r="1973" ht="15.75" customHeight="1">
      <c r="A1973" s="29"/>
      <c r="B1973" s="5" t="s">
        <v>5495</v>
      </c>
      <c r="C1973" s="5" t="s">
        <v>11</v>
      </c>
      <c r="D1973" s="5" t="s">
        <v>9</v>
      </c>
      <c r="E1973" s="5" t="s">
        <v>382</v>
      </c>
    </row>
    <row r="1974" ht="15.75" customHeight="1">
      <c r="A1974" s="29"/>
      <c r="B1974" s="5" t="s">
        <v>5496</v>
      </c>
      <c r="C1974" s="5" t="s">
        <v>48</v>
      </c>
      <c r="D1974" s="5" t="s">
        <v>9</v>
      </c>
      <c r="E1974" s="5" t="s">
        <v>382</v>
      </c>
    </row>
    <row r="1975" ht="15.75" customHeight="1">
      <c r="A1975" s="29"/>
      <c r="B1975" s="5" t="s">
        <v>5330</v>
      </c>
      <c r="C1975" s="5" t="s">
        <v>11</v>
      </c>
      <c r="D1975" s="5" t="s">
        <v>9</v>
      </c>
      <c r="E1975" s="5" t="s">
        <v>382</v>
      </c>
    </row>
    <row r="1976" ht="15.75" customHeight="1">
      <c r="A1976" s="29"/>
      <c r="B1976" s="5" t="s">
        <v>5152</v>
      </c>
      <c r="C1976" s="5" t="s">
        <v>17</v>
      </c>
      <c r="D1976" s="5" t="s">
        <v>85</v>
      </c>
      <c r="E1976" s="5" t="s">
        <v>382</v>
      </c>
    </row>
    <row r="1977" ht="15.75" customHeight="1">
      <c r="A1977" s="29"/>
      <c r="B1977" s="5" t="s">
        <v>4980</v>
      </c>
      <c r="C1977" s="5" t="s">
        <v>17</v>
      </c>
      <c r="D1977" s="5" t="s">
        <v>85</v>
      </c>
      <c r="E1977" s="5" t="s">
        <v>382</v>
      </c>
    </row>
    <row r="1978" ht="15.75" customHeight="1">
      <c r="A1978" s="29"/>
      <c r="B1978" s="5" t="s">
        <v>5285</v>
      </c>
      <c r="C1978" s="5" t="s">
        <v>39</v>
      </c>
      <c r="D1978" s="5" t="s">
        <v>90</v>
      </c>
      <c r="E1978" s="5" t="s">
        <v>382</v>
      </c>
    </row>
    <row r="1979" ht="15.75" customHeight="1">
      <c r="A1979" s="29"/>
      <c r="B1979" s="5" t="s">
        <v>5112</v>
      </c>
      <c r="C1979" s="5" t="s">
        <v>14</v>
      </c>
      <c r="D1979" s="5" t="s">
        <v>85</v>
      </c>
      <c r="E1979" s="5" t="s">
        <v>382</v>
      </c>
    </row>
    <row r="1980" ht="15.75" customHeight="1">
      <c r="A1980" s="29"/>
      <c r="B1980" s="5" t="s">
        <v>4936</v>
      </c>
      <c r="C1980" s="5" t="s">
        <v>39</v>
      </c>
      <c r="D1980" s="5" t="s">
        <v>25</v>
      </c>
      <c r="E1980" s="5" t="s">
        <v>382</v>
      </c>
    </row>
    <row r="1981" ht="15.75" customHeight="1">
      <c r="A1981" s="29"/>
      <c r="B1981" s="5" t="s">
        <v>5375</v>
      </c>
      <c r="C1981" s="5" t="s">
        <v>14</v>
      </c>
      <c r="D1981" s="5" t="s">
        <v>25</v>
      </c>
      <c r="E1981" s="5" t="s">
        <v>382</v>
      </c>
    </row>
    <row r="1982" ht="15.75" customHeight="1">
      <c r="A1982" s="29"/>
      <c r="B1982" s="5" t="s">
        <v>3690</v>
      </c>
      <c r="C1982" s="5" t="s">
        <v>22</v>
      </c>
      <c r="D1982" s="5" t="s">
        <v>25</v>
      </c>
      <c r="E1982" s="5" t="s">
        <v>382</v>
      </c>
    </row>
    <row r="1983" ht="15.75" customHeight="1">
      <c r="A1983" s="29"/>
      <c r="B1983" s="5" t="s">
        <v>3698</v>
      </c>
      <c r="C1983" s="5" t="s">
        <v>22</v>
      </c>
      <c r="D1983" s="5" t="s">
        <v>25</v>
      </c>
      <c r="E1983" s="5" t="s">
        <v>382</v>
      </c>
    </row>
    <row r="1984" ht="15.75" customHeight="1">
      <c r="A1984" s="29"/>
      <c r="B1984" s="5" t="s">
        <v>3649</v>
      </c>
      <c r="C1984" s="5" t="s">
        <v>22</v>
      </c>
      <c r="D1984" s="5" t="s">
        <v>99</v>
      </c>
      <c r="E1984" s="5" t="s">
        <v>382</v>
      </c>
    </row>
    <row r="1985" ht="15.75" customHeight="1">
      <c r="A1985" s="29"/>
      <c r="B1985" s="5" t="s">
        <v>5493</v>
      </c>
      <c r="C1985" s="5" t="s">
        <v>14</v>
      </c>
      <c r="D1985" s="5" t="s">
        <v>99</v>
      </c>
      <c r="E1985" s="5" t="s">
        <v>382</v>
      </c>
    </row>
    <row r="1986" ht="15.75" customHeight="1">
      <c r="A1986" s="29"/>
      <c r="B1986" s="5" t="s">
        <v>5325</v>
      </c>
      <c r="C1986" s="5" t="s">
        <v>14</v>
      </c>
      <c r="D1986" s="5" t="s">
        <v>99</v>
      </c>
      <c r="E1986" s="5" t="s">
        <v>382</v>
      </c>
    </row>
    <row r="1987" ht="15.75" customHeight="1">
      <c r="A1987" s="29"/>
      <c r="B1987" s="5" t="s">
        <v>4593</v>
      </c>
      <c r="C1987" s="5" t="s">
        <v>77</v>
      </c>
      <c r="D1987" s="5" t="s">
        <v>99</v>
      </c>
      <c r="E1987" s="5" t="s">
        <v>382</v>
      </c>
    </row>
    <row r="1988" ht="15.75" customHeight="1">
      <c r="A1988" s="29"/>
      <c r="B1988" s="5" t="s">
        <v>5499</v>
      </c>
      <c r="C1988" s="5" t="s">
        <v>17</v>
      </c>
      <c r="D1988" s="5" t="s">
        <v>99</v>
      </c>
      <c r="E1988" s="5" t="s">
        <v>382</v>
      </c>
    </row>
    <row r="1989" ht="15.75" customHeight="1">
      <c r="A1989" s="29"/>
      <c r="B1989" s="5" t="s">
        <v>5424</v>
      </c>
      <c r="C1989" s="5" t="s">
        <v>11</v>
      </c>
      <c r="D1989" s="5" t="s">
        <v>36</v>
      </c>
      <c r="E1989" s="5" t="s">
        <v>382</v>
      </c>
    </row>
    <row r="1990" ht="15.75" customHeight="1">
      <c r="A1990" s="29"/>
      <c r="B1990" s="5" t="s">
        <v>3855</v>
      </c>
      <c r="C1990" s="5" t="s">
        <v>22</v>
      </c>
      <c r="D1990" s="5" t="s">
        <v>36</v>
      </c>
      <c r="E1990" s="5" t="s">
        <v>382</v>
      </c>
    </row>
    <row r="1991" ht="15.75" customHeight="1">
      <c r="A1991" s="29"/>
      <c r="B1991" s="5" t="s">
        <v>3561</v>
      </c>
      <c r="C1991" s="5" t="s">
        <v>79</v>
      </c>
      <c r="D1991" s="5" t="s">
        <v>36</v>
      </c>
      <c r="E1991" s="5" t="s">
        <v>382</v>
      </c>
    </row>
    <row r="1992" ht="15.75" customHeight="1">
      <c r="A1992" s="29"/>
      <c r="B1992" s="5" t="s">
        <v>3983</v>
      </c>
      <c r="C1992" s="5" t="s">
        <v>22</v>
      </c>
      <c r="D1992" s="5" t="s">
        <v>36</v>
      </c>
      <c r="E1992" s="5" t="s">
        <v>382</v>
      </c>
    </row>
    <row r="1993" ht="15.75" customHeight="1">
      <c r="A1993" s="29"/>
      <c r="B1993" s="5" t="s">
        <v>3728</v>
      </c>
      <c r="C1993" s="5" t="s">
        <v>22</v>
      </c>
      <c r="D1993" s="5" t="s">
        <v>36</v>
      </c>
      <c r="E1993" s="5" t="s">
        <v>382</v>
      </c>
    </row>
    <row r="1994" ht="15.75" customHeight="1">
      <c r="A1994" s="29"/>
      <c r="B1994" s="5" t="s">
        <v>4032</v>
      </c>
      <c r="C1994" s="5" t="s">
        <v>22</v>
      </c>
      <c r="D1994" s="5" t="s">
        <v>36</v>
      </c>
      <c r="E1994" s="5" t="s">
        <v>382</v>
      </c>
    </row>
    <row r="1995" ht="15.75" customHeight="1">
      <c r="A1995" s="29"/>
      <c r="B1995" s="5" t="s">
        <v>4998</v>
      </c>
      <c r="C1995" s="5" t="s">
        <v>39</v>
      </c>
      <c r="D1995" s="5" t="s">
        <v>23</v>
      </c>
      <c r="E1995" s="5" t="s">
        <v>382</v>
      </c>
    </row>
    <row r="1996" ht="15.75" customHeight="1">
      <c r="A1996" s="29"/>
      <c r="B1996" s="5" t="s">
        <v>5057</v>
      </c>
      <c r="C1996" s="5" t="s">
        <v>55</v>
      </c>
      <c r="D1996" s="5" t="s">
        <v>23</v>
      </c>
      <c r="E1996" s="5" t="s">
        <v>382</v>
      </c>
    </row>
    <row r="1997" ht="15.75" customHeight="1">
      <c r="A1997" s="29"/>
      <c r="B1997" s="5" t="s">
        <v>5415</v>
      </c>
      <c r="C1997" s="5" t="s">
        <v>39</v>
      </c>
      <c r="D1997" s="5" t="s">
        <v>23</v>
      </c>
      <c r="E1997" s="5" t="s">
        <v>382</v>
      </c>
    </row>
    <row r="1998" ht="15.75" customHeight="1">
      <c r="A1998" s="29"/>
      <c r="B1998" s="5" t="s">
        <v>3584</v>
      </c>
      <c r="C1998" s="5" t="s">
        <v>22</v>
      </c>
      <c r="D1998" s="5" t="s">
        <v>23</v>
      </c>
      <c r="E1998" s="5" t="s">
        <v>382</v>
      </c>
    </row>
    <row r="1999" ht="15.75" customHeight="1">
      <c r="A1999" s="29"/>
      <c r="B1999" s="5" t="s">
        <v>3918</v>
      </c>
      <c r="C1999" s="5" t="s">
        <v>22</v>
      </c>
      <c r="D1999" s="5" t="s">
        <v>23</v>
      </c>
      <c r="E1999" s="5" t="s">
        <v>382</v>
      </c>
    </row>
    <row r="2000" ht="15.75" customHeight="1">
      <c r="A2000" s="29"/>
      <c r="B2000" s="5" t="s">
        <v>4048</v>
      </c>
      <c r="C2000" s="5" t="s">
        <v>22</v>
      </c>
      <c r="D2000" s="5" t="s">
        <v>206</v>
      </c>
      <c r="E2000" s="5" t="s">
        <v>382</v>
      </c>
    </row>
    <row r="2001" ht="15.75" customHeight="1">
      <c r="A2001" s="29"/>
      <c r="B2001" s="5" t="s">
        <v>5434</v>
      </c>
      <c r="C2001" s="5" t="s">
        <v>14</v>
      </c>
      <c r="D2001" s="5" t="s">
        <v>23</v>
      </c>
      <c r="E2001" s="5" t="s">
        <v>382</v>
      </c>
    </row>
    <row r="2002" ht="15.75" customHeight="1">
      <c r="A2002" s="29"/>
      <c r="B2002" s="5" t="s">
        <v>5460</v>
      </c>
      <c r="C2002" s="5" t="s">
        <v>14</v>
      </c>
      <c r="D2002" s="5" t="s">
        <v>120</v>
      </c>
      <c r="E2002" s="5" t="s">
        <v>382</v>
      </c>
    </row>
    <row r="2003" ht="15.75" customHeight="1">
      <c r="A2003" s="29"/>
      <c r="B2003" s="5" t="s">
        <v>5095</v>
      </c>
      <c r="C2003" s="5" t="s">
        <v>14</v>
      </c>
      <c r="D2003" s="5" t="s">
        <v>120</v>
      </c>
      <c r="E2003" s="5" t="s">
        <v>382</v>
      </c>
    </row>
    <row r="2004" ht="15.75" customHeight="1">
      <c r="A2004" s="29"/>
      <c r="B2004" s="5" t="s">
        <v>4964</v>
      </c>
      <c r="C2004" s="5" t="s">
        <v>77</v>
      </c>
      <c r="D2004" s="5" t="s">
        <v>23</v>
      </c>
      <c r="E2004" s="5" t="s">
        <v>382</v>
      </c>
    </row>
    <row r="2005" ht="15.75" customHeight="1">
      <c r="A2005" s="29"/>
      <c r="B2005" s="5" t="s">
        <v>4776</v>
      </c>
      <c r="C2005" s="5" t="s">
        <v>77</v>
      </c>
      <c r="D2005" s="5" t="s">
        <v>31</v>
      </c>
      <c r="E2005" s="5" t="s">
        <v>382</v>
      </c>
    </row>
    <row r="2006" ht="15.75" customHeight="1">
      <c r="A2006" s="29"/>
      <c r="B2006" s="5" t="s">
        <v>4691</v>
      </c>
      <c r="C2006" s="5" t="s">
        <v>8</v>
      </c>
      <c r="D2006" s="5" t="s">
        <v>31</v>
      </c>
      <c r="E2006" s="5" t="s">
        <v>382</v>
      </c>
    </row>
    <row r="2007" ht="15.75" customHeight="1">
      <c r="A2007" s="29"/>
      <c r="B2007" s="5" t="s">
        <v>3981</v>
      </c>
      <c r="C2007" s="5" t="s">
        <v>79</v>
      </c>
      <c r="D2007" s="5" t="s">
        <v>31</v>
      </c>
      <c r="E2007" s="5" t="s">
        <v>382</v>
      </c>
    </row>
    <row r="2008" ht="15.75" customHeight="1">
      <c r="A2008" s="29"/>
      <c r="B2008" s="5" t="s">
        <v>4960</v>
      </c>
      <c r="C2008" s="5" t="s">
        <v>39</v>
      </c>
      <c r="D2008" s="5" t="s">
        <v>31</v>
      </c>
      <c r="E2008" s="5" t="s">
        <v>382</v>
      </c>
    </row>
    <row r="2009" ht="15.75" customHeight="1">
      <c r="A2009" s="29"/>
      <c r="B2009" s="5" t="s">
        <v>5231</v>
      </c>
      <c r="C2009" s="5" t="s">
        <v>14</v>
      </c>
      <c r="D2009" s="5" t="s">
        <v>31</v>
      </c>
      <c r="E2009" s="5" t="s">
        <v>382</v>
      </c>
    </row>
    <row r="2010" ht="15.75" customHeight="1">
      <c r="A2010" s="29"/>
      <c r="B2010" s="5" t="s">
        <v>5421</v>
      </c>
      <c r="C2010" s="5" t="s">
        <v>8</v>
      </c>
      <c r="D2010" s="5" t="s">
        <v>137</v>
      </c>
      <c r="E2010" s="5" t="s">
        <v>382</v>
      </c>
    </row>
    <row r="2011" ht="15.75" customHeight="1">
      <c r="A2011" s="29"/>
      <c r="B2011" s="5" t="s">
        <v>3670</v>
      </c>
      <c r="C2011" s="5" t="s">
        <v>22</v>
      </c>
      <c r="D2011" s="5" t="s">
        <v>137</v>
      </c>
      <c r="E2011" s="5" t="s">
        <v>382</v>
      </c>
    </row>
    <row r="2012" ht="15.75" customHeight="1">
      <c r="A2012" s="29"/>
      <c r="B2012" s="5" t="s">
        <v>3560</v>
      </c>
      <c r="C2012" s="5" t="s">
        <v>22</v>
      </c>
      <c r="D2012" s="5" t="s">
        <v>137</v>
      </c>
      <c r="E2012" s="5" t="s">
        <v>382</v>
      </c>
    </row>
    <row r="2013" ht="15.75" customHeight="1">
      <c r="A2013" s="29"/>
      <c r="B2013" s="5" t="s">
        <v>5417</v>
      </c>
      <c r="C2013" s="5" t="s">
        <v>39</v>
      </c>
      <c r="D2013" s="5" t="s">
        <v>137</v>
      </c>
      <c r="E2013" s="5" t="s">
        <v>382</v>
      </c>
    </row>
    <row r="2014" ht="15.75" customHeight="1">
      <c r="A2014" s="29"/>
      <c r="B2014" s="5" t="s">
        <v>5247</v>
      </c>
      <c r="C2014" s="5" t="s">
        <v>14</v>
      </c>
      <c r="D2014" s="5" t="s">
        <v>52</v>
      </c>
      <c r="E2014" s="5" t="s">
        <v>382</v>
      </c>
    </row>
    <row r="2015" ht="15.75" customHeight="1">
      <c r="A2015" s="29"/>
      <c r="B2015" s="5" t="s">
        <v>3664</v>
      </c>
      <c r="C2015" s="5" t="s">
        <v>22</v>
      </c>
      <c r="D2015" s="5" t="s">
        <v>12</v>
      </c>
      <c r="E2015" s="5" t="s">
        <v>382</v>
      </c>
    </row>
    <row r="2016" ht="15.75" customHeight="1">
      <c r="A2016" s="29"/>
      <c r="B2016" s="5" t="s">
        <v>4743</v>
      </c>
      <c r="C2016" s="5" t="s">
        <v>176</v>
      </c>
      <c r="D2016" s="5" t="s">
        <v>12</v>
      </c>
      <c r="E2016" s="5" t="s">
        <v>382</v>
      </c>
    </row>
    <row r="2017" ht="15.75" customHeight="1">
      <c r="A2017" s="29"/>
      <c r="B2017" s="5" t="s">
        <v>3883</v>
      </c>
      <c r="C2017" s="5" t="s">
        <v>22</v>
      </c>
      <c r="D2017" s="5" t="s">
        <v>95</v>
      </c>
      <c r="E2017" s="5" t="s">
        <v>382</v>
      </c>
    </row>
    <row r="2018" ht="15.75" customHeight="1">
      <c r="A2018" s="29"/>
      <c r="B2018" s="5" t="s">
        <v>3733</v>
      </c>
      <c r="C2018" s="5" t="s">
        <v>22</v>
      </c>
      <c r="D2018" s="5" t="s">
        <v>95</v>
      </c>
      <c r="E2018" s="5" t="s">
        <v>382</v>
      </c>
    </row>
    <row r="2019" ht="15.75" customHeight="1">
      <c r="A2019" s="29"/>
      <c r="B2019" s="5" t="s">
        <v>3732</v>
      </c>
      <c r="C2019" s="5" t="s">
        <v>79</v>
      </c>
      <c r="D2019" s="5" t="s">
        <v>95</v>
      </c>
      <c r="E2019" s="5" t="s">
        <v>382</v>
      </c>
    </row>
    <row r="2020" ht="15.75" customHeight="1">
      <c r="A2020" s="29"/>
      <c r="B2020" s="5" t="s">
        <v>3593</v>
      </c>
      <c r="C2020" s="5" t="s">
        <v>22</v>
      </c>
      <c r="D2020" s="5" t="s">
        <v>95</v>
      </c>
      <c r="E2020" s="5" t="s">
        <v>382</v>
      </c>
    </row>
    <row r="2021" ht="15.75" customHeight="1">
      <c r="A2021" s="29"/>
      <c r="B2021" s="5" t="s">
        <v>3956</v>
      </c>
      <c r="C2021" s="5" t="s">
        <v>22</v>
      </c>
      <c r="D2021" s="5" t="s">
        <v>129</v>
      </c>
      <c r="E2021" s="5" t="s">
        <v>382</v>
      </c>
    </row>
    <row r="2022" ht="15.75" customHeight="1">
      <c r="A2022" s="29"/>
      <c r="B2022" s="5" t="s">
        <v>5149</v>
      </c>
      <c r="C2022" s="5" t="s">
        <v>39</v>
      </c>
      <c r="D2022" s="5" t="s">
        <v>122</v>
      </c>
      <c r="E2022" s="5" t="s">
        <v>382</v>
      </c>
    </row>
    <row r="2023" ht="15.75" customHeight="1">
      <c r="A2023" s="29"/>
      <c r="B2023" s="5" t="s">
        <v>4934</v>
      </c>
      <c r="C2023" s="5" t="s">
        <v>17</v>
      </c>
      <c r="D2023" s="5" t="s">
        <v>122</v>
      </c>
      <c r="E2023" s="5" t="s">
        <v>382</v>
      </c>
    </row>
    <row r="2024" ht="15.75" customHeight="1">
      <c r="A2024" s="29"/>
      <c r="B2024" s="5" t="s">
        <v>5414</v>
      </c>
      <c r="C2024" s="5" t="s">
        <v>11</v>
      </c>
      <c r="D2024" s="5" t="s">
        <v>122</v>
      </c>
      <c r="E2024" s="5" t="s">
        <v>382</v>
      </c>
    </row>
    <row r="2025" ht="15.75" customHeight="1">
      <c r="A2025" s="29"/>
      <c r="B2025" s="5" t="s">
        <v>5032</v>
      </c>
      <c r="C2025" s="5" t="s">
        <v>14</v>
      </c>
      <c r="D2025" s="5" t="s">
        <v>122</v>
      </c>
      <c r="E2025" s="5" t="s">
        <v>382</v>
      </c>
    </row>
    <row r="2026" ht="15.75" customHeight="1">
      <c r="A2026" s="29"/>
      <c r="B2026" s="5" t="s">
        <v>5494</v>
      </c>
      <c r="C2026" s="5" t="s">
        <v>20</v>
      </c>
      <c r="D2026" s="5" t="s">
        <v>122</v>
      </c>
      <c r="E2026" s="5" t="s">
        <v>382</v>
      </c>
    </row>
    <row r="2027" ht="15.75" customHeight="1">
      <c r="A2027" s="29"/>
      <c r="B2027" s="5" t="s">
        <v>5236</v>
      </c>
      <c r="C2027" s="5" t="s">
        <v>39</v>
      </c>
      <c r="D2027" s="5" t="s">
        <v>82</v>
      </c>
      <c r="E2027" s="5" t="s">
        <v>382</v>
      </c>
    </row>
    <row r="2028" ht="15.75" customHeight="1">
      <c r="A2028" s="29"/>
      <c r="B2028" s="5" t="s">
        <v>5062</v>
      </c>
      <c r="C2028" s="5" t="s">
        <v>77</v>
      </c>
      <c r="D2028" s="5" t="s">
        <v>82</v>
      </c>
      <c r="E2028" s="5" t="s">
        <v>382</v>
      </c>
    </row>
    <row r="2029" ht="15.75" customHeight="1">
      <c r="A2029" s="29"/>
      <c r="B2029" s="5" t="s">
        <v>4974</v>
      </c>
      <c r="C2029" s="5" t="s">
        <v>11</v>
      </c>
      <c r="D2029" s="5" t="s">
        <v>82</v>
      </c>
      <c r="E2029" s="5" t="s">
        <v>382</v>
      </c>
    </row>
    <row r="2030" ht="15.75" customHeight="1">
      <c r="A2030" s="29"/>
      <c r="B2030" s="5" t="s">
        <v>4580</v>
      </c>
      <c r="C2030" s="5" t="s">
        <v>22</v>
      </c>
      <c r="D2030" s="5" t="s">
        <v>82</v>
      </c>
      <c r="E2030" s="5" t="s">
        <v>382</v>
      </c>
    </row>
    <row r="2031" ht="15.75" customHeight="1">
      <c r="A2031" s="29"/>
      <c r="B2031" s="5" t="s">
        <v>3142</v>
      </c>
      <c r="C2031" s="5" t="s">
        <v>77</v>
      </c>
      <c r="D2031" s="5" t="s">
        <v>82</v>
      </c>
      <c r="E2031" s="5" t="s">
        <v>382</v>
      </c>
    </row>
    <row r="2032" ht="15.75" customHeight="1">
      <c r="A2032" s="29"/>
      <c r="B2032" s="5" t="s">
        <v>4055</v>
      </c>
      <c r="C2032" s="5" t="s">
        <v>79</v>
      </c>
      <c r="D2032" s="5" t="s">
        <v>82</v>
      </c>
      <c r="E2032" s="5" t="s">
        <v>382</v>
      </c>
    </row>
    <row r="2033" ht="15.75" customHeight="1">
      <c r="A2033" s="29"/>
      <c r="B2033" s="5" t="s">
        <v>5271</v>
      </c>
      <c r="C2033" s="5" t="s">
        <v>17</v>
      </c>
      <c r="D2033" s="5" t="s">
        <v>82</v>
      </c>
      <c r="E2033" s="5" t="s">
        <v>382</v>
      </c>
    </row>
    <row r="2034" ht="15.75" customHeight="1">
      <c r="A2034" s="29"/>
      <c r="B2034" s="5" t="s">
        <v>5083</v>
      </c>
      <c r="C2034" s="5" t="s">
        <v>17</v>
      </c>
      <c r="D2034" s="5" t="s">
        <v>90</v>
      </c>
      <c r="E2034" s="5" t="s">
        <v>382</v>
      </c>
    </row>
    <row r="2035" ht="15.75" customHeight="1">
      <c r="A2035" s="29"/>
      <c r="B2035" s="5" t="s">
        <v>3716</v>
      </c>
      <c r="C2035" s="5" t="s">
        <v>22</v>
      </c>
      <c r="D2035" s="5" t="s">
        <v>90</v>
      </c>
      <c r="E2035" s="5" t="s">
        <v>382</v>
      </c>
    </row>
    <row r="2036" ht="15.75" customHeight="1">
      <c r="A2036" s="29"/>
      <c r="B2036" s="5" t="s">
        <v>3762</v>
      </c>
      <c r="C2036" s="5" t="s">
        <v>22</v>
      </c>
      <c r="D2036" s="5" t="s">
        <v>90</v>
      </c>
      <c r="E2036" s="5" t="s">
        <v>382</v>
      </c>
    </row>
    <row r="2037" ht="15.75" customHeight="1">
      <c r="A2037" s="29"/>
      <c r="B2037" s="5" t="s">
        <v>5392</v>
      </c>
      <c r="C2037" s="5" t="s">
        <v>14</v>
      </c>
      <c r="D2037" s="5" t="s">
        <v>90</v>
      </c>
      <c r="E2037" s="5" t="s">
        <v>382</v>
      </c>
    </row>
    <row r="2038" ht="15.75" customHeight="1">
      <c r="A2038" s="29"/>
      <c r="B2038" s="5" t="s">
        <v>4207</v>
      </c>
      <c r="C2038" s="5" t="s">
        <v>22</v>
      </c>
      <c r="D2038" s="5" t="s">
        <v>129</v>
      </c>
      <c r="E2038" s="5" t="s">
        <v>382</v>
      </c>
    </row>
    <row r="2039" ht="15.75" customHeight="1">
      <c r="A2039" s="29"/>
      <c r="B2039" s="5" t="s">
        <v>5038</v>
      </c>
      <c r="C2039" s="5" t="s">
        <v>14</v>
      </c>
      <c r="D2039" s="5" t="s">
        <v>71</v>
      </c>
      <c r="E2039" s="5" t="s">
        <v>382</v>
      </c>
    </row>
    <row r="2040" ht="15.75" customHeight="1">
      <c r="A2040" s="29"/>
      <c r="B2040" s="5" t="s">
        <v>4796</v>
      </c>
      <c r="C2040" s="5" t="s">
        <v>77</v>
      </c>
      <c r="D2040" s="5" t="s">
        <v>71</v>
      </c>
      <c r="E2040" s="5" t="s">
        <v>382</v>
      </c>
    </row>
    <row r="2041" ht="15.75" customHeight="1">
      <c r="A2041" s="29"/>
      <c r="B2041" s="5" t="s">
        <v>3211</v>
      </c>
      <c r="C2041" s="5" t="s">
        <v>11</v>
      </c>
      <c r="D2041" s="5" t="s">
        <v>71</v>
      </c>
      <c r="E2041" s="5" t="s">
        <v>382</v>
      </c>
    </row>
    <row r="2042" ht="15.75" customHeight="1">
      <c r="A2042" s="29"/>
      <c r="B2042" s="5" t="s">
        <v>5427</v>
      </c>
      <c r="C2042" s="5" t="s">
        <v>17</v>
      </c>
      <c r="D2042" s="5" t="s">
        <v>71</v>
      </c>
      <c r="E2042" s="5" t="s">
        <v>382</v>
      </c>
    </row>
    <row r="2043" ht="15.75" customHeight="1">
      <c r="A2043" s="29"/>
      <c r="B2043" s="5" t="s">
        <v>5209</v>
      </c>
      <c r="C2043" s="5" t="s">
        <v>11</v>
      </c>
      <c r="D2043" s="5" t="s">
        <v>71</v>
      </c>
      <c r="E2043" s="5" t="s">
        <v>382</v>
      </c>
    </row>
    <row r="2044" ht="15.75" customHeight="1">
      <c r="A2044" s="29"/>
      <c r="B2044" s="5" t="s">
        <v>5137</v>
      </c>
      <c r="C2044" s="5" t="s">
        <v>77</v>
      </c>
      <c r="D2044" s="5" t="s">
        <v>15</v>
      </c>
      <c r="E2044" s="5" t="s">
        <v>382</v>
      </c>
    </row>
    <row r="2045" ht="15.75" customHeight="1">
      <c r="A2045" s="29"/>
      <c r="B2045" s="5" t="s">
        <v>3640</v>
      </c>
      <c r="C2045" s="5" t="s">
        <v>22</v>
      </c>
      <c r="D2045" s="5" t="s">
        <v>9</v>
      </c>
      <c r="E2045" s="5" t="s">
        <v>382</v>
      </c>
    </row>
    <row r="2046" ht="15.75" customHeight="1">
      <c r="A2046" s="29"/>
      <c r="B2046" s="5" t="s">
        <v>4095</v>
      </c>
      <c r="C2046" s="5" t="s">
        <v>22</v>
      </c>
      <c r="D2046" s="5" t="s">
        <v>18</v>
      </c>
      <c r="E2046" s="5" t="s">
        <v>382</v>
      </c>
    </row>
    <row r="2047" ht="15.75" customHeight="1">
      <c r="A2047" s="29"/>
      <c r="B2047" s="5" t="s">
        <v>3928</v>
      </c>
      <c r="C2047" s="5" t="s">
        <v>79</v>
      </c>
      <c r="D2047" s="5" t="s">
        <v>18</v>
      </c>
      <c r="E2047" s="5" t="s">
        <v>382</v>
      </c>
    </row>
    <row r="2048" ht="15.75" customHeight="1">
      <c r="A2048" s="29"/>
      <c r="B2048" s="5" t="s">
        <v>4909</v>
      </c>
      <c r="C2048" s="5" t="s">
        <v>17</v>
      </c>
      <c r="D2048" s="5" t="s">
        <v>18</v>
      </c>
      <c r="E2048" s="5" t="s">
        <v>382</v>
      </c>
    </row>
    <row r="2049" ht="15.75" customHeight="1">
      <c r="A2049" s="29"/>
      <c r="B2049" s="5" t="s">
        <v>3635</v>
      </c>
      <c r="C2049" s="5" t="s">
        <v>22</v>
      </c>
      <c r="D2049" s="5" t="s">
        <v>18</v>
      </c>
      <c r="E2049" s="5" t="s">
        <v>382</v>
      </c>
    </row>
    <row r="2050" ht="15.75" customHeight="1">
      <c r="A2050" s="29"/>
      <c r="B2050" s="5" t="s">
        <v>5194</v>
      </c>
      <c r="C2050" s="5" t="s">
        <v>11</v>
      </c>
      <c r="D2050" s="5" t="s">
        <v>18</v>
      </c>
      <c r="E2050" s="5" t="s">
        <v>382</v>
      </c>
    </row>
    <row r="2051" ht="15.75" customHeight="1">
      <c r="A2051" s="29"/>
      <c r="B2051" s="5" t="s">
        <v>5028</v>
      </c>
      <c r="C2051" s="5" t="s">
        <v>77</v>
      </c>
      <c r="D2051" s="5" t="s">
        <v>18</v>
      </c>
      <c r="E2051" s="5" t="s">
        <v>382</v>
      </c>
    </row>
    <row r="2052" ht="15.75" customHeight="1">
      <c r="A2052" s="29"/>
      <c r="B2052" s="5" t="s">
        <v>3812</v>
      </c>
      <c r="C2052" s="5" t="s">
        <v>22</v>
      </c>
      <c r="D2052" s="5" t="s">
        <v>18</v>
      </c>
      <c r="E2052" s="5" t="s">
        <v>382</v>
      </c>
    </row>
    <row r="2053" ht="15.75" customHeight="1">
      <c r="A2053" s="29"/>
      <c r="B2053" s="5" t="s">
        <v>3647</v>
      </c>
      <c r="C2053" s="5" t="s">
        <v>22</v>
      </c>
      <c r="D2053" s="5" t="s">
        <v>46</v>
      </c>
      <c r="E2053" s="5" t="s">
        <v>382</v>
      </c>
    </row>
    <row r="2054" ht="15.75" customHeight="1">
      <c r="A2054" s="29"/>
      <c r="B2054" s="5" t="s">
        <v>5471</v>
      </c>
      <c r="C2054" s="5" t="s">
        <v>14</v>
      </c>
      <c r="D2054" s="5" t="s">
        <v>46</v>
      </c>
      <c r="E2054" s="5" t="s">
        <v>382</v>
      </c>
    </row>
    <row r="2055" ht="15.75" customHeight="1">
      <c r="A2055" s="29"/>
      <c r="B2055" s="5" t="s">
        <v>3877</v>
      </c>
      <c r="C2055" s="5" t="s">
        <v>22</v>
      </c>
      <c r="D2055" s="5" t="s">
        <v>46</v>
      </c>
      <c r="E2055" s="5" t="s">
        <v>382</v>
      </c>
    </row>
    <row r="2056" ht="15.75" customHeight="1">
      <c r="A2056" s="29"/>
      <c r="B2056" s="5" t="s">
        <v>5106</v>
      </c>
      <c r="C2056" s="5" t="s">
        <v>77</v>
      </c>
      <c r="D2056" s="5" t="s">
        <v>120</v>
      </c>
      <c r="E2056" s="5" t="s">
        <v>382</v>
      </c>
    </row>
    <row r="2057" ht="15.75" customHeight="1">
      <c r="A2057" s="29"/>
      <c r="B2057" s="5" t="s">
        <v>5355</v>
      </c>
      <c r="C2057" s="5" t="s">
        <v>39</v>
      </c>
      <c r="D2057" s="5" t="s">
        <v>122</v>
      </c>
      <c r="E2057" s="5" t="s">
        <v>382</v>
      </c>
    </row>
    <row r="2058" ht="15.75" customHeight="1">
      <c r="A2058" s="29"/>
      <c r="B2058" s="5" t="s">
        <v>5082</v>
      </c>
      <c r="C2058" s="5" t="s">
        <v>39</v>
      </c>
      <c r="D2058" s="5" t="s">
        <v>36</v>
      </c>
      <c r="E2058" s="5" t="s">
        <v>382</v>
      </c>
    </row>
    <row r="2059" ht="15.75" customHeight="1">
      <c r="A2059" s="29"/>
      <c r="B2059" s="5" t="s">
        <v>3935</v>
      </c>
      <c r="C2059" s="5" t="s">
        <v>22</v>
      </c>
      <c r="D2059" s="5" t="s">
        <v>36</v>
      </c>
      <c r="E2059" s="5" t="s">
        <v>382</v>
      </c>
    </row>
    <row r="2060" ht="15.75" customHeight="1">
      <c r="A2060" s="29"/>
      <c r="B2060" s="5" t="s">
        <v>5457</v>
      </c>
      <c r="C2060" s="5" t="s">
        <v>39</v>
      </c>
      <c r="D2060" s="5" t="s">
        <v>52</v>
      </c>
      <c r="E2060" s="5" t="s">
        <v>382</v>
      </c>
    </row>
    <row r="2061" ht="15.75" customHeight="1">
      <c r="A2061" s="29"/>
      <c r="B2061" s="5" t="s">
        <v>4979</v>
      </c>
      <c r="C2061" s="5" t="s">
        <v>39</v>
      </c>
      <c r="D2061" s="5" t="s">
        <v>46</v>
      </c>
      <c r="E2061" s="5" t="s">
        <v>382</v>
      </c>
    </row>
    <row r="2062" ht="15.75" customHeight="1">
      <c r="A2062" s="29"/>
      <c r="B2062" s="5" t="s">
        <v>5109</v>
      </c>
      <c r="C2062" s="5" t="s">
        <v>39</v>
      </c>
      <c r="D2062" s="5" t="s">
        <v>67</v>
      </c>
      <c r="E2062" s="5" t="s">
        <v>382</v>
      </c>
    </row>
    <row r="2063" ht="15.75" customHeight="1">
      <c r="A2063" s="29"/>
      <c r="B2063" s="5" t="s">
        <v>5241</v>
      </c>
      <c r="C2063" s="5" t="s">
        <v>39</v>
      </c>
      <c r="D2063" s="5" t="s">
        <v>9</v>
      </c>
      <c r="E2063" s="5" t="s">
        <v>382</v>
      </c>
    </row>
    <row r="2064" ht="15.75" customHeight="1">
      <c r="A2064" s="29"/>
      <c r="B2064" s="5" t="s">
        <v>5605</v>
      </c>
      <c r="C2064" s="5" t="s">
        <v>14</v>
      </c>
      <c r="D2064" s="5" t="s">
        <v>71</v>
      </c>
      <c r="E2064" s="5" t="s">
        <v>382</v>
      </c>
    </row>
    <row r="2065" ht="15.75" customHeight="1">
      <c r="A2065" s="29"/>
      <c r="B2065" s="5" t="s">
        <v>3558</v>
      </c>
      <c r="C2065" s="5" t="s">
        <v>79</v>
      </c>
      <c r="D2065" s="5" t="s">
        <v>71</v>
      </c>
      <c r="E2065" s="5" t="s">
        <v>382</v>
      </c>
    </row>
    <row r="2066" ht="15.75" customHeight="1">
      <c r="A2066" s="29"/>
      <c r="B2066" s="5" t="s">
        <v>5198</v>
      </c>
      <c r="C2066" s="5" t="s">
        <v>48</v>
      </c>
      <c r="D2066" s="5" t="s">
        <v>71</v>
      </c>
      <c r="E2066" s="5" t="s">
        <v>382</v>
      </c>
    </row>
    <row r="2067" ht="15.75" customHeight="1">
      <c r="A2067" s="29"/>
      <c r="B2067" s="5" t="s">
        <v>5221</v>
      </c>
      <c r="C2067" s="5" t="s">
        <v>39</v>
      </c>
      <c r="D2067" s="5" t="s">
        <v>99</v>
      </c>
      <c r="E2067" s="5" t="s">
        <v>382</v>
      </c>
    </row>
    <row r="2068" ht="15.75" customHeight="1">
      <c r="A2068" s="29"/>
      <c r="B2068" s="5" t="s">
        <v>5606</v>
      </c>
      <c r="C2068" s="5" t="s">
        <v>55</v>
      </c>
      <c r="D2068" s="5" t="s">
        <v>25</v>
      </c>
      <c r="E2068" s="5" t="s">
        <v>382</v>
      </c>
    </row>
    <row r="2069" ht="15.75" customHeight="1">
      <c r="A2069" s="29"/>
      <c r="B2069" s="5" t="s">
        <v>5214</v>
      </c>
      <c r="C2069" s="5" t="s">
        <v>14</v>
      </c>
      <c r="D2069" s="5" t="s">
        <v>137</v>
      </c>
      <c r="E2069" s="5" t="s">
        <v>382</v>
      </c>
    </row>
    <row r="2070" ht="15.75" customHeight="1">
      <c r="A2070" s="29"/>
      <c r="B2070" s="5" t="s">
        <v>5389</v>
      </c>
      <c r="C2070" s="5" t="s">
        <v>39</v>
      </c>
      <c r="D2070" s="5" t="s">
        <v>12</v>
      </c>
      <c r="E2070" s="5" t="s">
        <v>382</v>
      </c>
    </row>
    <row r="2071" ht="15.75" customHeight="1">
      <c r="A2071" s="29"/>
      <c r="B2071" s="5" t="s">
        <v>4957</v>
      </c>
      <c r="C2071" s="5" t="s">
        <v>14</v>
      </c>
      <c r="D2071" s="5" t="s">
        <v>23</v>
      </c>
      <c r="E2071" s="5" t="s">
        <v>382</v>
      </c>
    </row>
    <row r="2072" ht="15.75" customHeight="1">
      <c r="A2072" s="29"/>
      <c r="B2072" s="5" t="s">
        <v>5123</v>
      </c>
      <c r="C2072" s="5" t="s">
        <v>8</v>
      </c>
      <c r="D2072" s="5" t="s">
        <v>71</v>
      </c>
      <c r="E2072" s="5" t="s">
        <v>382</v>
      </c>
    </row>
    <row r="2073" ht="15.75" customHeight="1">
      <c r="A2073" s="29"/>
      <c r="B2073" s="5" t="s">
        <v>3409</v>
      </c>
      <c r="C2073" s="5" t="s">
        <v>220</v>
      </c>
      <c r="D2073" s="5" t="s">
        <v>90</v>
      </c>
      <c r="E2073" s="5" t="s">
        <v>382</v>
      </c>
    </row>
    <row r="2074" ht="15.75" customHeight="1">
      <c r="A2074" s="29"/>
      <c r="B2074" s="5" t="s">
        <v>3326</v>
      </c>
      <c r="C2074" s="5" t="s">
        <v>79</v>
      </c>
      <c r="D2074" s="5" t="s">
        <v>90</v>
      </c>
      <c r="E2074" s="5" t="s">
        <v>382</v>
      </c>
    </row>
    <row r="2075" ht="15.75" customHeight="1">
      <c r="A2075" s="29"/>
      <c r="B2075" s="5" t="s">
        <v>5118</v>
      </c>
      <c r="C2075" s="5" t="s">
        <v>48</v>
      </c>
      <c r="D2075" s="5" t="s">
        <v>90</v>
      </c>
      <c r="E2075" s="5" t="s">
        <v>382</v>
      </c>
    </row>
    <row r="2076" ht="15.75" customHeight="1">
      <c r="A2076" s="29"/>
      <c r="B2076" s="5" t="s">
        <v>4737</v>
      </c>
      <c r="C2076" s="5" t="s">
        <v>14</v>
      </c>
      <c r="D2076" s="5" t="s">
        <v>90</v>
      </c>
      <c r="E2076" s="5" t="s">
        <v>382</v>
      </c>
    </row>
    <row r="2077" ht="15.75" customHeight="1">
      <c r="A2077" s="29"/>
      <c r="B2077" s="5" t="s">
        <v>4747</v>
      </c>
      <c r="C2077" s="5" t="s">
        <v>240</v>
      </c>
      <c r="D2077" s="5" t="s">
        <v>12</v>
      </c>
      <c r="E2077" s="5" t="s">
        <v>382</v>
      </c>
    </row>
    <row r="2078" ht="15.75" customHeight="1">
      <c r="A2078" s="29"/>
      <c r="B2078" s="5" t="s">
        <v>4441</v>
      </c>
      <c r="C2078" s="5" t="s">
        <v>79</v>
      </c>
      <c r="D2078" s="5" t="s">
        <v>140</v>
      </c>
      <c r="E2078" s="5" t="s">
        <v>382</v>
      </c>
    </row>
    <row r="2079" ht="15.75" customHeight="1">
      <c r="A2079" s="29"/>
      <c r="B2079" s="5" t="s">
        <v>3368</v>
      </c>
      <c r="C2079" s="5" t="s">
        <v>79</v>
      </c>
      <c r="D2079" s="5" t="s">
        <v>12</v>
      </c>
      <c r="E2079" s="5" t="s">
        <v>382</v>
      </c>
    </row>
    <row r="2080" ht="15.75" customHeight="1">
      <c r="A2080" s="29"/>
      <c r="B2080" s="5" t="s">
        <v>4287</v>
      </c>
      <c r="C2080" s="5" t="s">
        <v>79</v>
      </c>
      <c r="D2080" s="5" t="s">
        <v>18</v>
      </c>
      <c r="E2080" s="5" t="s">
        <v>382</v>
      </c>
    </row>
    <row r="2081" ht="15.75" customHeight="1">
      <c r="A2081" s="29"/>
      <c r="B2081" s="5" t="s">
        <v>3953</v>
      </c>
      <c r="C2081" s="5" t="s">
        <v>79</v>
      </c>
      <c r="D2081" s="5" t="s">
        <v>18</v>
      </c>
      <c r="E2081" s="5" t="s">
        <v>382</v>
      </c>
    </row>
    <row r="2082" ht="15.75" customHeight="1">
      <c r="A2082" s="29"/>
      <c r="B2082" s="5" t="s">
        <v>3723</v>
      </c>
      <c r="C2082" s="5" t="s">
        <v>79</v>
      </c>
      <c r="D2082" s="5" t="s">
        <v>18</v>
      </c>
      <c r="E2082" s="5" t="s">
        <v>382</v>
      </c>
    </row>
    <row r="2083" ht="15.75" customHeight="1">
      <c r="A2083" s="29"/>
      <c r="B2083" s="5" t="s">
        <v>4870</v>
      </c>
      <c r="C2083" s="5" t="s">
        <v>77</v>
      </c>
      <c r="D2083" s="5" t="s">
        <v>25</v>
      </c>
      <c r="E2083" s="5" t="s">
        <v>382</v>
      </c>
    </row>
    <row r="2084" ht="15.75" customHeight="1">
      <c r="A2084" s="29"/>
      <c r="B2084" s="5" t="s">
        <v>4472</v>
      </c>
      <c r="C2084" s="5" t="s">
        <v>69</v>
      </c>
      <c r="D2084" s="5" t="s">
        <v>18</v>
      </c>
      <c r="E2084" s="5" t="s">
        <v>382</v>
      </c>
    </row>
    <row r="2085" ht="15.75" customHeight="1">
      <c r="A2085" s="29"/>
      <c r="B2085" s="5" t="s">
        <v>4377</v>
      </c>
      <c r="C2085" s="5" t="s">
        <v>79</v>
      </c>
      <c r="D2085" s="5" t="s">
        <v>18</v>
      </c>
      <c r="E2085" s="5" t="s">
        <v>382</v>
      </c>
    </row>
    <row r="2086" ht="15.75" customHeight="1">
      <c r="A2086" s="29"/>
      <c r="B2086" s="5" t="s">
        <v>3988</v>
      </c>
      <c r="C2086" s="5" t="s">
        <v>22</v>
      </c>
      <c r="D2086" s="5" t="s">
        <v>27</v>
      </c>
      <c r="E2086" s="5" t="s">
        <v>382</v>
      </c>
    </row>
    <row r="2087" ht="15.75" customHeight="1">
      <c r="A2087" s="29"/>
      <c r="B2087" s="5" t="s">
        <v>3941</v>
      </c>
      <c r="C2087" s="5" t="s">
        <v>22</v>
      </c>
      <c r="D2087" s="5" t="s">
        <v>27</v>
      </c>
      <c r="E2087" s="5" t="s">
        <v>382</v>
      </c>
    </row>
    <row r="2088" ht="15.75" customHeight="1">
      <c r="A2088" s="29"/>
      <c r="B2088" s="5" t="s">
        <v>3438</v>
      </c>
      <c r="C2088" s="5" t="s">
        <v>79</v>
      </c>
      <c r="D2088" s="5" t="s">
        <v>99</v>
      </c>
      <c r="E2088" s="5" t="s">
        <v>382</v>
      </c>
    </row>
    <row r="2089" ht="15.75" customHeight="1">
      <c r="A2089" s="29"/>
      <c r="B2089" s="5" t="s">
        <v>4074</v>
      </c>
      <c r="C2089" s="5" t="s">
        <v>79</v>
      </c>
      <c r="D2089" s="5" t="s">
        <v>27</v>
      </c>
      <c r="E2089" s="5" t="s">
        <v>382</v>
      </c>
    </row>
    <row r="2090" ht="15.75" customHeight="1">
      <c r="A2090" s="29"/>
      <c r="B2090" s="5" t="s">
        <v>4052</v>
      </c>
      <c r="C2090" s="5" t="s">
        <v>79</v>
      </c>
      <c r="D2090" s="5" t="s">
        <v>27</v>
      </c>
      <c r="E2090" s="5" t="s">
        <v>382</v>
      </c>
    </row>
    <row r="2091" ht="15.75" customHeight="1">
      <c r="A2091" s="29"/>
      <c r="B2091" s="5" t="s">
        <v>4977</v>
      </c>
      <c r="C2091" s="5" t="s">
        <v>77</v>
      </c>
      <c r="D2091" s="5" t="s">
        <v>27</v>
      </c>
      <c r="E2091" s="5" t="s">
        <v>382</v>
      </c>
    </row>
    <row r="2092" ht="15.75" customHeight="1">
      <c r="A2092" s="29"/>
      <c r="B2092" s="5" t="s">
        <v>5156</v>
      </c>
      <c r="C2092" s="5" t="s">
        <v>77</v>
      </c>
      <c r="D2092" s="5" t="s">
        <v>137</v>
      </c>
      <c r="E2092" s="5" t="s">
        <v>382</v>
      </c>
    </row>
    <row r="2093" ht="15.75" customHeight="1">
      <c r="A2093" s="29"/>
      <c r="B2093" s="5" t="s">
        <v>5248</v>
      </c>
      <c r="C2093" s="5" t="s">
        <v>77</v>
      </c>
      <c r="D2093" s="5" t="s">
        <v>27</v>
      </c>
      <c r="E2093" s="5" t="s">
        <v>382</v>
      </c>
    </row>
    <row r="2094" ht="15.75" customHeight="1">
      <c r="A2094" s="29"/>
      <c r="B2094" s="5" t="s">
        <v>4842</v>
      </c>
      <c r="C2094" s="5" t="s">
        <v>48</v>
      </c>
      <c r="D2094" s="5" t="s">
        <v>27</v>
      </c>
      <c r="E2094" s="5" t="s">
        <v>382</v>
      </c>
    </row>
    <row r="2095" ht="15.75" customHeight="1">
      <c r="A2095" s="29"/>
      <c r="B2095" s="5" t="s">
        <v>4106</v>
      </c>
      <c r="C2095" s="5" t="s">
        <v>218</v>
      </c>
      <c r="D2095" s="5" t="s">
        <v>27</v>
      </c>
      <c r="E2095" s="5" t="s">
        <v>382</v>
      </c>
    </row>
    <row r="2096" ht="15.75" customHeight="1">
      <c r="A2096" s="29"/>
      <c r="B2096" s="5" t="s">
        <v>4585</v>
      </c>
      <c r="C2096" s="5" t="s">
        <v>39</v>
      </c>
      <c r="D2096" s="5" t="s">
        <v>27</v>
      </c>
      <c r="E2096" s="5" t="s">
        <v>382</v>
      </c>
    </row>
    <row r="2097" ht="15.75" customHeight="1">
      <c r="A2097" s="29"/>
      <c r="B2097" s="5" t="s">
        <v>4782</v>
      </c>
      <c r="C2097" s="5" t="s">
        <v>11</v>
      </c>
      <c r="D2097" s="5" t="s">
        <v>9</v>
      </c>
      <c r="E2097" s="5" t="s">
        <v>382</v>
      </c>
    </row>
    <row r="2098" ht="15.75" customHeight="1">
      <c r="A2098" s="29"/>
      <c r="B2098" s="5" t="s">
        <v>4309</v>
      </c>
      <c r="C2098" s="5" t="s">
        <v>22</v>
      </c>
      <c r="D2098" s="5" t="s">
        <v>85</v>
      </c>
      <c r="E2098" s="5" t="s">
        <v>382</v>
      </c>
    </row>
    <row r="2099" ht="15.75" customHeight="1">
      <c r="A2099" s="29"/>
      <c r="B2099" s="5" t="s">
        <v>4053</v>
      </c>
      <c r="C2099" s="5" t="s">
        <v>79</v>
      </c>
      <c r="D2099" s="5" t="s">
        <v>85</v>
      </c>
      <c r="E2099" s="5" t="s">
        <v>382</v>
      </c>
    </row>
    <row r="2100" ht="15.75" customHeight="1">
      <c r="A2100" s="29"/>
      <c r="B2100" s="5" t="s">
        <v>4895</v>
      </c>
      <c r="C2100" s="5" t="s">
        <v>77</v>
      </c>
      <c r="D2100" s="5" t="s">
        <v>85</v>
      </c>
      <c r="E2100" s="5" t="s">
        <v>382</v>
      </c>
    </row>
    <row r="2101" ht="15.75" customHeight="1">
      <c r="A2101" s="29"/>
      <c r="B2101" s="5" t="s">
        <v>4134</v>
      </c>
      <c r="C2101" s="5" t="s">
        <v>79</v>
      </c>
      <c r="D2101" s="5" t="s">
        <v>82</v>
      </c>
      <c r="E2101" s="5" t="s">
        <v>382</v>
      </c>
    </row>
    <row r="2102" ht="15.75" customHeight="1">
      <c r="A2102" s="29"/>
      <c r="B2102" s="5" t="s">
        <v>3317</v>
      </c>
      <c r="C2102" s="5" t="s">
        <v>79</v>
      </c>
      <c r="D2102" s="5" t="s">
        <v>9</v>
      </c>
      <c r="E2102" s="5" t="s">
        <v>382</v>
      </c>
    </row>
    <row r="2103" ht="15.75" customHeight="1">
      <c r="A2103" s="29"/>
      <c r="B2103" s="5" t="s">
        <v>4360</v>
      </c>
      <c r="C2103" s="5" t="s">
        <v>79</v>
      </c>
      <c r="D2103" s="5" t="s">
        <v>99</v>
      </c>
      <c r="E2103" s="5" t="s">
        <v>382</v>
      </c>
    </row>
    <row r="2104" ht="15.75" customHeight="1">
      <c r="A2104" s="29"/>
      <c r="B2104" s="5" t="s">
        <v>3591</v>
      </c>
      <c r="C2104" s="5" t="s">
        <v>79</v>
      </c>
      <c r="D2104" s="5" t="s">
        <v>122</v>
      </c>
      <c r="E2104" s="5" t="s">
        <v>382</v>
      </c>
    </row>
    <row r="2105" ht="15.75" customHeight="1">
      <c r="A2105" s="29"/>
      <c r="B2105" s="5" t="s">
        <v>5383</v>
      </c>
      <c r="C2105" s="5" t="s">
        <v>77</v>
      </c>
      <c r="D2105" s="5" t="s">
        <v>23</v>
      </c>
      <c r="E2105" s="5" t="s">
        <v>382</v>
      </c>
    </row>
    <row r="2106" ht="15.75" customHeight="1">
      <c r="A2106" s="29"/>
      <c r="B2106" s="5" t="s">
        <v>5295</v>
      </c>
      <c r="C2106" s="5" t="s">
        <v>14</v>
      </c>
      <c r="D2106" s="5" t="s">
        <v>105</v>
      </c>
      <c r="E2106" s="5" t="s">
        <v>382</v>
      </c>
    </row>
    <row r="2107" ht="15.75" customHeight="1">
      <c r="A2107" s="29"/>
      <c r="B2107" s="5" t="s">
        <v>3741</v>
      </c>
      <c r="C2107" s="5" t="s">
        <v>79</v>
      </c>
      <c r="D2107" s="5" t="s">
        <v>113</v>
      </c>
      <c r="E2107" s="5" t="s">
        <v>382</v>
      </c>
    </row>
    <row r="2108" ht="15.75" customHeight="1">
      <c r="A2108" s="29"/>
      <c r="B2108" s="5" t="s">
        <v>4444</v>
      </c>
      <c r="C2108" s="5" t="s">
        <v>22</v>
      </c>
      <c r="D2108" s="5" t="s">
        <v>34</v>
      </c>
      <c r="E2108" s="5" t="s">
        <v>382</v>
      </c>
    </row>
    <row r="2109" ht="15.75" customHeight="1">
      <c r="A2109" s="29"/>
      <c r="B2109" s="5" t="s">
        <v>5484</v>
      </c>
      <c r="C2109" s="5" t="s">
        <v>77</v>
      </c>
      <c r="D2109" s="5" t="s">
        <v>113</v>
      </c>
      <c r="E2109" s="5" t="s">
        <v>382</v>
      </c>
    </row>
    <row r="2110" ht="15.75" customHeight="1">
      <c r="A2110" s="29"/>
      <c r="B2110" s="5" t="s">
        <v>5350</v>
      </c>
      <c r="C2110" s="5" t="s">
        <v>77</v>
      </c>
      <c r="D2110" s="5" t="s">
        <v>113</v>
      </c>
      <c r="E2110" s="5" t="s">
        <v>382</v>
      </c>
    </row>
    <row r="2111" ht="15.75" customHeight="1">
      <c r="A2111" s="29"/>
      <c r="B2111" s="5" t="s">
        <v>4574</v>
      </c>
      <c r="C2111" s="5" t="s">
        <v>79</v>
      </c>
      <c r="D2111" s="5" t="s">
        <v>46</v>
      </c>
      <c r="E2111" s="5" t="s">
        <v>382</v>
      </c>
    </row>
    <row r="2112" ht="15.75" customHeight="1">
      <c r="A2112" s="29"/>
      <c r="B2112" s="5" t="s">
        <v>3487</v>
      </c>
      <c r="C2112" s="5" t="s">
        <v>79</v>
      </c>
      <c r="D2112" s="5" t="s">
        <v>9</v>
      </c>
      <c r="E2112" s="5" t="s">
        <v>382</v>
      </c>
    </row>
    <row r="2113" ht="15.75" customHeight="1">
      <c r="A2113" s="29"/>
      <c r="B2113" s="5" t="s">
        <v>3684</v>
      </c>
      <c r="C2113" s="5" t="s">
        <v>79</v>
      </c>
      <c r="D2113" s="5" t="s">
        <v>9</v>
      </c>
      <c r="E2113" s="5" t="s">
        <v>382</v>
      </c>
    </row>
    <row r="2114" ht="15.75" customHeight="1">
      <c r="A2114" s="29"/>
      <c r="B2114" s="5" t="s">
        <v>5557</v>
      </c>
      <c r="C2114" s="5" t="s">
        <v>33</v>
      </c>
      <c r="D2114" s="5" t="s">
        <v>71</v>
      </c>
      <c r="E2114" s="5" t="s">
        <v>382</v>
      </c>
    </row>
    <row r="2115" ht="15.75" customHeight="1">
      <c r="A2115" s="29"/>
      <c r="B2115" s="5" t="s">
        <v>5413</v>
      </c>
      <c r="C2115" s="5" t="s">
        <v>17</v>
      </c>
      <c r="D2115" s="5" t="s">
        <v>120</v>
      </c>
      <c r="E2115" s="5" t="s">
        <v>382</v>
      </c>
    </row>
    <row r="2116" ht="15.75" customHeight="1">
      <c r="A2116" s="29"/>
      <c r="B2116" s="5" t="s">
        <v>5553</v>
      </c>
      <c r="C2116" s="5" t="s">
        <v>77</v>
      </c>
      <c r="D2116" s="5" t="s">
        <v>99</v>
      </c>
      <c r="E2116" s="5" t="s">
        <v>382</v>
      </c>
    </row>
    <row r="2117" ht="15.75" customHeight="1">
      <c r="A2117" s="29"/>
      <c r="B2117" s="5" t="s">
        <v>4754</v>
      </c>
      <c r="C2117" s="5" t="s">
        <v>20</v>
      </c>
      <c r="D2117" s="5" t="s">
        <v>49</v>
      </c>
      <c r="E2117" s="5" t="s">
        <v>382</v>
      </c>
    </row>
    <row r="2118" ht="15.75" customHeight="1">
      <c r="A2118" s="29"/>
      <c r="B2118" s="5" t="s">
        <v>3390</v>
      </c>
      <c r="C2118" s="5" t="s">
        <v>79</v>
      </c>
      <c r="D2118" s="5" t="s">
        <v>82</v>
      </c>
      <c r="E2118" s="5" t="s">
        <v>382</v>
      </c>
    </row>
    <row r="2119" ht="15.75" customHeight="1">
      <c r="A2119" s="29"/>
      <c r="B2119" s="5" t="s">
        <v>5562</v>
      </c>
      <c r="C2119" s="5" t="s">
        <v>77</v>
      </c>
      <c r="D2119" s="5" t="s">
        <v>67</v>
      </c>
      <c r="E2119" s="5" t="s">
        <v>382</v>
      </c>
    </row>
    <row r="2120" ht="15.75" customHeight="1">
      <c r="A2120" s="29"/>
      <c r="B2120" s="5" t="s">
        <v>3802</v>
      </c>
      <c r="C2120" s="5" t="s">
        <v>22</v>
      </c>
      <c r="D2120" s="5" t="s">
        <v>67</v>
      </c>
      <c r="E2120" s="5" t="s">
        <v>382</v>
      </c>
    </row>
    <row r="2121" ht="15.75" customHeight="1">
      <c r="A2121" s="29"/>
      <c r="B2121" s="5" t="s">
        <v>4465</v>
      </c>
      <c r="C2121" s="5" t="s">
        <v>79</v>
      </c>
      <c r="D2121" s="5" t="s">
        <v>67</v>
      </c>
      <c r="E2121" s="5" t="s">
        <v>382</v>
      </c>
    </row>
    <row r="2122" ht="15.75" customHeight="1">
      <c r="A2122" s="29"/>
      <c r="B2122" s="5" t="s">
        <v>5133</v>
      </c>
      <c r="C2122" s="5" t="s">
        <v>240</v>
      </c>
      <c r="D2122" s="5" t="s">
        <v>105</v>
      </c>
      <c r="E2122" s="5" t="s">
        <v>382</v>
      </c>
    </row>
    <row r="2123" ht="15.75" customHeight="1">
      <c r="A2123" s="29"/>
      <c r="B2123" s="5" t="s">
        <v>3637</v>
      </c>
      <c r="C2123" s="5" t="s">
        <v>79</v>
      </c>
      <c r="D2123" s="5" t="s">
        <v>85</v>
      </c>
      <c r="E2123" s="5" t="s">
        <v>382</v>
      </c>
    </row>
    <row r="2124" ht="15.75" customHeight="1">
      <c r="A2124" s="29"/>
      <c r="B2124" s="5" t="s">
        <v>4945</v>
      </c>
      <c r="C2124" s="5" t="s">
        <v>150</v>
      </c>
      <c r="D2124" s="5" t="s">
        <v>105</v>
      </c>
      <c r="E2124" s="5" t="s">
        <v>382</v>
      </c>
    </row>
    <row r="2125" ht="15.75" customHeight="1">
      <c r="A2125" s="29"/>
      <c r="B2125" s="5" t="s">
        <v>5429</v>
      </c>
      <c r="C2125" s="5" t="s">
        <v>77</v>
      </c>
      <c r="D2125" s="5" t="s">
        <v>113</v>
      </c>
      <c r="E2125" s="5" t="s">
        <v>382</v>
      </c>
    </row>
    <row r="2126" ht="15.75" customHeight="1">
      <c r="A2126" s="29"/>
      <c r="B2126" s="5" t="s">
        <v>4814</v>
      </c>
      <c r="C2126" s="5" t="s">
        <v>48</v>
      </c>
      <c r="D2126" s="5" t="s">
        <v>105</v>
      </c>
      <c r="E2126" s="5" t="s">
        <v>382</v>
      </c>
    </row>
    <row r="2127" ht="15.75" customHeight="1">
      <c r="A2127" s="29"/>
      <c r="B2127" s="5" t="s">
        <v>5184</v>
      </c>
      <c r="C2127" s="5" t="s">
        <v>77</v>
      </c>
      <c r="D2127" s="5" t="s">
        <v>71</v>
      </c>
      <c r="E2127" s="5" t="s">
        <v>382</v>
      </c>
    </row>
    <row r="2128" ht="15.75" customHeight="1">
      <c r="A2128" s="29"/>
      <c r="B2128" s="5" t="s">
        <v>4676</v>
      </c>
      <c r="C2128" s="5" t="s">
        <v>1868</v>
      </c>
      <c r="D2128" s="5" t="s">
        <v>34</v>
      </c>
      <c r="E2128" s="5" t="s">
        <v>382</v>
      </c>
    </row>
    <row r="2129" ht="15.75" customHeight="1">
      <c r="A2129" s="29"/>
      <c r="B2129" s="5" t="s">
        <v>4878</v>
      </c>
      <c r="C2129" s="5" t="s">
        <v>89</v>
      </c>
      <c r="D2129" s="5" t="s">
        <v>99</v>
      </c>
      <c r="E2129" s="5" t="s">
        <v>382</v>
      </c>
    </row>
    <row r="2130" ht="15.75" customHeight="1">
      <c r="A2130" s="29"/>
      <c r="B2130" s="5" t="s">
        <v>5582</v>
      </c>
      <c r="C2130" s="5" t="s">
        <v>77</v>
      </c>
      <c r="D2130" s="5" t="s">
        <v>206</v>
      </c>
      <c r="E2130" s="5" t="s">
        <v>382</v>
      </c>
    </row>
    <row r="2131" ht="15.75" customHeight="1">
      <c r="A2131" s="29"/>
      <c r="B2131" s="5" t="s">
        <v>3866</v>
      </c>
      <c r="C2131" s="5" t="s">
        <v>79</v>
      </c>
      <c r="D2131" s="5" t="s">
        <v>206</v>
      </c>
      <c r="E2131" s="5" t="s">
        <v>382</v>
      </c>
    </row>
    <row r="2132" ht="15.75" customHeight="1">
      <c r="A2132" s="29"/>
      <c r="B2132" s="5" t="s">
        <v>3616</v>
      </c>
      <c r="C2132" s="5" t="s">
        <v>79</v>
      </c>
      <c r="D2132" s="5" t="s">
        <v>206</v>
      </c>
      <c r="E2132" s="5" t="s">
        <v>382</v>
      </c>
    </row>
    <row r="2133" ht="15.75" customHeight="1">
      <c r="A2133" s="29"/>
      <c r="B2133" s="5" t="s">
        <v>3949</v>
      </c>
      <c r="C2133" s="5" t="s">
        <v>22</v>
      </c>
      <c r="D2133" s="5" t="s">
        <v>73</v>
      </c>
      <c r="E2133" s="5" t="s">
        <v>382</v>
      </c>
    </row>
    <row r="2134" ht="15.75" customHeight="1">
      <c r="A2134" s="29"/>
      <c r="B2134" s="5" t="s">
        <v>4873</v>
      </c>
      <c r="C2134" s="5" t="s">
        <v>77</v>
      </c>
      <c r="D2134" s="5" t="s">
        <v>36</v>
      </c>
      <c r="E2134" s="5" t="s">
        <v>382</v>
      </c>
    </row>
    <row r="2135" ht="15.75" customHeight="1">
      <c r="A2135" s="29"/>
      <c r="B2135" s="5" t="s">
        <v>4807</v>
      </c>
      <c r="C2135" s="5" t="s">
        <v>39</v>
      </c>
      <c r="D2135" s="5" t="s">
        <v>36</v>
      </c>
      <c r="E2135" s="5" t="s">
        <v>382</v>
      </c>
    </row>
    <row r="2136" ht="15.75" customHeight="1">
      <c r="A2136" s="29"/>
      <c r="B2136" s="5" t="s">
        <v>3292</v>
      </c>
      <c r="C2136" s="5" t="s">
        <v>79</v>
      </c>
      <c r="D2136" s="5" t="s">
        <v>31</v>
      </c>
      <c r="E2136" s="5" t="s">
        <v>382</v>
      </c>
    </row>
    <row r="2137" ht="15.75" customHeight="1">
      <c r="A2137" s="29"/>
      <c r="B2137" s="5" t="s">
        <v>4298</v>
      </c>
      <c r="C2137" s="5" t="s">
        <v>79</v>
      </c>
      <c r="D2137" s="5" t="s">
        <v>113</v>
      </c>
      <c r="E2137" s="5" t="s">
        <v>382</v>
      </c>
    </row>
    <row r="2138" ht="15.75" customHeight="1">
      <c r="A2138" s="29"/>
      <c r="B2138" s="5" t="s">
        <v>3565</v>
      </c>
      <c r="C2138" s="5" t="s">
        <v>79</v>
      </c>
      <c r="D2138" s="5" t="s">
        <v>23</v>
      </c>
      <c r="E2138" s="5" t="s">
        <v>382</v>
      </c>
    </row>
    <row r="2139" ht="15.75" customHeight="1">
      <c r="A2139" s="29"/>
      <c r="B2139" s="5" t="s">
        <v>4135</v>
      </c>
      <c r="C2139" s="5" t="s">
        <v>79</v>
      </c>
      <c r="D2139" s="5" t="s">
        <v>31</v>
      </c>
      <c r="E2139" s="5" t="s">
        <v>382</v>
      </c>
    </row>
    <row r="2140" ht="15.75" customHeight="1">
      <c r="A2140" s="29"/>
      <c r="B2140" s="5" t="s">
        <v>3294</v>
      </c>
      <c r="C2140" s="5" t="s">
        <v>79</v>
      </c>
      <c r="D2140" s="5" t="s">
        <v>206</v>
      </c>
      <c r="E2140" s="5" t="s">
        <v>382</v>
      </c>
    </row>
    <row r="2141" ht="15.75" customHeight="1">
      <c r="A2141" s="29"/>
      <c r="B2141" s="5" t="s">
        <v>4560</v>
      </c>
      <c r="C2141" s="5" t="s">
        <v>79</v>
      </c>
      <c r="D2141" s="5" t="s">
        <v>18</v>
      </c>
      <c r="E2141" s="5" t="s">
        <v>382</v>
      </c>
    </row>
    <row r="2142" ht="15.75" customHeight="1">
      <c r="A2142" s="29"/>
      <c r="B2142" s="5" t="s">
        <v>4206</v>
      </c>
      <c r="C2142" s="5" t="s">
        <v>22</v>
      </c>
      <c r="D2142" s="5" t="s">
        <v>71</v>
      </c>
      <c r="E2142" s="5" t="s">
        <v>382</v>
      </c>
    </row>
    <row r="2143" ht="15.75" customHeight="1">
      <c r="A2143" s="29"/>
      <c r="B2143" s="5" t="s">
        <v>5266</v>
      </c>
      <c r="C2143" s="5" t="s">
        <v>240</v>
      </c>
      <c r="D2143" s="5" t="s">
        <v>31</v>
      </c>
      <c r="E2143" s="5" t="s">
        <v>382</v>
      </c>
    </row>
    <row r="2144" ht="15.75" customHeight="1">
      <c r="A2144" s="29"/>
      <c r="B2144" s="5" t="s">
        <v>5310</v>
      </c>
      <c r="C2144" s="5" t="s">
        <v>20</v>
      </c>
      <c r="D2144" s="5" t="s">
        <v>99</v>
      </c>
      <c r="E2144" s="5" t="s">
        <v>382</v>
      </c>
    </row>
    <row r="2145" ht="15.75" customHeight="1">
      <c r="A2145" s="29"/>
      <c r="B2145" s="5" t="s">
        <v>3607</v>
      </c>
      <c r="C2145" s="5" t="s">
        <v>79</v>
      </c>
      <c r="D2145" s="5" t="s">
        <v>31</v>
      </c>
      <c r="E2145" s="5" t="s">
        <v>382</v>
      </c>
    </row>
    <row r="2146" ht="15.75" customHeight="1">
      <c r="A2146" s="29"/>
      <c r="B2146" s="5" t="s">
        <v>3691</v>
      </c>
      <c r="C2146" s="5" t="s">
        <v>79</v>
      </c>
      <c r="D2146" s="5" t="s">
        <v>140</v>
      </c>
      <c r="E2146" s="5" t="s">
        <v>382</v>
      </c>
    </row>
    <row r="2147" ht="15.75" customHeight="1">
      <c r="A2147" s="29"/>
      <c r="B2147" s="5" t="s">
        <v>4292</v>
      </c>
      <c r="C2147" s="5" t="s">
        <v>79</v>
      </c>
      <c r="D2147" s="5" t="s">
        <v>15</v>
      </c>
      <c r="E2147" s="5" t="s">
        <v>382</v>
      </c>
    </row>
    <row r="2148" ht="15.75" customHeight="1">
      <c r="A2148" s="29"/>
      <c r="B2148" s="5" t="s">
        <v>4043</v>
      </c>
      <c r="C2148" s="5" t="s">
        <v>22</v>
      </c>
      <c r="D2148" s="5" t="s">
        <v>140</v>
      </c>
      <c r="E2148" s="5" t="s">
        <v>382</v>
      </c>
    </row>
    <row r="2149" ht="15.75" customHeight="1">
      <c r="A2149" s="29"/>
      <c r="B2149" s="5" t="s">
        <v>3676</v>
      </c>
      <c r="C2149" s="5" t="s">
        <v>22</v>
      </c>
      <c r="D2149" s="5" t="s">
        <v>140</v>
      </c>
      <c r="E2149" s="5" t="s">
        <v>382</v>
      </c>
    </row>
    <row r="2150" ht="15.75" customHeight="1">
      <c r="A2150" s="29"/>
      <c r="B2150" s="5" t="s">
        <v>3768</v>
      </c>
      <c r="C2150" s="5" t="s">
        <v>22</v>
      </c>
      <c r="D2150" s="5" t="s">
        <v>140</v>
      </c>
      <c r="E2150" s="5" t="s">
        <v>382</v>
      </c>
    </row>
    <row r="2151" ht="15.75" customHeight="1">
      <c r="A2151" s="29"/>
      <c r="B2151" s="5" t="s">
        <v>5189</v>
      </c>
      <c r="C2151" s="5" t="s">
        <v>39</v>
      </c>
      <c r="D2151" s="5" t="s">
        <v>140</v>
      </c>
      <c r="E2151" s="5" t="s">
        <v>382</v>
      </c>
    </row>
    <row r="2152" ht="15.75" customHeight="1">
      <c r="A2152" s="29"/>
      <c r="B2152" s="5" t="s">
        <v>3885</v>
      </c>
      <c r="C2152" s="5" t="s">
        <v>22</v>
      </c>
      <c r="D2152" s="5" t="s">
        <v>49</v>
      </c>
      <c r="E2152" s="5" t="s">
        <v>382</v>
      </c>
    </row>
    <row r="2153" ht="15.75" customHeight="1">
      <c r="A2153" s="29"/>
      <c r="B2153" s="5" t="s">
        <v>4994</v>
      </c>
      <c r="C2153" s="5" t="s">
        <v>77</v>
      </c>
      <c r="D2153" s="5" t="s">
        <v>49</v>
      </c>
      <c r="E2153" s="5" t="s">
        <v>382</v>
      </c>
    </row>
    <row r="2154" ht="15.75" customHeight="1">
      <c r="A2154" s="29"/>
      <c r="B2154" s="5" t="s">
        <v>5225</v>
      </c>
      <c r="C2154" s="5" t="s">
        <v>77</v>
      </c>
      <c r="D2154" s="5" t="s">
        <v>49</v>
      </c>
      <c r="E2154" s="5" t="s">
        <v>382</v>
      </c>
    </row>
    <row r="2155" ht="15.75" customHeight="1">
      <c r="A2155" s="29"/>
      <c r="B2155" s="5" t="s">
        <v>3961</v>
      </c>
      <c r="C2155" s="5" t="s">
        <v>79</v>
      </c>
      <c r="D2155" s="5" t="s">
        <v>129</v>
      </c>
      <c r="E2155" s="5" t="s">
        <v>382</v>
      </c>
    </row>
    <row r="2156" ht="15.75" customHeight="1">
      <c r="A2156" s="29"/>
      <c r="B2156" s="5" t="s">
        <v>4779</v>
      </c>
      <c r="C2156" s="5" t="s">
        <v>48</v>
      </c>
      <c r="D2156" s="5" t="s">
        <v>137</v>
      </c>
      <c r="E2156" s="5" t="s">
        <v>382</v>
      </c>
    </row>
    <row r="2157" ht="15.75" customHeight="1">
      <c r="A2157" s="29"/>
      <c r="B2157" s="5" t="s">
        <v>4946</v>
      </c>
      <c r="C2157" s="5" t="s">
        <v>77</v>
      </c>
      <c r="D2157" s="5" t="s">
        <v>137</v>
      </c>
      <c r="E2157" s="5" t="s">
        <v>382</v>
      </c>
    </row>
    <row r="2158" ht="15.75" customHeight="1">
      <c r="A2158" s="29"/>
      <c r="B2158" s="5" t="s">
        <v>4507</v>
      </c>
      <c r="C2158" s="5" t="s">
        <v>22</v>
      </c>
      <c r="D2158" s="5" t="s">
        <v>137</v>
      </c>
      <c r="E2158" s="5" t="s">
        <v>382</v>
      </c>
    </row>
    <row r="2159" ht="15.75" customHeight="1">
      <c r="A2159" s="29"/>
      <c r="B2159" s="5" t="s">
        <v>5315</v>
      </c>
      <c r="C2159" s="5" t="s">
        <v>150</v>
      </c>
      <c r="D2159" s="5" t="s">
        <v>137</v>
      </c>
      <c r="E2159" s="5" t="s">
        <v>382</v>
      </c>
    </row>
    <row r="2160" ht="15.75" customHeight="1">
      <c r="A2160" s="29"/>
      <c r="B2160" s="5" t="s">
        <v>4334</v>
      </c>
      <c r="C2160" s="5" t="s">
        <v>79</v>
      </c>
      <c r="D2160" s="5" t="s">
        <v>137</v>
      </c>
      <c r="E2160" s="5" t="s">
        <v>382</v>
      </c>
    </row>
    <row r="2161" ht="15.75" customHeight="1">
      <c r="A2161" s="29"/>
      <c r="B2161" s="5" t="s">
        <v>3938</v>
      </c>
      <c r="C2161" s="5" t="s">
        <v>79</v>
      </c>
      <c r="D2161" s="5" t="s">
        <v>31</v>
      </c>
      <c r="E2161" s="5" t="s">
        <v>382</v>
      </c>
    </row>
    <row r="2162" ht="15.75" customHeight="1">
      <c r="A2162" s="29"/>
      <c r="B2162" s="5" t="s">
        <v>3604</v>
      </c>
      <c r="C2162" s="5" t="s">
        <v>22</v>
      </c>
      <c r="D2162" s="5" t="s">
        <v>137</v>
      </c>
      <c r="E2162" s="5" t="s">
        <v>382</v>
      </c>
    </row>
    <row r="2163" ht="15.75" customHeight="1">
      <c r="A2163" s="29"/>
      <c r="B2163" s="5" t="s">
        <v>4803</v>
      </c>
      <c r="C2163" s="5" t="s">
        <v>77</v>
      </c>
      <c r="D2163" s="5" t="s">
        <v>52</v>
      </c>
      <c r="E2163" s="5" t="s">
        <v>382</v>
      </c>
    </row>
    <row r="2164" ht="15.75" customHeight="1">
      <c r="A2164" s="29"/>
      <c r="B2164" s="5" t="s">
        <v>4854</v>
      </c>
      <c r="C2164" s="5" t="s">
        <v>48</v>
      </c>
      <c r="D2164" s="5" t="s">
        <v>137</v>
      </c>
      <c r="E2164" s="5" t="s">
        <v>382</v>
      </c>
    </row>
    <row r="2165" ht="15.75" customHeight="1">
      <c r="A2165" s="29"/>
      <c r="B2165" s="5" t="s">
        <v>5229</v>
      </c>
      <c r="C2165" s="5" t="s">
        <v>39</v>
      </c>
      <c r="D2165" s="5" t="s">
        <v>52</v>
      </c>
      <c r="E2165" s="5" t="s">
        <v>382</v>
      </c>
    </row>
    <row r="2166" ht="15.75" customHeight="1">
      <c r="A2166" s="29"/>
      <c r="B2166" s="5" t="s">
        <v>3796</v>
      </c>
      <c r="C2166" s="5" t="s">
        <v>79</v>
      </c>
      <c r="D2166" s="5" t="s">
        <v>122</v>
      </c>
      <c r="E2166" s="5" t="s">
        <v>382</v>
      </c>
    </row>
    <row r="2167" ht="15.75" customHeight="1">
      <c r="A2167" s="29"/>
      <c r="B2167" s="5" t="s">
        <v>5435</v>
      </c>
      <c r="C2167" s="5" t="s">
        <v>39</v>
      </c>
      <c r="D2167" s="5" t="s">
        <v>95</v>
      </c>
      <c r="E2167" s="5" t="s">
        <v>382</v>
      </c>
    </row>
    <row r="2168" ht="15.75" customHeight="1">
      <c r="A2168" s="29"/>
      <c r="B2168" s="5" t="s">
        <v>4404</v>
      </c>
      <c r="C2168" s="5" t="s">
        <v>79</v>
      </c>
      <c r="D2168" s="5" t="s">
        <v>137</v>
      </c>
      <c r="E2168" s="5" t="s">
        <v>382</v>
      </c>
    </row>
    <row r="2169" ht="15.75" customHeight="1">
      <c r="A2169" s="29"/>
      <c r="B2169" s="5" t="s">
        <v>3920</v>
      </c>
      <c r="C2169" s="5" t="s">
        <v>22</v>
      </c>
      <c r="D2169" s="5" t="s">
        <v>95</v>
      </c>
      <c r="E2169" s="5" t="s">
        <v>382</v>
      </c>
    </row>
    <row r="2170" ht="15.75" customHeight="1">
      <c r="A2170" s="29"/>
      <c r="B2170" s="5" t="s">
        <v>4953</v>
      </c>
      <c r="C2170" s="5" t="s">
        <v>11</v>
      </c>
      <c r="D2170" s="5" t="s">
        <v>95</v>
      </c>
      <c r="E2170" s="5" t="s">
        <v>382</v>
      </c>
    </row>
    <row r="2171" ht="15.75" customHeight="1">
      <c r="A2171" s="29"/>
      <c r="B2171" s="5" t="s">
        <v>3486</v>
      </c>
      <c r="C2171" s="5" t="s">
        <v>79</v>
      </c>
      <c r="D2171" s="5" t="s">
        <v>95</v>
      </c>
      <c r="E2171" s="5" t="s">
        <v>382</v>
      </c>
    </row>
    <row r="2172" ht="15.75" customHeight="1">
      <c r="A2172" s="29"/>
      <c r="B2172" s="5" t="s">
        <v>4379</v>
      </c>
      <c r="C2172" s="5" t="s">
        <v>79</v>
      </c>
      <c r="D2172" s="5" t="s">
        <v>82</v>
      </c>
      <c r="E2172" s="5" t="s">
        <v>382</v>
      </c>
    </row>
    <row r="2173" ht="15.75" customHeight="1">
      <c r="A2173" s="29"/>
      <c r="B2173" s="5" t="s">
        <v>5201</v>
      </c>
      <c r="C2173" s="5" t="s">
        <v>77</v>
      </c>
      <c r="D2173" s="5" t="s">
        <v>95</v>
      </c>
      <c r="E2173" s="5" t="s">
        <v>382</v>
      </c>
    </row>
    <row r="2174" ht="15.75" customHeight="1">
      <c r="A2174" s="29"/>
      <c r="B2174" s="5" t="s">
        <v>5341</v>
      </c>
      <c r="C2174" s="5" t="s">
        <v>48</v>
      </c>
      <c r="D2174" s="5" t="s">
        <v>95</v>
      </c>
      <c r="E2174" s="5" t="s">
        <v>382</v>
      </c>
    </row>
    <row r="2175" ht="15.75" customHeight="1">
      <c r="A2175" s="29"/>
      <c r="B2175" s="5" t="s">
        <v>5205</v>
      </c>
      <c r="C2175" s="5" t="s">
        <v>11</v>
      </c>
      <c r="D2175" s="5" t="s">
        <v>95</v>
      </c>
      <c r="E2175" s="5" t="s">
        <v>382</v>
      </c>
    </row>
    <row r="2176" ht="15.75" customHeight="1">
      <c r="A2176" s="29"/>
      <c r="B2176" s="5" t="s">
        <v>3656</v>
      </c>
      <c r="C2176" s="5" t="s">
        <v>22</v>
      </c>
      <c r="D2176" s="5" t="s">
        <v>15</v>
      </c>
      <c r="E2176" s="5" t="s">
        <v>382</v>
      </c>
    </row>
    <row r="2177" ht="15.75" customHeight="1">
      <c r="A2177" s="29"/>
      <c r="B2177" s="5" t="s">
        <v>4236</v>
      </c>
      <c r="C2177" s="5" t="s">
        <v>79</v>
      </c>
      <c r="D2177" s="5" t="s">
        <v>140</v>
      </c>
      <c r="E2177" s="5" t="s">
        <v>382</v>
      </c>
    </row>
    <row r="2178" ht="15.75" customHeight="1">
      <c r="A2178" s="29"/>
      <c r="B2178" s="5" t="s">
        <v>4766</v>
      </c>
      <c r="C2178" s="5" t="s">
        <v>77</v>
      </c>
      <c r="D2178" s="5" t="s">
        <v>18</v>
      </c>
      <c r="E2178" s="5" t="s">
        <v>382</v>
      </c>
    </row>
    <row r="2179" ht="15.75" customHeight="1">
      <c r="A2179" s="29"/>
      <c r="B2179" s="5" t="s">
        <v>3525</v>
      </c>
      <c r="C2179" s="5" t="s">
        <v>79</v>
      </c>
      <c r="D2179" s="5" t="s">
        <v>73</v>
      </c>
      <c r="E2179" s="5" t="s">
        <v>382</v>
      </c>
    </row>
    <row r="2180" ht="15.75" customHeight="1">
      <c r="A2180" s="29"/>
      <c r="B2180" s="5" t="s">
        <v>4823</v>
      </c>
      <c r="C2180" s="5" t="s">
        <v>17</v>
      </c>
      <c r="D2180" s="5" t="s">
        <v>15</v>
      </c>
      <c r="E2180" s="5" t="s">
        <v>382</v>
      </c>
    </row>
    <row r="2181" ht="15.75" customHeight="1">
      <c r="A2181" s="29"/>
      <c r="B2181" s="5" t="s">
        <v>5030</v>
      </c>
      <c r="C2181" s="5" t="s">
        <v>39</v>
      </c>
      <c r="D2181" s="5" t="s">
        <v>120</v>
      </c>
      <c r="E2181" s="5" t="s">
        <v>382</v>
      </c>
    </row>
    <row r="2182" ht="15.75" customHeight="1">
      <c r="A2182" s="29"/>
      <c r="B2182" s="5" t="s">
        <v>5169</v>
      </c>
      <c r="C2182" s="5" t="s">
        <v>77</v>
      </c>
      <c r="D2182" s="5" t="s">
        <v>120</v>
      </c>
      <c r="E2182" s="5" t="s">
        <v>382</v>
      </c>
    </row>
    <row r="2183" ht="15.75" customHeight="1">
      <c r="A2183" s="29"/>
      <c r="B2183" s="5" t="s">
        <v>3911</v>
      </c>
      <c r="C2183" s="5" t="s">
        <v>22</v>
      </c>
      <c r="D2183" s="5" t="s">
        <v>120</v>
      </c>
      <c r="E2183" s="5" t="s">
        <v>382</v>
      </c>
    </row>
    <row r="2184" ht="15.75" customHeight="1">
      <c r="A2184" s="29"/>
      <c r="B2184" s="5" t="s">
        <v>4004</v>
      </c>
      <c r="C2184" s="5" t="s">
        <v>79</v>
      </c>
      <c r="D2184" s="5" t="s">
        <v>120</v>
      </c>
      <c r="E2184" s="5" t="s">
        <v>382</v>
      </c>
    </row>
    <row r="2185" ht="15.75" customHeight="1">
      <c r="A2185" s="29"/>
      <c r="B2185" s="5" t="s">
        <v>3973</v>
      </c>
      <c r="C2185" s="5" t="s">
        <v>79</v>
      </c>
      <c r="D2185" s="5" t="s">
        <v>120</v>
      </c>
      <c r="E2185" s="5" t="s">
        <v>382</v>
      </c>
    </row>
    <row r="2186" ht="15.75" customHeight="1">
      <c r="A2186" s="29"/>
      <c r="B2186" s="5" t="s">
        <v>5252</v>
      </c>
      <c r="C2186" s="5" t="s">
        <v>77</v>
      </c>
      <c r="D2186" s="5" t="s">
        <v>120</v>
      </c>
      <c r="E2186" s="5" t="s">
        <v>382</v>
      </c>
    </row>
    <row r="2187" ht="15.75" customHeight="1">
      <c r="A2187" s="29"/>
      <c r="B2187" s="5" t="s">
        <v>3972</v>
      </c>
      <c r="C2187" s="5" t="s">
        <v>22</v>
      </c>
      <c r="D2187" s="5" t="s">
        <v>52</v>
      </c>
      <c r="E2187" s="5" t="s">
        <v>382</v>
      </c>
    </row>
    <row r="2188" ht="15.75" customHeight="1">
      <c r="A2188" s="29"/>
      <c r="B2188" s="5" t="s">
        <v>3557</v>
      </c>
      <c r="C2188" s="5" t="s">
        <v>22</v>
      </c>
      <c r="D2188" s="5" t="s">
        <v>18</v>
      </c>
      <c r="E2188" s="5" t="s">
        <v>382</v>
      </c>
    </row>
    <row r="2189" ht="15.75" customHeight="1">
      <c r="A2189" s="29"/>
      <c r="B2189" s="5" t="s">
        <v>3805</v>
      </c>
      <c r="C2189" s="5" t="s">
        <v>79</v>
      </c>
      <c r="D2189" s="5" t="s">
        <v>42</v>
      </c>
      <c r="E2189" s="5" t="s">
        <v>382</v>
      </c>
    </row>
    <row r="2190" ht="15.75" customHeight="1">
      <c r="A2190" s="29"/>
      <c r="B2190" s="5" t="s">
        <v>4772</v>
      </c>
      <c r="C2190" s="5" t="s">
        <v>77</v>
      </c>
      <c r="D2190" s="5" t="s">
        <v>49</v>
      </c>
      <c r="E2190" s="5" t="s">
        <v>382</v>
      </c>
    </row>
    <row r="2191" ht="15.75" customHeight="1">
      <c r="A2191" s="29"/>
      <c r="B2191" s="5" t="s">
        <v>5208</v>
      </c>
      <c r="C2191" s="5" t="s">
        <v>77</v>
      </c>
      <c r="D2191" s="5" t="s">
        <v>31</v>
      </c>
      <c r="E2191" s="5" t="s">
        <v>382</v>
      </c>
    </row>
    <row r="2192" ht="15.75" customHeight="1">
      <c r="A2192" s="29"/>
      <c r="B2192" s="5" t="s">
        <v>4941</v>
      </c>
      <c r="C2192" s="5" t="s">
        <v>77</v>
      </c>
      <c r="D2192" s="5" t="s">
        <v>67</v>
      </c>
      <c r="E2192" s="5" t="s">
        <v>382</v>
      </c>
    </row>
    <row r="2193" ht="15.75" customHeight="1">
      <c r="A2193" s="29"/>
      <c r="B2193" s="5" t="s">
        <v>3727</v>
      </c>
      <c r="C2193" s="5" t="s">
        <v>22</v>
      </c>
      <c r="D2193" s="5" t="s">
        <v>9</v>
      </c>
      <c r="E2193" s="5" t="s">
        <v>382</v>
      </c>
    </row>
    <row r="2194" ht="15.75" customHeight="1">
      <c r="A2194" s="29"/>
      <c r="B2194" s="5" t="s">
        <v>3867</v>
      </c>
      <c r="C2194" s="5" t="s">
        <v>22</v>
      </c>
      <c r="D2194" s="5" t="s">
        <v>85</v>
      </c>
      <c r="E2194" s="5" t="s">
        <v>382</v>
      </c>
    </row>
    <row r="2195" ht="15.75" customHeight="1">
      <c r="A2195" s="29"/>
      <c r="B2195" s="5" t="s">
        <v>5464</v>
      </c>
      <c r="C2195" s="5" t="s">
        <v>20</v>
      </c>
      <c r="D2195" s="5" t="s">
        <v>206</v>
      </c>
      <c r="E2195" s="5" t="s">
        <v>382</v>
      </c>
    </row>
    <row r="2196" ht="15.75" customHeight="1">
      <c r="A2196" s="29"/>
      <c r="B2196" s="5" t="s">
        <v>3888</v>
      </c>
      <c r="C2196" s="5" t="s">
        <v>22</v>
      </c>
      <c r="D2196" s="5" t="s">
        <v>25</v>
      </c>
      <c r="E2196" s="5" t="s">
        <v>382</v>
      </c>
    </row>
    <row r="2197" ht="15.75" customHeight="1">
      <c r="A2197" s="29"/>
      <c r="B2197" s="5" t="s">
        <v>3321</v>
      </c>
      <c r="C2197" s="5" t="s">
        <v>79</v>
      </c>
      <c r="D2197" s="5" t="s">
        <v>140</v>
      </c>
      <c r="E2197" s="5" t="s">
        <v>382</v>
      </c>
    </row>
    <row r="2198" ht="15.75" customHeight="1">
      <c r="A2198" s="29"/>
      <c r="B2198" s="5" t="s">
        <v>3648</v>
      </c>
      <c r="C2198" s="5" t="s">
        <v>79</v>
      </c>
      <c r="D2198" s="5" t="s">
        <v>122</v>
      </c>
      <c r="E2198" s="5" t="s">
        <v>382</v>
      </c>
    </row>
    <row r="2199" ht="15.75" customHeight="1">
      <c r="A2199" s="29"/>
      <c r="B2199" s="5" t="s">
        <v>3480</v>
      </c>
      <c r="C2199" s="5" t="s">
        <v>79</v>
      </c>
      <c r="D2199" s="5" t="s">
        <v>52</v>
      </c>
      <c r="E2199" s="5" t="s">
        <v>382</v>
      </c>
    </row>
    <row r="2200" ht="15.75" customHeight="1">
      <c r="A2200" s="29"/>
      <c r="B2200" s="5" t="s">
        <v>3507</v>
      </c>
      <c r="C2200" s="5" t="s">
        <v>79</v>
      </c>
      <c r="D2200" s="5" t="s">
        <v>82</v>
      </c>
      <c r="E2200" s="5" t="s">
        <v>382</v>
      </c>
    </row>
    <row r="2201" ht="15.75" customHeight="1">
      <c r="A2201" s="29"/>
      <c r="B2201" s="5" t="s">
        <v>5144</v>
      </c>
      <c r="C2201" s="5" t="s">
        <v>11</v>
      </c>
      <c r="D2201" s="5" t="s">
        <v>82</v>
      </c>
      <c r="E2201" s="5" t="s">
        <v>382</v>
      </c>
    </row>
    <row r="2202" ht="15.75" customHeight="1">
      <c r="A2202" s="29"/>
      <c r="B2202" s="5" t="s">
        <v>5425</v>
      </c>
      <c r="C2202" s="5" t="s">
        <v>11</v>
      </c>
      <c r="D2202" s="5" t="s">
        <v>82</v>
      </c>
      <c r="E2202" s="5" t="s">
        <v>382</v>
      </c>
    </row>
    <row r="2203" ht="15.75" customHeight="1">
      <c r="A2203" s="29"/>
      <c r="B2203" s="5" t="s">
        <v>5074</v>
      </c>
      <c r="C2203" s="5" t="s">
        <v>14</v>
      </c>
      <c r="D2203" s="5" t="s">
        <v>82</v>
      </c>
      <c r="E2203" s="5" t="s">
        <v>382</v>
      </c>
    </row>
    <row r="2204" ht="15.75" customHeight="1">
      <c r="A2204" s="29"/>
      <c r="B2204" s="5" t="s">
        <v>5347</v>
      </c>
      <c r="C2204" s="5" t="s">
        <v>11</v>
      </c>
      <c r="D2204" s="5" t="s">
        <v>99</v>
      </c>
      <c r="E2204" s="5" t="s">
        <v>382</v>
      </c>
    </row>
    <row r="2205" ht="15.75" customHeight="1">
      <c r="A2205" s="29"/>
      <c r="B2205" s="5" t="s">
        <v>3976</v>
      </c>
      <c r="C2205" s="5" t="s">
        <v>22</v>
      </c>
      <c r="D2205" s="5" t="s">
        <v>34</v>
      </c>
      <c r="E2205" s="5" t="s">
        <v>382</v>
      </c>
    </row>
    <row r="2206" ht="15.75" customHeight="1">
      <c r="A2206" s="29"/>
      <c r="B2206" s="5" t="s">
        <v>3567</v>
      </c>
      <c r="C2206" s="5" t="s">
        <v>79</v>
      </c>
      <c r="D2206" s="5" t="s">
        <v>90</v>
      </c>
      <c r="E2206" s="5" t="s">
        <v>382</v>
      </c>
    </row>
    <row r="2207" ht="15.75" customHeight="1">
      <c r="A2207" s="29"/>
      <c r="B2207" s="5" t="s">
        <v>3614</v>
      </c>
      <c r="C2207" s="5" t="s">
        <v>79</v>
      </c>
      <c r="D2207" s="5" t="s">
        <v>25</v>
      </c>
      <c r="E2207" s="5" t="s">
        <v>382</v>
      </c>
    </row>
    <row r="2208" ht="15.75" customHeight="1">
      <c r="A2208" s="29"/>
      <c r="B2208" s="5" t="s">
        <v>5270</v>
      </c>
      <c r="C2208" s="5" t="s">
        <v>150</v>
      </c>
      <c r="D2208" s="5" t="s">
        <v>25</v>
      </c>
      <c r="E2208" s="5" t="s">
        <v>382</v>
      </c>
    </row>
    <row r="2209" ht="15.75" customHeight="1">
      <c r="A2209" s="29"/>
      <c r="B2209" s="5" t="s">
        <v>5042</v>
      </c>
      <c r="C2209" s="5" t="s">
        <v>55</v>
      </c>
      <c r="D2209" s="5" t="s">
        <v>9</v>
      </c>
      <c r="E2209" s="5" t="s">
        <v>382</v>
      </c>
    </row>
    <row r="2210" ht="15.75" customHeight="1">
      <c r="A2210" s="29"/>
      <c r="B2210" s="5" t="s">
        <v>4607</v>
      </c>
      <c r="C2210" s="5" t="s">
        <v>79</v>
      </c>
      <c r="D2210" s="5" t="s">
        <v>140</v>
      </c>
      <c r="E2210" s="5" t="s">
        <v>382</v>
      </c>
    </row>
    <row r="2211" ht="15.75" customHeight="1">
      <c r="A2211" s="29"/>
      <c r="B2211" s="5" t="s">
        <v>5141</v>
      </c>
      <c r="C2211" s="5" t="s">
        <v>77</v>
      </c>
      <c r="D2211" s="5" t="s">
        <v>85</v>
      </c>
      <c r="E2211" s="5" t="s">
        <v>382</v>
      </c>
    </row>
    <row r="2212" ht="15.75" customHeight="1">
      <c r="A2212" s="29"/>
      <c r="B2212" s="5" t="s">
        <v>4244</v>
      </c>
      <c r="C2212" s="5" t="s">
        <v>79</v>
      </c>
      <c r="D2212" s="5" t="s">
        <v>73</v>
      </c>
      <c r="E2212" s="5" t="s">
        <v>382</v>
      </c>
    </row>
    <row r="2213" ht="15.75" customHeight="1">
      <c r="A2213" s="29"/>
      <c r="B2213" s="5" t="s">
        <v>5396</v>
      </c>
      <c r="C2213" s="5" t="s">
        <v>77</v>
      </c>
      <c r="D2213" s="5" t="s">
        <v>9</v>
      </c>
      <c r="E2213" s="5" t="s">
        <v>382</v>
      </c>
    </row>
    <row r="2214" ht="15.75" customHeight="1">
      <c r="A2214" s="29"/>
      <c r="B2214" s="5" t="s">
        <v>3646</v>
      </c>
      <c r="C2214" s="5" t="s">
        <v>22</v>
      </c>
      <c r="D2214" s="5" t="s">
        <v>9</v>
      </c>
      <c r="E2214" s="5" t="s">
        <v>382</v>
      </c>
    </row>
    <row r="2215" ht="15.75" customHeight="1">
      <c r="A2215" s="29"/>
      <c r="B2215" s="5" t="s">
        <v>3979</v>
      </c>
      <c r="C2215" s="5" t="s">
        <v>79</v>
      </c>
      <c r="D2215" s="5" t="s">
        <v>9</v>
      </c>
      <c r="E2215" s="5" t="s">
        <v>382</v>
      </c>
    </row>
    <row r="2216" ht="15.75" customHeight="1">
      <c r="A2216" s="29"/>
      <c r="B2216" s="5" t="s">
        <v>3625</v>
      </c>
      <c r="C2216" s="5" t="s">
        <v>22</v>
      </c>
      <c r="D2216" s="5" t="s">
        <v>9</v>
      </c>
      <c r="E2216" s="5" t="s">
        <v>382</v>
      </c>
    </row>
    <row r="2217" ht="15.75" customHeight="1">
      <c r="A2217" s="29"/>
      <c r="B2217" s="5" t="s">
        <v>3824</v>
      </c>
      <c r="C2217" s="5" t="s">
        <v>79</v>
      </c>
      <c r="D2217" s="5" t="s">
        <v>34</v>
      </c>
      <c r="E2217" s="5" t="s">
        <v>382</v>
      </c>
    </row>
    <row r="2218" ht="15.75" customHeight="1">
      <c r="A2218" s="29"/>
      <c r="B2218" s="5" t="s">
        <v>3822</v>
      </c>
      <c r="C2218" s="5" t="s">
        <v>79</v>
      </c>
      <c r="D2218" s="5" t="s">
        <v>120</v>
      </c>
      <c r="E2218" s="5" t="s">
        <v>382</v>
      </c>
    </row>
    <row r="2219" ht="15.75" customHeight="1">
      <c r="A2219" s="29"/>
      <c r="B2219" s="5" t="s">
        <v>5564</v>
      </c>
      <c r="C2219" s="5" t="s">
        <v>48</v>
      </c>
      <c r="D2219" s="5" t="s">
        <v>140</v>
      </c>
      <c r="E2219" s="5" t="s">
        <v>382</v>
      </c>
    </row>
    <row r="2220" ht="15.75" customHeight="1">
      <c r="A2220" s="29"/>
      <c r="B2220" s="5" t="s">
        <v>5010</v>
      </c>
      <c r="C2220" s="5" t="s">
        <v>77</v>
      </c>
      <c r="D2220" s="5" t="s">
        <v>36</v>
      </c>
      <c r="E2220" s="5" t="s">
        <v>382</v>
      </c>
    </row>
    <row r="2221" ht="15.75" customHeight="1">
      <c r="A2221" s="29"/>
      <c r="B2221" s="5" t="s">
        <v>5466</v>
      </c>
      <c r="C2221" s="5" t="s">
        <v>77</v>
      </c>
      <c r="D2221" s="5" t="s">
        <v>99</v>
      </c>
      <c r="E2221" s="5" t="s">
        <v>382</v>
      </c>
    </row>
    <row r="2222" ht="15.75" customHeight="1">
      <c r="A2222" s="29"/>
      <c r="B2222" s="5" t="s">
        <v>3804</v>
      </c>
      <c r="C2222" s="5" t="s">
        <v>79</v>
      </c>
      <c r="D2222" s="5" t="s">
        <v>46</v>
      </c>
      <c r="E2222" s="5" t="s">
        <v>382</v>
      </c>
    </row>
    <row r="2223" ht="15.75" customHeight="1">
      <c r="A2223" s="29"/>
      <c r="B2223" s="5" t="s">
        <v>3318</v>
      </c>
      <c r="C2223" s="5" t="s">
        <v>79</v>
      </c>
      <c r="D2223" s="5" t="s">
        <v>46</v>
      </c>
      <c r="E2223" s="5" t="s">
        <v>382</v>
      </c>
    </row>
    <row r="2224" ht="15.75" customHeight="1">
      <c r="A2224" s="29"/>
      <c r="B2224" s="5" t="s">
        <v>4020</v>
      </c>
      <c r="C2224" s="5" t="s">
        <v>22</v>
      </c>
      <c r="D2224" s="5" t="s">
        <v>206</v>
      </c>
      <c r="E2224" s="5" t="s">
        <v>382</v>
      </c>
    </row>
    <row r="2225" ht="15.75" customHeight="1">
      <c r="A2225" s="29"/>
      <c r="B2225" s="5" t="s">
        <v>3731</v>
      </c>
      <c r="C2225" s="5" t="s">
        <v>22</v>
      </c>
      <c r="D2225" s="5" t="s">
        <v>34</v>
      </c>
      <c r="E2225" s="5" t="s">
        <v>382</v>
      </c>
    </row>
    <row r="2226" ht="15.75" customHeight="1">
      <c r="A2226" s="29"/>
      <c r="B2226" s="5" t="s">
        <v>5119</v>
      </c>
      <c r="C2226" s="5" t="s">
        <v>14</v>
      </c>
      <c r="D2226" s="5" t="s">
        <v>137</v>
      </c>
      <c r="E2226" s="5" t="s">
        <v>382</v>
      </c>
    </row>
    <row r="2227" ht="15.75" customHeight="1">
      <c r="A2227" s="29"/>
      <c r="B2227" s="5" t="s">
        <v>3701</v>
      </c>
      <c r="C2227" s="5" t="s">
        <v>79</v>
      </c>
      <c r="D2227" s="5" t="s">
        <v>113</v>
      </c>
      <c r="E2227" s="5" t="s">
        <v>382</v>
      </c>
    </row>
    <row r="2228" ht="15.75" customHeight="1">
      <c r="A2228" s="29"/>
      <c r="B2228" s="5" t="s">
        <v>4902</v>
      </c>
      <c r="C2228" s="5" t="s">
        <v>39</v>
      </c>
      <c r="D2228" s="5" t="s">
        <v>34</v>
      </c>
      <c r="E2228" s="5" t="s">
        <v>382</v>
      </c>
    </row>
    <row r="2229" ht="15.75" customHeight="1">
      <c r="A2229" s="29"/>
      <c r="B2229" s="5" t="s">
        <v>3343</v>
      </c>
      <c r="C2229" s="5" t="s">
        <v>79</v>
      </c>
      <c r="D2229" s="5" t="s">
        <v>67</v>
      </c>
      <c r="E2229" s="5" t="s">
        <v>382</v>
      </c>
    </row>
    <row r="2230" ht="15.75" customHeight="1">
      <c r="A2230" s="29"/>
      <c r="B2230" s="5" t="s">
        <v>3329</v>
      </c>
      <c r="C2230" s="5" t="s">
        <v>79</v>
      </c>
      <c r="D2230" s="5" t="s">
        <v>67</v>
      </c>
      <c r="E2230" s="5" t="s">
        <v>382</v>
      </c>
    </row>
    <row r="2231" ht="15.75" customHeight="1">
      <c r="A2231" s="29"/>
      <c r="B2231" s="5" t="s">
        <v>5121</v>
      </c>
      <c r="C2231" s="5" t="s">
        <v>77</v>
      </c>
      <c r="D2231" s="5" t="s">
        <v>122</v>
      </c>
      <c r="E2231" s="5" t="s">
        <v>382</v>
      </c>
    </row>
    <row r="2232" ht="15.75" customHeight="1">
      <c r="A2232" s="29"/>
      <c r="B2232" s="5" t="s">
        <v>3589</v>
      </c>
      <c r="C2232" s="5" t="s">
        <v>79</v>
      </c>
      <c r="D2232" s="5" t="s">
        <v>206</v>
      </c>
      <c r="E2232" s="5" t="s">
        <v>382</v>
      </c>
    </row>
    <row r="2233" ht="15.75" customHeight="1">
      <c r="A2233" s="29"/>
      <c r="B2233" s="5" t="s">
        <v>5382</v>
      </c>
      <c r="C2233" s="5" t="s">
        <v>39</v>
      </c>
      <c r="D2233" s="5" t="s">
        <v>49</v>
      </c>
      <c r="E2233" s="5" t="s">
        <v>382</v>
      </c>
    </row>
    <row r="2234" ht="15.75" customHeight="1">
      <c r="A2234" s="29"/>
      <c r="B2234" s="5" t="s">
        <v>5294</v>
      </c>
      <c r="C2234" s="5" t="s">
        <v>77</v>
      </c>
      <c r="D2234" s="5" t="s">
        <v>129</v>
      </c>
      <c r="E2234" s="5" t="s">
        <v>382</v>
      </c>
    </row>
    <row r="2235" ht="15.75" customHeight="1">
      <c r="A2235" s="29"/>
      <c r="B2235" s="5" t="s">
        <v>5469</v>
      </c>
      <c r="C2235" s="5" t="s">
        <v>77</v>
      </c>
      <c r="D2235" s="5" t="s">
        <v>90</v>
      </c>
      <c r="E2235" s="5" t="s">
        <v>382</v>
      </c>
    </row>
    <row r="2236" ht="15.75" customHeight="1">
      <c r="A2236" s="29"/>
      <c r="B2236" s="5" t="s">
        <v>3311</v>
      </c>
      <c r="C2236" s="5" t="s">
        <v>79</v>
      </c>
      <c r="D2236" s="5" t="s">
        <v>71</v>
      </c>
      <c r="E2236" s="5" t="s">
        <v>382</v>
      </c>
    </row>
    <row r="2237" ht="15.75" customHeight="1">
      <c r="A2237" s="29"/>
      <c r="B2237" s="5" t="s">
        <v>5566</v>
      </c>
      <c r="C2237" s="5" t="s">
        <v>77</v>
      </c>
      <c r="D2237" s="5" t="s">
        <v>90</v>
      </c>
      <c r="E2237" s="5" t="s">
        <v>382</v>
      </c>
    </row>
    <row r="2238" ht="15.75" customHeight="1">
      <c r="A2238" s="29"/>
      <c r="B2238" s="5" t="s">
        <v>5346</v>
      </c>
      <c r="C2238" s="5" t="s">
        <v>77</v>
      </c>
      <c r="D2238" s="5" t="s">
        <v>25</v>
      </c>
      <c r="E2238" s="5" t="s">
        <v>382</v>
      </c>
    </row>
    <row r="2239" ht="15.75" customHeight="1">
      <c r="A2239" s="29"/>
      <c r="B2239" s="5" t="s">
        <v>4258</v>
      </c>
      <c r="C2239" s="5" t="s">
        <v>79</v>
      </c>
      <c r="D2239" s="5" t="s">
        <v>105</v>
      </c>
      <c r="E2239" s="5" t="s">
        <v>382</v>
      </c>
    </row>
    <row r="2240" ht="15.75" customHeight="1">
      <c r="A2240" s="29"/>
      <c r="B2240" s="5" t="s">
        <v>3791</v>
      </c>
      <c r="C2240" s="5" t="s">
        <v>22</v>
      </c>
      <c r="D2240" s="5" t="s">
        <v>105</v>
      </c>
      <c r="E2240" s="5" t="s">
        <v>382</v>
      </c>
    </row>
    <row r="2241" ht="15.75" customHeight="1">
      <c r="A2241" s="29"/>
      <c r="B2241" s="5" t="s">
        <v>5320</v>
      </c>
      <c r="C2241" s="5" t="s">
        <v>77</v>
      </c>
      <c r="D2241" s="5" t="s">
        <v>105</v>
      </c>
      <c r="E2241" s="5" t="s">
        <v>382</v>
      </c>
    </row>
    <row r="2242" ht="15.75" customHeight="1">
      <c r="A2242" s="29"/>
      <c r="B2242" s="5" t="s">
        <v>4454</v>
      </c>
      <c r="C2242" s="5" t="s">
        <v>79</v>
      </c>
      <c r="D2242" s="5" t="s">
        <v>25</v>
      </c>
      <c r="E2242" s="5" t="s">
        <v>382</v>
      </c>
    </row>
    <row r="2243" ht="15.75" customHeight="1">
      <c r="A2243" s="29"/>
      <c r="B2243" s="5" t="s">
        <v>4149</v>
      </c>
      <c r="C2243" s="5" t="s">
        <v>79</v>
      </c>
      <c r="D2243" s="5" t="s">
        <v>67</v>
      </c>
      <c r="E2243" s="5" t="s">
        <v>382</v>
      </c>
    </row>
    <row r="2244" ht="15.75" customHeight="1">
      <c r="A2244" s="29"/>
      <c r="B2244" s="5" t="s">
        <v>4394</v>
      </c>
      <c r="C2244" s="5" t="s">
        <v>220</v>
      </c>
      <c r="D2244" s="5" t="s">
        <v>140</v>
      </c>
      <c r="E2244" s="5" t="s">
        <v>382</v>
      </c>
    </row>
    <row r="2245" ht="15.75" customHeight="1">
      <c r="A2245" s="29"/>
      <c r="B2245" s="5" t="s">
        <v>3522</v>
      </c>
      <c r="C2245" s="5" t="s">
        <v>79</v>
      </c>
      <c r="D2245" s="5" t="s">
        <v>206</v>
      </c>
      <c r="E2245" s="5" t="s">
        <v>382</v>
      </c>
    </row>
    <row r="2246" ht="15.75" customHeight="1">
      <c r="A2246" s="29"/>
      <c r="B2246" s="5" t="s">
        <v>5607</v>
      </c>
      <c r="C2246" s="5" t="s">
        <v>79</v>
      </c>
      <c r="D2246" s="5" t="s">
        <v>82</v>
      </c>
      <c r="E2246" s="5" t="s">
        <v>382</v>
      </c>
    </row>
    <row r="2247" ht="15.75" customHeight="1">
      <c r="A2247" s="29"/>
      <c r="B2247" s="5" t="s">
        <v>4494</v>
      </c>
      <c r="C2247" s="5" t="s">
        <v>585</v>
      </c>
      <c r="D2247" s="5" t="s">
        <v>25</v>
      </c>
      <c r="E2247" s="5" t="s">
        <v>382</v>
      </c>
    </row>
    <row r="2248" ht="15.75" customHeight="1">
      <c r="A2248" s="29"/>
      <c r="B2248" s="5" t="s">
        <v>4396</v>
      </c>
      <c r="C2248" s="5" t="s">
        <v>79</v>
      </c>
      <c r="D2248" s="5" t="s">
        <v>82</v>
      </c>
      <c r="E2248" s="5" t="s">
        <v>382</v>
      </c>
    </row>
    <row r="2249" ht="15.75" customHeight="1">
      <c r="A2249" s="29"/>
      <c r="B2249" s="5" t="s">
        <v>3707</v>
      </c>
      <c r="C2249" s="5" t="s">
        <v>79</v>
      </c>
      <c r="D2249" s="5" t="s">
        <v>67</v>
      </c>
      <c r="E2249" s="5" t="s">
        <v>382</v>
      </c>
    </row>
    <row r="2250" ht="15.75" customHeight="1">
      <c r="A2250" s="29"/>
      <c r="B2250" s="5" t="s">
        <v>3797</v>
      </c>
      <c r="C2250" s="5" t="s">
        <v>79</v>
      </c>
      <c r="D2250" s="5" t="s">
        <v>71</v>
      </c>
      <c r="E2250" s="5" t="s">
        <v>382</v>
      </c>
    </row>
    <row r="2251" ht="15.75" customHeight="1">
      <c r="A2251" s="29"/>
      <c r="B2251" s="5" t="s">
        <v>5431</v>
      </c>
      <c r="C2251" s="5" t="s">
        <v>77</v>
      </c>
      <c r="D2251" s="5" t="s">
        <v>52</v>
      </c>
      <c r="E2251" s="5" t="s">
        <v>382</v>
      </c>
    </row>
    <row r="2252" ht="15.75" customHeight="1">
      <c r="A2252" s="29"/>
      <c r="B2252" s="5" t="s">
        <v>5126</v>
      </c>
      <c r="C2252" s="5" t="s">
        <v>48</v>
      </c>
      <c r="D2252" s="5" t="s">
        <v>71</v>
      </c>
      <c r="E2252" s="5" t="s">
        <v>382</v>
      </c>
    </row>
    <row r="2253" ht="15.75" customHeight="1">
      <c r="A2253" s="29"/>
      <c r="B2253" s="5" t="s">
        <v>3531</v>
      </c>
      <c r="C2253" s="5" t="s">
        <v>79</v>
      </c>
      <c r="D2253" s="5" t="s">
        <v>36</v>
      </c>
      <c r="E2253" s="5" t="s">
        <v>382</v>
      </c>
    </row>
    <row r="2254" ht="15.75" customHeight="1">
      <c r="A2254" s="29"/>
      <c r="B2254" s="5" t="s">
        <v>3710</v>
      </c>
      <c r="C2254" s="5" t="s">
        <v>22</v>
      </c>
      <c r="D2254" s="5" t="s">
        <v>15</v>
      </c>
      <c r="E2254" s="5" t="s">
        <v>382</v>
      </c>
    </row>
    <row r="2255" ht="15.75" customHeight="1">
      <c r="A2255" s="29"/>
      <c r="B2255" s="5" t="s">
        <v>4092</v>
      </c>
      <c r="C2255" s="5" t="s">
        <v>22</v>
      </c>
      <c r="D2255" s="5" t="s">
        <v>71</v>
      </c>
      <c r="E2255" s="5" t="s">
        <v>382</v>
      </c>
    </row>
    <row r="2256" ht="15.75" customHeight="1">
      <c r="A2256" s="29"/>
      <c r="B2256" s="5" t="s">
        <v>5150</v>
      </c>
      <c r="C2256" s="5" t="s">
        <v>14</v>
      </c>
      <c r="D2256" s="5" t="s">
        <v>90</v>
      </c>
      <c r="E2256" s="5" t="s">
        <v>382</v>
      </c>
    </row>
    <row r="2257" ht="15.75" customHeight="1">
      <c r="A2257" s="29"/>
      <c r="B2257" s="5" t="s">
        <v>4429</v>
      </c>
      <c r="C2257" s="5" t="s">
        <v>22</v>
      </c>
      <c r="D2257" s="5" t="s">
        <v>73</v>
      </c>
      <c r="E2257" s="5" t="s">
        <v>382</v>
      </c>
    </row>
    <row r="2258" ht="15.75" customHeight="1">
      <c r="A2258" s="29"/>
      <c r="B2258" s="5" t="s">
        <v>4762</v>
      </c>
      <c r="C2258" s="5" t="s">
        <v>11</v>
      </c>
      <c r="D2258" s="5" t="s">
        <v>122</v>
      </c>
      <c r="E2258" s="5" t="s">
        <v>382</v>
      </c>
    </row>
    <row r="2259" ht="15.75" customHeight="1">
      <c r="A2259" s="29"/>
      <c r="B2259" s="5" t="s">
        <v>3485</v>
      </c>
      <c r="C2259" s="5" t="s">
        <v>79</v>
      </c>
      <c r="D2259" s="5" t="s">
        <v>42</v>
      </c>
      <c r="E2259" s="5" t="s">
        <v>382</v>
      </c>
    </row>
    <row r="2260" ht="15.75" customHeight="1">
      <c r="A2260" s="29"/>
      <c r="B2260" s="5" t="s">
        <v>3555</v>
      </c>
      <c r="C2260" s="5" t="s">
        <v>22</v>
      </c>
      <c r="D2260" s="5" t="s">
        <v>12</v>
      </c>
      <c r="E2260" s="5" t="s">
        <v>382</v>
      </c>
    </row>
    <row r="2261" ht="15.75" customHeight="1">
      <c r="A2261" s="29"/>
      <c r="B2261" s="5" t="s">
        <v>3429</v>
      </c>
      <c r="C2261" s="5" t="s">
        <v>79</v>
      </c>
      <c r="D2261" s="5" t="s">
        <v>27</v>
      </c>
      <c r="E2261" s="5" t="s">
        <v>382</v>
      </c>
    </row>
    <row r="2262" ht="15.75" customHeight="1">
      <c r="A2262" s="29"/>
      <c r="B2262" s="5" t="s">
        <v>3449</v>
      </c>
      <c r="C2262" s="5" t="s">
        <v>22</v>
      </c>
      <c r="D2262" s="5" t="s">
        <v>67</v>
      </c>
      <c r="E2262" s="5" t="s">
        <v>382</v>
      </c>
    </row>
    <row r="2263" ht="15.75" customHeight="1">
      <c r="A2263" s="29"/>
      <c r="B2263" s="5" t="s">
        <v>5356</v>
      </c>
      <c r="C2263" s="5" t="s">
        <v>14</v>
      </c>
      <c r="D2263" s="5" t="s">
        <v>23</v>
      </c>
      <c r="E2263" s="5" t="s">
        <v>382</v>
      </c>
    </row>
    <row r="2264" ht="15.75" customHeight="1">
      <c r="A2264" s="29"/>
      <c r="B2264" s="5" t="s">
        <v>3753</v>
      </c>
      <c r="C2264" s="5" t="s">
        <v>22</v>
      </c>
      <c r="D2264" s="5" t="s">
        <v>99</v>
      </c>
      <c r="E2264" s="5" t="s">
        <v>382</v>
      </c>
    </row>
    <row r="2265" ht="15.75" customHeight="1">
      <c r="A2265" s="29"/>
      <c r="B2265" s="5" t="s">
        <v>5000</v>
      </c>
      <c r="C2265" s="5" t="s">
        <v>77</v>
      </c>
      <c r="D2265" s="5" t="s">
        <v>71</v>
      </c>
      <c r="E2265" s="5" t="s">
        <v>382</v>
      </c>
    </row>
    <row r="2266" ht="15.75" customHeight="1">
      <c r="A2266" s="29"/>
      <c r="B2266" s="5" t="s">
        <v>5520</v>
      </c>
      <c r="C2266" s="5" t="s">
        <v>14</v>
      </c>
      <c r="D2266" s="5" t="s">
        <v>15</v>
      </c>
      <c r="E2266" s="5" t="s">
        <v>382</v>
      </c>
    </row>
    <row r="2267" ht="15.75" customHeight="1">
      <c r="A2267" s="29"/>
      <c r="B2267" s="5" t="s">
        <v>4533</v>
      </c>
      <c r="C2267" s="5" t="s">
        <v>220</v>
      </c>
      <c r="D2267" s="5" t="s">
        <v>140</v>
      </c>
      <c r="E2267" s="5" t="s">
        <v>382</v>
      </c>
    </row>
    <row r="2268" ht="15.75" customHeight="1">
      <c r="A2268" s="29"/>
      <c r="B2268" s="5" t="s">
        <v>3650</v>
      </c>
      <c r="C2268" s="5" t="s">
        <v>22</v>
      </c>
      <c r="D2268" s="5" t="s">
        <v>129</v>
      </c>
      <c r="E2268" s="5" t="s">
        <v>382</v>
      </c>
    </row>
    <row r="2269" ht="15.75" customHeight="1">
      <c r="A2269" s="29"/>
      <c r="B2269" s="5" t="s">
        <v>3383</v>
      </c>
      <c r="C2269" s="5" t="s">
        <v>79</v>
      </c>
      <c r="D2269" s="5" t="s">
        <v>105</v>
      </c>
      <c r="E2269" s="5" t="s">
        <v>382</v>
      </c>
    </row>
    <row r="2270" ht="15.75" customHeight="1">
      <c r="A2270" s="29"/>
      <c r="B2270" s="5" t="s">
        <v>4086</v>
      </c>
      <c r="C2270" s="5" t="s">
        <v>79</v>
      </c>
      <c r="D2270" s="5" t="s">
        <v>31</v>
      </c>
      <c r="E2270" s="5" t="s">
        <v>382</v>
      </c>
    </row>
    <row r="2271" ht="15.75" customHeight="1">
      <c r="A2271" s="29"/>
      <c r="B2271" s="5" t="s">
        <v>4344</v>
      </c>
      <c r="C2271" s="5" t="s">
        <v>79</v>
      </c>
      <c r="D2271" s="5" t="s">
        <v>18</v>
      </c>
      <c r="E2271" s="5" t="s">
        <v>382</v>
      </c>
    </row>
    <row r="2272" ht="15.75" customHeight="1">
      <c r="A2272" s="29"/>
      <c r="B2272" s="5" t="s">
        <v>3401</v>
      </c>
      <c r="C2272" s="5" t="s">
        <v>79</v>
      </c>
      <c r="D2272" s="5" t="s">
        <v>122</v>
      </c>
      <c r="E2272" s="5" t="s">
        <v>382</v>
      </c>
    </row>
    <row r="2273" ht="15.75" customHeight="1">
      <c r="A2273" s="29"/>
      <c r="B2273" s="5" t="s">
        <v>4487</v>
      </c>
      <c r="C2273" s="5" t="s">
        <v>79</v>
      </c>
      <c r="D2273" s="5" t="s">
        <v>129</v>
      </c>
      <c r="E2273" s="5" t="s">
        <v>382</v>
      </c>
    </row>
    <row r="2274" ht="15.75" customHeight="1">
      <c r="A2274" s="29"/>
      <c r="B2274" s="5" t="s">
        <v>4282</v>
      </c>
      <c r="C2274" s="5" t="s">
        <v>79</v>
      </c>
      <c r="D2274" s="5" t="s">
        <v>85</v>
      </c>
      <c r="E2274" s="5" t="s">
        <v>382</v>
      </c>
    </row>
    <row r="2275" ht="15.75" customHeight="1">
      <c r="A2275" s="29"/>
      <c r="B2275" s="5" t="s">
        <v>3615</v>
      </c>
      <c r="C2275" s="5" t="s">
        <v>79</v>
      </c>
      <c r="D2275" s="5" t="s">
        <v>34</v>
      </c>
      <c r="E2275" s="5" t="s">
        <v>382</v>
      </c>
    </row>
    <row r="2276" ht="15.75" customHeight="1">
      <c r="A2276" s="29"/>
      <c r="B2276" s="5" t="s">
        <v>4484</v>
      </c>
      <c r="C2276" s="5" t="s">
        <v>79</v>
      </c>
      <c r="D2276" s="5" t="s">
        <v>113</v>
      </c>
      <c r="E2276" s="5" t="s">
        <v>382</v>
      </c>
    </row>
    <row r="2277" ht="15.75" customHeight="1">
      <c r="A2277" s="29"/>
      <c r="B2277" s="5" t="s">
        <v>4338</v>
      </c>
      <c r="C2277" s="5" t="s">
        <v>79</v>
      </c>
      <c r="D2277" s="5" t="s">
        <v>85</v>
      </c>
      <c r="E2277" s="5" t="s">
        <v>382</v>
      </c>
    </row>
    <row r="2278" ht="15.75" customHeight="1">
      <c r="A2278" s="29"/>
      <c r="B2278" s="5" t="s">
        <v>3736</v>
      </c>
      <c r="C2278" s="5" t="s">
        <v>22</v>
      </c>
      <c r="D2278" s="5" t="s">
        <v>122</v>
      </c>
      <c r="E2278" s="5" t="s">
        <v>382</v>
      </c>
    </row>
    <row r="2279" ht="15.75" customHeight="1">
      <c r="A2279" s="29"/>
      <c r="B2279" s="5" t="s">
        <v>4888</v>
      </c>
      <c r="C2279" s="5" t="s">
        <v>55</v>
      </c>
      <c r="D2279" s="5" t="s">
        <v>122</v>
      </c>
      <c r="E2279" s="5" t="s">
        <v>382</v>
      </c>
    </row>
    <row r="2280" ht="15.75" customHeight="1">
      <c r="A2280" s="29"/>
      <c r="B2280" s="5" t="s">
        <v>3298</v>
      </c>
      <c r="C2280" s="5" t="s">
        <v>79</v>
      </c>
      <c r="D2280" s="5" t="s">
        <v>73</v>
      </c>
      <c r="E2280" s="5" t="s">
        <v>382</v>
      </c>
    </row>
    <row r="2281" ht="15.75" customHeight="1">
      <c r="A2281" s="29"/>
      <c r="B2281" s="5" t="s">
        <v>4476</v>
      </c>
      <c r="C2281" s="5" t="s">
        <v>22</v>
      </c>
      <c r="D2281" s="5" t="s">
        <v>71</v>
      </c>
      <c r="E2281" s="5" t="s">
        <v>382</v>
      </c>
    </row>
    <row r="2282" ht="15.75" customHeight="1">
      <c r="A2282" s="29"/>
      <c r="B2282" s="5" t="s">
        <v>4623</v>
      </c>
      <c r="C2282" s="5" t="s">
        <v>283</v>
      </c>
      <c r="D2282" s="5" t="s">
        <v>52</v>
      </c>
      <c r="E2282" s="5" t="s">
        <v>382</v>
      </c>
    </row>
    <row r="2283" ht="15.75" customHeight="1">
      <c r="A2283" s="29"/>
      <c r="B2283" s="5" t="s">
        <v>5240</v>
      </c>
      <c r="C2283" s="5" t="s">
        <v>39</v>
      </c>
      <c r="D2283" s="5" t="s">
        <v>140</v>
      </c>
      <c r="E2283" s="5" t="s">
        <v>382</v>
      </c>
    </row>
    <row r="2284" ht="15.75" customHeight="1">
      <c r="A2284" s="29"/>
      <c r="B2284" s="5" t="s">
        <v>4018</v>
      </c>
      <c r="C2284" s="5" t="s">
        <v>79</v>
      </c>
      <c r="D2284" s="5" t="s">
        <v>140</v>
      </c>
      <c r="E2284" s="5" t="s">
        <v>382</v>
      </c>
    </row>
    <row r="2285" ht="15.75" customHeight="1">
      <c r="A2285" s="29"/>
      <c r="B2285" s="5" t="s">
        <v>5502</v>
      </c>
      <c r="C2285" s="5" t="s">
        <v>17</v>
      </c>
      <c r="D2285" s="5" t="s">
        <v>49</v>
      </c>
      <c r="E2285" s="5" t="s">
        <v>382</v>
      </c>
    </row>
    <row r="2286" ht="15.75" customHeight="1">
      <c r="A2286" s="29"/>
      <c r="B2286" s="5" t="s">
        <v>3761</v>
      </c>
      <c r="C2286" s="5" t="s">
        <v>79</v>
      </c>
      <c r="D2286" s="5" t="s">
        <v>49</v>
      </c>
      <c r="E2286" s="5" t="s">
        <v>382</v>
      </c>
    </row>
    <row r="2287" ht="15.75" customHeight="1">
      <c r="A2287" s="29"/>
      <c r="B2287" s="5" t="s">
        <v>5188</v>
      </c>
      <c r="C2287" s="5" t="s">
        <v>55</v>
      </c>
      <c r="D2287" s="5" t="s">
        <v>73</v>
      </c>
      <c r="E2287" s="5" t="s">
        <v>382</v>
      </c>
    </row>
    <row r="2288" ht="15.75" customHeight="1">
      <c r="A2288" s="29"/>
      <c r="B2288" s="5" t="s">
        <v>5006</v>
      </c>
      <c r="C2288" s="5" t="s">
        <v>14</v>
      </c>
      <c r="D2288" s="5" t="s">
        <v>73</v>
      </c>
      <c r="E2288" s="5" t="s">
        <v>382</v>
      </c>
    </row>
    <row r="2289" ht="15.75" customHeight="1">
      <c r="A2289" s="29"/>
      <c r="B2289" s="5" t="s">
        <v>5483</v>
      </c>
      <c r="C2289" s="5" t="s">
        <v>48</v>
      </c>
      <c r="D2289" s="5" t="s">
        <v>42</v>
      </c>
      <c r="E2289" s="5" t="s">
        <v>382</v>
      </c>
    </row>
    <row r="2290" ht="15.75" customHeight="1">
      <c r="A2290" s="29"/>
      <c r="B2290" s="5" t="s">
        <v>5047</v>
      </c>
      <c r="C2290" s="5" t="s">
        <v>11</v>
      </c>
      <c r="D2290" s="5" t="s">
        <v>42</v>
      </c>
      <c r="E2290" s="5" t="s">
        <v>382</v>
      </c>
    </row>
    <row r="2291" ht="15.75" customHeight="1">
      <c r="A2291" s="29"/>
      <c r="B2291" s="5" t="s">
        <v>4963</v>
      </c>
      <c r="C2291" s="5" t="s">
        <v>14</v>
      </c>
      <c r="D2291" s="5" t="s">
        <v>206</v>
      </c>
      <c r="E2291" s="5" t="s">
        <v>382</v>
      </c>
    </row>
    <row r="2292" ht="15.75" customHeight="1">
      <c r="A2292" s="29"/>
      <c r="B2292" s="5" t="s">
        <v>5088</v>
      </c>
      <c r="C2292" s="5" t="s">
        <v>14</v>
      </c>
      <c r="D2292" s="5" t="s">
        <v>206</v>
      </c>
      <c r="E2292" s="5" t="s">
        <v>382</v>
      </c>
    </row>
    <row r="2293" ht="15.75" customHeight="1">
      <c r="A2293" s="29"/>
      <c r="B2293" s="5" t="s">
        <v>5309</v>
      </c>
      <c r="C2293" s="5" t="s">
        <v>17</v>
      </c>
      <c r="D2293" s="5" t="s">
        <v>206</v>
      </c>
      <c r="E2293" s="5" t="s">
        <v>382</v>
      </c>
    </row>
    <row r="2294" ht="15.75" customHeight="1">
      <c r="A2294" s="29"/>
      <c r="B2294" s="5" t="s">
        <v>5448</v>
      </c>
      <c r="C2294" s="5" t="s">
        <v>17</v>
      </c>
      <c r="D2294" s="5" t="s">
        <v>129</v>
      </c>
      <c r="E2294" s="5" t="s">
        <v>382</v>
      </c>
    </row>
    <row r="2295" ht="15.75" customHeight="1">
      <c r="A2295" s="29"/>
      <c r="B2295" s="5" t="s">
        <v>3939</v>
      </c>
      <c r="C2295" s="5" t="s">
        <v>22</v>
      </c>
      <c r="D2295" s="5" t="s">
        <v>129</v>
      </c>
      <c r="E2295" s="5" t="s">
        <v>382</v>
      </c>
    </row>
    <row r="2296" ht="15.75" customHeight="1">
      <c r="A2296" s="29"/>
      <c r="B2296" s="5" t="s">
        <v>5322</v>
      </c>
      <c r="C2296" s="5" t="s">
        <v>77</v>
      </c>
      <c r="D2296" s="5" t="s">
        <v>129</v>
      </c>
      <c r="E2296" s="5" t="s">
        <v>382</v>
      </c>
    </row>
    <row r="2297" ht="15.75" customHeight="1">
      <c r="A2297" s="29"/>
      <c r="B2297" s="5" t="s">
        <v>5253</v>
      </c>
      <c r="C2297" s="5" t="s">
        <v>14</v>
      </c>
      <c r="D2297" s="5" t="s">
        <v>12</v>
      </c>
      <c r="E2297" s="5" t="s">
        <v>382</v>
      </c>
    </row>
    <row r="2298" ht="15.75" customHeight="1">
      <c r="A2298" s="29"/>
      <c r="B2298" s="5" t="s">
        <v>3985</v>
      </c>
      <c r="C2298" s="5" t="s">
        <v>22</v>
      </c>
      <c r="D2298" s="5" t="s">
        <v>12</v>
      </c>
      <c r="E2298" s="5" t="s">
        <v>382</v>
      </c>
    </row>
    <row r="2299" ht="15.75" customHeight="1">
      <c r="A2299" s="29"/>
      <c r="B2299" s="5" t="s">
        <v>5003</v>
      </c>
      <c r="C2299" s="5" t="s">
        <v>55</v>
      </c>
      <c r="D2299" s="5" t="s">
        <v>105</v>
      </c>
      <c r="E2299" s="5" t="s">
        <v>382</v>
      </c>
    </row>
    <row r="2300" ht="15.75" customHeight="1">
      <c r="A2300" s="29"/>
      <c r="B2300" s="5" t="s">
        <v>5180</v>
      </c>
      <c r="C2300" s="5" t="s">
        <v>77</v>
      </c>
      <c r="D2300" s="5" t="s">
        <v>105</v>
      </c>
      <c r="E2300" s="5" t="s">
        <v>382</v>
      </c>
    </row>
    <row r="2301" ht="15.75" customHeight="1">
      <c r="A2301" s="29"/>
      <c r="B2301" s="5" t="s">
        <v>3827</v>
      </c>
      <c r="C2301" s="5" t="s">
        <v>22</v>
      </c>
      <c r="D2301" s="5" t="s">
        <v>105</v>
      </c>
      <c r="E2301" s="5" t="s">
        <v>382</v>
      </c>
    </row>
    <row r="2302" ht="15.75" customHeight="1">
      <c r="A2302" s="29"/>
      <c r="B2302" s="5" t="s">
        <v>5367</v>
      </c>
      <c r="C2302" s="5" t="s">
        <v>17</v>
      </c>
      <c r="D2302" s="5" t="s">
        <v>105</v>
      </c>
      <c r="E2302" s="5" t="s">
        <v>382</v>
      </c>
    </row>
    <row r="2303" ht="15.75" customHeight="1">
      <c r="A2303" s="29"/>
      <c r="B2303" s="5" t="s">
        <v>3609</v>
      </c>
      <c r="C2303" s="5" t="s">
        <v>22</v>
      </c>
      <c r="D2303" s="5" t="s">
        <v>46</v>
      </c>
      <c r="E2303" s="5" t="s">
        <v>382</v>
      </c>
    </row>
    <row r="2304" ht="15.75" customHeight="1">
      <c r="A2304" s="29"/>
      <c r="B2304" s="5" t="s">
        <v>5096</v>
      </c>
      <c r="C2304" s="5" t="s">
        <v>39</v>
      </c>
      <c r="D2304" s="5" t="s">
        <v>46</v>
      </c>
      <c r="E2304" s="5" t="s">
        <v>382</v>
      </c>
    </row>
    <row r="2305" ht="15.75" customHeight="1">
      <c r="A2305" s="29"/>
      <c r="B2305" s="5" t="s">
        <v>5162</v>
      </c>
      <c r="C2305" s="5" t="s">
        <v>55</v>
      </c>
      <c r="D2305" s="5" t="s">
        <v>113</v>
      </c>
      <c r="E2305" s="5" t="s">
        <v>382</v>
      </c>
    </row>
    <row r="2306" ht="15.75" customHeight="1">
      <c r="A2306" s="29"/>
      <c r="B2306" s="5" t="s">
        <v>5454</v>
      </c>
      <c r="C2306" s="5" t="s">
        <v>55</v>
      </c>
      <c r="D2306" s="5" t="s">
        <v>113</v>
      </c>
      <c r="E2306" s="5" t="s">
        <v>382</v>
      </c>
    </row>
    <row r="2307" ht="15.75" customHeight="1">
      <c r="A2307" s="29"/>
      <c r="B2307" s="5" t="s">
        <v>3881</v>
      </c>
      <c r="C2307" s="5" t="s">
        <v>79</v>
      </c>
      <c r="D2307" s="5" t="s">
        <v>27</v>
      </c>
      <c r="E2307" s="5" t="s">
        <v>382</v>
      </c>
    </row>
    <row r="2308" ht="15.75" customHeight="1">
      <c r="A2308" s="29"/>
      <c r="B2308" s="5" t="s">
        <v>3853</v>
      </c>
      <c r="C2308" s="5" t="s">
        <v>79</v>
      </c>
      <c r="D2308" s="5" t="s">
        <v>27</v>
      </c>
      <c r="E2308" s="5" t="s">
        <v>382</v>
      </c>
    </row>
    <row r="2309" ht="15.75" customHeight="1">
      <c r="A2309" s="29"/>
      <c r="B2309" s="5" t="s">
        <v>4995</v>
      </c>
      <c r="C2309" s="5" t="s">
        <v>39</v>
      </c>
      <c r="D2309" s="5" t="s">
        <v>27</v>
      </c>
      <c r="E2309" s="5" t="s">
        <v>382</v>
      </c>
    </row>
    <row r="2310" ht="15.75" customHeight="1">
      <c r="A2310" s="29"/>
      <c r="B2310" s="5" t="s">
        <v>5445</v>
      </c>
      <c r="C2310" s="5" t="s">
        <v>14</v>
      </c>
      <c r="D2310" s="5" t="s">
        <v>67</v>
      </c>
      <c r="E2310" s="5" t="s">
        <v>382</v>
      </c>
    </row>
    <row r="2311" ht="15.75" customHeight="1">
      <c r="A2311" s="29"/>
      <c r="B2311" s="5" t="s">
        <v>5338</v>
      </c>
      <c r="C2311" s="5" t="s">
        <v>14</v>
      </c>
      <c r="D2311" s="5" t="s">
        <v>34</v>
      </c>
      <c r="E2311" s="5" t="s">
        <v>382</v>
      </c>
    </row>
    <row r="2312" ht="15.75" customHeight="1">
      <c r="A2312" s="29"/>
      <c r="B2312" s="5" t="s">
        <v>5082</v>
      </c>
      <c r="C2312" s="5" t="s">
        <v>55</v>
      </c>
      <c r="D2312" s="5" t="s">
        <v>34</v>
      </c>
      <c r="E2312" s="5" t="s">
        <v>382</v>
      </c>
    </row>
    <row r="2313" ht="15.75" customHeight="1">
      <c r="A2313" s="29"/>
      <c r="B2313" s="5" t="s">
        <v>4914</v>
      </c>
      <c r="C2313" s="5" t="s">
        <v>39</v>
      </c>
      <c r="D2313" s="5" t="s">
        <v>34</v>
      </c>
      <c r="E2313" s="5" t="s">
        <v>382</v>
      </c>
    </row>
    <row r="2314" ht="15.75" customHeight="1">
      <c r="A2314" s="29"/>
      <c r="B2314" s="5" t="s">
        <v>5430</v>
      </c>
      <c r="C2314" s="5" t="s">
        <v>39</v>
      </c>
      <c r="D2314" s="5" t="s">
        <v>9</v>
      </c>
      <c r="E2314" s="5" t="s">
        <v>382</v>
      </c>
    </row>
    <row r="2315" ht="15.75" customHeight="1">
      <c r="A2315" s="29"/>
      <c r="B2315" s="5" t="s">
        <v>5246</v>
      </c>
      <c r="C2315" s="5" t="s">
        <v>14</v>
      </c>
      <c r="D2315" s="5" t="s">
        <v>9</v>
      </c>
      <c r="E2315" s="5" t="s">
        <v>382</v>
      </c>
    </row>
    <row r="2316" ht="15.75" customHeight="1">
      <c r="A2316" s="29"/>
      <c r="B2316" s="5" t="s">
        <v>3712</v>
      </c>
      <c r="C2316" s="5" t="s">
        <v>22</v>
      </c>
      <c r="D2316" s="5" t="s">
        <v>85</v>
      </c>
      <c r="E2316" s="5" t="s">
        <v>382</v>
      </c>
    </row>
    <row r="2317" ht="15.75" customHeight="1">
      <c r="A2317" s="29"/>
      <c r="B2317" s="5" t="s">
        <v>5179</v>
      </c>
      <c r="C2317" s="5" t="s">
        <v>55</v>
      </c>
      <c r="D2317" s="5" t="s">
        <v>85</v>
      </c>
      <c r="E2317" s="5" t="s">
        <v>382</v>
      </c>
    </row>
    <row r="2318" ht="15.75" customHeight="1">
      <c r="A2318" s="29"/>
      <c r="B2318" s="5" t="s">
        <v>5428</v>
      </c>
      <c r="C2318" s="5" t="s">
        <v>55</v>
      </c>
      <c r="D2318" s="5" t="s">
        <v>25</v>
      </c>
      <c r="E2318" s="5" t="s">
        <v>382</v>
      </c>
    </row>
    <row r="2319" ht="15.75" customHeight="1">
      <c r="A2319" s="29"/>
      <c r="B2319" s="5" t="s">
        <v>5213</v>
      </c>
      <c r="C2319" s="5" t="s">
        <v>14</v>
      </c>
      <c r="D2319" s="5" t="s">
        <v>25</v>
      </c>
      <c r="E2319" s="5" t="s">
        <v>382</v>
      </c>
    </row>
    <row r="2320" ht="15.75" customHeight="1">
      <c r="A2320" s="29"/>
      <c r="B2320" s="5" t="s">
        <v>3846</v>
      </c>
      <c r="C2320" s="5" t="s">
        <v>39</v>
      </c>
      <c r="D2320" s="5" t="s">
        <v>25</v>
      </c>
      <c r="E2320" s="5" t="s">
        <v>382</v>
      </c>
    </row>
    <row r="2321" ht="15.75" customHeight="1">
      <c r="A2321" s="29"/>
      <c r="B2321" s="5" t="s">
        <v>4942</v>
      </c>
      <c r="C2321" s="5" t="s">
        <v>20</v>
      </c>
      <c r="D2321" s="5" t="s">
        <v>99</v>
      </c>
      <c r="E2321" s="5" t="s">
        <v>382</v>
      </c>
    </row>
    <row r="2322" ht="15.75" customHeight="1">
      <c r="A2322" s="29"/>
      <c r="B2322" s="5" t="s">
        <v>4033</v>
      </c>
      <c r="C2322" s="5" t="s">
        <v>22</v>
      </c>
      <c r="D2322" s="5" t="s">
        <v>99</v>
      </c>
      <c r="E2322" s="5" t="s">
        <v>382</v>
      </c>
    </row>
    <row r="2323" ht="15.75" customHeight="1">
      <c r="A2323" s="29"/>
      <c r="B2323" s="5" t="s">
        <v>5362</v>
      </c>
      <c r="C2323" s="5" t="s">
        <v>55</v>
      </c>
      <c r="D2323" s="5" t="s">
        <v>206</v>
      </c>
      <c r="E2323" s="5" t="s">
        <v>382</v>
      </c>
    </row>
    <row r="2324" ht="15.75" customHeight="1">
      <c r="A2324" s="29"/>
      <c r="B2324" s="5" t="s">
        <v>3602</v>
      </c>
      <c r="C2324" s="5" t="s">
        <v>22</v>
      </c>
      <c r="D2324" s="5" t="s">
        <v>36</v>
      </c>
      <c r="E2324" s="5" t="s">
        <v>382</v>
      </c>
    </row>
    <row r="2325" ht="15.75" customHeight="1">
      <c r="A2325" s="29"/>
      <c r="B2325" s="5" t="s">
        <v>3719</v>
      </c>
      <c r="C2325" s="5" t="s">
        <v>22</v>
      </c>
      <c r="D2325" s="5" t="s">
        <v>36</v>
      </c>
      <c r="E2325" s="5" t="s">
        <v>382</v>
      </c>
    </row>
    <row r="2326" ht="15.75" customHeight="1">
      <c r="A2326" s="29"/>
      <c r="B2326" s="5" t="s">
        <v>4917</v>
      </c>
      <c r="C2326" s="5" t="s">
        <v>77</v>
      </c>
      <c r="D2326" s="5" t="s">
        <v>137</v>
      </c>
      <c r="E2326" s="5" t="s">
        <v>382</v>
      </c>
    </row>
    <row r="2327" ht="15.75" customHeight="1">
      <c r="A2327" s="29"/>
      <c r="B2327" s="5" t="s">
        <v>5199</v>
      </c>
      <c r="C2327" s="5" t="s">
        <v>77</v>
      </c>
      <c r="D2327" s="5" t="s">
        <v>23</v>
      </c>
      <c r="E2327" s="5" t="s">
        <v>382</v>
      </c>
    </row>
    <row r="2328" ht="15.75" customHeight="1">
      <c r="A2328" s="29"/>
      <c r="B2328" s="5" t="s">
        <v>5267</v>
      </c>
      <c r="C2328" s="5" t="s">
        <v>55</v>
      </c>
      <c r="D2328" s="5" t="s">
        <v>137</v>
      </c>
      <c r="E2328" s="5" t="s">
        <v>382</v>
      </c>
    </row>
    <row r="2329" ht="15.75" customHeight="1">
      <c r="A2329" s="29"/>
      <c r="B2329" s="5" t="s">
        <v>3962</v>
      </c>
      <c r="C2329" s="5" t="s">
        <v>22</v>
      </c>
      <c r="D2329" s="5" t="s">
        <v>120</v>
      </c>
      <c r="E2329" s="5" t="s">
        <v>382</v>
      </c>
    </row>
    <row r="2330" ht="15.75" customHeight="1">
      <c r="A2330" s="29"/>
      <c r="B2330" s="5" t="s">
        <v>4923</v>
      </c>
      <c r="C2330" s="5" t="s">
        <v>17</v>
      </c>
      <c r="D2330" s="5" t="s">
        <v>120</v>
      </c>
      <c r="E2330" s="5" t="s">
        <v>382</v>
      </c>
    </row>
    <row r="2331" ht="15.75" customHeight="1">
      <c r="A2331" s="29"/>
      <c r="B2331" s="5" t="s">
        <v>5049</v>
      </c>
      <c r="C2331" s="5" t="s">
        <v>11</v>
      </c>
      <c r="D2331" s="5" t="s">
        <v>120</v>
      </c>
      <c r="E2331" s="5" t="s">
        <v>382</v>
      </c>
    </row>
    <row r="2332" ht="15.75" customHeight="1">
      <c r="A2332" s="29"/>
      <c r="B2332" s="5" t="s">
        <v>3870</v>
      </c>
      <c r="C2332" s="5" t="s">
        <v>22</v>
      </c>
      <c r="D2332" s="5" t="s">
        <v>31</v>
      </c>
      <c r="E2332" s="5" t="s">
        <v>382</v>
      </c>
    </row>
    <row r="2333" ht="15.75" customHeight="1">
      <c r="A2333" s="29"/>
      <c r="B2333" s="5" t="s">
        <v>5412</v>
      </c>
      <c r="C2333" s="5" t="s">
        <v>14</v>
      </c>
      <c r="D2333" s="5" t="s">
        <v>31</v>
      </c>
      <c r="E2333" s="5" t="s">
        <v>382</v>
      </c>
    </row>
    <row r="2334" ht="15.75" customHeight="1">
      <c r="A2334" s="29"/>
      <c r="B2334" s="5" t="s">
        <v>3651</v>
      </c>
      <c r="C2334" s="5" t="s">
        <v>22</v>
      </c>
      <c r="D2334" s="5" t="s">
        <v>137</v>
      </c>
      <c r="E2334" s="5" t="s">
        <v>382</v>
      </c>
    </row>
    <row r="2335" ht="15.75" customHeight="1">
      <c r="A2335" s="29"/>
      <c r="B2335" s="5" t="s">
        <v>3774</v>
      </c>
      <c r="C2335" s="5" t="s">
        <v>22</v>
      </c>
      <c r="D2335" s="5" t="s">
        <v>137</v>
      </c>
      <c r="E2335" s="5" t="s">
        <v>382</v>
      </c>
    </row>
    <row r="2336" ht="15.75" customHeight="1">
      <c r="A2336" s="29"/>
      <c r="B2336" s="5" t="s">
        <v>3892</v>
      </c>
      <c r="C2336" s="5" t="s">
        <v>22</v>
      </c>
      <c r="D2336" s="5" t="s">
        <v>137</v>
      </c>
      <c r="E2336" s="5" t="s">
        <v>382</v>
      </c>
    </row>
    <row r="2337" ht="15.75" customHeight="1">
      <c r="A2337" s="29"/>
      <c r="B2337" s="5" t="s">
        <v>3851</v>
      </c>
      <c r="C2337" s="5" t="s">
        <v>22</v>
      </c>
      <c r="D2337" s="5" t="s">
        <v>52</v>
      </c>
      <c r="E2337" s="5" t="s">
        <v>382</v>
      </c>
    </row>
    <row r="2338" ht="15.75" customHeight="1">
      <c r="A2338" s="29"/>
      <c r="B2338" s="5" t="s">
        <v>5025</v>
      </c>
      <c r="C2338" s="5" t="s">
        <v>17</v>
      </c>
      <c r="D2338" s="5" t="s">
        <v>52</v>
      </c>
      <c r="E2338" s="5" t="s">
        <v>382</v>
      </c>
    </row>
    <row r="2339" ht="15.75" customHeight="1">
      <c r="A2339" s="29"/>
      <c r="B2339" s="5" t="s">
        <v>4025</v>
      </c>
      <c r="C2339" s="5" t="s">
        <v>22</v>
      </c>
      <c r="D2339" s="5" t="s">
        <v>95</v>
      </c>
      <c r="E2339" s="5" t="s">
        <v>382</v>
      </c>
    </row>
    <row r="2340" ht="15.75" customHeight="1">
      <c r="A2340" s="29"/>
      <c r="B2340" s="5" t="s">
        <v>3946</v>
      </c>
      <c r="C2340" s="5" t="s">
        <v>22</v>
      </c>
      <c r="D2340" s="5" t="s">
        <v>95</v>
      </c>
      <c r="E2340" s="5" t="s">
        <v>382</v>
      </c>
    </row>
    <row r="2341" ht="15.75" customHeight="1">
      <c r="A2341" s="29"/>
      <c r="B2341" s="5" t="s">
        <v>3841</v>
      </c>
      <c r="C2341" s="5" t="s">
        <v>22</v>
      </c>
      <c r="D2341" s="5" t="s">
        <v>122</v>
      </c>
      <c r="E2341" s="5" t="s">
        <v>382</v>
      </c>
    </row>
    <row r="2342" ht="15.75" customHeight="1">
      <c r="A2342" s="29"/>
      <c r="B2342" s="5" t="s">
        <v>3785</v>
      </c>
      <c r="C2342" s="5" t="s">
        <v>79</v>
      </c>
      <c r="D2342" s="5" t="s">
        <v>122</v>
      </c>
      <c r="E2342" s="5" t="s">
        <v>382</v>
      </c>
    </row>
    <row r="2343" ht="15.75" customHeight="1">
      <c r="A2343" s="29"/>
      <c r="B2343" s="5" t="s">
        <v>3674</v>
      </c>
      <c r="C2343" s="5" t="s">
        <v>22</v>
      </c>
      <c r="D2343" s="5" t="s">
        <v>82</v>
      </c>
      <c r="E2343" s="5" t="s">
        <v>382</v>
      </c>
    </row>
    <row r="2344" ht="15.75" customHeight="1">
      <c r="A2344" s="29"/>
      <c r="B2344" s="5" t="s">
        <v>3629</v>
      </c>
      <c r="C2344" s="5" t="s">
        <v>22</v>
      </c>
      <c r="D2344" s="5" t="s">
        <v>90</v>
      </c>
      <c r="E2344" s="5" t="s">
        <v>382</v>
      </c>
    </row>
    <row r="2345" ht="15.75" customHeight="1">
      <c r="A2345" s="29"/>
      <c r="B2345" s="5" t="s">
        <v>5488</v>
      </c>
      <c r="C2345" s="5" t="s">
        <v>14</v>
      </c>
      <c r="D2345" s="5" t="s">
        <v>90</v>
      </c>
      <c r="E2345" s="5" t="s">
        <v>382</v>
      </c>
    </row>
    <row r="2346" ht="15.75" customHeight="1">
      <c r="A2346" s="29"/>
      <c r="B2346" s="5" t="s">
        <v>3834</v>
      </c>
      <c r="C2346" s="5" t="s">
        <v>22</v>
      </c>
      <c r="D2346" s="5" t="s">
        <v>15</v>
      </c>
      <c r="E2346" s="5" t="s">
        <v>382</v>
      </c>
    </row>
    <row r="2347" ht="15.75" customHeight="1">
      <c r="A2347" s="29"/>
      <c r="B2347" s="5" t="s">
        <v>5230</v>
      </c>
      <c r="C2347" s="5" t="s">
        <v>14</v>
      </c>
      <c r="D2347" s="5" t="s">
        <v>15</v>
      </c>
      <c r="E2347" s="5" t="s">
        <v>382</v>
      </c>
    </row>
    <row r="2348" ht="15.75" customHeight="1">
      <c r="A2348" s="29"/>
      <c r="B2348" s="5" t="s">
        <v>3789</v>
      </c>
      <c r="C2348" s="5" t="s">
        <v>22</v>
      </c>
      <c r="D2348" s="5" t="s">
        <v>18</v>
      </c>
      <c r="E2348" s="5" t="s">
        <v>382</v>
      </c>
    </row>
    <row r="2349" ht="15.75" customHeight="1">
      <c r="A2349" s="29"/>
      <c r="B2349" s="5" t="s">
        <v>5041</v>
      </c>
      <c r="C2349" s="5" t="s">
        <v>55</v>
      </c>
      <c r="D2349" s="5" t="s">
        <v>18</v>
      </c>
      <c r="E2349" s="5" t="s">
        <v>382</v>
      </c>
    </row>
    <row r="2350" ht="15.75" customHeight="1">
      <c r="A2350" s="29"/>
      <c r="B2350" s="5" t="s">
        <v>4007</v>
      </c>
      <c r="C2350" s="5" t="s">
        <v>22</v>
      </c>
      <c r="D2350" s="5" t="s">
        <v>18</v>
      </c>
      <c r="E2350" s="5" t="s">
        <v>382</v>
      </c>
    </row>
    <row r="2351" ht="15.75" customHeight="1">
      <c r="A2351" s="29"/>
      <c r="B2351" s="5" t="s">
        <v>3364</v>
      </c>
      <c r="C2351" s="5" t="s">
        <v>79</v>
      </c>
      <c r="D2351" s="5" t="s">
        <v>42</v>
      </c>
      <c r="E2351" s="5" t="s">
        <v>382</v>
      </c>
    </row>
    <row r="2352" ht="15.75" customHeight="1">
      <c r="A2352" s="29"/>
      <c r="B2352" s="5" t="s">
        <v>3595</v>
      </c>
      <c r="C2352" s="5" t="s">
        <v>22</v>
      </c>
      <c r="D2352" s="5" t="s">
        <v>27</v>
      </c>
      <c r="E2352" s="5" t="s">
        <v>382</v>
      </c>
    </row>
    <row r="2353" ht="15.75" customHeight="1">
      <c r="A2353" s="29"/>
      <c r="B2353" s="5" t="s">
        <v>3993</v>
      </c>
      <c r="C2353" s="5" t="s">
        <v>79</v>
      </c>
      <c r="D2353" s="5" t="s">
        <v>27</v>
      </c>
      <c r="E2353" s="5" t="s">
        <v>382</v>
      </c>
    </row>
    <row r="2354" ht="15.75" customHeight="1">
      <c r="A2354" s="29"/>
      <c r="B2354" s="5" t="s">
        <v>5373</v>
      </c>
      <c r="C2354" s="5" t="s">
        <v>55</v>
      </c>
      <c r="D2354" s="5" t="s">
        <v>27</v>
      </c>
      <c r="E2354" s="5" t="s">
        <v>382</v>
      </c>
    </row>
    <row r="2355" ht="15.75" customHeight="1">
      <c r="A2355" s="29"/>
      <c r="B2355" s="5" t="s">
        <v>5519</v>
      </c>
      <c r="C2355" s="5" t="s">
        <v>39</v>
      </c>
      <c r="D2355" s="5" t="s">
        <v>18</v>
      </c>
      <c r="E2355" s="5" t="s">
        <v>382</v>
      </c>
    </row>
    <row r="2356" ht="15.75" customHeight="1">
      <c r="A2356" s="29"/>
      <c r="B2356" s="5" t="s">
        <v>5551</v>
      </c>
      <c r="C2356" s="5" t="s">
        <v>39</v>
      </c>
      <c r="D2356" s="5" t="s">
        <v>82</v>
      </c>
      <c r="E2356" s="5" t="s">
        <v>382</v>
      </c>
    </row>
    <row r="2357" ht="15.75" customHeight="1">
      <c r="A2357" s="29"/>
      <c r="B2357" s="5" t="s">
        <v>3309</v>
      </c>
      <c r="C2357" s="5" t="s">
        <v>79</v>
      </c>
      <c r="D2357" s="5" t="s">
        <v>85</v>
      </c>
      <c r="E2357" s="5" t="s">
        <v>382</v>
      </c>
    </row>
    <row r="2358" ht="15.75" customHeight="1">
      <c r="A2358" s="29"/>
      <c r="B2358" s="5" t="s">
        <v>4247</v>
      </c>
      <c r="C2358" s="5" t="s">
        <v>79</v>
      </c>
      <c r="D2358" s="5" t="s">
        <v>49</v>
      </c>
      <c r="E2358" s="5" t="s">
        <v>382</v>
      </c>
    </row>
    <row r="2359" ht="15.75" customHeight="1">
      <c r="A2359" s="29"/>
      <c r="B2359" s="5" t="s">
        <v>5542</v>
      </c>
      <c r="C2359" s="5" t="s">
        <v>17</v>
      </c>
      <c r="D2359" s="5" t="s">
        <v>137</v>
      </c>
      <c r="E2359" s="5" t="s">
        <v>382</v>
      </c>
    </row>
    <row r="2360" ht="15.75" customHeight="1">
      <c r="A2360" s="29"/>
      <c r="B2360" s="5" t="s">
        <v>4096</v>
      </c>
      <c r="C2360" s="5" t="s">
        <v>22</v>
      </c>
      <c r="D2360" s="5" t="s">
        <v>85</v>
      </c>
      <c r="E2360" s="5" t="s">
        <v>382</v>
      </c>
    </row>
    <row r="2361" ht="15.75" customHeight="1">
      <c r="A2361" s="29"/>
      <c r="B2361" s="5" t="s">
        <v>4880</v>
      </c>
      <c r="C2361" s="5" t="s">
        <v>33</v>
      </c>
      <c r="D2361" s="5" t="s">
        <v>67</v>
      </c>
      <c r="E2361" s="5" t="s">
        <v>382</v>
      </c>
    </row>
    <row r="2362" ht="15.75" customHeight="1">
      <c r="A2362" s="29"/>
      <c r="B2362" s="5" t="s">
        <v>3506</v>
      </c>
      <c r="C2362" s="5" t="s">
        <v>79</v>
      </c>
      <c r="D2362" s="5" t="s">
        <v>15</v>
      </c>
      <c r="E2362" s="5" t="s">
        <v>382</v>
      </c>
    </row>
    <row r="2363" ht="15.75" customHeight="1">
      <c r="A2363" s="29"/>
      <c r="B2363" s="5" t="s">
        <v>4373</v>
      </c>
      <c r="C2363" s="5" t="s">
        <v>79</v>
      </c>
      <c r="D2363" s="5" t="s">
        <v>206</v>
      </c>
      <c r="E2363" s="5" t="s">
        <v>382</v>
      </c>
    </row>
    <row r="2364" ht="15.75" customHeight="1">
      <c r="A2364" s="29"/>
      <c r="B2364" s="5" t="s">
        <v>4890</v>
      </c>
      <c r="C2364" s="5" t="s">
        <v>33</v>
      </c>
      <c r="D2364" s="5" t="s">
        <v>85</v>
      </c>
      <c r="E2364" s="5" t="s">
        <v>382</v>
      </c>
    </row>
    <row r="2365" ht="15.75" customHeight="1">
      <c r="A2365" s="29"/>
      <c r="B2365" s="5" t="s">
        <v>5561</v>
      </c>
      <c r="C2365" s="5" t="s">
        <v>20</v>
      </c>
      <c r="D2365" s="5" t="s">
        <v>23</v>
      </c>
      <c r="E2365" s="5" t="s">
        <v>382</v>
      </c>
    </row>
    <row r="2366" ht="15.75" customHeight="1">
      <c r="A2366" s="29"/>
      <c r="B2366" s="5" t="s">
        <v>3353</v>
      </c>
      <c r="C2366" s="5" t="s">
        <v>220</v>
      </c>
      <c r="D2366" s="5" t="s">
        <v>137</v>
      </c>
      <c r="E2366" s="5" t="s">
        <v>382</v>
      </c>
    </row>
    <row r="2367" ht="15.75" customHeight="1">
      <c r="A2367" s="29"/>
      <c r="B2367" s="5" t="s">
        <v>4536</v>
      </c>
      <c r="C2367" s="5" t="s">
        <v>22</v>
      </c>
      <c r="D2367" s="5" t="s">
        <v>99</v>
      </c>
      <c r="E2367" s="5" t="s">
        <v>382</v>
      </c>
    </row>
    <row r="2368" ht="15.75" customHeight="1">
      <c r="A2368" s="29"/>
      <c r="B2368" s="5" t="s">
        <v>3523</v>
      </c>
      <c r="C2368" s="5" t="s">
        <v>79</v>
      </c>
      <c r="D2368" s="5" t="s">
        <v>113</v>
      </c>
      <c r="E2368" s="5" t="s">
        <v>382</v>
      </c>
    </row>
    <row r="2369" ht="15.75" customHeight="1">
      <c r="A2369" s="29"/>
      <c r="B2369" s="5" t="s">
        <v>4229</v>
      </c>
      <c r="C2369" s="5" t="s">
        <v>220</v>
      </c>
      <c r="D2369" s="5" t="s">
        <v>122</v>
      </c>
      <c r="E2369" s="5" t="s">
        <v>382</v>
      </c>
    </row>
    <row r="2370" ht="15.75" customHeight="1">
      <c r="A2370" s="29"/>
      <c r="B2370" s="5" t="s">
        <v>4883</v>
      </c>
      <c r="C2370" s="5" t="s">
        <v>33</v>
      </c>
      <c r="D2370" s="5" t="s">
        <v>34</v>
      </c>
      <c r="E2370" s="5" t="s">
        <v>382</v>
      </c>
    </row>
    <row r="2371" ht="15.75" customHeight="1">
      <c r="A2371" s="29"/>
      <c r="B2371" s="5" t="s">
        <v>4771</v>
      </c>
      <c r="C2371" s="5" t="s">
        <v>139</v>
      </c>
      <c r="D2371" s="5" t="s">
        <v>31</v>
      </c>
      <c r="E2371" s="5" t="s">
        <v>382</v>
      </c>
    </row>
    <row r="2372" ht="15.75" customHeight="1">
      <c r="A2372" s="29"/>
      <c r="B2372" s="5" t="s">
        <v>4193</v>
      </c>
      <c r="C2372" s="5" t="s">
        <v>79</v>
      </c>
      <c r="D2372" s="5" t="s">
        <v>15</v>
      </c>
      <c r="E2372" s="5" t="s">
        <v>382</v>
      </c>
    </row>
    <row r="2373" ht="15.75" customHeight="1">
      <c r="A2373" s="29"/>
      <c r="B2373" s="5" t="s">
        <v>4182</v>
      </c>
      <c r="C2373" s="5" t="s">
        <v>79</v>
      </c>
      <c r="D2373" s="5" t="s">
        <v>23</v>
      </c>
      <c r="E2373" s="5" t="s">
        <v>382</v>
      </c>
    </row>
    <row r="2374" ht="15.75" customHeight="1">
      <c r="A2374" s="29"/>
      <c r="B2374" s="5" t="s">
        <v>4699</v>
      </c>
      <c r="C2374" s="5" t="s">
        <v>1954</v>
      </c>
      <c r="D2374" s="5" t="s">
        <v>31</v>
      </c>
      <c r="E2374" s="5" t="s">
        <v>382</v>
      </c>
    </row>
    <row r="2375" ht="15.75" customHeight="1">
      <c r="A2375" s="29"/>
      <c r="B2375" s="5" t="s">
        <v>3373</v>
      </c>
      <c r="C2375" s="5" t="s">
        <v>79</v>
      </c>
      <c r="D2375" s="5" t="s">
        <v>25</v>
      </c>
      <c r="E2375" s="5" t="s">
        <v>382</v>
      </c>
    </row>
    <row r="2376" ht="15.75" customHeight="1">
      <c r="A2376" s="29"/>
      <c r="B2376" s="5" t="s">
        <v>4677</v>
      </c>
      <c r="C2376" s="5" t="s">
        <v>17</v>
      </c>
      <c r="D2376" s="5" t="s">
        <v>82</v>
      </c>
      <c r="E2376" s="5" t="s">
        <v>382</v>
      </c>
    </row>
    <row r="2377" ht="15.75" customHeight="1">
      <c r="A2377" s="29"/>
      <c r="B2377" s="5" t="s">
        <v>4406</v>
      </c>
      <c r="C2377" s="5" t="s">
        <v>79</v>
      </c>
      <c r="D2377" s="5" t="s">
        <v>73</v>
      </c>
      <c r="E2377" s="5" t="s">
        <v>382</v>
      </c>
    </row>
    <row r="2378" ht="15.75" customHeight="1">
      <c r="A2378" s="29"/>
      <c r="B2378" s="5" t="s">
        <v>4155</v>
      </c>
      <c r="C2378" s="5" t="s">
        <v>79</v>
      </c>
      <c r="D2378" s="5" t="s">
        <v>25</v>
      </c>
      <c r="E2378" s="5" t="s">
        <v>382</v>
      </c>
    </row>
    <row r="2379" ht="15.75" customHeight="1">
      <c r="A2379" s="29"/>
      <c r="B2379" s="5" t="s">
        <v>4218</v>
      </c>
      <c r="C2379" s="5" t="s">
        <v>79</v>
      </c>
      <c r="D2379" s="5" t="s">
        <v>12</v>
      </c>
      <c r="E2379" s="5" t="s">
        <v>382</v>
      </c>
    </row>
    <row r="2380" ht="15.75" customHeight="1">
      <c r="A2380" s="29"/>
      <c r="B2380" s="5" t="s">
        <v>4512</v>
      </c>
      <c r="C2380" s="5" t="s">
        <v>79</v>
      </c>
      <c r="D2380" s="5" t="s">
        <v>73</v>
      </c>
      <c r="E2380" s="5" t="s">
        <v>382</v>
      </c>
    </row>
    <row r="2381" ht="15.75" customHeight="1">
      <c r="A2381" s="29"/>
      <c r="B2381" s="5" t="s">
        <v>4855</v>
      </c>
      <c r="C2381" s="5" t="s">
        <v>33</v>
      </c>
      <c r="D2381" s="5" t="s">
        <v>129</v>
      </c>
      <c r="E2381" s="5" t="s">
        <v>382</v>
      </c>
    </row>
    <row r="2382" ht="15.75" customHeight="1">
      <c r="A2382" s="29"/>
      <c r="B2382" s="5" t="s">
        <v>5541</v>
      </c>
      <c r="C2382" s="5" t="s">
        <v>148</v>
      </c>
      <c r="D2382" s="5" t="s">
        <v>18</v>
      </c>
      <c r="E2382" s="5" t="s">
        <v>382</v>
      </c>
    </row>
    <row r="2383" ht="15.75" customHeight="1">
      <c r="A2383" s="29"/>
      <c r="B2383" s="5" t="s">
        <v>4672</v>
      </c>
      <c r="C2383" s="5" t="s">
        <v>220</v>
      </c>
      <c r="D2383" s="5" t="s">
        <v>73</v>
      </c>
      <c r="E2383" s="5" t="s">
        <v>382</v>
      </c>
    </row>
    <row r="2384" ht="15.75" customHeight="1">
      <c r="A2384" s="29"/>
      <c r="B2384" s="5" t="s">
        <v>4067</v>
      </c>
      <c r="C2384" s="5" t="s">
        <v>79</v>
      </c>
      <c r="D2384" s="5" t="s">
        <v>73</v>
      </c>
      <c r="E2384" s="5" t="s">
        <v>382</v>
      </c>
    </row>
    <row r="2385" ht="15.75" customHeight="1">
      <c r="A2385" s="29"/>
      <c r="B2385" s="5" t="s">
        <v>3508</v>
      </c>
      <c r="C2385" s="5" t="s">
        <v>79</v>
      </c>
      <c r="D2385" s="5" t="s">
        <v>34</v>
      </c>
      <c r="E2385" s="5" t="s">
        <v>382</v>
      </c>
    </row>
    <row r="2386" ht="15.75" customHeight="1">
      <c r="A2386" s="29"/>
      <c r="B2386" s="5" t="s">
        <v>4262</v>
      </c>
      <c r="C2386" s="5" t="s">
        <v>79</v>
      </c>
      <c r="D2386" s="5" t="s">
        <v>9</v>
      </c>
      <c r="E2386" s="5" t="s">
        <v>382</v>
      </c>
    </row>
    <row r="2387" ht="15.75" customHeight="1">
      <c r="A2387" s="29"/>
      <c r="B2387" s="5" t="s">
        <v>5053</v>
      </c>
      <c r="C2387" s="5" t="s">
        <v>55</v>
      </c>
      <c r="D2387" s="5" t="s">
        <v>46</v>
      </c>
      <c r="E2387" s="5" t="s">
        <v>382</v>
      </c>
    </row>
    <row r="2388" ht="15.75" customHeight="1">
      <c r="A2388" s="29"/>
      <c r="B2388" s="5" t="s">
        <v>5269</v>
      </c>
      <c r="C2388" s="5" t="s">
        <v>39</v>
      </c>
      <c r="D2388" s="5" t="s">
        <v>27</v>
      </c>
      <c r="E2388" s="5" t="s">
        <v>382</v>
      </c>
    </row>
    <row r="2389" ht="15.75" customHeight="1">
      <c r="A2389" s="29"/>
      <c r="B2389" s="5" t="s">
        <v>3933</v>
      </c>
      <c r="C2389" s="5" t="s">
        <v>22</v>
      </c>
      <c r="D2389" s="5" t="s">
        <v>99</v>
      </c>
      <c r="E2389" s="5" t="s">
        <v>382</v>
      </c>
    </row>
    <row r="2390" ht="15.75" customHeight="1">
      <c r="A2390" s="29"/>
      <c r="B2390" s="5" t="s">
        <v>4299</v>
      </c>
      <c r="C2390" s="5" t="s">
        <v>220</v>
      </c>
      <c r="D2390" s="5" t="s">
        <v>52</v>
      </c>
      <c r="E2390" s="5" t="s">
        <v>382</v>
      </c>
    </row>
    <row r="2391" ht="15.75" customHeight="1">
      <c r="A2391" s="29"/>
      <c r="B2391" s="5" t="s">
        <v>5540</v>
      </c>
      <c r="C2391" s="5" t="s">
        <v>17</v>
      </c>
      <c r="D2391" s="5" t="s">
        <v>129</v>
      </c>
      <c r="E2391" s="5" t="s">
        <v>382</v>
      </c>
    </row>
    <row r="2392" ht="15.75" customHeight="1">
      <c r="A2392" s="29"/>
      <c r="B2392" s="5" t="s">
        <v>4530</v>
      </c>
      <c r="C2392" s="5" t="s">
        <v>22</v>
      </c>
      <c r="D2392" s="5" t="s">
        <v>99</v>
      </c>
      <c r="E2392" s="5" t="s">
        <v>382</v>
      </c>
    </row>
    <row r="2393" ht="15.75" customHeight="1">
      <c r="A2393" s="29"/>
      <c r="B2393" s="5" t="s">
        <v>4757</v>
      </c>
      <c r="C2393" s="5" t="s">
        <v>283</v>
      </c>
      <c r="D2393" s="5" t="s">
        <v>137</v>
      </c>
      <c r="E2393" s="5" t="s">
        <v>382</v>
      </c>
    </row>
    <row r="2394" ht="15.75" customHeight="1">
      <c r="A2394" s="29"/>
      <c r="B2394" s="5" t="s">
        <v>4273</v>
      </c>
      <c r="C2394" s="5" t="s">
        <v>585</v>
      </c>
      <c r="D2394" s="5" t="s">
        <v>95</v>
      </c>
      <c r="E2394" s="5" t="s">
        <v>382</v>
      </c>
    </row>
    <row r="2395" ht="15.75" customHeight="1">
      <c r="A2395" s="29"/>
      <c r="B2395" s="5" t="s">
        <v>5583</v>
      </c>
      <c r="C2395" s="5" t="s">
        <v>33</v>
      </c>
      <c r="D2395" s="5" t="s">
        <v>99</v>
      </c>
      <c r="E2395" s="5" t="s">
        <v>382</v>
      </c>
    </row>
    <row r="2396" ht="15.75" customHeight="1">
      <c r="A2396" s="29"/>
      <c r="B2396" s="5" t="s">
        <v>3494</v>
      </c>
      <c r="C2396" s="5" t="s">
        <v>79</v>
      </c>
      <c r="D2396" s="5" t="s">
        <v>120</v>
      </c>
      <c r="E2396" s="5" t="s">
        <v>382</v>
      </c>
    </row>
    <row r="2397" ht="15.75" customHeight="1">
      <c r="A2397" s="29"/>
      <c r="B2397" s="5" t="s">
        <v>5066</v>
      </c>
      <c r="C2397" s="5" t="s">
        <v>55</v>
      </c>
      <c r="D2397" s="5" t="s">
        <v>85</v>
      </c>
      <c r="E2397" s="5" t="s">
        <v>382</v>
      </c>
    </row>
    <row r="2398" ht="15.75" customHeight="1">
      <c r="A2398" s="29"/>
      <c r="B2398" s="5" t="s">
        <v>4614</v>
      </c>
      <c r="C2398" s="5" t="s">
        <v>218</v>
      </c>
      <c r="D2398" s="5" t="s">
        <v>85</v>
      </c>
      <c r="E2398" s="5" t="s">
        <v>382</v>
      </c>
    </row>
    <row r="2399" ht="15.75" customHeight="1">
      <c r="A2399" s="29"/>
      <c r="B2399" s="5" t="s">
        <v>3334</v>
      </c>
      <c r="C2399" s="5" t="s">
        <v>79</v>
      </c>
      <c r="D2399" s="5" t="s">
        <v>34</v>
      </c>
      <c r="E2399" s="5" t="s">
        <v>382</v>
      </c>
    </row>
    <row r="2400" ht="15.75" customHeight="1">
      <c r="A2400" s="29"/>
      <c r="B2400" s="5" t="s">
        <v>4271</v>
      </c>
      <c r="C2400" s="5" t="s">
        <v>79</v>
      </c>
      <c r="D2400" s="5" t="s">
        <v>18</v>
      </c>
      <c r="E2400" s="5" t="s">
        <v>382</v>
      </c>
    </row>
    <row r="2401" ht="15.75" customHeight="1">
      <c r="A2401" s="29"/>
      <c r="B2401" s="5" t="s">
        <v>4122</v>
      </c>
      <c r="C2401" s="5" t="s">
        <v>79</v>
      </c>
      <c r="D2401" s="5" t="s">
        <v>140</v>
      </c>
      <c r="E2401" s="5" t="s">
        <v>382</v>
      </c>
    </row>
    <row r="2402" ht="15.75" customHeight="1">
      <c r="A2402" s="29"/>
      <c r="B2402" s="5" t="s">
        <v>4552</v>
      </c>
      <c r="C2402" s="5" t="s">
        <v>79</v>
      </c>
      <c r="D2402" s="5" t="s">
        <v>85</v>
      </c>
      <c r="E2402" s="5" t="s">
        <v>382</v>
      </c>
    </row>
    <row r="2403" ht="15.75" customHeight="1">
      <c r="A2403" s="29"/>
      <c r="B2403" s="5" t="s">
        <v>4078</v>
      </c>
      <c r="C2403" s="5" t="s">
        <v>79</v>
      </c>
      <c r="D2403" s="5" t="s">
        <v>137</v>
      </c>
      <c r="E2403" s="5" t="s">
        <v>382</v>
      </c>
    </row>
    <row r="2404" ht="15.75" customHeight="1">
      <c r="A2404" s="29"/>
      <c r="B2404" s="5" t="s">
        <v>3366</v>
      </c>
      <c r="C2404" s="5" t="s">
        <v>22</v>
      </c>
      <c r="D2404" s="5" t="s">
        <v>140</v>
      </c>
      <c r="E2404" s="5" t="s">
        <v>382</v>
      </c>
    </row>
    <row r="2405" ht="15.75" customHeight="1">
      <c r="A2405" s="29"/>
      <c r="B2405" s="5" t="s">
        <v>4070</v>
      </c>
      <c r="C2405" s="5" t="s">
        <v>79</v>
      </c>
      <c r="D2405" s="5" t="s">
        <v>23</v>
      </c>
      <c r="E2405" s="5" t="s">
        <v>382</v>
      </c>
    </row>
    <row r="2406" ht="15.75" customHeight="1">
      <c r="A2406" s="29"/>
      <c r="B2406" s="5" t="s">
        <v>3489</v>
      </c>
      <c r="C2406" s="5" t="s">
        <v>79</v>
      </c>
      <c r="D2406" s="5" t="s">
        <v>23</v>
      </c>
      <c r="E2406" s="5" t="s">
        <v>382</v>
      </c>
    </row>
    <row r="2407" ht="15.75" customHeight="1">
      <c r="A2407" s="29"/>
      <c r="B2407" s="5" t="s">
        <v>4333</v>
      </c>
      <c r="C2407" s="5" t="s">
        <v>79</v>
      </c>
      <c r="D2407" s="5" t="s">
        <v>90</v>
      </c>
      <c r="E2407" s="5" t="s">
        <v>382</v>
      </c>
    </row>
    <row r="2408" ht="15.75" customHeight="1">
      <c r="A2408" s="29"/>
      <c r="B2408" s="5" t="s">
        <v>4697</v>
      </c>
      <c r="C2408" s="5" t="s">
        <v>240</v>
      </c>
      <c r="D2408" s="5" t="s">
        <v>71</v>
      </c>
      <c r="E2408" s="5" t="s">
        <v>382</v>
      </c>
    </row>
    <row r="2409" ht="15.75" customHeight="1">
      <c r="A2409" s="29"/>
      <c r="B2409" s="5" t="s">
        <v>3463</v>
      </c>
      <c r="C2409" s="5" t="s">
        <v>79</v>
      </c>
      <c r="D2409" s="5" t="s">
        <v>9</v>
      </c>
      <c r="E2409" s="5" t="s">
        <v>382</v>
      </c>
    </row>
    <row r="2410" ht="15.75" customHeight="1">
      <c r="A2410" s="29"/>
      <c r="B2410" s="5" t="s">
        <v>4108</v>
      </c>
      <c r="C2410" s="5" t="s">
        <v>79</v>
      </c>
      <c r="D2410" s="5" t="s">
        <v>18</v>
      </c>
      <c r="E2410" s="5" t="s">
        <v>382</v>
      </c>
    </row>
    <row r="2411" ht="15.75" customHeight="1">
      <c r="A2411" s="29"/>
      <c r="B2411" s="5" t="s">
        <v>4131</v>
      </c>
      <c r="C2411" s="5" t="s">
        <v>220</v>
      </c>
      <c r="D2411" s="5" t="s">
        <v>129</v>
      </c>
      <c r="E2411" s="5" t="s">
        <v>382</v>
      </c>
    </row>
    <row r="2412" ht="15.75" customHeight="1">
      <c r="A2412" s="29"/>
      <c r="B2412" s="5" t="s">
        <v>4752</v>
      </c>
      <c r="C2412" s="5" t="s">
        <v>33</v>
      </c>
      <c r="D2412" s="5" t="s">
        <v>71</v>
      </c>
      <c r="E2412" s="5" t="s">
        <v>382</v>
      </c>
    </row>
    <row r="2413" ht="15.75" customHeight="1">
      <c r="A2413" s="29"/>
      <c r="B2413" s="5" t="s">
        <v>4205</v>
      </c>
      <c r="C2413" s="5" t="s">
        <v>79</v>
      </c>
      <c r="D2413" s="5" t="s">
        <v>34</v>
      </c>
      <c r="E2413" s="5" t="s">
        <v>382</v>
      </c>
    </row>
    <row r="2414" ht="15.75" customHeight="1">
      <c r="A2414" s="29"/>
      <c r="B2414" s="5" t="s">
        <v>4146</v>
      </c>
      <c r="C2414" s="5" t="s">
        <v>79</v>
      </c>
      <c r="D2414" s="5" t="s">
        <v>71</v>
      </c>
      <c r="E2414" s="5" t="s">
        <v>382</v>
      </c>
    </row>
    <row r="2415" ht="15.75" customHeight="1">
      <c r="A2415" s="29"/>
      <c r="B2415" s="5" t="s">
        <v>5558</v>
      </c>
      <c r="C2415" s="5" t="s">
        <v>11</v>
      </c>
      <c r="D2415" s="5" t="s">
        <v>71</v>
      </c>
      <c r="E2415" s="5" t="s">
        <v>382</v>
      </c>
    </row>
    <row r="2416" ht="15.75" customHeight="1">
      <c r="A2416" s="29"/>
      <c r="B2416" s="5" t="s">
        <v>4405</v>
      </c>
      <c r="C2416" s="5" t="s">
        <v>79</v>
      </c>
      <c r="D2416" s="5" t="s">
        <v>34</v>
      </c>
      <c r="E2416" s="5" t="s">
        <v>382</v>
      </c>
    </row>
    <row r="2417" ht="15.75" customHeight="1">
      <c r="A2417" s="29"/>
      <c r="B2417" s="5" t="s">
        <v>4523</v>
      </c>
      <c r="C2417" s="5" t="s">
        <v>22</v>
      </c>
      <c r="D2417" s="5" t="s">
        <v>71</v>
      </c>
      <c r="E2417" s="5" t="s">
        <v>382</v>
      </c>
    </row>
    <row r="2418" ht="15.75" customHeight="1">
      <c r="A2418" s="29"/>
      <c r="B2418" s="5" t="s">
        <v>4267</v>
      </c>
      <c r="C2418" s="5" t="s">
        <v>22</v>
      </c>
      <c r="D2418" s="5" t="s">
        <v>34</v>
      </c>
      <c r="E2418" s="5" t="s">
        <v>382</v>
      </c>
    </row>
    <row r="2419" ht="15.75" customHeight="1">
      <c r="A2419" s="29"/>
      <c r="B2419" s="5" t="s">
        <v>4770</v>
      </c>
      <c r="C2419" s="5" t="s">
        <v>17</v>
      </c>
      <c r="D2419" s="5" t="s">
        <v>206</v>
      </c>
      <c r="E2419" s="5" t="s">
        <v>382</v>
      </c>
    </row>
    <row r="2420" ht="15.75" customHeight="1">
      <c r="A2420" s="29"/>
      <c r="B2420" s="5" t="s">
        <v>3388</v>
      </c>
      <c r="C2420" s="5" t="s">
        <v>79</v>
      </c>
      <c r="D2420" s="5" t="s">
        <v>206</v>
      </c>
      <c r="E2420" s="5" t="s">
        <v>382</v>
      </c>
    </row>
    <row r="2421" ht="15.75" customHeight="1">
      <c r="A2421" s="29"/>
      <c r="B2421" s="5" t="s">
        <v>3504</v>
      </c>
      <c r="C2421" s="5" t="s">
        <v>79</v>
      </c>
      <c r="D2421" s="5" t="s">
        <v>34</v>
      </c>
      <c r="E2421" s="5" t="s">
        <v>382</v>
      </c>
    </row>
    <row r="2422" ht="15.75" customHeight="1">
      <c r="A2422" s="29"/>
      <c r="B2422" s="5" t="s">
        <v>4147</v>
      </c>
      <c r="C2422" s="5" t="s">
        <v>79</v>
      </c>
      <c r="D2422" s="5" t="s">
        <v>122</v>
      </c>
      <c r="E2422" s="5" t="s">
        <v>382</v>
      </c>
    </row>
    <row r="2423" ht="15.75" customHeight="1">
      <c r="A2423" s="29"/>
      <c r="B2423" s="5" t="s">
        <v>5497</v>
      </c>
      <c r="C2423" s="5" t="s">
        <v>77</v>
      </c>
      <c r="D2423" s="5" t="s">
        <v>12</v>
      </c>
      <c r="E2423" s="5" t="s">
        <v>382</v>
      </c>
    </row>
    <row r="2424" ht="15.75" customHeight="1">
      <c r="A2424" s="29"/>
      <c r="B2424" s="5" t="s">
        <v>4836</v>
      </c>
      <c r="C2424" s="5" t="s">
        <v>33</v>
      </c>
      <c r="D2424" s="5" t="s">
        <v>46</v>
      </c>
      <c r="E2424" s="5" t="s">
        <v>382</v>
      </c>
    </row>
    <row r="2425" ht="15.75" customHeight="1">
      <c r="A2425" s="29"/>
      <c r="B2425" s="5" t="s">
        <v>4160</v>
      </c>
      <c r="C2425" s="5" t="s">
        <v>22</v>
      </c>
      <c r="D2425" s="5" t="s">
        <v>34</v>
      </c>
      <c r="E2425" s="5" t="s">
        <v>382</v>
      </c>
    </row>
    <row r="2426" ht="15.75" customHeight="1">
      <c r="A2426" s="29"/>
      <c r="B2426" s="5" t="s">
        <v>4245</v>
      </c>
      <c r="C2426" s="5" t="s">
        <v>79</v>
      </c>
      <c r="D2426" s="5" t="s">
        <v>113</v>
      </c>
      <c r="E2426" s="5" t="s">
        <v>382</v>
      </c>
    </row>
    <row r="2427" ht="15.75" customHeight="1">
      <c r="A2427" s="29"/>
      <c r="B2427" s="5" t="s">
        <v>4362</v>
      </c>
      <c r="C2427" s="5" t="s">
        <v>22</v>
      </c>
      <c r="D2427" s="5" t="s">
        <v>105</v>
      </c>
      <c r="E2427" s="5" t="s">
        <v>382</v>
      </c>
    </row>
    <row r="2428" ht="15.75" customHeight="1">
      <c r="A2428" s="29"/>
      <c r="B2428" s="5" t="s">
        <v>4202</v>
      </c>
      <c r="C2428" s="5" t="s">
        <v>79</v>
      </c>
      <c r="D2428" s="5" t="s">
        <v>49</v>
      </c>
      <c r="E2428" s="5" t="s">
        <v>382</v>
      </c>
    </row>
    <row r="2429" ht="15.75" customHeight="1">
      <c r="A2429" s="29"/>
      <c r="B2429" s="5" t="s">
        <v>4165</v>
      </c>
      <c r="C2429" s="5" t="s">
        <v>79</v>
      </c>
      <c r="D2429" s="5" t="s">
        <v>73</v>
      </c>
      <c r="E2429" s="5" t="s">
        <v>382</v>
      </c>
    </row>
    <row r="2430" ht="15.75" customHeight="1">
      <c r="A2430" s="29"/>
      <c r="B2430" s="5" t="s">
        <v>4113</v>
      </c>
      <c r="C2430" s="5" t="s">
        <v>79</v>
      </c>
      <c r="D2430" s="5" t="s">
        <v>42</v>
      </c>
      <c r="E2430" s="5" t="s">
        <v>382</v>
      </c>
    </row>
    <row r="2431" ht="15.75" customHeight="1">
      <c r="A2431" s="29"/>
      <c r="B2431" s="5" t="s">
        <v>4305</v>
      </c>
      <c r="C2431" s="5" t="s">
        <v>79</v>
      </c>
      <c r="D2431" s="5" t="s">
        <v>99</v>
      </c>
      <c r="E2431" s="5" t="s">
        <v>382</v>
      </c>
    </row>
    <row r="2432" ht="15.75" customHeight="1">
      <c r="A2432" s="29"/>
      <c r="B2432" s="5" t="s">
        <v>4090</v>
      </c>
      <c r="C2432" s="5" t="s">
        <v>22</v>
      </c>
      <c r="D2432" s="5" t="s">
        <v>67</v>
      </c>
      <c r="E2432" s="5" t="s">
        <v>382</v>
      </c>
    </row>
    <row r="2433" ht="15.75" customHeight="1">
      <c r="A2433" s="29"/>
      <c r="B2433" s="5" t="s">
        <v>4738</v>
      </c>
      <c r="C2433" s="5" t="s">
        <v>77</v>
      </c>
      <c r="D2433" s="5" t="s">
        <v>85</v>
      </c>
      <c r="E2433" s="5" t="s">
        <v>382</v>
      </c>
    </row>
    <row r="2434" ht="15.75" customHeight="1">
      <c r="A2434" s="29"/>
      <c r="B2434" s="5" t="s">
        <v>3456</v>
      </c>
      <c r="C2434" s="5" t="s">
        <v>79</v>
      </c>
      <c r="D2434" s="5" t="s">
        <v>67</v>
      </c>
      <c r="E2434" s="5" t="s">
        <v>382</v>
      </c>
    </row>
    <row r="2435" ht="15.75" customHeight="1">
      <c r="A2435" s="29"/>
      <c r="B2435" s="5" t="s">
        <v>4289</v>
      </c>
      <c r="C2435" s="5" t="s">
        <v>79</v>
      </c>
      <c r="D2435" s="5" t="s">
        <v>27</v>
      </c>
      <c r="E2435" s="5" t="s">
        <v>382</v>
      </c>
    </row>
    <row r="2436" ht="15.75" customHeight="1">
      <c r="A2436" s="29"/>
      <c r="B2436" s="5" t="s">
        <v>3488</v>
      </c>
      <c r="C2436" s="5" t="s">
        <v>79</v>
      </c>
      <c r="D2436" s="5" t="s">
        <v>129</v>
      </c>
      <c r="E2436" s="5" t="s">
        <v>382</v>
      </c>
    </row>
    <row r="2437" ht="15.75" customHeight="1">
      <c r="A2437" s="29"/>
      <c r="B2437" s="5" t="s">
        <v>4130</v>
      </c>
      <c r="C2437" s="5" t="s">
        <v>79</v>
      </c>
      <c r="D2437" s="5" t="s">
        <v>49</v>
      </c>
      <c r="E2437" s="5" t="s">
        <v>382</v>
      </c>
    </row>
    <row r="2438" ht="15.75" customHeight="1">
      <c r="A2438" s="29"/>
      <c r="B2438" s="5" t="s">
        <v>4085</v>
      </c>
      <c r="C2438" s="5" t="s">
        <v>79</v>
      </c>
      <c r="D2438" s="5" t="s">
        <v>99</v>
      </c>
      <c r="E2438" s="5" t="s">
        <v>382</v>
      </c>
    </row>
    <row r="2439" ht="15.75" customHeight="1">
      <c r="A2439" s="29"/>
      <c r="B2439" s="5" t="s">
        <v>3395</v>
      </c>
      <c r="C2439" s="5" t="s">
        <v>22</v>
      </c>
      <c r="D2439" s="5" t="s">
        <v>129</v>
      </c>
      <c r="E2439" s="5" t="s">
        <v>382</v>
      </c>
    </row>
    <row r="2440" ht="15.75" customHeight="1">
      <c r="A2440" s="29"/>
      <c r="B2440" s="5" t="s">
        <v>3788</v>
      </c>
      <c r="C2440" s="5" t="s">
        <v>79</v>
      </c>
      <c r="D2440" s="5" t="s">
        <v>95</v>
      </c>
      <c r="E2440" s="5" t="s">
        <v>382</v>
      </c>
    </row>
    <row r="2441" ht="15.75" customHeight="1">
      <c r="A2441" s="29"/>
      <c r="B2441" s="5" t="s">
        <v>5555</v>
      </c>
      <c r="C2441" s="5" t="s">
        <v>48</v>
      </c>
      <c r="D2441" s="5" t="s">
        <v>206</v>
      </c>
      <c r="E2441" s="5" t="s">
        <v>382</v>
      </c>
    </row>
    <row r="2442" ht="15.75" customHeight="1">
      <c r="A2442" s="29"/>
      <c r="B2442" s="5" t="s">
        <v>5513</v>
      </c>
      <c r="C2442" s="5" t="s">
        <v>77</v>
      </c>
      <c r="D2442" s="5" t="s">
        <v>206</v>
      </c>
      <c r="E2442" s="5" t="s">
        <v>382</v>
      </c>
    </row>
    <row r="2443" ht="15.75" customHeight="1">
      <c r="A2443" s="29"/>
      <c r="B2443" s="5" t="s">
        <v>3479</v>
      </c>
      <c r="C2443" s="5" t="s">
        <v>79</v>
      </c>
      <c r="D2443" s="5" t="s">
        <v>49</v>
      </c>
      <c r="E2443" s="5" t="s">
        <v>382</v>
      </c>
    </row>
    <row r="2444" ht="15.75" customHeight="1">
      <c r="A2444" s="29"/>
      <c r="B2444" s="5" t="s">
        <v>5531</v>
      </c>
      <c r="C2444" s="5" t="s">
        <v>77</v>
      </c>
      <c r="D2444" s="5" t="s">
        <v>206</v>
      </c>
      <c r="E2444" s="5" t="s">
        <v>382</v>
      </c>
    </row>
    <row r="2445" ht="15.75" customHeight="1">
      <c r="A2445" s="29"/>
      <c r="B2445" s="5" t="s">
        <v>5327</v>
      </c>
      <c r="C2445" s="5" t="s">
        <v>87</v>
      </c>
      <c r="D2445" s="5" t="s">
        <v>82</v>
      </c>
      <c r="E2445" s="5" t="s">
        <v>382</v>
      </c>
    </row>
    <row r="2446" ht="15.75" customHeight="1">
      <c r="A2446" s="29"/>
      <c r="B2446" s="5" t="s">
        <v>4044</v>
      </c>
      <c r="C2446" s="5" t="s">
        <v>79</v>
      </c>
      <c r="D2446" s="5" t="s">
        <v>46</v>
      </c>
      <c r="E2446" s="5" t="s">
        <v>382</v>
      </c>
    </row>
    <row r="2447" ht="15.75" customHeight="1">
      <c r="A2447" s="29"/>
      <c r="B2447" s="5" t="s">
        <v>4973</v>
      </c>
      <c r="C2447" s="5" t="s">
        <v>11</v>
      </c>
      <c r="D2447" s="5" t="s">
        <v>34</v>
      </c>
      <c r="E2447" s="5" t="s">
        <v>382</v>
      </c>
    </row>
    <row r="2448" ht="15.75" customHeight="1">
      <c r="A2448" s="29"/>
      <c r="B2448" s="5" t="s">
        <v>3697</v>
      </c>
      <c r="C2448" s="5" t="s">
        <v>22</v>
      </c>
      <c r="D2448" s="5" t="s">
        <v>49</v>
      </c>
      <c r="E2448" s="5" t="s">
        <v>382</v>
      </c>
    </row>
    <row r="2449" ht="15.75" customHeight="1">
      <c r="A2449" s="29"/>
      <c r="B2449" s="5" t="s">
        <v>5254</v>
      </c>
      <c r="C2449" s="5" t="s">
        <v>77</v>
      </c>
      <c r="D2449" s="5" t="s">
        <v>31</v>
      </c>
      <c r="E2449" s="5" t="s">
        <v>382</v>
      </c>
    </row>
    <row r="2450" ht="15.75" customHeight="1">
      <c r="A2450" s="29"/>
      <c r="B2450" s="5" t="s">
        <v>3177</v>
      </c>
      <c r="C2450" s="5" t="s">
        <v>240</v>
      </c>
      <c r="D2450" s="5" t="s">
        <v>137</v>
      </c>
      <c r="E2450" s="5" t="s">
        <v>382</v>
      </c>
    </row>
    <row r="2451" ht="15.75" customHeight="1">
      <c r="A2451" s="29"/>
      <c r="B2451" s="5" t="s">
        <v>3613</v>
      </c>
      <c r="C2451" s="5" t="s">
        <v>79</v>
      </c>
      <c r="D2451" s="5" t="s">
        <v>122</v>
      </c>
      <c r="E2451" s="5" t="s">
        <v>382</v>
      </c>
    </row>
    <row r="2452" ht="15.75" customHeight="1">
      <c r="A2452" s="29"/>
      <c r="B2452" s="5" t="s">
        <v>3759</v>
      </c>
      <c r="C2452" s="5" t="s">
        <v>79</v>
      </c>
      <c r="D2452" s="5" t="s">
        <v>52</v>
      </c>
      <c r="E2452" s="5" t="s">
        <v>382</v>
      </c>
    </row>
    <row r="2453" ht="15.75" customHeight="1">
      <c r="A2453" s="29"/>
      <c r="B2453" s="5" t="s">
        <v>4017</v>
      </c>
      <c r="C2453" s="5" t="s">
        <v>22</v>
      </c>
      <c r="D2453" s="5" t="s">
        <v>113</v>
      </c>
      <c r="E2453" s="5" t="s">
        <v>382</v>
      </c>
    </row>
    <row r="2454" ht="15.75" customHeight="1">
      <c r="A2454" s="29"/>
      <c r="B2454" s="5" t="s">
        <v>5452</v>
      </c>
      <c r="C2454" s="5" t="s">
        <v>77</v>
      </c>
      <c r="D2454" s="5" t="s">
        <v>140</v>
      </c>
      <c r="E2454" s="5" t="s">
        <v>382</v>
      </c>
    </row>
    <row r="2455" ht="15.75" customHeight="1">
      <c r="A2455" s="29"/>
      <c r="B2455" s="5" t="s">
        <v>3672</v>
      </c>
      <c r="C2455" s="5" t="s">
        <v>79</v>
      </c>
      <c r="D2455" s="5" t="s">
        <v>52</v>
      </c>
      <c r="E2455" s="5" t="s">
        <v>382</v>
      </c>
    </row>
    <row r="2456" ht="15.75" customHeight="1">
      <c r="A2456" s="29"/>
      <c r="B2456" s="5" t="s">
        <v>5070</v>
      </c>
      <c r="C2456" s="5" t="s">
        <v>17</v>
      </c>
      <c r="D2456" s="5" t="s">
        <v>95</v>
      </c>
      <c r="E2456" s="5" t="s">
        <v>382</v>
      </c>
    </row>
    <row r="2457" ht="15.75" customHeight="1">
      <c r="A2457" s="29"/>
      <c r="B2457" s="5" t="s">
        <v>3910</v>
      </c>
      <c r="C2457" s="5" t="s">
        <v>79</v>
      </c>
      <c r="D2457" s="5" t="s">
        <v>49</v>
      </c>
      <c r="E2457" s="5" t="s">
        <v>382</v>
      </c>
    </row>
    <row r="2458" ht="15.75" customHeight="1">
      <c r="A2458" s="29"/>
      <c r="B2458" s="5" t="s">
        <v>4002</v>
      </c>
      <c r="C2458" s="5" t="s">
        <v>79</v>
      </c>
      <c r="D2458" s="5" t="s">
        <v>49</v>
      </c>
      <c r="E2458" s="5" t="s">
        <v>382</v>
      </c>
    </row>
    <row r="2459" ht="15.75" customHeight="1">
      <c r="A2459" s="29"/>
      <c r="B2459" s="5" t="s">
        <v>3665</v>
      </c>
      <c r="C2459" s="5" t="s">
        <v>22</v>
      </c>
      <c r="D2459" s="5" t="s">
        <v>18</v>
      </c>
      <c r="E2459" s="5" t="s">
        <v>382</v>
      </c>
    </row>
    <row r="2460" ht="15.75" customHeight="1">
      <c r="A2460" s="29"/>
      <c r="B2460" s="5" t="s">
        <v>5168</v>
      </c>
      <c r="C2460" s="5" t="s">
        <v>39</v>
      </c>
      <c r="D2460" s="5" t="s">
        <v>18</v>
      </c>
      <c r="E2460" s="5" t="s">
        <v>382</v>
      </c>
    </row>
    <row r="2461" ht="15.75" customHeight="1">
      <c r="A2461" s="29"/>
      <c r="B2461" s="5" t="s">
        <v>3782</v>
      </c>
      <c r="C2461" s="5" t="s">
        <v>79</v>
      </c>
      <c r="D2461" s="5" t="s">
        <v>113</v>
      </c>
      <c r="E2461" s="5" t="s">
        <v>382</v>
      </c>
    </row>
    <row r="2462" ht="15.75" customHeight="1">
      <c r="A2462" s="29"/>
      <c r="B2462" s="5" t="s">
        <v>4939</v>
      </c>
      <c r="C2462" s="5" t="s">
        <v>39</v>
      </c>
      <c r="D2462" s="5" t="s">
        <v>129</v>
      </c>
      <c r="E2462" s="5" t="s">
        <v>382</v>
      </c>
    </row>
    <row r="2463" ht="15.75" customHeight="1">
      <c r="A2463" s="29"/>
      <c r="B2463" s="5" t="s">
        <v>3984</v>
      </c>
      <c r="C2463" s="5" t="s">
        <v>79</v>
      </c>
      <c r="D2463" s="5" t="s">
        <v>129</v>
      </c>
      <c r="E2463" s="5" t="s">
        <v>382</v>
      </c>
    </row>
    <row r="2464" ht="15.75" customHeight="1">
      <c r="A2464" s="29"/>
      <c r="B2464" s="5" t="s">
        <v>3840</v>
      </c>
      <c r="C2464" s="5" t="s">
        <v>79</v>
      </c>
      <c r="D2464" s="5" t="s">
        <v>129</v>
      </c>
      <c r="E2464" s="5" t="s">
        <v>382</v>
      </c>
    </row>
    <row r="2465" ht="15.75" customHeight="1">
      <c r="A2465" s="29"/>
      <c r="B2465" s="5" t="s">
        <v>3579</v>
      </c>
      <c r="C2465" s="5" t="s">
        <v>22</v>
      </c>
      <c r="D2465" s="5" t="s">
        <v>129</v>
      </c>
      <c r="E2465" s="5" t="s">
        <v>382</v>
      </c>
    </row>
    <row r="2466" ht="15.75" customHeight="1">
      <c r="A2466" s="29"/>
      <c r="B2466" s="5" t="s">
        <v>3671</v>
      </c>
      <c r="C2466" s="5" t="s">
        <v>22</v>
      </c>
      <c r="D2466" s="5" t="s">
        <v>46</v>
      </c>
      <c r="E2466" s="5" t="s">
        <v>382</v>
      </c>
    </row>
    <row r="2467" ht="15.75" customHeight="1">
      <c r="A2467" s="29"/>
      <c r="B2467" s="5" t="s">
        <v>4008</v>
      </c>
      <c r="C2467" s="5" t="s">
        <v>79</v>
      </c>
      <c r="D2467" s="5" t="s">
        <v>122</v>
      </c>
      <c r="E2467" s="5" t="s">
        <v>382</v>
      </c>
    </row>
    <row r="2468" ht="15.75" customHeight="1">
      <c r="A2468" s="29"/>
      <c r="B2468" s="5" t="s">
        <v>5313</v>
      </c>
      <c r="C2468" s="5" t="s">
        <v>14</v>
      </c>
      <c r="D2468" s="5" t="s">
        <v>52</v>
      </c>
      <c r="E2468" s="5" t="s">
        <v>382</v>
      </c>
    </row>
    <row r="2469" ht="15.75" customHeight="1">
      <c r="A2469" s="29"/>
      <c r="B2469" s="5" t="s">
        <v>3890</v>
      </c>
      <c r="C2469" s="5" t="s">
        <v>79</v>
      </c>
      <c r="D2469" s="5" t="s">
        <v>52</v>
      </c>
      <c r="E2469" s="5" t="s">
        <v>382</v>
      </c>
    </row>
    <row r="2470" ht="15.75" customHeight="1">
      <c r="A2470" s="29"/>
      <c r="B2470" s="5" t="s">
        <v>3808</v>
      </c>
      <c r="C2470" s="5" t="s">
        <v>22</v>
      </c>
      <c r="D2470" s="5" t="s">
        <v>52</v>
      </c>
      <c r="E2470" s="5" t="s">
        <v>382</v>
      </c>
    </row>
    <row r="2471" ht="15.75" customHeight="1">
      <c r="A2471" s="29"/>
      <c r="B2471" s="5" t="s">
        <v>5022</v>
      </c>
      <c r="C2471" s="5" t="s">
        <v>48</v>
      </c>
      <c r="D2471" s="5" t="s">
        <v>90</v>
      </c>
      <c r="E2471" s="5" t="s">
        <v>382</v>
      </c>
    </row>
    <row r="2472" ht="15.75" customHeight="1">
      <c r="A2472" s="29"/>
      <c r="B2472" s="5" t="s">
        <v>5058</v>
      </c>
      <c r="C2472" s="5" t="s">
        <v>77</v>
      </c>
      <c r="D2472" s="5" t="s">
        <v>90</v>
      </c>
      <c r="E2472" s="5" t="s">
        <v>382</v>
      </c>
    </row>
    <row r="2473" ht="15.75" customHeight="1">
      <c r="A2473" s="29"/>
      <c r="B2473" s="5" t="s">
        <v>3571</v>
      </c>
      <c r="C2473" s="5" t="s">
        <v>79</v>
      </c>
      <c r="D2473" s="5" t="s">
        <v>90</v>
      </c>
      <c r="E2473" s="5" t="s">
        <v>382</v>
      </c>
    </row>
    <row r="2474" ht="15.75" customHeight="1">
      <c r="A2474" s="29"/>
      <c r="B2474" s="5" t="s">
        <v>3971</v>
      </c>
      <c r="C2474" s="5" t="s">
        <v>22</v>
      </c>
      <c r="D2474" s="5" t="s">
        <v>90</v>
      </c>
      <c r="E2474" s="5" t="s">
        <v>382</v>
      </c>
    </row>
    <row r="2475" ht="15.75" customHeight="1">
      <c r="A2475" s="29"/>
      <c r="B2475" s="5" t="s">
        <v>5400</v>
      </c>
      <c r="C2475" s="5" t="s">
        <v>11</v>
      </c>
      <c r="D2475" s="5" t="s">
        <v>12</v>
      </c>
      <c r="E2475" s="5" t="s">
        <v>382</v>
      </c>
    </row>
    <row r="2476" ht="15.75" customHeight="1">
      <c r="A2476" s="29"/>
      <c r="B2476" s="5" t="s">
        <v>5273</v>
      </c>
      <c r="C2476" s="5" t="s">
        <v>39</v>
      </c>
      <c r="D2476" s="5" t="s">
        <v>12</v>
      </c>
      <c r="E2476" s="5" t="s">
        <v>382</v>
      </c>
    </row>
    <row r="2477" ht="15.75" customHeight="1">
      <c r="A2477" s="29"/>
      <c r="B2477" s="5" t="s">
        <v>3618</v>
      </c>
      <c r="C2477" s="5" t="s">
        <v>22</v>
      </c>
      <c r="D2477" s="5" t="s">
        <v>12</v>
      </c>
      <c r="E2477" s="5" t="s">
        <v>382</v>
      </c>
    </row>
    <row r="2478" ht="15.75" customHeight="1">
      <c r="A2478" s="29"/>
      <c r="B2478" s="5" t="s">
        <v>5458</v>
      </c>
      <c r="C2478" s="5" t="s">
        <v>48</v>
      </c>
      <c r="D2478" s="5" t="s">
        <v>12</v>
      </c>
      <c r="E2478" s="5" t="s">
        <v>382</v>
      </c>
    </row>
    <row r="2479" ht="15.75" customHeight="1">
      <c r="A2479" s="29"/>
      <c r="B2479" s="5" t="s">
        <v>4907</v>
      </c>
      <c r="C2479" s="5" t="s">
        <v>77</v>
      </c>
      <c r="D2479" s="5" t="s">
        <v>12</v>
      </c>
      <c r="E2479" s="5" t="s">
        <v>382</v>
      </c>
    </row>
    <row r="2480" ht="15.75" customHeight="1">
      <c r="A2480" s="29"/>
      <c r="B2480" s="5" t="s">
        <v>5381</v>
      </c>
      <c r="C2480" s="5" t="s">
        <v>14</v>
      </c>
      <c r="D2480" s="5" t="s">
        <v>12</v>
      </c>
      <c r="E2480" s="5" t="s">
        <v>382</v>
      </c>
    </row>
    <row r="2481" ht="15.75" customHeight="1">
      <c r="A2481" s="29"/>
      <c r="B2481" s="5" t="s">
        <v>5167</v>
      </c>
      <c r="C2481" s="5" t="s">
        <v>20</v>
      </c>
      <c r="D2481" s="5" t="s">
        <v>120</v>
      </c>
      <c r="E2481" s="5" t="s">
        <v>382</v>
      </c>
    </row>
    <row r="2482" ht="15.75" customHeight="1">
      <c r="A2482" s="29"/>
      <c r="B2482" s="5" t="s">
        <v>3667</v>
      </c>
      <c r="C2482" s="5" t="s">
        <v>79</v>
      </c>
      <c r="D2482" s="5" t="s">
        <v>120</v>
      </c>
      <c r="E2482" s="5" t="s">
        <v>382</v>
      </c>
    </row>
    <row r="2483" ht="15.75" customHeight="1">
      <c r="A2483" s="29"/>
      <c r="B2483" s="5" t="s">
        <v>3713</v>
      </c>
      <c r="C2483" s="5" t="s">
        <v>22</v>
      </c>
      <c r="D2483" s="5" t="s">
        <v>105</v>
      </c>
      <c r="E2483" s="5" t="s">
        <v>382</v>
      </c>
    </row>
    <row r="2484" ht="15.75" customHeight="1">
      <c r="A2484" s="29"/>
      <c r="B2484" s="5" t="s">
        <v>5287</v>
      </c>
      <c r="C2484" s="5" t="s">
        <v>14</v>
      </c>
      <c r="D2484" s="5" t="s">
        <v>105</v>
      </c>
      <c r="E2484" s="5" t="s">
        <v>382</v>
      </c>
    </row>
    <row r="2485" ht="15.75" customHeight="1">
      <c r="A2485" s="29"/>
      <c r="B2485" s="5" t="s">
        <v>4565</v>
      </c>
      <c r="C2485" s="5" t="s">
        <v>14</v>
      </c>
      <c r="D2485" s="5" t="s">
        <v>31</v>
      </c>
      <c r="E2485" s="5" t="s">
        <v>382</v>
      </c>
    </row>
    <row r="2486" ht="15.75" customHeight="1">
      <c r="A2486" s="29"/>
      <c r="B2486" s="5" t="s">
        <v>3820</v>
      </c>
      <c r="C2486" s="5" t="s">
        <v>79</v>
      </c>
      <c r="D2486" s="5" t="s">
        <v>31</v>
      </c>
      <c r="E2486" s="5" t="s">
        <v>382</v>
      </c>
    </row>
    <row r="2487" ht="15.75" customHeight="1">
      <c r="A2487" s="29"/>
      <c r="B2487" s="5" t="s">
        <v>3900</v>
      </c>
      <c r="C2487" s="5" t="s">
        <v>79</v>
      </c>
      <c r="D2487" s="5" t="s">
        <v>27</v>
      </c>
      <c r="E2487" s="5" t="s">
        <v>382</v>
      </c>
    </row>
    <row r="2488" ht="15.75" customHeight="1">
      <c r="A2488" s="29"/>
      <c r="B2488" s="5" t="s">
        <v>5476</v>
      </c>
      <c r="C2488" s="5" t="s">
        <v>11</v>
      </c>
      <c r="D2488" s="5" t="s">
        <v>27</v>
      </c>
      <c r="E2488" s="5" t="s">
        <v>382</v>
      </c>
    </row>
    <row r="2489" ht="15.75" customHeight="1">
      <c r="A2489" s="29"/>
      <c r="B2489" s="5" t="s">
        <v>3592</v>
      </c>
      <c r="C2489" s="5" t="s">
        <v>79</v>
      </c>
      <c r="D2489" s="5" t="s">
        <v>206</v>
      </c>
      <c r="E2489" s="5" t="s">
        <v>382</v>
      </c>
    </row>
    <row r="2490" ht="15.75" customHeight="1">
      <c r="A2490" s="29"/>
      <c r="B2490" s="5" t="s">
        <v>3754</v>
      </c>
      <c r="C2490" s="5" t="s">
        <v>79</v>
      </c>
      <c r="D2490" s="5" t="s">
        <v>99</v>
      </c>
      <c r="E2490" s="5" t="s">
        <v>382</v>
      </c>
    </row>
    <row r="2491" ht="15.75" customHeight="1">
      <c r="A2491" s="29"/>
      <c r="B2491" s="5" t="s">
        <v>3826</v>
      </c>
      <c r="C2491" s="5" t="s">
        <v>22</v>
      </c>
      <c r="D2491" s="5" t="s">
        <v>42</v>
      </c>
      <c r="E2491" s="5" t="s">
        <v>382</v>
      </c>
    </row>
    <row r="2492" ht="15.75" customHeight="1">
      <c r="A2492" s="29"/>
      <c r="B2492" s="5" t="s">
        <v>3889</v>
      </c>
      <c r="C2492" s="5" t="s">
        <v>22</v>
      </c>
      <c r="D2492" s="5" t="s">
        <v>42</v>
      </c>
      <c r="E2492" s="5" t="s">
        <v>382</v>
      </c>
    </row>
    <row r="2493" ht="15.75" customHeight="1">
      <c r="A2493" s="29"/>
      <c r="B2493" s="5" t="s">
        <v>5223</v>
      </c>
      <c r="C2493" s="5" t="s">
        <v>14</v>
      </c>
      <c r="D2493" s="5" t="s">
        <v>23</v>
      </c>
      <c r="E2493" s="5" t="s">
        <v>382</v>
      </c>
    </row>
    <row r="2494" ht="15.75" customHeight="1">
      <c r="A2494" s="29"/>
      <c r="B2494" s="5" t="s">
        <v>3958</v>
      </c>
      <c r="C2494" s="5" t="s">
        <v>79</v>
      </c>
      <c r="D2494" s="5" t="s">
        <v>23</v>
      </c>
      <c r="E2494" s="5" t="s">
        <v>382</v>
      </c>
    </row>
    <row r="2495" ht="15.75" customHeight="1">
      <c r="A2495" s="29"/>
      <c r="B2495" s="5" t="s">
        <v>3624</v>
      </c>
      <c r="C2495" s="5" t="s">
        <v>79</v>
      </c>
      <c r="D2495" s="5" t="s">
        <v>23</v>
      </c>
      <c r="E2495" s="5" t="s">
        <v>382</v>
      </c>
    </row>
    <row r="2496" ht="15.75" customHeight="1">
      <c r="A2496" s="29"/>
      <c r="B2496" s="5" t="s">
        <v>3600</v>
      </c>
      <c r="C2496" s="5" t="s">
        <v>79</v>
      </c>
      <c r="D2496" s="5" t="s">
        <v>67</v>
      </c>
      <c r="E2496" s="5" t="s">
        <v>382</v>
      </c>
    </row>
    <row r="2497" ht="15.75" customHeight="1">
      <c r="A2497" s="29"/>
      <c r="B2497" s="5" t="s">
        <v>3924</v>
      </c>
      <c r="C2497" s="5" t="s">
        <v>79</v>
      </c>
      <c r="D2497" s="5" t="s">
        <v>67</v>
      </c>
      <c r="E2497" s="5" t="s">
        <v>382</v>
      </c>
    </row>
    <row r="2498" ht="15.75" customHeight="1">
      <c r="A2498" s="29"/>
      <c r="B2498" s="5" t="s">
        <v>5164</v>
      </c>
      <c r="C2498" s="5" t="s">
        <v>14</v>
      </c>
      <c r="D2498" s="5" t="s">
        <v>67</v>
      </c>
      <c r="E2498" s="5" t="s">
        <v>382</v>
      </c>
    </row>
    <row r="2499" ht="15.75" customHeight="1">
      <c r="A2499" s="29"/>
      <c r="B2499" s="5" t="s">
        <v>3809</v>
      </c>
      <c r="C2499" s="5" t="s">
        <v>22</v>
      </c>
      <c r="D2499" s="5" t="s">
        <v>36</v>
      </c>
      <c r="E2499" s="5" t="s">
        <v>382</v>
      </c>
    </row>
    <row r="2500" ht="15.75" customHeight="1">
      <c r="A2500" s="29"/>
      <c r="B2500" s="5" t="s">
        <v>3661</v>
      </c>
      <c r="C2500" s="5" t="s">
        <v>22</v>
      </c>
      <c r="D2500" s="5" t="s">
        <v>120</v>
      </c>
      <c r="E2500" s="5" t="s">
        <v>382</v>
      </c>
    </row>
    <row r="2501" ht="15.75" customHeight="1">
      <c r="A2501" s="29"/>
      <c r="B2501" s="5" t="s">
        <v>5472</v>
      </c>
      <c r="C2501" s="5" t="s">
        <v>39</v>
      </c>
      <c r="D2501" s="5" t="s">
        <v>9</v>
      </c>
      <c r="E2501" s="5" t="s">
        <v>382</v>
      </c>
    </row>
    <row r="2502" ht="15.75" customHeight="1">
      <c r="A2502" s="29"/>
      <c r="B2502" s="5" t="s">
        <v>5100</v>
      </c>
      <c r="C2502" s="5" t="s">
        <v>14</v>
      </c>
      <c r="D2502" s="5" t="s">
        <v>9</v>
      </c>
      <c r="E2502" s="5" t="s">
        <v>382</v>
      </c>
    </row>
    <row r="2503" ht="15.75" customHeight="1">
      <c r="A2503" s="29"/>
      <c r="B2503" s="5" t="s">
        <v>5474</v>
      </c>
      <c r="C2503" s="5" t="s">
        <v>48</v>
      </c>
      <c r="D2503" s="5" t="s">
        <v>9</v>
      </c>
      <c r="E2503" s="5" t="s">
        <v>382</v>
      </c>
    </row>
    <row r="2504" ht="15.75" customHeight="1">
      <c r="A2504" s="29"/>
      <c r="B2504" s="5" t="s">
        <v>5384</v>
      </c>
      <c r="C2504" s="5" t="s">
        <v>17</v>
      </c>
      <c r="D2504" s="5" t="s">
        <v>137</v>
      </c>
      <c r="E2504" s="5" t="s">
        <v>382</v>
      </c>
    </row>
    <row r="2505" ht="15.75" customHeight="1">
      <c r="A2505" s="29"/>
      <c r="B2505" s="5" t="s">
        <v>3757</v>
      </c>
      <c r="C2505" s="5" t="s">
        <v>79</v>
      </c>
      <c r="D2505" s="5" t="s">
        <v>15</v>
      </c>
      <c r="E2505" s="5" t="s">
        <v>382</v>
      </c>
    </row>
    <row r="2506" ht="15.75" customHeight="1">
      <c r="A2506" s="29"/>
      <c r="B2506" s="5" t="s">
        <v>3927</v>
      </c>
      <c r="C2506" s="5" t="s">
        <v>22</v>
      </c>
      <c r="D2506" s="5" t="s">
        <v>120</v>
      </c>
      <c r="E2506" s="5" t="s">
        <v>382</v>
      </c>
    </row>
    <row r="2507" ht="15.75" customHeight="1">
      <c r="A2507" s="29"/>
      <c r="B2507" s="5" t="s">
        <v>3974</v>
      </c>
      <c r="C2507" s="5" t="s">
        <v>22</v>
      </c>
      <c r="D2507" s="5" t="s">
        <v>73</v>
      </c>
      <c r="E2507" s="5" t="s">
        <v>382</v>
      </c>
    </row>
    <row r="2508" ht="15.75" customHeight="1">
      <c r="A2508" s="29"/>
      <c r="B2508" s="5" t="s">
        <v>3638</v>
      </c>
      <c r="C2508" s="5" t="s">
        <v>79</v>
      </c>
      <c r="D2508" s="5" t="s">
        <v>73</v>
      </c>
      <c r="E2508" s="5" t="s">
        <v>382</v>
      </c>
    </row>
    <row r="2509" ht="15.75" customHeight="1">
      <c r="A2509" s="29"/>
      <c r="B2509" s="5" t="s">
        <v>3574</v>
      </c>
      <c r="C2509" s="5" t="s">
        <v>79</v>
      </c>
      <c r="D2509" s="5" t="s">
        <v>73</v>
      </c>
      <c r="E2509" s="5" t="s">
        <v>382</v>
      </c>
    </row>
    <row r="2510" ht="15.75" customHeight="1">
      <c r="A2510" s="29"/>
      <c r="B2510" s="5" t="s">
        <v>5426</v>
      </c>
      <c r="C2510" s="5" t="s">
        <v>55</v>
      </c>
      <c r="D2510" s="5" t="s">
        <v>140</v>
      </c>
      <c r="E2510" s="5" t="s">
        <v>382</v>
      </c>
    </row>
    <row r="2511" ht="15.75" customHeight="1">
      <c r="A2511" s="29"/>
      <c r="B2511" s="5" t="s">
        <v>3919</v>
      </c>
      <c r="C2511" s="5" t="s">
        <v>79</v>
      </c>
      <c r="D2511" s="5" t="s">
        <v>140</v>
      </c>
      <c r="E2511" s="5" t="s">
        <v>382</v>
      </c>
    </row>
    <row r="2512" ht="15.75" customHeight="1">
      <c r="A2512" s="29"/>
      <c r="B2512" s="5" t="s">
        <v>3929</v>
      </c>
      <c r="C2512" s="5" t="s">
        <v>22</v>
      </c>
      <c r="D2512" s="5" t="s">
        <v>99</v>
      </c>
      <c r="E2512" s="5" t="s">
        <v>382</v>
      </c>
    </row>
    <row r="2513" ht="15.75" customHeight="1">
      <c r="A2513" s="29"/>
      <c r="B2513" s="5" t="s">
        <v>5129</v>
      </c>
      <c r="C2513" s="5" t="s">
        <v>48</v>
      </c>
      <c r="D2513" s="5" t="s">
        <v>82</v>
      </c>
      <c r="E2513" s="5" t="s">
        <v>382</v>
      </c>
    </row>
    <row r="2514" ht="15.75" customHeight="1">
      <c r="A2514" s="29"/>
      <c r="B2514" s="5" t="s">
        <v>3628</v>
      </c>
      <c r="C2514" s="5" t="s">
        <v>79</v>
      </c>
      <c r="D2514" s="5" t="s">
        <v>82</v>
      </c>
      <c r="E2514" s="5" t="s">
        <v>382</v>
      </c>
    </row>
    <row r="2515" ht="15.75" customHeight="1">
      <c r="A2515" s="29"/>
      <c r="B2515" s="5" t="s">
        <v>3570</v>
      </c>
      <c r="C2515" s="5" t="s">
        <v>79</v>
      </c>
      <c r="D2515" s="5" t="s">
        <v>82</v>
      </c>
      <c r="E2515" s="5" t="s">
        <v>382</v>
      </c>
    </row>
    <row r="2516" ht="15.75" customHeight="1">
      <c r="A2516" s="29"/>
      <c r="B2516" s="5" t="s">
        <v>3967</v>
      </c>
      <c r="C2516" s="5" t="s">
        <v>79</v>
      </c>
      <c r="D2516" s="5" t="s">
        <v>52</v>
      </c>
      <c r="E2516" s="5" t="s">
        <v>382</v>
      </c>
    </row>
    <row r="2517" ht="15.75" customHeight="1">
      <c r="A2517" s="29"/>
      <c r="B2517" s="5" t="s">
        <v>5166</v>
      </c>
      <c r="C2517" s="5" t="s">
        <v>14</v>
      </c>
      <c r="D2517" s="5" t="s">
        <v>140</v>
      </c>
      <c r="E2517" s="5" t="s">
        <v>382</v>
      </c>
    </row>
    <row r="2518" ht="15.75" customHeight="1">
      <c r="A2518" s="29"/>
      <c r="B2518" s="5" t="s">
        <v>3689</v>
      </c>
      <c r="C2518" s="5" t="s">
        <v>22</v>
      </c>
      <c r="D2518" s="5" t="s">
        <v>140</v>
      </c>
      <c r="E2518" s="5" t="s">
        <v>382</v>
      </c>
    </row>
    <row r="2519" ht="15.75" customHeight="1">
      <c r="A2519" s="29"/>
      <c r="B2519" s="5" t="s">
        <v>5311</v>
      </c>
      <c r="C2519" s="5" t="s">
        <v>11</v>
      </c>
      <c r="D2519" s="5" t="s">
        <v>140</v>
      </c>
      <c r="E2519" s="5" t="s">
        <v>382</v>
      </c>
    </row>
    <row r="2520" ht="15.75" customHeight="1">
      <c r="A2520" s="29"/>
      <c r="B2520" s="5" t="s">
        <v>5108</v>
      </c>
      <c r="C2520" s="5" t="s">
        <v>14</v>
      </c>
      <c r="D2520" s="5" t="s">
        <v>140</v>
      </c>
      <c r="E2520" s="5" t="s">
        <v>382</v>
      </c>
    </row>
    <row r="2521" ht="15.75" customHeight="1">
      <c r="A2521" s="29"/>
      <c r="B2521" s="5" t="s">
        <v>4959</v>
      </c>
      <c r="C2521" s="5" t="s">
        <v>77</v>
      </c>
      <c r="D2521" s="5" t="s">
        <v>140</v>
      </c>
      <c r="E2521" s="5" t="s">
        <v>382</v>
      </c>
    </row>
    <row r="2522" ht="15.75" customHeight="1">
      <c r="A2522" s="29"/>
      <c r="B2522" s="5" t="s">
        <v>3964</v>
      </c>
      <c r="C2522" s="5" t="s">
        <v>22</v>
      </c>
      <c r="D2522" s="5" t="s">
        <v>120</v>
      </c>
      <c r="E2522" s="5" t="s">
        <v>382</v>
      </c>
    </row>
    <row r="2523" ht="15.75" customHeight="1">
      <c r="A2523" s="29"/>
      <c r="B2523" s="5" t="s">
        <v>5305</v>
      </c>
      <c r="C2523" s="5" t="s">
        <v>14</v>
      </c>
      <c r="D2523" s="5" t="s">
        <v>49</v>
      </c>
      <c r="E2523" s="5" t="s">
        <v>382</v>
      </c>
    </row>
    <row r="2524" ht="15.75" customHeight="1">
      <c r="A2524" s="29"/>
      <c r="B2524" s="5" t="s">
        <v>3811</v>
      </c>
      <c r="C2524" s="5" t="s">
        <v>22</v>
      </c>
      <c r="D2524" s="5" t="s">
        <v>120</v>
      </c>
      <c r="E2524" s="5" t="s">
        <v>382</v>
      </c>
    </row>
    <row r="2525" ht="15.75" customHeight="1">
      <c r="A2525" s="29"/>
      <c r="B2525" s="5" t="s">
        <v>3838</v>
      </c>
      <c r="C2525" s="5" t="s">
        <v>22</v>
      </c>
      <c r="D2525" s="5" t="s">
        <v>49</v>
      </c>
      <c r="E2525" s="5" t="s">
        <v>382</v>
      </c>
    </row>
    <row r="2526" ht="15.75" customHeight="1">
      <c r="A2526" s="29"/>
      <c r="B2526" s="5" t="s">
        <v>5094</v>
      </c>
      <c r="C2526" s="5" t="s">
        <v>14</v>
      </c>
      <c r="D2526" s="5" t="s">
        <v>49</v>
      </c>
      <c r="E2526" s="5" t="s">
        <v>382</v>
      </c>
    </row>
    <row r="2527" ht="15.75" customHeight="1">
      <c r="A2527" s="29"/>
      <c r="B2527" s="5" t="s">
        <v>4972</v>
      </c>
      <c r="C2527" s="5" t="s">
        <v>17</v>
      </c>
      <c r="D2527" s="5" t="s">
        <v>49</v>
      </c>
      <c r="E2527" s="5" t="s">
        <v>382</v>
      </c>
    </row>
    <row r="2528" ht="15.75" customHeight="1">
      <c r="A2528" s="29"/>
      <c r="B2528" s="5" t="s">
        <v>3905</v>
      </c>
      <c r="C2528" s="5" t="s">
        <v>22</v>
      </c>
      <c r="D2528" s="5" t="s">
        <v>49</v>
      </c>
      <c r="E2528" s="5" t="s">
        <v>382</v>
      </c>
    </row>
    <row r="2529" ht="15.75" customHeight="1">
      <c r="A2529" s="29"/>
      <c r="B2529" s="5" t="s">
        <v>3750</v>
      </c>
      <c r="C2529" s="5" t="s">
        <v>22</v>
      </c>
      <c r="D2529" s="5" t="s">
        <v>49</v>
      </c>
      <c r="E2529" s="5" t="s">
        <v>382</v>
      </c>
    </row>
    <row r="2530" ht="15.75" customHeight="1">
      <c r="A2530" s="29"/>
      <c r="B2530" s="5" t="s">
        <v>3601</v>
      </c>
      <c r="C2530" s="5" t="s">
        <v>22</v>
      </c>
      <c r="D2530" s="5" t="s">
        <v>49</v>
      </c>
      <c r="E2530" s="5" t="s">
        <v>382</v>
      </c>
    </row>
    <row r="2531" ht="15.75" customHeight="1">
      <c r="A2531" s="29"/>
      <c r="B2531" s="5" t="s">
        <v>5390</v>
      </c>
      <c r="C2531" s="5" t="s">
        <v>39</v>
      </c>
      <c r="D2531" s="5" t="s">
        <v>73</v>
      </c>
      <c r="E2531" s="5" t="s">
        <v>382</v>
      </c>
    </row>
    <row r="2532" ht="15.75" customHeight="1">
      <c r="A2532" s="29"/>
      <c r="B2532" s="5" t="s">
        <v>5203</v>
      </c>
      <c r="C2532" s="5" t="s">
        <v>48</v>
      </c>
      <c r="D2532" s="5" t="s">
        <v>73</v>
      </c>
      <c r="E2532" s="5" t="s">
        <v>382</v>
      </c>
    </row>
    <row r="2533" ht="15.75" customHeight="1">
      <c r="A2533" s="29"/>
      <c r="B2533" s="5" t="s">
        <v>5029</v>
      </c>
      <c r="C2533" s="5" t="s">
        <v>39</v>
      </c>
      <c r="D2533" s="5" t="s">
        <v>73</v>
      </c>
      <c r="E2533" s="5" t="s">
        <v>382</v>
      </c>
    </row>
    <row r="2534" ht="15.75" customHeight="1">
      <c r="A2534" s="29"/>
      <c r="B2534" s="5" t="s">
        <v>5456</v>
      </c>
      <c r="C2534" s="5" t="s">
        <v>11</v>
      </c>
      <c r="D2534" s="5" t="s">
        <v>73</v>
      </c>
      <c r="E2534" s="5" t="s">
        <v>382</v>
      </c>
    </row>
    <row r="2535" ht="15.75" customHeight="1">
      <c r="A2535" s="29"/>
      <c r="B2535" s="5" t="s">
        <v>5013</v>
      </c>
      <c r="C2535" s="5" t="s">
        <v>14</v>
      </c>
      <c r="D2535" s="5" t="s">
        <v>73</v>
      </c>
      <c r="E2535" s="5" t="s">
        <v>382</v>
      </c>
    </row>
    <row r="2536" ht="15.75" customHeight="1">
      <c r="A2536" s="29"/>
      <c r="B2536" s="5" t="s">
        <v>5455</v>
      </c>
      <c r="C2536" s="5" t="s">
        <v>14</v>
      </c>
      <c r="D2536" s="5" t="s">
        <v>73</v>
      </c>
      <c r="E2536" s="5" t="s">
        <v>382</v>
      </c>
    </row>
    <row r="2537" ht="15.75" customHeight="1">
      <c r="A2537" s="29"/>
      <c r="B2537" s="5" t="s">
        <v>5110</v>
      </c>
      <c r="C2537" s="5" t="s">
        <v>14</v>
      </c>
      <c r="D2537" s="5" t="s">
        <v>42</v>
      </c>
      <c r="E2537" s="5" t="s">
        <v>382</v>
      </c>
    </row>
    <row r="2538" ht="15.75" customHeight="1">
      <c r="A2538" s="29"/>
      <c r="B2538" s="5" t="s">
        <v>3752</v>
      </c>
      <c r="C2538" s="5" t="s">
        <v>22</v>
      </c>
      <c r="D2538" s="5" t="s">
        <v>42</v>
      </c>
      <c r="E2538" s="5" t="s">
        <v>382</v>
      </c>
    </row>
    <row r="2539" ht="15.75" customHeight="1">
      <c r="A2539" s="29"/>
      <c r="B2539" s="5" t="s">
        <v>3954</v>
      </c>
      <c r="C2539" s="5" t="s">
        <v>22</v>
      </c>
      <c r="D2539" s="5" t="s">
        <v>42</v>
      </c>
      <c r="E2539" s="5" t="s">
        <v>382</v>
      </c>
    </row>
    <row r="2540" ht="15.75" customHeight="1">
      <c r="A2540" s="29"/>
      <c r="B2540" s="5" t="s">
        <v>3850</v>
      </c>
      <c r="C2540" s="5" t="s">
        <v>79</v>
      </c>
      <c r="D2540" s="5" t="s">
        <v>42</v>
      </c>
      <c r="E2540" s="5" t="s">
        <v>382</v>
      </c>
    </row>
    <row r="2541" ht="15.75" customHeight="1">
      <c r="A2541" s="29"/>
      <c r="B2541" s="5" t="s">
        <v>5176</v>
      </c>
      <c r="C2541" s="5" t="s">
        <v>11</v>
      </c>
      <c r="D2541" s="5" t="s">
        <v>42</v>
      </c>
      <c r="E2541" s="5" t="s">
        <v>382</v>
      </c>
    </row>
    <row r="2542" ht="15.75" customHeight="1">
      <c r="A2542" s="29"/>
      <c r="B2542" s="5" t="s">
        <v>5034</v>
      </c>
      <c r="C2542" s="5" t="s">
        <v>139</v>
      </c>
      <c r="D2542" s="5" t="s">
        <v>42</v>
      </c>
      <c r="E2542" s="5" t="s">
        <v>382</v>
      </c>
    </row>
    <row r="2543" ht="15.75" customHeight="1">
      <c r="A2543" s="29"/>
      <c r="B2543" s="5" t="s">
        <v>5258</v>
      </c>
      <c r="C2543" s="5" t="s">
        <v>14</v>
      </c>
      <c r="D2543" s="5" t="s">
        <v>42</v>
      </c>
      <c r="E2543" s="5" t="s">
        <v>382</v>
      </c>
    </row>
    <row r="2544" ht="15.75" customHeight="1">
      <c r="A2544" s="29"/>
      <c r="B2544" s="5" t="s">
        <v>5076</v>
      </c>
      <c r="C2544" s="5" t="s">
        <v>77</v>
      </c>
      <c r="D2544" s="5" t="s">
        <v>42</v>
      </c>
      <c r="E2544" s="5" t="s">
        <v>382</v>
      </c>
    </row>
    <row r="2545" ht="15.75" customHeight="1">
      <c r="A2545" s="29"/>
      <c r="B2545" s="5" t="s">
        <v>3847</v>
      </c>
      <c r="C2545" s="5" t="s">
        <v>14</v>
      </c>
      <c r="D2545" s="5" t="s">
        <v>206</v>
      </c>
      <c r="E2545" s="5" t="s">
        <v>382</v>
      </c>
    </row>
    <row r="2546" ht="15.75" customHeight="1">
      <c r="A2546" s="29"/>
      <c r="B2546" s="5" t="s">
        <v>3642</v>
      </c>
      <c r="C2546" s="5" t="s">
        <v>22</v>
      </c>
      <c r="D2546" s="5" t="s">
        <v>206</v>
      </c>
      <c r="E2546" s="5" t="s">
        <v>382</v>
      </c>
    </row>
    <row r="2547" ht="15.75" customHeight="1">
      <c r="A2547" s="29"/>
      <c r="B2547" s="5" t="s">
        <v>5312</v>
      </c>
      <c r="C2547" s="5" t="s">
        <v>14</v>
      </c>
      <c r="D2547" s="5" t="s">
        <v>206</v>
      </c>
      <c r="E2547" s="5" t="s">
        <v>382</v>
      </c>
    </row>
    <row r="2548" ht="15.75" customHeight="1">
      <c r="A2548" s="29"/>
      <c r="B2548" s="5" t="s">
        <v>3868</v>
      </c>
      <c r="C2548" s="5" t="s">
        <v>22</v>
      </c>
      <c r="D2548" s="5" t="s">
        <v>206</v>
      </c>
      <c r="E2548" s="5" t="s">
        <v>382</v>
      </c>
    </row>
    <row r="2549" ht="15.75" customHeight="1">
      <c r="A2549" s="29"/>
      <c r="B2549" s="5" t="s">
        <v>3663</v>
      </c>
      <c r="C2549" s="5" t="s">
        <v>22</v>
      </c>
      <c r="D2549" s="5" t="s">
        <v>206</v>
      </c>
      <c r="E2549" s="5" t="s">
        <v>382</v>
      </c>
    </row>
    <row r="2550" ht="15.75" customHeight="1">
      <c r="A2550" s="29"/>
      <c r="B2550" s="5" t="s">
        <v>5173</v>
      </c>
      <c r="C2550" s="5" t="s">
        <v>14</v>
      </c>
      <c r="D2550" s="5" t="s">
        <v>206</v>
      </c>
      <c r="E2550" s="5" t="s">
        <v>382</v>
      </c>
    </row>
    <row r="2551" ht="15.75" customHeight="1">
      <c r="A2551" s="29"/>
      <c r="B2551" s="5" t="s">
        <v>5105</v>
      </c>
      <c r="C2551" s="5" t="s">
        <v>55</v>
      </c>
      <c r="D2551" s="5" t="s">
        <v>206</v>
      </c>
      <c r="E2551" s="5" t="s">
        <v>382</v>
      </c>
    </row>
    <row r="2552" ht="15.75" customHeight="1">
      <c r="A2552" s="29"/>
      <c r="B2552" s="5" t="s">
        <v>4986</v>
      </c>
      <c r="C2552" s="5" t="s">
        <v>14</v>
      </c>
      <c r="D2552" s="5" t="s">
        <v>129</v>
      </c>
      <c r="E2552" s="5" t="s">
        <v>382</v>
      </c>
    </row>
    <row r="2553" ht="15.75" customHeight="1">
      <c r="A2553" s="29"/>
      <c r="B2553" s="5" t="s">
        <v>4927</v>
      </c>
      <c r="C2553" s="5" t="s">
        <v>39</v>
      </c>
      <c r="D2553" s="5" t="s">
        <v>129</v>
      </c>
      <c r="E2553" s="5" t="s">
        <v>382</v>
      </c>
    </row>
    <row r="2554" ht="15.75" customHeight="1">
      <c r="A2554" s="29"/>
      <c r="B2554" s="5" t="s">
        <v>3715</v>
      </c>
      <c r="C2554" s="5" t="s">
        <v>22</v>
      </c>
      <c r="D2554" s="5" t="s">
        <v>129</v>
      </c>
      <c r="E2554" s="5" t="s">
        <v>382</v>
      </c>
    </row>
    <row r="2555" ht="15.75" customHeight="1">
      <c r="A2555" s="29"/>
      <c r="B2555" s="5" t="s">
        <v>5359</v>
      </c>
      <c r="C2555" s="5" t="s">
        <v>89</v>
      </c>
      <c r="D2555" s="5" t="s">
        <v>129</v>
      </c>
      <c r="E2555" s="5" t="s">
        <v>382</v>
      </c>
    </row>
    <row r="2556" ht="15.75" customHeight="1">
      <c r="A2556" s="29"/>
      <c r="B2556" s="5" t="s">
        <v>5485</v>
      </c>
      <c r="C2556" s="5" t="s">
        <v>77</v>
      </c>
      <c r="D2556" s="5" t="s">
        <v>129</v>
      </c>
      <c r="E2556" s="5" t="s">
        <v>382</v>
      </c>
    </row>
    <row r="2557" ht="15.75" customHeight="1">
      <c r="A2557" s="29"/>
      <c r="B2557" s="5" t="s">
        <v>3590</v>
      </c>
      <c r="C2557" s="5" t="s">
        <v>22</v>
      </c>
      <c r="D2557" s="5" t="s">
        <v>129</v>
      </c>
      <c r="E2557" s="5" t="s">
        <v>382</v>
      </c>
    </row>
    <row r="2558" ht="15.75" customHeight="1">
      <c r="A2558" s="29"/>
      <c r="B2558" s="5" t="s">
        <v>3751</v>
      </c>
      <c r="C2558" s="5" t="s">
        <v>22</v>
      </c>
      <c r="D2558" s="5" t="s">
        <v>129</v>
      </c>
      <c r="E2558" s="5" t="s">
        <v>382</v>
      </c>
    </row>
    <row r="2559" ht="15.75" customHeight="1">
      <c r="A2559" s="29"/>
      <c r="B2559" s="5" t="s">
        <v>5303</v>
      </c>
      <c r="C2559" s="5" t="s">
        <v>39</v>
      </c>
      <c r="D2559" s="5" t="s">
        <v>129</v>
      </c>
      <c r="E2559" s="5" t="s">
        <v>382</v>
      </c>
    </row>
    <row r="2560" ht="15.75" customHeight="1">
      <c r="A2560" s="29"/>
      <c r="B2560" s="5" t="s">
        <v>5503</v>
      </c>
      <c r="C2560" s="5" t="s">
        <v>77</v>
      </c>
      <c r="D2560" s="5" t="s">
        <v>129</v>
      </c>
      <c r="E2560" s="5" t="s">
        <v>382</v>
      </c>
    </row>
    <row r="2561" ht="15.75" customHeight="1">
      <c r="A2561" s="29"/>
      <c r="B2561" s="5" t="s">
        <v>5021</v>
      </c>
      <c r="C2561" s="5" t="s">
        <v>39</v>
      </c>
      <c r="D2561" s="5" t="s">
        <v>129</v>
      </c>
      <c r="E2561" s="5" t="s">
        <v>382</v>
      </c>
    </row>
    <row r="2562" ht="15.75" customHeight="1">
      <c r="A2562" s="29"/>
      <c r="B2562" s="5" t="s">
        <v>5217</v>
      </c>
      <c r="C2562" s="5" t="s">
        <v>8</v>
      </c>
      <c r="D2562" s="5" t="s">
        <v>12</v>
      </c>
      <c r="E2562" s="5" t="s">
        <v>382</v>
      </c>
    </row>
    <row r="2563" ht="15.75" customHeight="1">
      <c r="A2563" s="29"/>
      <c r="B2563" s="5" t="s">
        <v>3687</v>
      </c>
      <c r="C2563" s="5" t="s">
        <v>22</v>
      </c>
      <c r="D2563" s="5" t="s">
        <v>12</v>
      </c>
      <c r="E2563" s="5" t="s">
        <v>382</v>
      </c>
    </row>
    <row r="2564" ht="15.75" customHeight="1">
      <c r="A2564" s="29"/>
      <c r="B2564" s="5" t="s">
        <v>3580</v>
      </c>
      <c r="C2564" s="5" t="s">
        <v>22</v>
      </c>
      <c r="D2564" s="5" t="s">
        <v>12</v>
      </c>
      <c r="E2564" s="5" t="s">
        <v>382</v>
      </c>
    </row>
    <row r="2565" ht="15.75" customHeight="1">
      <c r="A2565" s="29"/>
      <c r="B2565" s="5" t="s">
        <v>4022</v>
      </c>
      <c r="C2565" s="5" t="s">
        <v>22</v>
      </c>
      <c r="D2565" s="5" t="s">
        <v>12</v>
      </c>
      <c r="E2565" s="5" t="s">
        <v>382</v>
      </c>
    </row>
    <row r="2566" ht="15.75" customHeight="1">
      <c r="A2566" s="29"/>
      <c r="B2566" s="5" t="s">
        <v>5249</v>
      </c>
      <c r="C2566" s="5" t="s">
        <v>39</v>
      </c>
      <c r="D2566" s="5" t="s">
        <v>12</v>
      </c>
      <c r="E2566" s="5" t="s">
        <v>382</v>
      </c>
    </row>
    <row r="2567" ht="15.75" customHeight="1">
      <c r="A2567" s="29"/>
      <c r="B2567" s="5" t="s">
        <v>3815</v>
      </c>
      <c r="C2567" s="5" t="s">
        <v>22</v>
      </c>
      <c r="D2567" s="5" t="s">
        <v>12</v>
      </c>
      <c r="E2567" s="5" t="s">
        <v>382</v>
      </c>
    </row>
    <row r="2568" ht="15.75" customHeight="1">
      <c r="A2568" s="29"/>
      <c r="B2568" s="5" t="s">
        <v>4976</v>
      </c>
      <c r="C2568" s="5" t="s">
        <v>39</v>
      </c>
      <c r="D2568" s="5" t="s">
        <v>105</v>
      </c>
      <c r="E2568" s="5" t="s">
        <v>382</v>
      </c>
    </row>
    <row r="2569" ht="15.75" customHeight="1">
      <c r="A2569" s="29"/>
      <c r="B2569" s="5" t="s">
        <v>3837</v>
      </c>
      <c r="C2569" s="5" t="s">
        <v>22</v>
      </c>
      <c r="D2569" s="5" t="s">
        <v>105</v>
      </c>
      <c r="E2569" s="5" t="s">
        <v>382</v>
      </c>
    </row>
    <row r="2570" ht="15.75" customHeight="1">
      <c r="A2570" s="29"/>
      <c r="B2570" s="5" t="s">
        <v>3897</v>
      </c>
      <c r="C2570" s="5" t="s">
        <v>22</v>
      </c>
      <c r="D2570" s="5" t="s">
        <v>105</v>
      </c>
      <c r="E2570" s="5" t="s">
        <v>382</v>
      </c>
    </row>
    <row r="2571" ht="15.75" customHeight="1">
      <c r="A2571" s="29"/>
      <c r="B2571" s="5" t="s">
        <v>4955</v>
      </c>
      <c r="C2571" s="5" t="s">
        <v>77</v>
      </c>
      <c r="D2571" s="5" t="s">
        <v>105</v>
      </c>
      <c r="E2571" s="5" t="s">
        <v>382</v>
      </c>
    </row>
    <row r="2572" ht="15.75" customHeight="1">
      <c r="A2572" s="29"/>
      <c r="B2572" s="5" t="s">
        <v>3880</v>
      </c>
      <c r="C2572" s="5" t="s">
        <v>22</v>
      </c>
      <c r="D2572" s="5" t="s">
        <v>105</v>
      </c>
      <c r="E2572" s="5" t="s">
        <v>382</v>
      </c>
    </row>
    <row r="2573" ht="15.75" customHeight="1">
      <c r="A2573" s="29"/>
      <c r="B2573" s="5" t="s">
        <v>4982</v>
      </c>
      <c r="C2573" s="5" t="s">
        <v>14</v>
      </c>
      <c r="D2573" s="5" t="s">
        <v>105</v>
      </c>
      <c r="E2573" s="5" t="s">
        <v>382</v>
      </c>
    </row>
    <row r="2574" ht="15.75" customHeight="1">
      <c r="A2574" s="29"/>
      <c r="B2574" s="5" t="s">
        <v>5159</v>
      </c>
      <c r="C2574" s="5" t="s">
        <v>89</v>
      </c>
      <c r="D2574" s="5" t="s">
        <v>105</v>
      </c>
      <c r="E2574" s="5" t="s">
        <v>382</v>
      </c>
    </row>
    <row r="2575" ht="15.75" customHeight="1">
      <c r="A2575" s="29"/>
      <c r="B2575" s="5" t="s">
        <v>5239</v>
      </c>
      <c r="C2575" s="5" t="s">
        <v>14</v>
      </c>
      <c r="D2575" s="5" t="s">
        <v>46</v>
      </c>
      <c r="E2575" s="5" t="s">
        <v>382</v>
      </c>
    </row>
    <row r="2576" ht="15.75" customHeight="1">
      <c r="A2576" s="29"/>
      <c r="B2576" s="5" t="s">
        <v>5490</v>
      </c>
      <c r="C2576" s="5" t="s">
        <v>11</v>
      </c>
      <c r="D2576" s="5" t="s">
        <v>46</v>
      </c>
      <c r="E2576" s="5" t="s">
        <v>382</v>
      </c>
    </row>
    <row r="2577" ht="15.75" customHeight="1">
      <c r="A2577" s="29"/>
      <c r="B2577" s="5" t="s">
        <v>3606</v>
      </c>
      <c r="C2577" s="5" t="s">
        <v>22</v>
      </c>
      <c r="D2577" s="5" t="s">
        <v>46</v>
      </c>
      <c r="E2577" s="5" t="s">
        <v>382</v>
      </c>
    </row>
    <row r="2578" ht="15.75" customHeight="1">
      <c r="A2578" s="29"/>
      <c r="B2578" s="5" t="s">
        <v>5056</v>
      </c>
      <c r="C2578" s="5" t="s">
        <v>14</v>
      </c>
      <c r="D2578" s="5" t="s">
        <v>46</v>
      </c>
      <c r="E2578" s="5" t="s">
        <v>382</v>
      </c>
    </row>
    <row r="2579" ht="15.75" customHeight="1">
      <c r="A2579" s="29"/>
      <c r="B2579" s="5" t="s">
        <v>5489</v>
      </c>
      <c r="C2579" s="5" t="s">
        <v>240</v>
      </c>
      <c r="D2579" s="5" t="s">
        <v>46</v>
      </c>
      <c r="E2579" s="5" t="s">
        <v>382</v>
      </c>
    </row>
    <row r="2580" ht="15.75" customHeight="1">
      <c r="A2580" s="29"/>
      <c r="B2580" s="5" t="s">
        <v>3959</v>
      </c>
      <c r="C2580" s="5" t="s">
        <v>22</v>
      </c>
      <c r="D2580" s="5" t="s">
        <v>46</v>
      </c>
      <c r="E2580" s="5" t="s">
        <v>382</v>
      </c>
    </row>
    <row r="2581" ht="15.75" customHeight="1">
      <c r="A2581" s="29"/>
      <c r="B2581" s="5" t="s">
        <v>3771</v>
      </c>
      <c r="C2581" s="5" t="s">
        <v>22</v>
      </c>
      <c r="D2581" s="5" t="s">
        <v>46</v>
      </c>
      <c r="E2581" s="5" t="s">
        <v>382</v>
      </c>
    </row>
    <row r="2582" ht="15.75" customHeight="1">
      <c r="A2582" s="29"/>
      <c r="B2582" s="5" t="s">
        <v>5063</v>
      </c>
      <c r="C2582" s="5" t="s">
        <v>8</v>
      </c>
      <c r="D2582" s="5" t="s">
        <v>46</v>
      </c>
      <c r="E2582" s="5" t="s">
        <v>382</v>
      </c>
    </row>
    <row r="2583" ht="15.75" customHeight="1">
      <c r="A2583" s="29"/>
      <c r="B2583" s="5" t="s">
        <v>3873</v>
      </c>
      <c r="C2583" s="5" t="s">
        <v>22</v>
      </c>
      <c r="D2583" s="5" t="s">
        <v>46</v>
      </c>
      <c r="E2583" s="5" t="s">
        <v>382</v>
      </c>
    </row>
    <row r="2584" ht="15.75" customHeight="1">
      <c r="A2584" s="29"/>
      <c r="B2584" s="5" t="s">
        <v>3876</v>
      </c>
      <c r="C2584" s="5" t="s">
        <v>22</v>
      </c>
      <c r="D2584" s="5" t="s">
        <v>113</v>
      </c>
      <c r="E2584" s="5" t="s">
        <v>382</v>
      </c>
    </row>
    <row r="2585" ht="15.75" customHeight="1">
      <c r="A2585" s="29"/>
      <c r="B2585" s="5" t="s">
        <v>3630</v>
      </c>
      <c r="C2585" s="5" t="s">
        <v>22</v>
      </c>
      <c r="D2585" s="5" t="s">
        <v>113</v>
      </c>
      <c r="E2585" s="5" t="s">
        <v>382</v>
      </c>
    </row>
    <row r="2586" ht="15.75" customHeight="1">
      <c r="A2586" s="29"/>
      <c r="B2586" s="5" t="s">
        <v>5130</v>
      </c>
      <c r="C2586" s="5" t="s">
        <v>89</v>
      </c>
      <c r="D2586" s="5" t="s">
        <v>113</v>
      </c>
      <c r="E2586" s="5" t="s">
        <v>382</v>
      </c>
    </row>
    <row r="2587" ht="15.75" customHeight="1">
      <c r="A2587" s="29"/>
      <c r="B2587" s="5" t="s">
        <v>3926</v>
      </c>
      <c r="C2587" s="5" t="s">
        <v>22</v>
      </c>
      <c r="D2587" s="5" t="s">
        <v>113</v>
      </c>
      <c r="E2587" s="5" t="s">
        <v>382</v>
      </c>
    </row>
    <row r="2588" ht="15.75" customHeight="1">
      <c r="A2588" s="29"/>
      <c r="B2588" s="5" t="s">
        <v>5340</v>
      </c>
      <c r="C2588" s="5" t="s">
        <v>17</v>
      </c>
      <c r="D2588" s="5" t="s">
        <v>113</v>
      </c>
      <c r="E2588" s="5" t="s">
        <v>382</v>
      </c>
    </row>
    <row r="2589" ht="15.75" customHeight="1">
      <c r="A2589" s="29"/>
      <c r="B2589" s="5" t="s">
        <v>5479</v>
      </c>
      <c r="C2589" s="5" t="s">
        <v>14</v>
      </c>
      <c r="D2589" s="5" t="s">
        <v>113</v>
      </c>
      <c r="E2589" s="5" t="s">
        <v>382</v>
      </c>
    </row>
    <row r="2590" ht="15.75" customHeight="1">
      <c r="A2590" s="29"/>
      <c r="B2590" s="5" t="s">
        <v>4916</v>
      </c>
      <c r="C2590" s="5" t="s">
        <v>14</v>
      </c>
      <c r="D2590" s="5" t="s">
        <v>113</v>
      </c>
      <c r="E2590" s="5" t="s">
        <v>382</v>
      </c>
    </row>
    <row r="2591" ht="15.75" customHeight="1">
      <c r="A2591" s="29"/>
      <c r="B2591" s="5" t="s">
        <v>3706</v>
      </c>
      <c r="C2591" s="5" t="s">
        <v>22</v>
      </c>
      <c r="D2591" s="5" t="s">
        <v>113</v>
      </c>
      <c r="E2591" s="5" t="s">
        <v>382</v>
      </c>
    </row>
    <row r="2592" ht="15.75" customHeight="1">
      <c r="A2592" s="29"/>
      <c r="B2592" s="5" t="s">
        <v>4944</v>
      </c>
      <c r="C2592" s="5" t="s">
        <v>11</v>
      </c>
      <c r="D2592" s="5" t="s">
        <v>113</v>
      </c>
      <c r="E2592" s="5" t="s">
        <v>382</v>
      </c>
    </row>
    <row r="2593" ht="15.75" customHeight="1">
      <c r="A2593" s="29"/>
      <c r="B2593" s="5" t="s">
        <v>5113</v>
      </c>
      <c r="C2593" s="5" t="s">
        <v>89</v>
      </c>
      <c r="D2593" s="5" t="s">
        <v>113</v>
      </c>
      <c r="E2593" s="5" t="s">
        <v>382</v>
      </c>
    </row>
    <row r="2594" ht="15.75" customHeight="1">
      <c r="A2594" s="29"/>
      <c r="B2594" s="5" t="s">
        <v>5073</v>
      </c>
      <c r="C2594" s="5" t="s">
        <v>14</v>
      </c>
      <c r="D2594" s="5" t="s">
        <v>113</v>
      </c>
      <c r="E2594" s="5" t="s">
        <v>382</v>
      </c>
    </row>
    <row r="2595" ht="15.75" customHeight="1">
      <c r="A2595" s="29"/>
      <c r="B2595" s="5" t="s">
        <v>5197</v>
      </c>
      <c r="C2595" s="5" t="s">
        <v>14</v>
      </c>
      <c r="D2595" s="5" t="s">
        <v>113</v>
      </c>
      <c r="E2595" s="5" t="s">
        <v>382</v>
      </c>
    </row>
    <row r="2596" ht="15.75" customHeight="1">
      <c r="A2596" s="29"/>
      <c r="B2596" s="5" t="s">
        <v>5290</v>
      </c>
      <c r="C2596" s="5" t="s">
        <v>39</v>
      </c>
      <c r="D2596" s="5" t="s">
        <v>27</v>
      </c>
      <c r="E2596" s="5" t="s">
        <v>382</v>
      </c>
    </row>
    <row r="2597" ht="15.75" customHeight="1">
      <c r="A2597" s="29"/>
      <c r="B2597" s="5" t="s">
        <v>5461</v>
      </c>
      <c r="C2597" s="5" t="s">
        <v>77</v>
      </c>
      <c r="D2597" s="5" t="s">
        <v>27</v>
      </c>
      <c r="E2597" s="5" t="s">
        <v>382</v>
      </c>
    </row>
    <row r="2598" ht="15.75" customHeight="1">
      <c r="A2598" s="29"/>
      <c r="B2598" s="5" t="s">
        <v>5154</v>
      </c>
      <c r="C2598" s="5" t="s">
        <v>14</v>
      </c>
      <c r="D2598" s="5" t="s">
        <v>27</v>
      </c>
      <c r="E2598" s="5" t="s">
        <v>382</v>
      </c>
    </row>
    <row r="2599" ht="15.75" customHeight="1">
      <c r="A2599" s="29"/>
      <c r="B2599" s="5" t="s">
        <v>5281</v>
      </c>
      <c r="C2599" s="5" t="s">
        <v>39</v>
      </c>
      <c r="D2599" s="5" t="s">
        <v>27</v>
      </c>
      <c r="E2599" s="5" t="s">
        <v>382</v>
      </c>
    </row>
    <row r="2600" ht="15.75" customHeight="1">
      <c r="A2600" s="29"/>
      <c r="B2600" s="5" t="s">
        <v>3952</v>
      </c>
      <c r="C2600" s="5" t="s">
        <v>22</v>
      </c>
      <c r="D2600" s="5" t="s">
        <v>27</v>
      </c>
      <c r="E2600" s="5" t="s">
        <v>382</v>
      </c>
    </row>
    <row r="2601" ht="15.75" customHeight="1">
      <c r="A2601" s="29"/>
      <c r="B2601" s="5" t="s">
        <v>4912</v>
      </c>
      <c r="C2601" s="5" t="s">
        <v>39</v>
      </c>
      <c r="D2601" s="5" t="s">
        <v>27</v>
      </c>
      <c r="E2601" s="5" t="s">
        <v>382</v>
      </c>
    </row>
    <row r="2602" ht="15.75" customHeight="1">
      <c r="A2602" s="29"/>
      <c r="B2602" s="5" t="s">
        <v>5147</v>
      </c>
      <c r="C2602" s="5" t="s">
        <v>77</v>
      </c>
      <c r="D2602" s="5" t="s">
        <v>27</v>
      </c>
      <c r="E2602" s="5" t="s">
        <v>382</v>
      </c>
    </row>
    <row r="2603" ht="15.75" customHeight="1">
      <c r="A2603" s="29"/>
      <c r="B2603" s="5" t="s">
        <v>3742</v>
      </c>
      <c r="C2603" s="5" t="s">
        <v>22</v>
      </c>
      <c r="D2603" s="5" t="s">
        <v>27</v>
      </c>
      <c r="E2603" s="5" t="s">
        <v>382</v>
      </c>
    </row>
    <row r="2604" ht="15.75" customHeight="1">
      <c r="A2604" s="29"/>
      <c r="B2604" s="5" t="s">
        <v>5500</v>
      </c>
      <c r="C2604" s="5" t="s">
        <v>8</v>
      </c>
      <c r="D2604" s="5" t="s">
        <v>27</v>
      </c>
      <c r="E2604" s="5" t="s">
        <v>382</v>
      </c>
    </row>
    <row r="2605" ht="15.75" customHeight="1">
      <c r="A2605" s="29"/>
      <c r="B2605" s="5" t="s">
        <v>3620</v>
      </c>
      <c r="C2605" s="5" t="s">
        <v>22</v>
      </c>
      <c r="D2605" s="5" t="s">
        <v>67</v>
      </c>
      <c r="E2605" s="5" t="s">
        <v>382</v>
      </c>
    </row>
    <row r="2606" ht="15.75" customHeight="1">
      <c r="A2606" s="29"/>
      <c r="B2606" s="5" t="s">
        <v>3678</v>
      </c>
      <c r="C2606" s="5" t="s">
        <v>22</v>
      </c>
      <c r="D2606" s="5" t="s">
        <v>67</v>
      </c>
      <c r="E2606" s="5" t="s">
        <v>382</v>
      </c>
    </row>
    <row r="2607" ht="15.75" customHeight="1">
      <c r="A2607" s="29"/>
      <c r="B2607" s="5" t="s">
        <v>5335</v>
      </c>
      <c r="C2607" s="5" t="s">
        <v>48</v>
      </c>
      <c r="D2607" s="5" t="s">
        <v>67</v>
      </c>
      <c r="E2607" s="5" t="s">
        <v>382</v>
      </c>
    </row>
    <row r="2608" ht="15.75" customHeight="1">
      <c r="A2608" s="29"/>
      <c r="B2608" s="5" t="s">
        <v>3966</v>
      </c>
      <c r="C2608" s="5" t="s">
        <v>22</v>
      </c>
      <c r="D2608" s="5" t="s">
        <v>67</v>
      </c>
      <c r="E2608" s="5" t="s">
        <v>382</v>
      </c>
    </row>
    <row r="2609" ht="15.75" customHeight="1">
      <c r="A2609" s="29"/>
      <c r="B2609" s="5" t="s">
        <v>3603</v>
      </c>
      <c r="C2609" s="5" t="s">
        <v>22</v>
      </c>
      <c r="D2609" s="5" t="s">
        <v>67</v>
      </c>
      <c r="E2609" s="5" t="s">
        <v>382</v>
      </c>
    </row>
    <row r="2610" ht="15.75" customHeight="1">
      <c r="A2610" s="29"/>
      <c r="B2610" s="5" t="s">
        <v>3887</v>
      </c>
      <c r="C2610" s="5" t="s">
        <v>22</v>
      </c>
      <c r="D2610" s="5" t="s">
        <v>67</v>
      </c>
      <c r="E2610" s="5" t="s">
        <v>382</v>
      </c>
    </row>
    <row r="2611" ht="15.75" customHeight="1">
      <c r="A2611" s="29"/>
      <c r="B2611" s="5" t="s">
        <v>5470</v>
      </c>
      <c r="C2611" s="5" t="s">
        <v>20</v>
      </c>
      <c r="D2611" s="5" t="s">
        <v>67</v>
      </c>
      <c r="E2611" s="5" t="s">
        <v>382</v>
      </c>
    </row>
    <row r="2612" ht="15.75" customHeight="1">
      <c r="A2612" s="29"/>
      <c r="B2612" s="5" t="s">
        <v>5187</v>
      </c>
      <c r="C2612" s="5" t="s">
        <v>14</v>
      </c>
      <c r="D2612" s="5" t="s">
        <v>67</v>
      </c>
      <c r="E2612" s="5" t="s">
        <v>382</v>
      </c>
    </row>
    <row r="2613" ht="15.75" customHeight="1">
      <c r="A2613" s="29"/>
      <c r="B2613" s="5" t="s">
        <v>5331</v>
      </c>
      <c r="C2613" s="5" t="s">
        <v>77</v>
      </c>
      <c r="D2613" s="5" t="s">
        <v>67</v>
      </c>
      <c r="E2613" s="5" t="s">
        <v>382</v>
      </c>
    </row>
    <row r="2614" ht="15.75" customHeight="1">
      <c r="A2614" s="29"/>
      <c r="B2614" s="5" t="s">
        <v>3882</v>
      </c>
      <c r="C2614" s="5" t="s">
        <v>22</v>
      </c>
      <c r="D2614" s="5" t="s">
        <v>34</v>
      </c>
      <c r="E2614" s="5" t="s">
        <v>382</v>
      </c>
    </row>
    <row r="2615" ht="15.75" customHeight="1">
      <c r="A2615" s="29"/>
      <c r="B2615" s="5" t="s">
        <v>4049</v>
      </c>
      <c r="C2615" s="5" t="s">
        <v>22</v>
      </c>
      <c r="D2615" s="5" t="s">
        <v>34</v>
      </c>
      <c r="E2615" s="5" t="s">
        <v>382</v>
      </c>
    </row>
    <row r="2616" ht="15.75" customHeight="1">
      <c r="A2616" s="29"/>
      <c r="B2616" s="5" t="s">
        <v>5086</v>
      </c>
      <c r="C2616" s="5" t="s">
        <v>14</v>
      </c>
      <c r="D2616" s="5" t="s">
        <v>34</v>
      </c>
      <c r="E2616" s="5" t="s">
        <v>382</v>
      </c>
    </row>
    <row r="2617" ht="15.75" customHeight="1">
      <c r="A2617" s="29"/>
      <c r="B2617" s="5" t="s">
        <v>5158</v>
      </c>
      <c r="C2617" s="5" t="s">
        <v>8</v>
      </c>
      <c r="D2617" s="5" t="s">
        <v>34</v>
      </c>
      <c r="E2617" s="5" t="s">
        <v>382</v>
      </c>
    </row>
    <row r="2618" ht="15.75" customHeight="1">
      <c r="A2618" s="29"/>
      <c r="B2618" s="5" t="s">
        <v>3875</v>
      </c>
      <c r="C2618" s="5" t="s">
        <v>22</v>
      </c>
      <c r="D2618" s="5" t="s">
        <v>34</v>
      </c>
      <c r="E2618" s="5" t="s">
        <v>382</v>
      </c>
    </row>
    <row r="2619" ht="15.75" customHeight="1">
      <c r="A2619" s="29"/>
      <c r="B2619" s="5" t="s">
        <v>5398</v>
      </c>
      <c r="C2619" s="5" t="s">
        <v>77</v>
      </c>
      <c r="D2619" s="5" t="s">
        <v>34</v>
      </c>
      <c r="E2619" s="5" t="s">
        <v>382</v>
      </c>
    </row>
    <row r="2620" ht="15.75" customHeight="1">
      <c r="A2620" s="29"/>
      <c r="B2620" s="5" t="s">
        <v>3573</v>
      </c>
      <c r="C2620" s="5" t="s">
        <v>22</v>
      </c>
      <c r="D2620" s="5" t="s">
        <v>34</v>
      </c>
      <c r="E2620" s="5" t="s">
        <v>382</v>
      </c>
    </row>
    <row r="2621" ht="15.75" customHeight="1">
      <c r="A2621" s="29"/>
      <c r="B2621" s="5" t="s">
        <v>3683</v>
      </c>
      <c r="C2621" s="5" t="s">
        <v>22</v>
      </c>
      <c r="D2621" s="5" t="s">
        <v>34</v>
      </c>
      <c r="E2621" s="5" t="s">
        <v>382</v>
      </c>
    </row>
    <row r="2622" ht="15.75" customHeight="1">
      <c r="A2622" s="29"/>
      <c r="B2622" s="5" t="s">
        <v>3830</v>
      </c>
      <c r="C2622" s="5" t="s">
        <v>22</v>
      </c>
      <c r="D2622" s="5" t="s">
        <v>34</v>
      </c>
      <c r="E2622" s="5" t="s">
        <v>382</v>
      </c>
    </row>
    <row r="2623" ht="15.75" customHeight="1">
      <c r="A2623" s="29"/>
      <c r="B2623" s="5" t="s">
        <v>5092</v>
      </c>
      <c r="C2623" s="5" t="s">
        <v>14</v>
      </c>
      <c r="D2623" s="5" t="s">
        <v>9</v>
      </c>
      <c r="E2623" s="5" t="s">
        <v>382</v>
      </c>
    </row>
    <row r="2624" ht="15.75" customHeight="1">
      <c r="A2624" s="29"/>
      <c r="B2624" s="5" t="s">
        <v>3843</v>
      </c>
      <c r="C2624" s="5" t="s">
        <v>22</v>
      </c>
      <c r="D2624" s="5" t="s">
        <v>9</v>
      </c>
      <c r="E2624" s="5" t="s">
        <v>382</v>
      </c>
    </row>
    <row r="2625" ht="15.75" customHeight="1">
      <c r="A2625" s="29"/>
      <c r="B2625" s="5" t="s">
        <v>5098</v>
      </c>
      <c r="C2625" s="5" t="s">
        <v>14</v>
      </c>
      <c r="D2625" s="5" t="s">
        <v>9</v>
      </c>
      <c r="E2625" s="5" t="s">
        <v>382</v>
      </c>
    </row>
    <row r="2626" ht="15.75" customHeight="1">
      <c r="A2626" s="29"/>
      <c r="B2626" s="5" t="s">
        <v>4971</v>
      </c>
      <c r="C2626" s="5" t="s">
        <v>17</v>
      </c>
      <c r="D2626" s="5" t="s">
        <v>9</v>
      </c>
      <c r="E2626" s="5" t="s">
        <v>382</v>
      </c>
    </row>
    <row r="2627" ht="15.75" customHeight="1">
      <c r="A2627" s="29"/>
      <c r="B2627" s="5" t="s">
        <v>4019</v>
      </c>
      <c r="C2627" s="5" t="s">
        <v>22</v>
      </c>
      <c r="D2627" s="5" t="s">
        <v>9</v>
      </c>
      <c r="E2627" s="5" t="s">
        <v>382</v>
      </c>
    </row>
    <row r="2628" ht="15.75" customHeight="1">
      <c r="A2628" s="29"/>
      <c r="B2628" s="5" t="s">
        <v>5321</v>
      </c>
      <c r="C2628" s="5" t="s">
        <v>77</v>
      </c>
      <c r="D2628" s="5" t="s">
        <v>9</v>
      </c>
      <c r="E2628" s="5" t="s">
        <v>382</v>
      </c>
    </row>
    <row r="2629" ht="15.75" customHeight="1">
      <c r="A2629" s="29"/>
      <c r="B2629" s="5" t="s">
        <v>5185</v>
      </c>
      <c r="C2629" s="5" t="s">
        <v>14</v>
      </c>
      <c r="D2629" s="5" t="s">
        <v>85</v>
      </c>
      <c r="E2629" s="5" t="s">
        <v>382</v>
      </c>
    </row>
    <row r="2630" ht="15.75" customHeight="1">
      <c r="A2630" s="29"/>
      <c r="B2630" s="5" t="s">
        <v>3682</v>
      </c>
      <c r="C2630" s="5" t="s">
        <v>22</v>
      </c>
      <c r="D2630" s="5" t="s">
        <v>85</v>
      </c>
      <c r="E2630" s="5" t="s">
        <v>382</v>
      </c>
    </row>
    <row r="2631" ht="15.75" customHeight="1">
      <c r="A2631" s="29"/>
      <c r="B2631" s="5" t="s">
        <v>3564</v>
      </c>
      <c r="C2631" s="5" t="s">
        <v>22</v>
      </c>
      <c r="D2631" s="5" t="s">
        <v>85</v>
      </c>
      <c r="E2631" s="5" t="s">
        <v>382</v>
      </c>
    </row>
    <row r="2632" ht="15.75" customHeight="1">
      <c r="A2632" s="29"/>
      <c r="B2632" s="5" t="s">
        <v>5406</v>
      </c>
      <c r="C2632" s="5" t="s">
        <v>77</v>
      </c>
      <c r="D2632" s="5" t="s">
        <v>85</v>
      </c>
      <c r="E2632" s="5" t="s">
        <v>382</v>
      </c>
    </row>
    <row r="2633" ht="15.75" customHeight="1">
      <c r="A2633" s="29"/>
      <c r="B2633" s="5" t="s">
        <v>4948</v>
      </c>
      <c r="C2633" s="5" t="s">
        <v>14</v>
      </c>
      <c r="D2633" s="5" t="s">
        <v>85</v>
      </c>
      <c r="E2633" s="5" t="s">
        <v>382</v>
      </c>
    </row>
    <row r="2634" ht="15.75" customHeight="1">
      <c r="A2634" s="29"/>
      <c r="B2634" s="5" t="s">
        <v>5391</v>
      </c>
      <c r="C2634" s="5" t="s">
        <v>14</v>
      </c>
      <c r="D2634" s="5" t="s">
        <v>85</v>
      </c>
      <c r="E2634" s="5" t="s">
        <v>382</v>
      </c>
    </row>
    <row r="2635" ht="15.75" customHeight="1">
      <c r="A2635" s="29"/>
      <c r="B2635" s="5" t="s">
        <v>3586</v>
      </c>
      <c r="C2635" s="5" t="s">
        <v>22</v>
      </c>
      <c r="D2635" s="5" t="s">
        <v>85</v>
      </c>
      <c r="E2635" s="5" t="s">
        <v>382</v>
      </c>
    </row>
    <row r="2636" ht="15.75" customHeight="1">
      <c r="A2636" s="29"/>
      <c r="B2636" s="5" t="s">
        <v>5115</v>
      </c>
      <c r="C2636" s="5" t="s">
        <v>48</v>
      </c>
      <c r="D2636" s="5" t="s">
        <v>85</v>
      </c>
      <c r="E2636" s="5" t="s">
        <v>382</v>
      </c>
    </row>
    <row r="2637" ht="15.75" customHeight="1">
      <c r="A2637" s="29"/>
      <c r="B2637" s="5" t="s">
        <v>5438</v>
      </c>
      <c r="C2637" s="5" t="s">
        <v>14</v>
      </c>
      <c r="D2637" s="5" t="s">
        <v>85</v>
      </c>
      <c r="E2637" s="5" t="s">
        <v>382</v>
      </c>
    </row>
    <row r="2638" ht="15.75" customHeight="1">
      <c r="A2638" s="29"/>
      <c r="B2638" s="5" t="s">
        <v>4991</v>
      </c>
      <c r="C2638" s="5" t="s">
        <v>39</v>
      </c>
      <c r="D2638" s="5" t="s">
        <v>25</v>
      </c>
      <c r="E2638" s="5" t="s">
        <v>382</v>
      </c>
    </row>
    <row r="2639" ht="15.75" customHeight="1">
      <c r="A2639" s="29"/>
      <c r="B2639" s="5" t="s">
        <v>5192</v>
      </c>
      <c r="C2639" s="5" t="s">
        <v>77</v>
      </c>
      <c r="D2639" s="5" t="s">
        <v>25</v>
      </c>
      <c r="E2639" s="5" t="s">
        <v>382</v>
      </c>
    </row>
    <row r="2640" ht="15.75" customHeight="1">
      <c r="A2640" s="29"/>
      <c r="B2640" s="5" t="s">
        <v>5210</v>
      </c>
      <c r="C2640" s="5" t="s">
        <v>48</v>
      </c>
      <c r="D2640" s="5" t="s">
        <v>25</v>
      </c>
      <c r="E2640" s="5" t="s">
        <v>382</v>
      </c>
    </row>
    <row r="2641" ht="15.75" customHeight="1">
      <c r="A2641" s="29"/>
      <c r="B2641" s="5" t="s">
        <v>5385</v>
      </c>
      <c r="C2641" s="5" t="s">
        <v>2642</v>
      </c>
      <c r="D2641" s="5" t="s">
        <v>25</v>
      </c>
      <c r="E2641" s="5" t="s">
        <v>382</v>
      </c>
    </row>
    <row r="2642" ht="15.75" customHeight="1">
      <c r="A2642" s="29"/>
      <c r="B2642" s="5" t="s">
        <v>5103</v>
      </c>
      <c r="C2642" s="5" t="s">
        <v>39</v>
      </c>
      <c r="D2642" s="5" t="s">
        <v>25</v>
      </c>
      <c r="E2642" s="5" t="s">
        <v>382</v>
      </c>
    </row>
    <row r="2643" ht="15.75" customHeight="1">
      <c r="A2643" s="29"/>
      <c r="B2643" s="5" t="s">
        <v>3908</v>
      </c>
      <c r="C2643" s="5" t="s">
        <v>22</v>
      </c>
      <c r="D2643" s="5" t="s">
        <v>25</v>
      </c>
      <c r="E2643" s="5" t="s">
        <v>382</v>
      </c>
    </row>
    <row r="2644" ht="15.75" customHeight="1">
      <c r="A2644" s="29"/>
      <c r="B2644" s="5" t="s">
        <v>5235</v>
      </c>
      <c r="C2644" s="5" t="s">
        <v>14</v>
      </c>
      <c r="D2644" s="5" t="s">
        <v>25</v>
      </c>
      <c r="E2644" s="5" t="s">
        <v>382</v>
      </c>
    </row>
    <row r="2645" ht="15.75" customHeight="1">
      <c r="A2645" s="29"/>
      <c r="B2645" s="5" t="s">
        <v>5376</v>
      </c>
      <c r="C2645" s="5" t="s">
        <v>8</v>
      </c>
      <c r="D2645" s="5" t="s">
        <v>25</v>
      </c>
      <c r="E2645" s="5" t="s">
        <v>382</v>
      </c>
    </row>
    <row r="2646" ht="15.75" customHeight="1">
      <c r="A2646" s="29"/>
      <c r="B2646" s="5" t="s">
        <v>3998</v>
      </c>
      <c r="C2646" s="5" t="s">
        <v>22</v>
      </c>
      <c r="D2646" s="5" t="s">
        <v>129</v>
      </c>
      <c r="E2646" s="5" t="s">
        <v>382</v>
      </c>
    </row>
    <row r="2647" ht="15.75" customHeight="1">
      <c r="A2647" s="29"/>
      <c r="B2647" s="5" t="s">
        <v>5033</v>
      </c>
      <c r="C2647" s="5" t="s">
        <v>14</v>
      </c>
      <c r="D2647" s="5" t="s">
        <v>99</v>
      </c>
      <c r="E2647" s="5" t="s">
        <v>382</v>
      </c>
    </row>
    <row r="2648" ht="15.75" customHeight="1">
      <c r="A2648" s="29"/>
      <c r="B2648" s="5" t="s">
        <v>5319</v>
      </c>
      <c r="C2648" s="5" t="s">
        <v>346</v>
      </c>
      <c r="D2648" s="5" t="s">
        <v>99</v>
      </c>
      <c r="E2648" s="5" t="s">
        <v>382</v>
      </c>
    </row>
    <row r="2649" ht="15.75" customHeight="1">
      <c r="A2649" s="29"/>
      <c r="B2649" s="5" t="s">
        <v>5439</v>
      </c>
      <c r="C2649" s="5" t="s">
        <v>39</v>
      </c>
      <c r="D2649" s="5" t="s">
        <v>99</v>
      </c>
      <c r="E2649" s="5" t="s">
        <v>382</v>
      </c>
    </row>
    <row r="2650" ht="15.75" customHeight="1">
      <c r="A2650" s="29"/>
      <c r="B2650" s="5" t="s">
        <v>4913</v>
      </c>
      <c r="C2650" s="5" t="s">
        <v>346</v>
      </c>
      <c r="D2650" s="5" t="s">
        <v>36</v>
      </c>
      <c r="E2650" s="5" t="s">
        <v>382</v>
      </c>
    </row>
    <row r="2651" ht="15.75" customHeight="1">
      <c r="A2651" s="29"/>
      <c r="B2651" s="5" t="s">
        <v>3721</v>
      </c>
      <c r="C2651" s="5" t="s">
        <v>22</v>
      </c>
      <c r="D2651" s="5" t="s">
        <v>36</v>
      </c>
      <c r="E2651" s="5" t="s">
        <v>382</v>
      </c>
    </row>
    <row r="2652" ht="15.75" customHeight="1">
      <c r="A2652" s="29"/>
      <c r="B2652" s="5" t="s">
        <v>3872</v>
      </c>
      <c r="C2652" s="5" t="s">
        <v>22</v>
      </c>
      <c r="D2652" s="5" t="s">
        <v>36</v>
      </c>
      <c r="E2652" s="5" t="s">
        <v>382</v>
      </c>
    </row>
    <row r="2653" ht="15.75" customHeight="1">
      <c r="A2653" s="29"/>
      <c r="B2653" s="5" t="s">
        <v>5104</v>
      </c>
      <c r="C2653" s="5" t="s">
        <v>89</v>
      </c>
      <c r="D2653" s="5" t="s">
        <v>36</v>
      </c>
      <c r="E2653" s="5" t="s">
        <v>382</v>
      </c>
    </row>
    <row r="2654" ht="15.75" customHeight="1">
      <c r="A2654" s="29"/>
      <c r="B2654" s="5" t="s">
        <v>3803</v>
      </c>
      <c r="C2654" s="5" t="s">
        <v>22</v>
      </c>
      <c r="D2654" s="5" t="s">
        <v>36</v>
      </c>
      <c r="E2654" s="5" t="s">
        <v>382</v>
      </c>
    </row>
    <row r="2655" ht="15.75" customHeight="1">
      <c r="A2655" s="29"/>
      <c r="B2655" s="5" t="s">
        <v>5016</v>
      </c>
      <c r="C2655" s="5" t="s">
        <v>20</v>
      </c>
      <c r="D2655" s="5" t="s">
        <v>36</v>
      </c>
      <c r="E2655" s="5" t="s">
        <v>382</v>
      </c>
    </row>
    <row r="2656" ht="15.75" customHeight="1">
      <c r="A2656" s="29"/>
      <c r="B2656" s="5" t="s">
        <v>4951</v>
      </c>
      <c r="C2656" s="5" t="s">
        <v>14</v>
      </c>
      <c r="D2656" s="5" t="s">
        <v>23</v>
      </c>
      <c r="E2656" s="5" t="s">
        <v>382</v>
      </c>
    </row>
    <row r="2657" ht="15.75" customHeight="1">
      <c r="A2657" s="29"/>
      <c r="B2657" s="5" t="s">
        <v>3957</v>
      </c>
      <c r="C2657" s="5" t="s">
        <v>22</v>
      </c>
      <c r="D2657" s="5" t="s">
        <v>23</v>
      </c>
      <c r="E2657" s="5" t="s">
        <v>382</v>
      </c>
    </row>
    <row r="2658" ht="15.75" customHeight="1">
      <c r="A2658" s="29"/>
      <c r="B2658" s="5" t="s">
        <v>3740</v>
      </c>
      <c r="C2658" s="5" t="s">
        <v>22</v>
      </c>
      <c r="D2658" s="5" t="s">
        <v>23</v>
      </c>
      <c r="E2658" s="5" t="s">
        <v>382</v>
      </c>
    </row>
    <row r="2659" ht="15.75" customHeight="1">
      <c r="A2659" s="29"/>
      <c r="B2659" s="5" t="s">
        <v>3585</v>
      </c>
      <c r="C2659" s="5" t="s">
        <v>22</v>
      </c>
      <c r="D2659" s="5" t="s">
        <v>23</v>
      </c>
      <c r="E2659" s="5" t="s">
        <v>382</v>
      </c>
    </row>
    <row r="2660" ht="15.75" customHeight="1">
      <c r="A2660" s="29"/>
      <c r="B2660" s="5" t="s">
        <v>4015</v>
      </c>
      <c r="C2660" s="5" t="s">
        <v>22</v>
      </c>
      <c r="D2660" s="5" t="s">
        <v>23</v>
      </c>
      <c r="E2660" s="5" t="s">
        <v>382</v>
      </c>
    </row>
    <row r="2661" ht="15.75" customHeight="1">
      <c r="A2661" s="29"/>
      <c r="B2661" s="5" t="s">
        <v>5284</v>
      </c>
      <c r="C2661" s="5" t="s">
        <v>39</v>
      </c>
      <c r="D2661" s="5" t="s">
        <v>23</v>
      </c>
      <c r="E2661" s="5" t="s">
        <v>382</v>
      </c>
    </row>
    <row r="2662" ht="15.75" customHeight="1">
      <c r="A2662" s="29"/>
      <c r="B2662" s="5" t="s">
        <v>3626</v>
      </c>
      <c r="C2662" s="5" t="s">
        <v>22</v>
      </c>
      <c r="D2662" s="5" t="s">
        <v>23</v>
      </c>
      <c r="E2662" s="5" t="s">
        <v>382</v>
      </c>
    </row>
    <row r="2663" ht="15.75" customHeight="1">
      <c r="A2663" s="29"/>
      <c r="B2663" s="5" t="s">
        <v>2961</v>
      </c>
      <c r="C2663" s="5" t="s">
        <v>14</v>
      </c>
      <c r="D2663" s="5" t="s">
        <v>120</v>
      </c>
      <c r="E2663" s="5" t="s">
        <v>382</v>
      </c>
    </row>
    <row r="2664" ht="15.75" customHeight="1">
      <c r="A2664" s="29"/>
      <c r="B2664" s="5" t="s">
        <v>5343</v>
      </c>
      <c r="C2664" s="5" t="s">
        <v>39</v>
      </c>
      <c r="D2664" s="5" t="s">
        <v>120</v>
      </c>
      <c r="E2664" s="5" t="s">
        <v>382</v>
      </c>
    </row>
    <row r="2665" ht="15.75" customHeight="1">
      <c r="A2665" s="29"/>
      <c r="B2665" s="5" t="s">
        <v>5478</v>
      </c>
      <c r="C2665" s="5" t="s">
        <v>11</v>
      </c>
      <c r="D2665" s="5" t="s">
        <v>120</v>
      </c>
      <c r="E2665" s="5" t="s">
        <v>382</v>
      </c>
    </row>
    <row r="2666" ht="15.75" customHeight="1">
      <c r="A2666" s="29"/>
      <c r="B2666" s="5" t="s">
        <v>5107</v>
      </c>
      <c r="C2666" s="5" t="s">
        <v>39</v>
      </c>
      <c r="D2666" s="5" t="s">
        <v>120</v>
      </c>
      <c r="E2666" s="5" t="s">
        <v>382</v>
      </c>
    </row>
    <row r="2667" ht="15.75" customHeight="1">
      <c r="A2667" s="29"/>
      <c r="B2667" s="5" t="s">
        <v>3612</v>
      </c>
      <c r="C2667" s="5" t="s">
        <v>22</v>
      </c>
      <c r="D2667" s="5" t="s">
        <v>120</v>
      </c>
      <c r="E2667" s="5" t="s">
        <v>382</v>
      </c>
    </row>
    <row r="2668" ht="15.75" customHeight="1">
      <c r="A2668" s="29"/>
      <c r="B2668" s="5" t="s">
        <v>3943</v>
      </c>
      <c r="C2668" s="5" t="s">
        <v>22</v>
      </c>
      <c r="D2668" s="5" t="s">
        <v>120</v>
      </c>
      <c r="E2668" s="5" t="s">
        <v>382</v>
      </c>
    </row>
    <row r="2669" ht="15.75" customHeight="1">
      <c r="A2669" s="29"/>
      <c r="B2669" s="5" t="s">
        <v>3832</v>
      </c>
      <c r="C2669" s="5" t="s">
        <v>22</v>
      </c>
      <c r="D2669" s="5" t="s">
        <v>120</v>
      </c>
      <c r="E2669" s="5" t="s">
        <v>382</v>
      </c>
    </row>
    <row r="2670" ht="15.75" customHeight="1">
      <c r="A2670" s="29"/>
      <c r="B2670" s="5" t="s">
        <v>5336</v>
      </c>
      <c r="C2670" s="5" t="s">
        <v>39</v>
      </c>
      <c r="D2670" s="5" t="s">
        <v>31</v>
      </c>
      <c r="E2670" s="5" t="s">
        <v>382</v>
      </c>
    </row>
    <row r="2671" ht="15.75" customHeight="1">
      <c r="A2671" s="29"/>
      <c r="B2671" s="5" t="s">
        <v>5153</v>
      </c>
      <c r="C2671" s="5" t="s">
        <v>17</v>
      </c>
      <c r="D2671" s="5" t="s">
        <v>31</v>
      </c>
      <c r="E2671" s="5" t="s">
        <v>382</v>
      </c>
    </row>
    <row r="2672" ht="15.75" customHeight="1">
      <c r="A2672" s="29"/>
      <c r="B2672" s="5" t="s">
        <v>5067</v>
      </c>
      <c r="C2672" s="5" t="s">
        <v>77</v>
      </c>
      <c r="D2672" s="5" t="s">
        <v>31</v>
      </c>
      <c r="E2672" s="5" t="s">
        <v>382</v>
      </c>
    </row>
    <row r="2673" ht="15.75" customHeight="1">
      <c r="A2673" s="29"/>
      <c r="B2673" s="5" t="s">
        <v>3847</v>
      </c>
      <c r="C2673" s="5" t="s">
        <v>22</v>
      </c>
      <c r="D2673" s="5" t="s">
        <v>31</v>
      </c>
      <c r="E2673" s="5" t="s">
        <v>382</v>
      </c>
    </row>
    <row r="2674" ht="15.75" customHeight="1">
      <c r="A2674" s="29"/>
      <c r="B2674" s="5" t="s">
        <v>4958</v>
      </c>
      <c r="C2674" s="5" t="s">
        <v>17</v>
      </c>
      <c r="D2674" s="5" t="s">
        <v>31</v>
      </c>
      <c r="E2674" s="5" t="s">
        <v>382</v>
      </c>
    </row>
    <row r="2675" ht="15.75" customHeight="1">
      <c r="A2675" s="29"/>
      <c r="B2675" s="5" t="s">
        <v>5408</v>
      </c>
      <c r="C2675" s="5" t="s">
        <v>14</v>
      </c>
      <c r="D2675" s="5" t="s">
        <v>31</v>
      </c>
      <c r="E2675" s="5" t="s">
        <v>382</v>
      </c>
    </row>
    <row r="2676" ht="15.75" customHeight="1">
      <c r="A2676" s="29"/>
      <c r="B2676" s="5" t="s">
        <v>5163</v>
      </c>
      <c r="C2676" s="5" t="s">
        <v>77</v>
      </c>
      <c r="D2676" s="5" t="s">
        <v>137</v>
      </c>
      <c r="E2676" s="5" t="s">
        <v>382</v>
      </c>
    </row>
    <row r="2677" ht="15.75" customHeight="1">
      <c r="A2677" s="29"/>
      <c r="B2677" s="5" t="s">
        <v>3622</v>
      </c>
      <c r="C2677" s="5" t="s">
        <v>22</v>
      </c>
      <c r="D2677" s="5" t="s">
        <v>137</v>
      </c>
      <c r="E2677" s="5" t="s">
        <v>382</v>
      </c>
    </row>
    <row r="2678" ht="15.75" customHeight="1">
      <c r="A2678" s="29"/>
      <c r="B2678" s="5" t="s">
        <v>3658</v>
      </c>
      <c r="C2678" s="5" t="s">
        <v>22</v>
      </c>
      <c r="D2678" s="5" t="s">
        <v>137</v>
      </c>
      <c r="E2678" s="5" t="s">
        <v>382</v>
      </c>
    </row>
    <row r="2679" ht="15.75" customHeight="1">
      <c r="A2679" s="29"/>
      <c r="B2679" s="5" t="s">
        <v>5374</v>
      </c>
      <c r="C2679" s="5" t="s">
        <v>39</v>
      </c>
      <c r="D2679" s="5" t="s">
        <v>137</v>
      </c>
      <c r="E2679" s="5" t="s">
        <v>382</v>
      </c>
    </row>
    <row r="2680" ht="15.75" customHeight="1">
      <c r="A2680" s="29"/>
      <c r="B2680" s="5" t="s">
        <v>3901</v>
      </c>
      <c r="C2680" s="5" t="s">
        <v>22</v>
      </c>
      <c r="D2680" s="5" t="s">
        <v>137</v>
      </c>
      <c r="E2680" s="5" t="s">
        <v>382</v>
      </c>
    </row>
    <row r="2681" ht="15.75" customHeight="1">
      <c r="A2681" s="29"/>
      <c r="B2681" s="5" t="s">
        <v>3783</v>
      </c>
      <c r="C2681" s="5" t="s">
        <v>22</v>
      </c>
      <c r="D2681" s="5" t="s">
        <v>137</v>
      </c>
      <c r="E2681" s="5" t="s">
        <v>382</v>
      </c>
    </row>
    <row r="2682" ht="15.75" customHeight="1">
      <c r="A2682" s="29"/>
      <c r="B2682" s="5" t="s">
        <v>5379</v>
      </c>
      <c r="C2682" s="5" t="s">
        <v>14</v>
      </c>
      <c r="D2682" s="5" t="s">
        <v>137</v>
      </c>
      <c r="E2682" s="5" t="s">
        <v>382</v>
      </c>
    </row>
    <row r="2683" ht="15.75" customHeight="1">
      <c r="A2683" s="29"/>
      <c r="B2683" s="5" t="s">
        <v>4992</v>
      </c>
      <c r="C2683" s="5" t="s">
        <v>39</v>
      </c>
      <c r="D2683" s="5" t="s">
        <v>52</v>
      </c>
      <c r="E2683" s="5" t="s">
        <v>382</v>
      </c>
    </row>
    <row r="2684" ht="15.75" customHeight="1">
      <c r="A2684" s="29"/>
      <c r="B2684" s="5" t="s">
        <v>5132</v>
      </c>
      <c r="C2684" s="5" t="s">
        <v>14</v>
      </c>
      <c r="D2684" s="5" t="s">
        <v>52</v>
      </c>
      <c r="E2684" s="5" t="s">
        <v>382</v>
      </c>
    </row>
    <row r="2685" ht="15.75" customHeight="1">
      <c r="A2685" s="29"/>
      <c r="B2685" s="5" t="s">
        <v>4040</v>
      </c>
      <c r="C2685" s="5" t="s">
        <v>22</v>
      </c>
      <c r="D2685" s="5" t="s">
        <v>52</v>
      </c>
      <c r="E2685" s="5" t="s">
        <v>382</v>
      </c>
    </row>
    <row r="2686" ht="15.75" customHeight="1">
      <c r="A2686" s="29"/>
      <c r="B2686" s="5" t="s">
        <v>3844</v>
      </c>
      <c r="C2686" s="5" t="s">
        <v>22</v>
      </c>
      <c r="D2686" s="5" t="s">
        <v>52</v>
      </c>
      <c r="E2686" s="5" t="s">
        <v>382</v>
      </c>
    </row>
    <row r="2687" ht="15.75" customHeight="1">
      <c r="A2687" s="29"/>
      <c r="B2687" s="5" t="s">
        <v>5182</v>
      </c>
      <c r="C2687" s="5" t="s">
        <v>8</v>
      </c>
      <c r="D2687" s="5" t="s">
        <v>52</v>
      </c>
      <c r="E2687" s="5" t="s">
        <v>382</v>
      </c>
    </row>
    <row r="2688" ht="15.75" customHeight="1">
      <c r="A2688" s="29"/>
      <c r="B2688" s="5" t="s">
        <v>5005</v>
      </c>
      <c r="C2688" s="5" t="s">
        <v>14</v>
      </c>
      <c r="D2688" s="5" t="s">
        <v>52</v>
      </c>
      <c r="E2688" s="5" t="s">
        <v>382</v>
      </c>
    </row>
    <row r="2689" ht="15.75" customHeight="1">
      <c r="A2689" s="29"/>
      <c r="B2689" s="5" t="s">
        <v>3605</v>
      </c>
      <c r="C2689" s="5" t="s">
        <v>22</v>
      </c>
      <c r="D2689" s="5" t="s">
        <v>52</v>
      </c>
      <c r="E2689" s="5" t="s">
        <v>382</v>
      </c>
    </row>
    <row r="2690" ht="15.75" customHeight="1">
      <c r="A2690" s="29"/>
      <c r="B2690" s="5" t="s">
        <v>5288</v>
      </c>
      <c r="C2690" s="5" t="s">
        <v>55</v>
      </c>
      <c r="D2690" s="5" t="s">
        <v>52</v>
      </c>
      <c r="E2690" s="5" t="s">
        <v>382</v>
      </c>
    </row>
    <row r="2691" ht="15.75" customHeight="1">
      <c r="A2691" s="29"/>
      <c r="B2691" s="5" t="s">
        <v>3779</v>
      </c>
      <c r="C2691" s="5" t="s">
        <v>22</v>
      </c>
      <c r="D2691" s="5" t="s">
        <v>52</v>
      </c>
      <c r="E2691" s="5" t="s">
        <v>382</v>
      </c>
    </row>
    <row r="2692" ht="15.75" customHeight="1">
      <c r="A2692" s="29"/>
      <c r="B2692" s="5" t="s">
        <v>4990</v>
      </c>
      <c r="C2692" s="5" t="s">
        <v>77</v>
      </c>
      <c r="D2692" s="5" t="s">
        <v>52</v>
      </c>
      <c r="E2692" s="5" t="s">
        <v>382</v>
      </c>
    </row>
    <row r="2693" ht="15.75" customHeight="1">
      <c r="A2693" s="29"/>
      <c r="B2693" s="5" t="s">
        <v>5211</v>
      </c>
      <c r="C2693" s="5" t="s">
        <v>48</v>
      </c>
      <c r="D2693" s="5" t="s">
        <v>52</v>
      </c>
      <c r="E2693" s="5" t="s">
        <v>382</v>
      </c>
    </row>
    <row r="2694" ht="15.75" customHeight="1">
      <c r="A2694" s="29"/>
      <c r="B2694" s="5" t="s">
        <v>5333</v>
      </c>
      <c r="C2694" s="5" t="s">
        <v>77</v>
      </c>
      <c r="D2694" s="5" t="s">
        <v>95</v>
      </c>
      <c r="E2694" s="5" t="s">
        <v>382</v>
      </c>
    </row>
    <row r="2695" ht="15.75" customHeight="1">
      <c r="A2695" s="29"/>
      <c r="B2695" s="5" t="s">
        <v>3780</v>
      </c>
      <c r="C2695" s="5" t="s">
        <v>22</v>
      </c>
      <c r="D2695" s="5" t="s">
        <v>95</v>
      </c>
      <c r="E2695" s="5" t="s">
        <v>382</v>
      </c>
    </row>
    <row r="2696" ht="15.75" customHeight="1">
      <c r="A2696" s="29"/>
      <c r="B2696" s="5" t="s">
        <v>4952</v>
      </c>
      <c r="C2696" s="5" t="s">
        <v>14</v>
      </c>
      <c r="D2696" s="5" t="s">
        <v>95</v>
      </c>
      <c r="E2696" s="5" t="s">
        <v>382</v>
      </c>
    </row>
    <row r="2697" ht="15.75" customHeight="1">
      <c r="A2697" s="29"/>
      <c r="B2697" s="5" t="s">
        <v>4060</v>
      </c>
      <c r="C2697" s="5" t="s">
        <v>22</v>
      </c>
      <c r="D2697" s="5" t="s">
        <v>95</v>
      </c>
      <c r="E2697" s="5" t="s">
        <v>382</v>
      </c>
    </row>
    <row r="2698" ht="15.75" customHeight="1">
      <c r="A2698" s="29"/>
      <c r="B2698" s="5" t="s">
        <v>5344</v>
      </c>
      <c r="C2698" s="5" t="s">
        <v>11</v>
      </c>
      <c r="D2698" s="5" t="s">
        <v>95</v>
      </c>
      <c r="E2698" s="5" t="s">
        <v>382</v>
      </c>
    </row>
    <row r="2699" ht="15.75" customHeight="1">
      <c r="A2699" s="29"/>
      <c r="B2699" s="5" t="s">
        <v>3685</v>
      </c>
      <c r="C2699" s="5" t="s">
        <v>22</v>
      </c>
      <c r="D2699" s="5" t="s">
        <v>95</v>
      </c>
      <c r="E2699" s="5" t="s">
        <v>382</v>
      </c>
    </row>
    <row r="2700" ht="15.75" customHeight="1">
      <c r="A2700" s="29"/>
      <c r="B2700" s="5" t="s">
        <v>5191</v>
      </c>
      <c r="C2700" s="5" t="s">
        <v>240</v>
      </c>
      <c r="D2700" s="5" t="s">
        <v>95</v>
      </c>
      <c r="E2700" s="5" t="s">
        <v>382</v>
      </c>
    </row>
    <row r="2701" ht="15.75" customHeight="1">
      <c r="A2701" s="29"/>
      <c r="B2701" s="5" t="s">
        <v>5403</v>
      </c>
      <c r="C2701" s="5" t="s">
        <v>39</v>
      </c>
      <c r="D2701" s="5" t="s">
        <v>95</v>
      </c>
      <c r="E2701" s="5" t="s">
        <v>382</v>
      </c>
    </row>
    <row r="2702" ht="15.75" customHeight="1">
      <c r="A2702" s="29"/>
      <c r="B2702" s="5" t="s">
        <v>4012</v>
      </c>
      <c r="C2702" s="5" t="s">
        <v>22</v>
      </c>
      <c r="D2702" s="5" t="s">
        <v>95</v>
      </c>
      <c r="E2702" s="5" t="s">
        <v>382</v>
      </c>
    </row>
    <row r="2703" ht="15.75" customHeight="1">
      <c r="A2703" s="29"/>
      <c r="B2703" s="5" t="s">
        <v>3668</v>
      </c>
      <c r="C2703" s="5" t="s">
        <v>22</v>
      </c>
      <c r="D2703" s="5" t="s">
        <v>122</v>
      </c>
      <c r="E2703" s="5" t="s">
        <v>382</v>
      </c>
    </row>
    <row r="2704" ht="15.75" customHeight="1">
      <c r="A2704" s="29"/>
      <c r="B2704" s="5" t="s">
        <v>3823</v>
      </c>
      <c r="C2704" s="5" t="s">
        <v>22</v>
      </c>
      <c r="D2704" s="5" t="s">
        <v>122</v>
      </c>
      <c r="E2704" s="5" t="s">
        <v>382</v>
      </c>
    </row>
    <row r="2705" ht="15.75" customHeight="1">
      <c r="A2705" s="29"/>
      <c r="B2705" s="5" t="s">
        <v>4933</v>
      </c>
      <c r="C2705" s="5" t="s">
        <v>14</v>
      </c>
      <c r="D2705" s="5" t="s">
        <v>122</v>
      </c>
      <c r="E2705" s="5" t="s">
        <v>382</v>
      </c>
    </row>
    <row r="2706" ht="15.75" customHeight="1">
      <c r="A2706" s="29"/>
      <c r="B2706" s="5" t="s">
        <v>5093</v>
      </c>
      <c r="C2706" s="5" t="s">
        <v>11</v>
      </c>
      <c r="D2706" s="5" t="s">
        <v>122</v>
      </c>
      <c r="E2706" s="5" t="s">
        <v>382</v>
      </c>
    </row>
    <row r="2707" ht="15.75" customHeight="1">
      <c r="A2707" s="29"/>
      <c r="B2707" s="5" t="s">
        <v>5296</v>
      </c>
      <c r="C2707" s="5" t="s">
        <v>77</v>
      </c>
      <c r="D2707" s="5" t="s">
        <v>122</v>
      </c>
      <c r="E2707" s="5" t="s">
        <v>382</v>
      </c>
    </row>
    <row r="2708" ht="15.75" customHeight="1">
      <c r="A2708" s="29"/>
      <c r="B2708" s="5" t="s">
        <v>4029</v>
      </c>
      <c r="C2708" s="5" t="s">
        <v>22</v>
      </c>
      <c r="D2708" s="5" t="s">
        <v>122</v>
      </c>
      <c r="E2708" s="5" t="s">
        <v>382</v>
      </c>
    </row>
    <row r="2709" ht="15.75" customHeight="1">
      <c r="A2709" s="29"/>
      <c r="B2709" s="5" t="s">
        <v>5459</v>
      </c>
      <c r="C2709" s="5" t="s">
        <v>2717</v>
      </c>
      <c r="D2709" s="5" t="s">
        <v>122</v>
      </c>
      <c r="E2709" s="5" t="s">
        <v>382</v>
      </c>
    </row>
    <row r="2710" ht="15.75" customHeight="1">
      <c r="A2710" s="29"/>
      <c r="B2710" s="5" t="s">
        <v>5024</v>
      </c>
      <c r="C2710" s="5" t="s">
        <v>39</v>
      </c>
      <c r="D2710" s="5" t="s">
        <v>82</v>
      </c>
      <c r="E2710" s="5" t="s">
        <v>382</v>
      </c>
    </row>
    <row r="2711" ht="15.75" customHeight="1">
      <c r="A2711" s="29"/>
      <c r="B2711" s="5" t="s">
        <v>3814</v>
      </c>
      <c r="C2711" s="5" t="s">
        <v>22</v>
      </c>
      <c r="D2711" s="5" t="s">
        <v>82</v>
      </c>
      <c r="E2711" s="5" t="s">
        <v>382</v>
      </c>
    </row>
    <row r="2712" ht="15.75" customHeight="1">
      <c r="A2712" s="29"/>
      <c r="B2712" s="5" t="s">
        <v>5102</v>
      </c>
      <c r="C2712" s="5" t="s">
        <v>17</v>
      </c>
      <c r="D2712" s="5" t="s">
        <v>82</v>
      </c>
      <c r="E2712" s="5" t="s">
        <v>382</v>
      </c>
    </row>
    <row r="2713" ht="15.75" customHeight="1">
      <c r="A2713" s="29"/>
      <c r="B2713" s="5" t="s">
        <v>3610</v>
      </c>
      <c r="C2713" s="5" t="s">
        <v>79</v>
      </c>
      <c r="D2713" s="5" t="s">
        <v>82</v>
      </c>
      <c r="E2713" s="5" t="s">
        <v>382</v>
      </c>
    </row>
    <row r="2714" ht="15.75" customHeight="1">
      <c r="A2714" s="29"/>
      <c r="B2714" s="5" t="s">
        <v>4987</v>
      </c>
      <c r="C2714" s="5" t="s">
        <v>17</v>
      </c>
      <c r="D2714" s="5" t="s">
        <v>82</v>
      </c>
      <c r="E2714" s="5" t="s">
        <v>382</v>
      </c>
    </row>
    <row r="2715" ht="15.75" customHeight="1">
      <c r="A2715" s="29"/>
      <c r="B2715" s="5" t="s">
        <v>3884</v>
      </c>
      <c r="C2715" s="5" t="s">
        <v>22</v>
      </c>
      <c r="D2715" s="5" t="s">
        <v>82</v>
      </c>
      <c r="E2715" s="5" t="s">
        <v>382</v>
      </c>
    </row>
    <row r="2716" ht="15.75" customHeight="1">
      <c r="A2716" s="29"/>
      <c r="B2716" s="5" t="s">
        <v>3786</v>
      </c>
      <c r="C2716" s="5" t="s">
        <v>22</v>
      </c>
      <c r="D2716" s="5" t="s">
        <v>90</v>
      </c>
      <c r="E2716" s="5" t="s">
        <v>382</v>
      </c>
    </row>
    <row r="2717" ht="15.75" customHeight="1">
      <c r="A2717" s="29"/>
      <c r="B2717" s="5" t="s">
        <v>5044</v>
      </c>
      <c r="C2717" s="5" t="s">
        <v>14</v>
      </c>
      <c r="D2717" s="5" t="s">
        <v>90</v>
      </c>
      <c r="E2717" s="5" t="s">
        <v>382</v>
      </c>
    </row>
    <row r="2718" ht="15.75" customHeight="1">
      <c r="A2718" s="29"/>
      <c r="B2718" s="5" t="s">
        <v>5363</v>
      </c>
      <c r="C2718" s="5" t="s">
        <v>14</v>
      </c>
      <c r="D2718" s="5" t="s">
        <v>90</v>
      </c>
      <c r="E2718" s="5" t="s">
        <v>382</v>
      </c>
    </row>
    <row r="2719" ht="15.75" customHeight="1">
      <c r="A2719" s="29"/>
      <c r="B2719" s="5" t="s">
        <v>5050</v>
      </c>
      <c r="C2719" s="5" t="s">
        <v>470</v>
      </c>
      <c r="D2719" s="5" t="s">
        <v>90</v>
      </c>
      <c r="E2719" s="5" t="s">
        <v>382</v>
      </c>
    </row>
    <row r="2720" ht="15.75" customHeight="1">
      <c r="A2720" s="29"/>
      <c r="B2720" s="5" t="s">
        <v>4949</v>
      </c>
      <c r="C2720" s="5" t="s">
        <v>240</v>
      </c>
      <c r="D2720" s="5" t="s">
        <v>90</v>
      </c>
      <c r="E2720" s="5" t="s">
        <v>382</v>
      </c>
    </row>
    <row r="2721" ht="15.75" customHeight="1">
      <c r="A2721" s="29"/>
      <c r="B2721" s="5" t="s">
        <v>5422</v>
      </c>
      <c r="C2721" s="5" t="s">
        <v>48</v>
      </c>
      <c r="D2721" s="5" t="s">
        <v>90</v>
      </c>
      <c r="E2721" s="5" t="s">
        <v>382</v>
      </c>
    </row>
    <row r="2722" ht="15.75" customHeight="1">
      <c r="A2722" s="29"/>
      <c r="B2722" s="5" t="s">
        <v>3680</v>
      </c>
      <c r="C2722" s="5" t="s">
        <v>22</v>
      </c>
      <c r="D2722" s="5" t="s">
        <v>90</v>
      </c>
      <c r="E2722" s="5" t="s">
        <v>382</v>
      </c>
    </row>
    <row r="2723" ht="15.75" customHeight="1">
      <c r="A2723" s="29"/>
      <c r="B2723" s="5" t="s">
        <v>3776</v>
      </c>
      <c r="C2723" s="5" t="s">
        <v>22</v>
      </c>
      <c r="D2723" s="5" t="s">
        <v>71</v>
      </c>
      <c r="E2723" s="5" t="s">
        <v>382</v>
      </c>
    </row>
    <row r="2724" ht="15.75" customHeight="1">
      <c r="A2724" s="29"/>
      <c r="B2724" s="5" t="s">
        <v>5027</v>
      </c>
      <c r="C2724" s="5" t="s">
        <v>14</v>
      </c>
      <c r="D2724" s="5" t="s">
        <v>71</v>
      </c>
      <c r="E2724" s="5" t="s">
        <v>382</v>
      </c>
    </row>
    <row r="2725" ht="15.75" customHeight="1">
      <c r="A2725" s="29"/>
      <c r="B2725" s="5" t="s">
        <v>5292</v>
      </c>
      <c r="C2725" s="5" t="s">
        <v>39</v>
      </c>
      <c r="D2725" s="5" t="s">
        <v>71</v>
      </c>
      <c r="E2725" s="5" t="s">
        <v>382</v>
      </c>
    </row>
    <row r="2726" ht="15.75" customHeight="1">
      <c r="A2726" s="29"/>
      <c r="B2726" s="5" t="s">
        <v>5161</v>
      </c>
      <c r="C2726" s="5" t="s">
        <v>346</v>
      </c>
      <c r="D2726" s="5" t="s">
        <v>71</v>
      </c>
      <c r="E2726" s="5" t="s">
        <v>382</v>
      </c>
    </row>
    <row r="2727" ht="15.75" customHeight="1">
      <c r="A2727" s="29"/>
      <c r="B2727" s="5" t="s">
        <v>4937</v>
      </c>
      <c r="C2727" s="5" t="s">
        <v>39</v>
      </c>
      <c r="D2727" s="5" t="s">
        <v>71</v>
      </c>
      <c r="E2727" s="5" t="s">
        <v>382</v>
      </c>
    </row>
    <row r="2728" ht="15.75" customHeight="1">
      <c r="A2728" s="29"/>
      <c r="B2728" s="5" t="s">
        <v>5395</v>
      </c>
      <c r="C2728" s="5" t="s">
        <v>14</v>
      </c>
      <c r="D2728" s="5" t="s">
        <v>71</v>
      </c>
      <c r="E2728" s="5" t="s">
        <v>382</v>
      </c>
    </row>
    <row r="2729" ht="15.75" customHeight="1">
      <c r="A2729" s="29"/>
      <c r="B2729" s="5" t="s">
        <v>5051</v>
      </c>
      <c r="C2729" s="5" t="s">
        <v>87</v>
      </c>
      <c r="D2729" s="5" t="s">
        <v>71</v>
      </c>
      <c r="E2729" s="5" t="s">
        <v>382</v>
      </c>
    </row>
    <row r="2730" ht="15.75" customHeight="1">
      <c r="A2730" s="29"/>
      <c r="B2730" s="5" t="s">
        <v>4922</v>
      </c>
      <c r="C2730" s="5" t="s">
        <v>17</v>
      </c>
      <c r="D2730" s="5" t="s">
        <v>71</v>
      </c>
      <c r="E2730" s="5" t="s">
        <v>382</v>
      </c>
    </row>
    <row r="2731" ht="15.75" customHeight="1">
      <c r="A2731" s="29"/>
      <c r="B2731" s="5" t="s">
        <v>3645</v>
      </c>
      <c r="C2731" s="5" t="s">
        <v>22</v>
      </c>
      <c r="D2731" s="5" t="s">
        <v>120</v>
      </c>
      <c r="E2731" s="5" t="s">
        <v>382</v>
      </c>
    </row>
    <row r="2732" ht="15.75" customHeight="1">
      <c r="A2732" s="29"/>
      <c r="B2732" s="5" t="s">
        <v>5477</v>
      </c>
      <c r="C2732" s="5" t="s">
        <v>14</v>
      </c>
      <c r="D2732" s="5" t="s">
        <v>15</v>
      </c>
      <c r="E2732" s="5" t="s">
        <v>382</v>
      </c>
    </row>
    <row r="2733" ht="15.75" customHeight="1">
      <c r="A2733" s="29"/>
      <c r="B2733" s="5" t="s">
        <v>3863</v>
      </c>
      <c r="C2733" s="5" t="s">
        <v>22</v>
      </c>
      <c r="D2733" s="5" t="s">
        <v>15</v>
      </c>
      <c r="E2733" s="5" t="s">
        <v>382</v>
      </c>
    </row>
    <row r="2734" ht="15.75" customHeight="1">
      <c r="A2734" s="29"/>
      <c r="B2734" s="5" t="s">
        <v>5054</v>
      </c>
      <c r="C2734" s="5" t="s">
        <v>14</v>
      </c>
      <c r="D2734" s="5" t="s">
        <v>15</v>
      </c>
      <c r="E2734" s="5" t="s">
        <v>382</v>
      </c>
    </row>
    <row r="2735" ht="15.75" customHeight="1">
      <c r="A2735" s="29"/>
      <c r="B2735" s="5" t="s">
        <v>3773</v>
      </c>
      <c r="C2735" s="5" t="s">
        <v>22</v>
      </c>
      <c r="D2735" s="5" t="s">
        <v>15</v>
      </c>
      <c r="E2735" s="5" t="s">
        <v>382</v>
      </c>
    </row>
    <row r="2736" ht="15.75" customHeight="1">
      <c r="A2736" s="29"/>
      <c r="B2736" s="5" t="s">
        <v>3969</v>
      </c>
      <c r="C2736" s="5" t="s">
        <v>22</v>
      </c>
      <c r="D2736" s="5" t="s">
        <v>15</v>
      </c>
      <c r="E2736" s="5" t="s">
        <v>382</v>
      </c>
    </row>
    <row r="2737" ht="15.75" customHeight="1">
      <c r="A2737" s="29"/>
      <c r="B2737" s="5" t="s">
        <v>5491</v>
      </c>
      <c r="C2737" s="5" t="s">
        <v>346</v>
      </c>
      <c r="D2737" s="5" t="s">
        <v>15</v>
      </c>
      <c r="E2737" s="5" t="s">
        <v>382</v>
      </c>
    </row>
    <row r="2738" ht="15.75" customHeight="1">
      <c r="A2738" s="29"/>
      <c r="B2738" s="5" t="s">
        <v>5283</v>
      </c>
      <c r="C2738" s="5" t="s">
        <v>77</v>
      </c>
      <c r="D2738" s="5" t="s">
        <v>15</v>
      </c>
      <c r="E2738" s="5" t="s">
        <v>382</v>
      </c>
    </row>
    <row r="2739" ht="15.75" customHeight="1">
      <c r="A2739" s="29"/>
      <c r="B2739" s="5" t="s">
        <v>5059</v>
      </c>
      <c r="C2739" s="5" t="s">
        <v>39</v>
      </c>
      <c r="D2739" s="5" t="s">
        <v>15</v>
      </c>
      <c r="E2739" s="5" t="s">
        <v>382</v>
      </c>
    </row>
    <row r="2740" ht="15.75" customHeight="1">
      <c r="A2740" s="29"/>
      <c r="B2740" s="5" t="s">
        <v>3653</v>
      </c>
      <c r="C2740" s="5" t="s">
        <v>22</v>
      </c>
      <c r="D2740" s="5" t="s">
        <v>15</v>
      </c>
      <c r="E2740" s="5" t="s">
        <v>382</v>
      </c>
    </row>
    <row r="2741" ht="15.75" customHeight="1">
      <c r="A2741" s="29"/>
      <c r="B2741" s="5" t="s">
        <v>5409</v>
      </c>
      <c r="C2741" s="5" t="s">
        <v>8</v>
      </c>
      <c r="D2741" s="5" t="s">
        <v>15</v>
      </c>
      <c r="E2741" s="5" t="s">
        <v>382</v>
      </c>
    </row>
    <row r="2742" ht="15.75" customHeight="1">
      <c r="A2742" s="29"/>
      <c r="B2742" s="5" t="s">
        <v>5465</v>
      </c>
      <c r="C2742" s="5" t="s">
        <v>14</v>
      </c>
      <c r="D2742" s="5" t="s">
        <v>18</v>
      </c>
      <c r="E2742" s="5" t="s">
        <v>382</v>
      </c>
    </row>
    <row r="2743" ht="15.75" customHeight="1">
      <c r="A2743" s="29"/>
      <c r="B2743" s="5" t="s">
        <v>5298</v>
      </c>
      <c r="C2743" s="5" t="s">
        <v>14</v>
      </c>
      <c r="D2743" s="5" t="s">
        <v>18</v>
      </c>
      <c r="E2743" s="5" t="s">
        <v>382</v>
      </c>
    </row>
    <row r="2744" ht="15.75" customHeight="1">
      <c r="A2744" s="29"/>
      <c r="B2744" s="5" t="s">
        <v>5122</v>
      </c>
      <c r="C2744" s="5" t="s">
        <v>55</v>
      </c>
      <c r="D2744" s="5" t="s">
        <v>18</v>
      </c>
      <c r="E2744" s="5" t="s">
        <v>382</v>
      </c>
    </row>
    <row r="2745" ht="15.75" customHeight="1">
      <c r="A2745" s="29"/>
      <c r="B2745" s="5" t="s">
        <v>3891</v>
      </c>
      <c r="C2745" s="5" t="s">
        <v>22</v>
      </c>
      <c r="D2745" s="5" t="s">
        <v>18</v>
      </c>
      <c r="E2745" s="5" t="s">
        <v>382</v>
      </c>
    </row>
    <row r="2746" ht="15.75" customHeight="1">
      <c r="A2746" s="29"/>
      <c r="B2746" s="5" t="s">
        <v>5120</v>
      </c>
      <c r="C2746" s="5" t="s">
        <v>14</v>
      </c>
      <c r="D2746" s="5" t="s">
        <v>18</v>
      </c>
      <c r="E2746" s="5" t="s">
        <v>382</v>
      </c>
    </row>
    <row r="2747" ht="15.75" customHeight="1">
      <c r="A2747" s="29"/>
      <c r="B2747" s="5" t="s">
        <v>3594</v>
      </c>
      <c r="C2747" s="5" t="s">
        <v>22</v>
      </c>
      <c r="D2747" s="5" t="s">
        <v>18</v>
      </c>
      <c r="E2747" s="5" t="s">
        <v>382</v>
      </c>
    </row>
    <row r="2748" ht="15.75" customHeight="1">
      <c r="A2748" s="29"/>
      <c r="B2748" s="5" t="s">
        <v>5365</v>
      </c>
      <c r="C2748" s="5" t="s">
        <v>20</v>
      </c>
      <c r="D2748" s="5" t="s">
        <v>18</v>
      </c>
      <c r="E2748" s="5" t="s">
        <v>382</v>
      </c>
    </row>
    <row r="2749" ht="15.75" customHeight="1">
      <c r="A2749" s="29"/>
      <c r="B2749" s="5" t="s">
        <v>5219</v>
      </c>
      <c r="C2749" s="5" t="s">
        <v>77</v>
      </c>
      <c r="D2749" s="5" t="s">
        <v>18</v>
      </c>
      <c r="E2749" s="5" t="s">
        <v>382</v>
      </c>
    </row>
    <row r="2750" ht="15.75" customHeight="1">
      <c r="A2750" s="29"/>
      <c r="B2750" s="5" t="s">
        <v>3849</v>
      </c>
      <c r="C2750" s="5" t="s">
        <v>22</v>
      </c>
      <c r="D2750" s="5" t="s">
        <v>90</v>
      </c>
      <c r="E2750" s="5" t="s">
        <v>382</v>
      </c>
    </row>
    <row r="2751" ht="15.75" customHeight="1">
      <c r="A2751" s="29"/>
      <c r="B2751" s="5" t="s">
        <v>4874</v>
      </c>
      <c r="C2751" s="5" t="s">
        <v>63</v>
      </c>
      <c r="D2751" s="5" t="s">
        <v>34</v>
      </c>
      <c r="E2751" s="5" t="s">
        <v>382</v>
      </c>
    </row>
    <row r="2752" ht="15.75" customHeight="1">
      <c r="A2752" s="29"/>
      <c r="B2752" s="5"/>
      <c r="C2752" s="5"/>
      <c r="D2752" s="5"/>
      <c r="E2752" s="5"/>
    </row>
    <row r="2753" ht="15.75" customHeight="1">
      <c r="A2753" s="29"/>
      <c r="B2753" s="5"/>
      <c r="C2753" s="5"/>
      <c r="D2753" s="5"/>
      <c r="E2753" s="5"/>
    </row>
    <row r="2754" ht="15.75" customHeight="1">
      <c r="A2754" s="29"/>
      <c r="B2754" s="5"/>
      <c r="C2754" s="5"/>
      <c r="D2754" s="5"/>
      <c r="E2754" s="5"/>
    </row>
    <row r="2755" ht="15.75" customHeight="1">
      <c r="A2755" s="29"/>
      <c r="B2755" s="5"/>
      <c r="C2755" s="5"/>
      <c r="D2755" s="5"/>
      <c r="E2755" s="5"/>
    </row>
    <row r="2756" ht="15.75" customHeight="1">
      <c r="A2756" s="29"/>
      <c r="B2756" s="5"/>
      <c r="C2756" s="5"/>
      <c r="D2756" s="5"/>
      <c r="E2756" s="5"/>
    </row>
    <row r="2757" ht="15.75" customHeight="1">
      <c r="A2757" s="29"/>
      <c r="B2757" s="5"/>
      <c r="C2757" s="5"/>
      <c r="D2757" s="5"/>
      <c r="E2757" s="5"/>
    </row>
    <row r="2758" ht="15.75" customHeight="1">
      <c r="A2758" s="29"/>
      <c r="B2758" s="5"/>
      <c r="C2758" s="5"/>
      <c r="D2758" s="5"/>
      <c r="E2758" s="5"/>
    </row>
    <row r="2759" ht="15.75" customHeight="1">
      <c r="A2759" s="29"/>
      <c r="B2759" s="5"/>
      <c r="C2759" s="5"/>
      <c r="D2759" s="5"/>
      <c r="E2759" s="5"/>
    </row>
    <row r="2760" ht="15.75" customHeight="1">
      <c r="A2760" s="29"/>
      <c r="B2760" s="5"/>
      <c r="C2760" s="5"/>
      <c r="D2760" s="5"/>
      <c r="E2760" s="5"/>
    </row>
    <row r="2761" ht="15.75" customHeight="1">
      <c r="A2761" s="29"/>
      <c r="B2761" s="5"/>
      <c r="C2761" s="5"/>
      <c r="D2761" s="5"/>
      <c r="E2761" s="5"/>
    </row>
    <row r="2762" ht="15.75" customHeight="1">
      <c r="A2762" s="29"/>
      <c r="B2762" s="5"/>
      <c r="C2762" s="5"/>
      <c r="D2762" s="5"/>
      <c r="E2762" s="5"/>
    </row>
    <row r="2763" ht="15.75" customHeight="1">
      <c r="A2763" s="29"/>
      <c r="B2763" s="5"/>
      <c r="C2763" s="5"/>
      <c r="D2763" s="5"/>
      <c r="E2763" s="5"/>
    </row>
    <row r="2764" ht="15.75" customHeight="1">
      <c r="A2764" s="29"/>
      <c r="B2764" s="5"/>
      <c r="C2764" s="5"/>
      <c r="D2764" s="5"/>
      <c r="E2764" s="5"/>
    </row>
    <row r="2765" ht="15.75" customHeight="1">
      <c r="A2765" s="29"/>
      <c r="B2765" s="5"/>
      <c r="C2765" s="5"/>
      <c r="D2765" s="5"/>
      <c r="E2765" s="5"/>
    </row>
    <row r="2766" ht="15.75" customHeight="1">
      <c r="A2766" s="29"/>
      <c r="B2766" s="5"/>
      <c r="C2766" s="5"/>
      <c r="D2766" s="5"/>
      <c r="E2766" s="5"/>
    </row>
    <row r="2767" ht="15.75" customHeight="1">
      <c r="A2767" s="29"/>
      <c r="B2767" s="5"/>
      <c r="C2767" s="5"/>
      <c r="D2767" s="5"/>
      <c r="E2767" s="5"/>
    </row>
    <row r="2768" ht="15.75" customHeight="1">
      <c r="A2768" s="29"/>
      <c r="B2768" s="5"/>
      <c r="C2768" s="5"/>
      <c r="D2768" s="5"/>
      <c r="E2768" s="5"/>
    </row>
    <row r="2769" ht="15.75" customHeight="1">
      <c r="A2769" s="29"/>
      <c r="B2769" s="5"/>
      <c r="C2769" s="5"/>
      <c r="D2769" s="5"/>
      <c r="E2769" s="5"/>
    </row>
    <row r="2770" ht="15.75" customHeight="1">
      <c r="A2770" s="29"/>
      <c r="B2770" s="5"/>
      <c r="C2770" s="5"/>
      <c r="D2770" s="5"/>
      <c r="E2770" s="5"/>
    </row>
    <row r="2771" ht="15.75" customHeight="1">
      <c r="A2771" s="29"/>
      <c r="B2771" s="5"/>
      <c r="C2771" s="5"/>
      <c r="D2771" s="5"/>
      <c r="E2771" s="5"/>
    </row>
    <row r="2772" ht="15.75" customHeight="1">
      <c r="A2772" s="29"/>
      <c r="B2772" s="5"/>
      <c r="C2772" s="5"/>
      <c r="D2772" s="5"/>
      <c r="E2772" s="5"/>
    </row>
    <row r="2773" ht="15.75" customHeight="1">
      <c r="A2773" s="29"/>
      <c r="B2773" s="5"/>
      <c r="C2773" s="5"/>
      <c r="D2773" s="5"/>
      <c r="E2773" s="5"/>
    </row>
    <row r="2774" ht="15.75" customHeight="1">
      <c r="A2774" s="29"/>
      <c r="B2774" s="5"/>
      <c r="C2774" s="5"/>
      <c r="D2774" s="5"/>
      <c r="E2774" s="5"/>
    </row>
    <row r="2775" ht="15.75" customHeight="1">
      <c r="A2775" s="29"/>
      <c r="B2775" s="5"/>
      <c r="C2775" s="5"/>
      <c r="D2775" s="5"/>
      <c r="E2775" s="5"/>
    </row>
    <row r="2776" ht="15.75" customHeight="1">
      <c r="A2776" s="29"/>
      <c r="B2776" s="5"/>
      <c r="C2776" s="5"/>
      <c r="D2776" s="5"/>
      <c r="E2776" s="5"/>
    </row>
    <row r="2777" ht="15.75" customHeight="1">
      <c r="A2777" s="29"/>
      <c r="B2777" s="5"/>
      <c r="C2777" s="5"/>
      <c r="D2777" s="5"/>
      <c r="E2777" s="5"/>
    </row>
    <row r="2778" ht="15.75" customHeight="1">
      <c r="A2778" s="29"/>
      <c r="B2778" s="5"/>
      <c r="C2778" s="5"/>
      <c r="D2778" s="5"/>
      <c r="E2778" s="5"/>
    </row>
    <row r="2779" ht="15.75" customHeight="1">
      <c r="A2779" s="29"/>
      <c r="B2779" s="5"/>
      <c r="C2779" s="5"/>
      <c r="D2779" s="5"/>
      <c r="E2779" s="5"/>
    </row>
    <row r="2780" ht="15.75" customHeight="1">
      <c r="A2780" s="29"/>
      <c r="B2780" s="5"/>
      <c r="C2780" s="5"/>
      <c r="D2780" s="5"/>
      <c r="E2780" s="5"/>
    </row>
    <row r="2781" ht="15.75" customHeight="1">
      <c r="A2781" s="29"/>
      <c r="B2781" s="5"/>
      <c r="C2781" s="5"/>
      <c r="D2781" s="5"/>
      <c r="E2781" s="5"/>
    </row>
    <row r="2782" ht="15.75" customHeight="1">
      <c r="A2782" s="29"/>
      <c r="B2782" s="5"/>
      <c r="C2782" s="5"/>
      <c r="D2782" s="5"/>
      <c r="E2782" s="5"/>
    </row>
    <row r="2783" ht="15.75" customHeight="1">
      <c r="A2783" s="29"/>
      <c r="B2783" s="5"/>
      <c r="C2783" s="5"/>
      <c r="D2783" s="5"/>
      <c r="E2783" s="5"/>
    </row>
    <row r="2784" ht="15.75" customHeight="1">
      <c r="A2784" s="29"/>
      <c r="B2784" s="5"/>
      <c r="C2784" s="5"/>
      <c r="D2784" s="5"/>
      <c r="E2784" s="5"/>
    </row>
    <row r="2785" ht="15.75" customHeight="1">
      <c r="A2785" s="29"/>
      <c r="B2785" s="5"/>
      <c r="C2785" s="5"/>
      <c r="D2785" s="5"/>
      <c r="E2785" s="5"/>
    </row>
    <row r="2786" ht="15.75" customHeight="1">
      <c r="A2786" s="29"/>
      <c r="B2786" s="5"/>
      <c r="C2786" s="5"/>
      <c r="D2786" s="5"/>
      <c r="E2786" s="5"/>
    </row>
    <row r="2787" ht="15.75" customHeight="1">
      <c r="A2787" s="29"/>
      <c r="B2787" s="5"/>
      <c r="C2787" s="5"/>
      <c r="D2787" s="5"/>
      <c r="E2787" s="5"/>
    </row>
    <row r="2788" ht="15.75" customHeight="1">
      <c r="A2788" s="29"/>
      <c r="B2788" s="5"/>
      <c r="C2788" s="5"/>
      <c r="D2788" s="5"/>
      <c r="E2788" s="5"/>
    </row>
    <row r="2789" ht="15.75" customHeight="1">
      <c r="A2789" s="29"/>
      <c r="B2789" s="5"/>
      <c r="C2789" s="5"/>
      <c r="D2789" s="5"/>
      <c r="E2789" s="5"/>
    </row>
    <row r="2790" ht="15.75" customHeight="1">
      <c r="A2790" s="29"/>
      <c r="B2790" s="5"/>
      <c r="C2790" s="5"/>
      <c r="D2790" s="5"/>
      <c r="E2790" s="5"/>
    </row>
    <row r="2791" ht="15.75" customHeight="1">
      <c r="A2791" s="29"/>
      <c r="B2791" s="5"/>
      <c r="C2791" s="5"/>
      <c r="D2791" s="5"/>
      <c r="E2791" s="5"/>
    </row>
    <row r="2792" ht="15.75" customHeight="1">
      <c r="A2792" s="29"/>
      <c r="B2792" s="5"/>
      <c r="C2792" s="5"/>
      <c r="D2792" s="5"/>
      <c r="E2792" s="5"/>
    </row>
    <row r="2793" ht="15.75" customHeight="1">
      <c r="A2793" s="29"/>
      <c r="B2793" s="5"/>
      <c r="C2793" s="5"/>
      <c r="D2793" s="5"/>
      <c r="E2793" s="5"/>
    </row>
    <row r="2794" ht="15.75" customHeight="1">
      <c r="A2794" s="29"/>
      <c r="B2794" s="5"/>
      <c r="C2794" s="5"/>
      <c r="D2794" s="5"/>
      <c r="E2794" s="5"/>
    </row>
    <row r="2795" ht="15.75" customHeight="1">
      <c r="A2795" s="29"/>
      <c r="B2795" s="5"/>
      <c r="C2795" s="5"/>
      <c r="D2795" s="5"/>
      <c r="E2795" s="5"/>
    </row>
    <row r="2796" ht="15.75" customHeight="1">
      <c r="A2796" s="29"/>
      <c r="B2796" s="5"/>
      <c r="C2796" s="5"/>
      <c r="D2796" s="5"/>
      <c r="E2796" s="5"/>
    </row>
    <row r="2797" ht="15.75" customHeight="1">
      <c r="A2797" s="29"/>
      <c r="B2797" s="5"/>
      <c r="C2797" s="5"/>
      <c r="D2797" s="5"/>
      <c r="E2797" s="5"/>
    </row>
    <row r="2798" ht="15.75" customHeight="1">
      <c r="A2798" s="29"/>
      <c r="B2798" s="5"/>
      <c r="C2798" s="5"/>
      <c r="D2798" s="5"/>
      <c r="E2798" s="5"/>
    </row>
    <row r="2799" ht="15.75" customHeight="1">
      <c r="A2799" s="29"/>
      <c r="B2799" s="5"/>
      <c r="C2799" s="5"/>
      <c r="D2799" s="5"/>
      <c r="E2799" s="5"/>
    </row>
    <row r="2800" ht="15.75" customHeight="1">
      <c r="A2800" s="29"/>
      <c r="B2800" s="5"/>
      <c r="C2800" s="5"/>
      <c r="D2800" s="5"/>
      <c r="E2800" s="5"/>
    </row>
    <row r="2801" ht="15.75" customHeight="1">
      <c r="A2801" s="29"/>
      <c r="B2801" s="5"/>
      <c r="C2801" s="5"/>
      <c r="D2801" s="5"/>
      <c r="E2801" s="5"/>
    </row>
    <row r="2802" ht="15.75" customHeight="1">
      <c r="A2802" s="29"/>
      <c r="B2802" s="5"/>
      <c r="C2802" s="5"/>
      <c r="D2802" s="5"/>
      <c r="E2802" s="5"/>
    </row>
    <row r="2803" ht="15.75" customHeight="1">
      <c r="A2803" s="29"/>
      <c r="B2803" s="5"/>
      <c r="C2803" s="5"/>
      <c r="D2803" s="5"/>
      <c r="E2803" s="5"/>
    </row>
    <row r="2804" ht="15.75" customHeight="1">
      <c r="A2804" s="29"/>
      <c r="B2804" s="5"/>
      <c r="C2804" s="5"/>
      <c r="D2804" s="5"/>
      <c r="E2804" s="5"/>
    </row>
    <row r="2805" ht="15.75" customHeight="1">
      <c r="A2805" s="29"/>
      <c r="B2805" s="5"/>
      <c r="C2805" s="5"/>
      <c r="D2805" s="5"/>
      <c r="E2805" s="5"/>
    </row>
    <row r="2806" ht="15.75" customHeight="1">
      <c r="A2806" s="29"/>
      <c r="B2806" s="5"/>
      <c r="C2806" s="5"/>
      <c r="D2806" s="5"/>
      <c r="E2806" s="5"/>
    </row>
    <row r="2807" ht="15.75" customHeight="1">
      <c r="A2807" s="29"/>
      <c r="B2807" s="5"/>
      <c r="C2807" s="5"/>
      <c r="D2807" s="5"/>
      <c r="E2807" s="5"/>
    </row>
    <row r="2808" ht="15.75" customHeight="1">
      <c r="A2808" s="29"/>
      <c r="B2808" s="5"/>
      <c r="C2808" s="5"/>
      <c r="D2808" s="5"/>
      <c r="E2808" s="5"/>
    </row>
    <row r="2809" ht="15.75" customHeight="1">
      <c r="A2809" s="29"/>
      <c r="B2809" s="5"/>
      <c r="C2809" s="5"/>
      <c r="D2809" s="5"/>
      <c r="E2809" s="5"/>
    </row>
    <row r="2810" ht="15.75" customHeight="1">
      <c r="A2810" s="29"/>
      <c r="B2810" s="5"/>
      <c r="C2810" s="5"/>
      <c r="D2810" s="5"/>
      <c r="E2810" s="5"/>
    </row>
    <row r="2811" ht="15.75" customHeight="1">
      <c r="A2811" s="29"/>
      <c r="B2811" s="5"/>
      <c r="C2811" s="5"/>
      <c r="D2811" s="5"/>
      <c r="E2811" s="5"/>
    </row>
    <row r="2812" ht="15.75" customHeight="1">
      <c r="A2812" s="29"/>
      <c r="B2812" s="5"/>
      <c r="C2812" s="5"/>
      <c r="D2812" s="5"/>
      <c r="E2812" s="5"/>
    </row>
    <row r="2813" ht="15.75" customHeight="1">
      <c r="A2813" s="29"/>
      <c r="B2813" s="5"/>
      <c r="C2813" s="5"/>
      <c r="D2813" s="5"/>
      <c r="E2813" s="5"/>
    </row>
    <row r="2814" ht="15.75" customHeight="1">
      <c r="A2814" s="29"/>
      <c r="B2814" s="5"/>
      <c r="C2814" s="5"/>
      <c r="D2814" s="5"/>
      <c r="E2814" s="5"/>
    </row>
    <row r="2815" ht="15.75" customHeight="1">
      <c r="A2815" s="29"/>
      <c r="B2815" s="5"/>
      <c r="C2815" s="5"/>
      <c r="D2815" s="5"/>
      <c r="E2815" s="5"/>
    </row>
    <row r="2816" ht="15.75" customHeight="1">
      <c r="A2816" s="29"/>
      <c r="B2816" s="5"/>
      <c r="C2816" s="5"/>
      <c r="D2816" s="5"/>
      <c r="E2816" s="5"/>
    </row>
    <row r="2817" ht="15.75" customHeight="1">
      <c r="A2817" s="29"/>
      <c r="B2817" s="5"/>
      <c r="C2817" s="5"/>
      <c r="D2817" s="5"/>
      <c r="E2817" s="5"/>
    </row>
    <row r="2818" ht="15.75" customHeight="1">
      <c r="A2818" s="29"/>
      <c r="B2818" s="5"/>
      <c r="C2818" s="5"/>
      <c r="D2818" s="5"/>
      <c r="E2818" s="5"/>
    </row>
    <row r="2819" ht="15.75" customHeight="1">
      <c r="A2819" s="29"/>
      <c r="B2819" s="5"/>
      <c r="C2819" s="5"/>
      <c r="D2819" s="5"/>
      <c r="E2819" s="5"/>
    </row>
    <row r="2820" ht="15.75" customHeight="1">
      <c r="A2820" s="29"/>
      <c r="B2820" s="5"/>
      <c r="C2820" s="5"/>
      <c r="D2820" s="5"/>
      <c r="E2820" s="5"/>
    </row>
    <row r="2821" ht="15.75" customHeight="1">
      <c r="A2821" s="29"/>
      <c r="B2821" s="5"/>
      <c r="C2821" s="5"/>
      <c r="D2821" s="5"/>
      <c r="E2821" s="5"/>
    </row>
    <row r="2822" ht="15.75" customHeight="1">
      <c r="A2822" s="29"/>
      <c r="B2822" s="5"/>
      <c r="C2822" s="5"/>
      <c r="D2822" s="5"/>
      <c r="E2822" s="5"/>
    </row>
    <row r="2823" ht="15.75" customHeight="1">
      <c r="A2823" s="29"/>
      <c r="B2823" s="5"/>
      <c r="C2823" s="5"/>
      <c r="D2823" s="5"/>
      <c r="E2823" s="5"/>
    </row>
    <row r="2824" ht="15.75" customHeight="1">
      <c r="A2824" s="29"/>
      <c r="B2824" s="5"/>
      <c r="C2824" s="5"/>
      <c r="D2824" s="5"/>
      <c r="E2824" s="5"/>
    </row>
    <row r="2825" ht="15.75" customHeight="1">
      <c r="A2825" s="29"/>
      <c r="B2825" s="5"/>
      <c r="C2825" s="5"/>
      <c r="D2825" s="5"/>
      <c r="E2825" s="5"/>
    </row>
    <row r="2826" ht="15.75" customHeight="1">
      <c r="A2826" s="29"/>
      <c r="B2826" s="5"/>
      <c r="C2826" s="5"/>
      <c r="D2826" s="5"/>
      <c r="E2826" s="5"/>
    </row>
    <row r="2827" ht="15.75" customHeight="1">
      <c r="A2827" s="29"/>
      <c r="B2827" s="5"/>
      <c r="C2827" s="5"/>
      <c r="D2827" s="5"/>
      <c r="E2827" s="5"/>
    </row>
    <row r="2828" ht="15.75" customHeight="1">
      <c r="A2828" s="29"/>
      <c r="B2828" s="5"/>
      <c r="C2828" s="5"/>
      <c r="D2828" s="5"/>
      <c r="E2828" s="5"/>
    </row>
    <row r="2829" ht="15.75" customHeight="1">
      <c r="A2829" s="29"/>
      <c r="B2829" s="5"/>
      <c r="C2829" s="5"/>
      <c r="D2829" s="5"/>
      <c r="E2829" s="5"/>
    </row>
    <row r="2830" ht="15.75" customHeight="1">
      <c r="A2830" s="29"/>
      <c r="B2830" s="5"/>
      <c r="C2830" s="5"/>
      <c r="D2830" s="5"/>
      <c r="E2830" s="5"/>
    </row>
    <row r="2831" ht="15.75" customHeight="1">
      <c r="A2831" s="29"/>
      <c r="B2831" s="5"/>
      <c r="C2831" s="5"/>
      <c r="D2831" s="5"/>
      <c r="E2831" s="5"/>
    </row>
    <row r="2832" ht="15.75" customHeight="1">
      <c r="A2832" s="29"/>
      <c r="B2832" s="5"/>
      <c r="C2832" s="5"/>
      <c r="D2832" s="5"/>
      <c r="E2832" s="5"/>
    </row>
    <row r="2833" ht="15.75" customHeight="1">
      <c r="A2833" s="29"/>
      <c r="B2833" s="5"/>
      <c r="C2833" s="5"/>
      <c r="D2833" s="5"/>
      <c r="E2833" s="5"/>
    </row>
    <row r="2834" ht="15.75" customHeight="1">
      <c r="A2834" s="29"/>
      <c r="B2834" s="5"/>
      <c r="C2834" s="5"/>
      <c r="D2834" s="5"/>
      <c r="E2834" s="5"/>
    </row>
    <row r="2835" ht="15.75" customHeight="1">
      <c r="A2835" s="29"/>
      <c r="B2835" s="5"/>
      <c r="C2835" s="5"/>
      <c r="D2835" s="5"/>
      <c r="E2835" s="5"/>
    </row>
    <row r="2836" ht="15.75" customHeight="1">
      <c r="A2836" s="29"/>
      <c r="B2836" s="5"/>
      <c r="C2836" s="5"/>
      <c r="D2836" s="5"/>
      <c r="E2836" s="5"/>
    </row>
    <row r="2837" ht="15.75" customHeight="1">
      <c r="A2837" s="29"/>
      <c r="B2837" s="5"/>
      <c r="C2837" s="5"/>
      <c r="D2837" s="5"/>
      <c r="E2837" s="5"/>
    </row>
    <row r="2838" ht="15.75" customHeight="1">
      <c r="A2838" s="29"/>
      <c r="B2838" s="5"/>
      <c r="C2838" s="5"/>
      <c r="D2838" s="5"/>
      <c r="E2838" s="5"/>
    </row>
    <row r="2839" ht="15.75" customHeight="1">
      <c r="A2839" s="29"/>
      <c r="B2839" s="5"/>
      <c r="C2839" s="5"/>
      <c r="D2839" s="5"/>
      <c r="E2839" s="5"/>
    </row>
    <row r="2840" ht="15.75" customHeight="1">
      <c r="A2840" s="29"/>
      <c r="B2840" s="5"/>
      <c r="C2840" s="5"/>
      <c r="D2840" s="5"/>
      <c r="E2840" s="5"/>
    </row>
    <row r="2841" ht="15.75" customHeight="1">
      <c r="A2841" s="29"/>
      <c r="B2841" s="5"/>
      <c r="C2841" s="5"/>
      <c r="D2841" s="5"/>
      <c r="E2841" s="5"/>
    </row>
    <row r="2842" ht="15.75" customHeight="1">
      <c r="A2842" s="29"/>
      <c r="B2842" s="5"/>
      <c r="C2842" s="5"/>
      <c r="D2842" s="5"/>
      <c r="E2842" s="5"/>
    </row>
    <row r="2843" ht="15.75" customHeight="1">
      <c r="A2843" s="29"/>
      <c r="B2843" s="5"/>
      <c r="C2843" s="5"/>
      <c r="D2843" s="5"/>
      <c r="E2843" s="5"/>
    </row>
    <row r="2844" ht="15.75" customHeight="1">
      <c r="A2844" s="29"/>
      <c r="B2844" s="5"/>
      <c r="C2844" s="5"/>
      <c r="D2844" s="5"/>
      <c r="E2844" s="5"/>
    </row>
    <row r="2845" ht="15.75" customHeight="1">
      <c r="A2845" s="29"/>
      <c r="B2845" s="5"/>
      <c r="C2845" s="5"/>
      <c r="D2845" s="5"/>
      <c r="E2845" s="5"/>
    </row>
    <row r="2846" ht="15.75" customHeight="1">
      <c r="A2846" s="29"/>
      <c r="B2846" s="5"/>
      <c r="C2846" s="5"/>
      <c r="D2846" s="5"/>
      <c r="E2846" s="5"/>
    </row>
    <row r="2847" ht="15.75" customHeight="1">
      <c r="A2847" s="29"/>
      <c r="B2847" s="5"/>
      <c r="C2847" s="5"/>
      <c r="D2847" s="5"/>
      <c r="E2847" s="5"/>
    </row>
    <row r="2848" ht="15.75" customHeight="1">
      <c r="A2848" s="29"/>
      <c r="B2848" s="5"/>
      <c r="C2848" s="5"/>
      <c r="D2848" s="5"/>
      <c r="E2848" s="5"/>
    </row>
    <row r="2849" ht="15.75" customHeight="1">
      <c r="A2849" s="29"/>
      <c r="B2849" s="5"/>
      <c r="C2849" s="5"/>
      <c r="D2849" s="5"/>
      <c r="E2849" s="5"/>
    </row>
    <row r="2850" ht="15.75" customHeight="1">
      <c r="A2850" s="29"/>
      <c r="B2850" s="5"/>
      <c r="C2850" s="5"/>
      <c r="D2850" s="5"/>
      <c r="E2850" s="5"/>
    </row>
    <row r="2851" ht="15.75" customHeight="1">
      <c r="A2851" s="29"/>
      <c r="B2851" s="5"/>
      <c r="C2851" s="5"/>
      <c r="D2851" s="5"/>
      <c r="E2851" s="5"/>
    </row>
    <row r="2852" ht="15.75" customHeight="1">
      <c r="A2852" s="29"/>
      <c r="B2852" s="5"/>
      <c r="C2852" s="5"/>
      <c r="D2852" s="5"/>
      <c r="E2852" s="5"/>
    </row>
    <row r="2853" ht="15.75" customHeight="1">
      <c r="A2853" s="29"/>
      <c r="B2853" s="5"/>
      <c r="C2853" s="5"/>
      <c r="D2853" s="5"/>
      <c r="E2853" s="5"/>
    </row>
    <row r="2854" ht="15.75" customHeight="1">
      <c r="A2854" s="29"/>
      <c r="B2854" s="5"/>
      <c r="C2854" s="5"/>
      <c r="D2854" s="5"/>
      <c r="E2854" s="5"/>
    </row>
    <row r="2855" ht="15.75" customHeight="1">
      <c r="A2855" s="29"/>
      <c r="B2855" s="5"/>
      <c r="C2855" s="5"/>
      <c r="D2855" s="5"/>
      <c r="E2855" s="5"/>
    </row>
    <row r="2856" ht="15.75" customHeight="1">
      <c r="A2856" s="29"/>
      <c r="B2856" s="5"/>
      <c r="C2856" s="5"/>
      <c r="D2856" s="5"/>
      <c r="E2856" s="5"/>
    </row>
    <row r="2857" ht="15.75" customHeight="1">
      <c r="A2857" s="29"/>
      <c r="B2857" s="5"/>
      <c r="C2857" s="5"/>
      <c r="D2857" s="5"/>
      <c r="E2857" s="5"/>
    </row>
    <row r="2858" ht="15.75" customHeight="1">
      <c r="A2858" s="29"/>
      <c r="B2858" s="5"/>
      <c r="C2858" s="5"/>
      <c r="D2858" s="5"/>
      <c r="E2858" s="5"/>
    </row>
    <row r="2859" ht="15.75" customHeight="1">
      <c r="A2859" s="29"/>
      <c r="B2859" s="5"/>
      <c r="C2859" s="5"/>
      <c r="D2859" s="5"/>
      <c r="E2859" s="5"/>
    </row>
    <row r="2860" ht="15.75" customHeight="1">
      <c r="A2860" s="29"/>
      <c r="B2860" s="5"/>
      <c r="C2860" s="5"/>
      <c r="D2860" s="5"/>
      <c r="E2860" s="5"/>
    </row>
    <row r="2861" ht="15.75" customHeight="1">
      <c r="A2861" s="29"/>
      <c r="B2861" s="5"/>
      <c r="C2861" s="5"/>
      <c r="D2861" s="5"/>
      <c r="E2861" s="5"/>
    </row>
    <row r="2862" ht="15.75" customHeight="1">
      <c r="A2862" s="29"/>
      <c r="B2862" s="5"/>
      <c r="C2862" s="5"/>
      <c r="D2862" s="5"/>
      <c r="E2862" s="5"/>
    </row>
    <row r="2863" ht="15.75" customHeight="1">
      <c r="A2863" s="29"/>
      <c r="B2863" s="5"/>
      <c r="C2863" s="5"/>
      <c r="D2863" s="5"/>
      <c r="E2863" s="5"/>
    </row>
    <row r="2864" ht="15.75" customHeight="1">
      <c r="A2864" s="29"/>
      <c r="B2864" s="5"/>
      <c r="C2864" s="5"/>
      <c r="D2864" s="5"/>
      <c r="E2864" s="5"/>
    </row>
    <row r="2865" ht="15.75" customHeight="1">
      <c r="A2865" s="29"/>
      <c r="B2865" s="5"/>
      <c r="C2865" s="5"/>
      <c r="D2865" s="5"/>
      <c r="E2865" s="5"/>
    </row>
    <row r="2866" ht="15.75" customHeight="1">
      <c r="A2866" s="29"/>
      <c r="B2866" s="5"/>
      <c r="C2866" s="5"/>
      <c r="D2866" s="5"/>
      <c r="E2866" s="5"/>
    </row>
    <row r="2867" ht="15.75" customHeight="1">
      <c r="A2867" s="29"/>
      <c r="B2867" s="5"/>
      <c r="C2867" s="5"/>
      <c r="D2867" s="5"/>
      <c r="E2867" s="5"/>
    </row>
    <row r="2868" ht="15.75" customHeight="1">
      <c r="A2868" s="29"/>
      <c r="B2868" s="5"/>
      <c r="C2868" s="5"/>
      <c r="D2868" s="5"/>
      <c r="E2868" s="5"/>
    </row>
    <row r="2869" ht="15.75" customHeight="1">
      <c r="A2869" s="29"/>
      <c r="B2869" s="5"/>
      <c r="C2869" s="5"/>
      <c r="D2869" s="5"/>
      <c r="E2869" s="5"/>
    </row>
    <row r="2870" ht="15.75" customHeight="1">
      <c r="A2870" s="29"/>
      <c r="B2870" s="5"/>
      <c r="C2870" s="5"/>
      <c r="D2870" s="5"/>
      <c r="E2870" s="5"/>
    </row>
    <row r="2871" ht="15.75" customHeight="1">
      <c r="A2871" s="29"/>
      <c r="B2871" s="5"/>
      <c r="C2871" s="5"/>
      <c r="D2871" s="5"/>
      <c r="E2871" s="5"/>
    </row>
    <row r="2872" ht="15.75" customHeight="1">
      <c r="A2872" s="29"/>
      <c r="B2872" s="5"/>
      <c r="C2872" s="5"/>
      <c r="D2872" s="5"/>
      <c r="E2872" s="5"/>
    </row>
    <row r="2873" ht="15.75" customHeight="1">
      <c r="A2873" s="29"/>
      <c r="B2873" s="5"/>
      <c r="C2873" s="5"/>
      <c r="D2873" s="5"/>
      <c r="E2873" s="5"/>
    </row>
    <row r="2874" ht="15.75" customHeight="1">
      <c r="A2874" s="29"/>
      <c r="B2874" s="5"/>
      <c r="C2874" s="5"/>
      <c r="D2874" s="5"/>
      <c r="E2874" s="5"/>
    </row>
    <row r="2875" ht="15.75" customHeight="1">
      <c r="A2875" s="29"/>
      <c r="B2875" s="5"/>
      <c r="C2875" s="5"/>
      <c r="D2875" s="5"/>
      <c r="E2875" s="5"/>
    </row>
    <row r="2876" ht="15.75" customHeight="1">
      <c r="A2876" s="29"/>
      <c r="B2876" s="5"/>
      <c r="C2876" s="5"/>
      <c r="D2876" s="5"/>
      <c r="E2876" s="5"/>
    </row>
    <row r="2877" ht="15.75" customHeight="1">
      <c r="A2877" s="29"/>
      <c r="B2877" s="5"/>
      <c r="C2877" s="5"/>
      <c r="D2877" s="5"/>
      <c r="E2877" s="5"/>
    </row>
    <row r="2878" ht="15.75" customHeight="1">
      <c r="A2878" s="29"/>
      <c r="B2878" s="5"/>
      <c r="C2878" s="5"/>
      <c r="D2878" s="5"/>
      <c r="E2878" s="5"/>
    </row>
    <row r="2879" ht="15.75" customHeight="1">
      <c r="A2879" s="29"/>
      <c r="B2879" s="5"/>
      <c r="C2879" s="5"/>
      <c r="D2879" s="5"/>
      <c r="E2879" s="5"/>
    </row>
    <row r="2880" ht="15.75" customHeight="1">
      <c r="A2880" s="29"/>
      <c r="B2880" s="5"/>
      <c r="C2880" s="5"/>
      <c r="D2880" s="5"/>
      <c r="E2880" s="5"/>
    </row>
    <row r="2881" ht="15.75" customHeight="1">
      <c r="A2881" s="29"/>
      <c r="B2881" s="5"/>
      <c r="C2881" s="5"/>
      <c r="D2881" s="5"/>
      <c r="E2881" s="5"/>
    </row>
    <row r="2882" ht="15.75" customHeight="1">
      <c r="A2882" s="29"/>
      <c r="B2882" s="5"/>
      <c r="C2882" s="5"/>
      <c r="D2882" s="5"/>
      <c r="E2882" s="5"/>
    </row>
    <row r="2883" ht="15.75" customHeight="1">
      <c r="A2883" s="29"/>
      <c r="B2883" s="5"/>
      <c r="C2883" s="5"/>
      <c r="D2883" s="5"/>
      <c r="E2883" s="5"/>
    </row>
    <row r="2884" ht="15.75" customHeight="1">
      <c r="A2884" s="29"/>
      <c r="B2884" s="5"/>
      <c r="C2884" s="5"/>
      <c r="D2884" s="5"/>
      <c r="E2884" s="5"/>
    </row>
    <row r="2885" ht="15.75" customHeight="1">
      <c r="A2885" s="29"/>
      <c r="B2885" s="5"/>
      <c r="C2885" s="5"/>
      <c r="D2885" s="5"/>
      <c r="E2885" s="5"/>
    </row>
    <row r="2886" ht="15.75" customHeight="1">
      <c r="A2886" s="29"/>
      <c r="B2886" s="5"/>
      <c r="C2886" s="5"/>
      <c r="D2886" s="5"/>
      <c r="E2886" s="5"/>
    </row>
    <row r="2887" ht="15.75" customHeight="1">
      <c r="A2887" s="29"/>
      <c r="B2887" s="5"/>
      <c r="C2887" s="5"/>
      <c r="D2887" s="5"/>
      <c r="E2887" s="5"/>
    </row>
    <row r="2888" ht="15.75" customHeight="1">
      <c r="A2888" s="29"/>
      <c r="B2888" s="5"/>
      <c r="C2888" s="5"/>
      <c r="D2888" s="5"/>
      <c r="E2888" s="5"/>
    </row>
    <row r="2889" ht="15.75" customHeight="1">
      <c r="A2889" s="29"/>
      <c r="B2889" s="5"/>
      <c r="C2889" s="5"/>
      <c r="D2889" s="5"/>
      <c r="E2889" s="5"/>
    </row>
    <row r="2890" ht="15.75" customHeight="1">
      <c r="A2890" s="29"/>
      <c r="B2890" s="5"/>
      <c r="C2890" s="5"/>
      <c r="D2890" s="5"/>
      <c r="E2890" s="5"/>
    </row>
    <row r="2891" ht="15.75" customHeight="1">
      <c r="A2891" s="29"/>
      <c r="B2891" s="5"/>
      <c r="C2891" s="5"/>
      <c r="D2891" s="5"/>
      <c r="E2891" s="5"/>
    </row>
    <row r="2892" ht="15.75" customHeight="1">
      <c r="A2892" s="29"/>
      <c r="B2892" s="5"/>
      <c r="C2892" s="5"/>
      <c r="D2892" s="5"/>
      <c r="E2892" s="5"/>
    </row>
    <row r="2893" ht="15.75" customHeight="1">
      <c r="A2893" s="29"/>
      <c r="B2893" s="5"/>
      <c r="C2893" s="5"/>
      <c r="D2893" s="5"/>
      <c r="E2893" s="5"/>
    </row>
    <row r="2894" ht="15.75" customHeight="1">
      <c r="A2894" s="29"/>
      <c r="B2894" s="5"/>
      <c r="C2894" s="5"/>
      <c r="D2894" s="5"/>
      <c r="E2894" s="5"/>
    </row>
    <row r="2895" ht="15.75" customHeight="1">
      <c r="A2895" s="29"/>
      <c r="B2895" s="5"/>
      <c r="C2895" s="5"/>
      <c r="D2895" s="5"/>
      <c r="E2895" s="5"/>
    </row>
    <row r="2896" ht="15.75" customHeight="1">
      <c r="A2896" s="29"/>
      <c r="B2896" s="5"/>
      <c r="C2896" s="5"/>
      <c r="D2896" s="5"/>
      <c r="E2896" s="5"/>
    </row>
    <row r="2897" ht="15.75" customHeight="1">
      <c r="A2897" s="29"/>
      <c r="B2897" s="5"/>
      <c r="C2897" s="5"/>
      <c r="D2897" s="5"/>
      <c r="E2897" s="5"/>
    </row>
    <row r="2898" ht="15.75" customHeight="1">
      <c r="A2898" s="29"/>
      <c r="B2898" s="5"/>
      <c r="C2898" s="5"/>
      <c r="D2898" s="5"/>
      <c r="E2898" s="5"/>
    </row>
    <row r="2899" ht="15.75" customHeight="1">
      <c r="A2899" s="29"/>
      <c r="B2899" s="5"/>
      <c r="C2899" s="5"/>
      <c r="D2899" s="5"/>
      <c r="E2899" s="5"/>
    </row>
    <row r="2900" ht="15.75" customHeight="1">
      <c r="A2900" s="29"/>
      <c r="B2900" s="5"/>
      <c r="C2900" s="5"/>
      <c r="D2900" s="5"/>
      <c r="E2900" s="5"/>
    </row>
    <row r="2901" ht="15.75" customHeight="1">
      <c r="A2901" s="29"/>
      <c r="B2901" s="5"/>
      <c r="C2901" s="5"/>
      <c r="D2901" s="5"/>
      <c r="E2901" s="5"/>
    </row>
    <row r="2902" ht="15.75" customHeight="1">
      <c r="A2902" s="29"/>
      <c r="B2902" s="5"/>
      <c r="C2902" s="5"/>
      <c r="D2902" s="5"/>
      <c r="E2902" s="5"/>
    </row>
    <row r="2903" ht="15.75" customHeight="1">
      <c r="A2903" s="29"/>
      <c r="B2903" s="5"/>
      <c r="C2903" s="5"/>
      <c r="D2903" s="5"/>
      <c r="E2903" s="5"/>
    </row>
    <row r="2904" ht="15.75" customHeight="1">
      <c r="A2904" s="29"/>
      <c r="B2904" s="5"/>
      <c r="C2904" s="5"/>
      <c r="D2904" s="5"/>
      <c r="E2904" s="5"/>
    </row>
    <row r="2905" ht="15.75" customHeight="1">
      <c r="A2905" s="29"/>
      <c r="B2905" s="5"/>
      <c r="C2905" s="5"/>
      <c r="D2905" s="5"/>
      <c r="E2905" s="5"/>
    </row>
    <row r="2906" ht="15.75" customHeight="1">
      <c r="A2906" s="29"/>
      <c r="B2906" s="5"/>
      <c r="C2906" s="5"/>
      <c r="D2906" s="5"/>
      <c r="E2906" s="5"/>
    </row>
    <row r="2907" ht="15.75" customHeight="1">
      <c r="A2907" s="29"/>
      <c r="B2907" s="5"/>
      <c r="C2907" s="5"/>
      <c r="D2907" s="5"/>
      <c r="E2907" s="5"/>
    </row>
    <row r="2908" ht="15.75" customHeight="1">
      <c r="A2908" s="29"/>
      <c r="B2908" s="5"/>
      <c r="C2908" s="5"/>
      <c r="D2908" s="5"/>
      <c r="E2908" s="5"/>
    </row>
    <row r="2909" ht="15.75" customHeight="1">
      <c r="A2909" s="29"/>
      <c r="B2909" s="5"/>
      <c r="C2909" s="5"/>
      <c r="D2909" s="5"/>
      <c r="E2909" s="5"/>
    </row>
    <row r="2910" ht="15.75" customHeight="1">
      <c r="A2910" s="29"/>
      <c r="B2910" s="5"/>
      <c r="C2910" s="5"/>
      <c r="D2910" s="5"/>
      <c r="E2910" s="5"/>
    </row>
    <row r="2911" ht="15.75" customHeight="1">
      <c r="A2911" s="29"/>
      <c r="B2911" s="5"/>
      <c r="C2911" s="5"/>
      <c r="D2911" s="5"/>
      <c r="E2911" s="5"/>
    </row>
    <row r="2912" ht="15.75" customHeight="1">
      <c r="A2912" s="29"/>
      <c r="B2912" s="5"/>
      <c r="C2912" s="5"/>
      <c r="D2912" s="5"/>
      <c r="E2912" s="5"/>
    </row>
    <row r="2913" ht="15.75" customHeight="1">
      <c r="A2913" s="29"/>
      <c r="B2913" s="5"/>
      <c r="C2913" s="5"/>
      <c r="D2913" s="5"/>
      <c r="E2913" s="5"/>
    </row>
    <row r="2914" ht="15.75" customHeight="1">
      <c r="A2914" s="29"/>
      <c r="B2914" s="5"/>
      <c r="C2914" s="5"/>
      <c r="D2914" s="5"/>
      <c r="E2914" s="5"/>
    </row>
    <row r="2915" ht="15.75" customHeight="1">
      <c r="A2915" s="29"/>
      <c r="B2915" s="5"/>
      <c r="C2915" s="5"/>
      <c r="D2915" s="5"/>
      <c r="E2915" s="5"/>
    </row>
    <row r="2916" ht="15.75" customHeight="1">
      <c r="A2916" s="29"/>
      <c r="B2916" s="5"/>
      <c r="C2916" s="5"/>
      <c r="D2916" s="5"/>
      <c r="E2916" s="5"/>
    </row>
    <row r="2917" ht="15.75" customHeight="1">
      <c r="A2917" s="29"/>
      <c r="B2917" s="5"/>
      <c r="C2917" s="5"/>
      <c r="D2917" s="5"/>
      <c r="E2917" s="5"/>
    </row>
    <row r="2918" ht="15.75" customHeight="1">
      <c r="A2918" s="29"/>
      <c r="B2918" s="5"/>
      <c r="C2918" s="5"/>
      <c r="D2918" s="5"/>
      <c r="E2918" s="5"/>
    </row>
    <row r="2919" ht="15.75" customHeight="1">
      <c r="A2919" s="29"/>
      <c r="B2919" s="5"/>
      <c r="C2919" s="5"/>
      <c r="D2919" s="5"/>
      <c r="E2919" s="5"/>
    </row>
    <row r="2920" ht="15.75" customHeight="1">
      <c r="A2920" s="29"/>
      <c r="B2920" s="5"/>
      <c r="C2920" s="5"/>
      <c r="D2920" s="5"/>
      <c r="E2920" s="5"/>
    </row>
    <row r="2921" ht="15.75" customHeight="1">
      <c r="A2921" s="29"/>
      <c r="B2921" s="5"/>
      <c r="C2921" s="5"/>
      <c r="D2921" s="5"/>
      <c r="E2921" s="5"/>
    </row>
    <row r="2922" ht="15.75" customHeight="1">
      <c r="A2922" s="29"/>
      <c r="B2922" s="5"/>
      <c r="C2922" s="5"/>
      <c r="D2922" s="5"/>
      <c r="E2922" s="5"/>
    </row>
    <row r="2923" ht="15.75" customHeight="1">
      <c r="A2923" s="29"/>
      <c r="B2923" s="5"/>
      <c r="C2923" s="5"/>
      <c r="D2923" s="5"/>
      <c r="E2923" s="5"/>
    </row>
    <row r="2924" ht="15.75" customHeight="1">
      <c r="A2924" s="29"/>
      <c r="B2924" s="5"/>
      <c r="C2924" s="5"/>
      <c r="D2924" s="5"/>
      <c r="E2924" s="5"/>
    </row>
    <row r="2925" ht="15.75" customHeight="1">
      <c r="A2925" s="29"/>
      <c r="B2925" s="5"/>
      <c r="C2925" s="5"/>
      <c r="D2925" s="5"/>
      <c r="E2925" s="5"/>
    </row>
    <row r="2926" ht="15.75" customHeight="1">
      <c r="A2926" s="29"/>
      <c r="B2926" s="5"/>
      <c r="C2926" s="5"/>
      <c r="D2926" s="5"/>
      <c r="E2926" s="5"/>
    </row>
    <row r="2927" ht="15.75" customHeight="1">
      <c r="A2927" s="29"/>
      <c r="B2927" s="5"/>
      <c r="C2927" s="5"/>
      <c r="D2927" s="5"/>
      <c r="E2927" s="5"/>
    </row>
    <row r="2928" ht="15.75" customHeight="1">
      <c r="A2928" s="29"/>
      <c r="B2928" s="5"/>
      <c r="C2928" s="5"/>
      <c r="D2928" s="5"/>
      <c r="E2928" s="5"/>
    </row>
    <row r="2929" ht="15.75" customHeight="1">
      <c r="A2929" s="29"/>
      <c r="B2929" s="5"/>
      <c r="C2929" s="5"/>
      <c r="D2929" s="5"/>
      <c r="E2929" s="5"/>
    </row>
    <row r="2930" ht="15.75" customHeight="1">
      <c r="A2930" s="29"/>
      <c r="B2930" s="5"/>
      <c r="C2930" s="5"/>
      <c r="D2930" s="5"/>
      <c r="E2930" s="5"/>
    </row>
    <row r="2931" ht="15.75" customHeight="1">
      <c r="A2931" s="29"/>
      <c r="B2931" s="5"/>
      <c r="C2931" s="5"/>
      <c r="D2931" s="5"/>
      <c r="E2931" s="5"/>
    </row>
    <row r="2932" ht="15.75" customHeight="1">
      <c r="A2932" s="29"/>
      <c r="B2932" s="5"/>
      <c r="C2932" s="5"/>
      <c r="D2932" s="5"/>
      <c r="E2932" s="5"/>
    </row>
    <row r="2933" ht="15.75" customHeight="1">
      <c r="A2933" s="29"/>
      <c r="B2933" s="5"/>
      <c r="C2933" s="5"/>
      <c r="D2933" s="5"/>
      <c r="E2933" s="5"/>
    </row>
    <row r="2934" ht="15.75" customHeight="1">
      <c r="A2934" s="29"/>
      <c r="B2934" s="5"/>
      <c r="C2934" s="5"/>
      <c r="D2934" s="5"/>
      <c r="E2934" s="5"/>
    </row>
    <row r="2935" ht="15.75" customHeight="1">
      <c r="A2935" s="29"/>
      <c r="B2935" s="5"/>
      <c r="C2935" s="5"/>
      <c r="D2935" s="5"/>
      <c r="E2935" s="5"/>
    </row>
    <row r="2936" ht="15.75" customHeight="1">
      <c r="A2936" s="29"/>
      <c r="B2936" s="5"/>
      <c r="C2936" s="5"/>
      <c r="D2936" s="5"/>
      <c r="E2936" s="5"/>
    </row>
    <row r="2937" ht="15.75" customHeight="1">
      <c r="A2937" s="29"/>
      <c r="B2937" s="5"/>
      <c r="C2937" s="5"/>
      <c r="D2937" s="5"/>
      <c r="E2937" s="5"/>
    </row>
    <row r="2938" ht="15.75" customHeight="1">
      <c r="A2938" s="29"/>
      <c r="B2938" s="5"/>
      <c r="C2938" s="5"/>
      <c r="D2938" s="5"/>
      <c r="E2938" s="5"/>
    </row>
    <row r="2939" ht="15.75" customHeight="1">
      <c r="A2939" s="29"/>
      <c r="B2939" s="5"/>
      <c r="C2939" s="5"/>
      <c r="D2939" s="5"/>
      <c r="E2939" s="5"/>
    </row>
    <row r="2940" ht="15.75" customHeight="1">
      <c r="A2940" s="29"/>
      <c r="B2940" s="5"/>
      <c r="C2940" s="5"/>
      <c r="D2940" s="5"/>
      <c r="E2940" s="5"/>
    </row>
    <row r="2941" ht="15.75" customHeight="1">
      <c r="A2941" s="29"/>
      <c r="B2941" s="5"/>
      <c r="C2941" s="5"/>
      <c r="D2941" s="5"/>
      <c r="E2941" s="5"/>
    </row>
    <row r="2942" ht="15.75" customHeight="1">
      <c r="A2942" s="29"/>
      <c r="B2942" s="5"/>
      <c r="C2942" s="5"/>
      <c r="D2942" s="5"/>
      <c r="E2942" s="5"/>
    </row>
    <row r="2943" ht="15.75" customHeight="1">
      <c r="A2943" s="29"/>
      <c r="B2943" s="5"/>
      <c r="C2943" s="5"/>
      <c r="D2943" s="5"/>
      <c r="E2943" s="5"/>
    </row>
    <row r="2944" ht="15.75" customHeight="1">
      <c r="A2944" s="29"/>
      <c r="B2944" s="5"/>
      <c r="C2944" s="5"/>
      <c r="D2944" s="5"/>
      <c r="E2944" s="5"/>
    </row>
    <row r="2945" ht="15.75" customHeight="1">
      <c r="A2945" s="29"/>
      <c r="B2945" s="5"/>
      <c r="C2945" s="5"/>
      <c r="D2945" s="5"/>
      <c r="E2945" s="5"/>
    </row>
    <row r="2946" ht="15.75" customHeight="1">
      <c r="A2946" s="29"/>
      <c r="B2946" s="5"/>
      <c r="C2946" s="5"/>
      <c r="D2946" s="5"/>
      <c r="E2946" s="5"/>
    </row>
    <row r="2947" ht="15.75" customHeight="1">
      <c r="A2947" s="29"/>
      <c r="B2947" s="5"/>
      <c r="C2947" s="5"/>
      <c r="D2947" s="5"/>
      <c r="E2947" s="5"/>
    </row>
    <row r="2948" ht="15.75" customHeight="1">
      <c r="A2948" s="29"/>
      <c r="B2948" s="5"/>
      <c r="C2948" s="5"/>
      <c r="D2948" s="5"/>
      <c r="E2948" s="5"/>
    </row>
    <row r="2949" ht="15.75" customHeight="1">
      <c r="A2949" s="29"/>
      <c r="B2949" s="5"/>
      <c r="C2949" s="5"/>
      <c r="D2949" s="5"/>
      <c r="E2949" s="5"/>
    </row>
    <row r="2950" ht="15.75" customHeight="1">
      <c r="A2950" s="29"/>
      <c r="B2950" s="5"/>
      <c r="C2950" s="5"/>
      <c r="D2950" s="5"/>
      <c r="E2950" s="5"/>
    </row>
    <row r="2951" ht="15.75" customHeight="1">
      <c r="A2951" s="29"/>
      <c r="B2951" s="5"/>
      <c r="C2951" s="5"/>
      <c r="D2951" s="5"/>
      <c r="E2951" s="5"/>
    </row>
    <row r="2952" ht="15.75" customHeight="1">
      <c r="A2952" s="29"/>
      <c r="B2952" s="5"/>
      <c r="C2952" s="5"/>
      <c r="D2952" s="5"/>
      <c r="E2952" s="5"/>
    </row>
    <row r="2953" ht="15.75" customHeight="1">
      <c r="A2953" s="29"/>
      <c r="B2953" s="5"/>
      <c r="C2953" s="5"/>
      <c r="D2953" s="5"/>
      <c r="E2953" s="5"/>
    </row>
    <row r="2954" ht="15.75" customHeight="1">
      <c r="A2954" s="29"/>
      <c r="B2954" s="5"/>
      <c r="C2954" s="5"/>
      <c r="D2954" s="5"/>
      <c r="E2954" s="5"/>
    </row>
    <row r="2955" ht="15.75" customHeight="1">
      <c r="A2955" s="29"/>
      <c r="B2955" s="5"/>
      <c r="C2955" s="5"/>
      <c r="D2955" s="5"/>
      <c r="E2955" s="5"/>
    </row>
    <row r="2956" ht="15.75" customHeight="1">
      <c r="A2956" s="29"/>
      <c r="B2956" s="5"/>
      <c r="C2956" s="5"/>
      <c r="D2956" s="5"/>
      <c r="E2956" s="5"/>
    </row>
    <row r="2957" ht="15.75" customHeight="1">
      <c r="A2957" s="29"/>
      <c r="B2957" s="5"/>
      <c r="C2957" s="5"/>
      <c r="D2957" s="5"/>
      <c r="E2957" s="5"/>
    </row>
    <row r="2958" ht="15.75" customHeight="1">
      <c r="A2958" s="29"/>
      <c r="B2958" s="5"/>
      <c r="C2958" s="5"/>
      <c r="D2958" s="5"/>
      <c r="E2958" s="5"/>
    </row>
    <row r="2959" ht="15.75" customHeight="1">
      <c r="A2959" s="29"/>
      <c r="B2959" s="5"/>
      <c r="C2959" s="5"/>
      <c r="D2959" s="5"/>
      <c r="E2959" s="5"/>
    </row>
    <row r="2960" ht="15.75" customHeight="1">
      <c r="A2960" s="29"/>
      <c r="B2960" s="5"/>
      <c r="C2960" s="5"/>
      <c r="D2960" s="5"/>
      <c r="E2960" s="5"/>
    </row>
    <row r="2961" ht="15.75" customHeight="1">
      <c r="A2961" s="29"/>
      <c r="B2961" s="5"/>
      <c r="C2961" s="5"/>
      <c r="D2961" s="5"/>
      <c r="E2961" s="5"/>
    </row>
    <row r="2962" ht="15.75" customHeight="1">
      <c r="A2962" s="29"/>
      <c r="B2962" s="5"/>
      <c r="C2962" s="5"/>
      <c r="D2962" s="5"/>
      <c r="E2962" s="5"/>
    </row>
    <row r="2963" ht="15.75" customHeight="1">
      <c r="A2963" s="29"/>
      <c r="B2963" s="5"/>
      <c r="C2963" s="5"/>
      <c r="D2963" s="5"/>
      <c r="E2963" s="5"/>
    </row>
    <row r="2964" ht="15.75" customHeight="1">
      <c r="A2964" s="29"/>
      <c r="B2964" s="5"/>
      <c r="C2964" s="5"/>
      <c r="D2964" s="5"/>
      <c r="E2964" s="5"/>
    </row>
    <row r="2965" ht="15.75" customHeight="1">
      <c r="A2965" s="29"/>
      <c r="B2965" s="5"/>
      <c r="C2965" s="5"/>
      <c r="D2965" s="5"/>
      <c r="E2965" s="5"/>
    </row>
    <row r="2966" ht="15.75" customHeight="1">
      <c r="A2966" s="29"/>
      <c r="B2966" s="5"/>
      <c r="C2966" s="5"/>
      <c r="D2966" s="5"/>
      <c r="E2966" s="5"/>
    </row>
    <row r="2967" ht="15.75" customHeight="1">
      <c r="A2967" s="29"/>
      <c r="B2967" s="5"/>
      <c r="C2967" s="5"/>
      <c r="D2967" s="5"/>
      <c r="E2967" s="5"/>
    </row>
    <row r="2968" ht="15.75" customHeight="1">
      <c r="A2968" s="29"/>
      <c r="B2968" s="5"/>
      <c r="C2968" s="5"/>
      <c r="D2968" s="5"/>
      <c r="E2968" s="5"/>
    </row>
    <row r="2969" ht="15.75" customHeight="1">
      <c r="A2969" s="29"/>
      <c r="B2969" s="5"/>
      <c r="C2969" s="5"/>
      <c r="D2969" s="5"/>
      <c r="E2969" s="5"/>
    </row>
    <row r="2970" ht="15.75" customHeight="1">
      <c r="A2970" s="29"/>
      <c r="B2970" s="5"/>
      <c r="C2970" s="5"/>
      <c r="D2970" s="5"/>
      <c r="E2970" s="5"/>
    </row>
    <row r="2971" ht="15.75" customHeight="1">
      <c r="A2971" s="29"/>
      <c r="B2971" s="5"/>
      <c r="C2971" s="5"/>
      <c r="D2971" s="5"/>
      <c r="E2971" s="5"/>
    </row>
    <row r="2972" ht="15.75" customHeight="1">
      <c r="A2972" s="29"/>
      <c r="B2972" s="5"/>
      <c r="C2972" s="5"/>
      <c r="D2972" s="5"/>
      <c r="E2972" s="5"/>
    </row>
    <row r="2973" ht="15.75" customHeight="1">
      <c r="A2973" s="29"/>
      <c r="B2973" s="5"/>
      <c r="C2973" s="5"/>
      <c r="D2973" s="5"/>
      <c r="E2973" s="5"/>
    </row>
    <row r="2974" ht="15.75" customHeight="1">
      <c r="A2974" s="29"/>
      <c r="B2974" s="5"/>
      <c r="C2974" s="5"/>
      <c r="D2974" s="5"/>
      <c r="E2974" s="5"/>
    </row>
    <row r="2975" ht="15.75" customHeight="1">
      <c r="A2975" s="29"/>
      <c r="B2975" s="5"/>
      <c r="C2975" s="5"/>
      <c r="D2975" s="5"/>
      <c r="E2975" s="5"/>
    </row>
    <row r="2976" ht="15.75" customHeight="1">
      <c r="A2976" s="29"/>
      <c r="B2976" s="5"/>
      <c r="C2976" s="5"/>
      <c r="D2976" s="5"/>
      <c r="E2976" s="5"/>
    </row>
    <row r="2977" ht="15.75" customHeight="1">
      <c r="A2977" s="29"/>
      <c r="B2977" s="5"/>
      <c r="C2977" s="5"/>
      <c r="D2977" s="5"/>
      <c r="E2977" s="5"/>
    </row>
    <row r="2978" ht="15.75" customHeight="1">
      <c r="A2978" s="29"/>
      <c r="B2978" s="5"/>
      <c r="C2978" s="5"/>
      <c r="D2978" s="5"/>
      <c r="E2978" s="5"/>
    </row>
    <row r="2979" ht="15.75" customHeight="1">
      <c r="A2979" s="29"/>
      <c r="B2979" s="5"/>
      <c r="C2979" s="5"/>
      <c r="D2979" s="5"/>
      <c r="E2979" s="5"/>
    </row>
    <row r="2980" ht="15.75" customHeight="1">
      <c r="A2980" s="29"/>
      <c r="B2980" s="5"/>
      <c r="C2980" s="5"/>
      <c r="D2980" s="5"/>
      <c r="E2980" s="5"/>
    </row>
    <row r="2981" ht="15.75" customHeight="1">
      <c r="A2981" s="29"/>
      <c r="B2981" s="5"/>
      <c r="C2981" s="5"/>
      <c r="D2981" s="5"/>
      <c r="E2981" s="5"/>
    </row>
    <row r="2982" ht="15.75" customHeight="1">
      <c r="A2982" s="29"/>
      <c r="B2982" s="5"/>
      <c r="C2982" s="5"/>
      <c r="D2982" s="5"/>
      <c r="E2982" s="5"/>
    </row>
    <row r="2983" ht="15.75" customHeight="1">
      <c r="A2983" s="29"/>
      <c r="B2983" s="5"/>
      <c r="C2983" s="5"/>
      <c r="D2983" s="5"/>
      <c r="E2983" s="5"/>
    </row>
    <row r="2984" ht="15.75" customHeight="1">
      <c r="A2984" s="29"/>
      <c r="B2984" s="5"/>
      <c r="C2984" s="5"/>
      <c r="D2984" s="5"/>
      <c r="E2984" s="5"/>
    </row>
    <row r="2985" ht="15.75" customHeight="1">
      <c r="A2985" s="29"/>
      <c r="B2985" s="5"/>
      <c r="C2985" s="5"/>
      <c r="D2985" s="5"/>
      <c r="E2985" s="5"/>
    </row>
    <row r="2986" ht="15.75" customHeight="1">
      <c r="A2986" s="29"/>
      <c r="B2986" s="5"/>
      <c r="C2986" s="5"/>
      <c r="D2986" s="5"/>
      <c r="E2986" s="5"/>
    </row>
    <row r="2987" ht="15.75" customHeight="1">
      <c r="A2987" s="29"/>
      <c r="B2987" s="5"/>
      <c r="C2987" s="5"/>
      <c r="D2987" s="5"/>
      <c r="E2987" s="5"/>
    </row>
    <row r="2988" ht="15.75" customHeight="1">
      <c r="A2988" s="29"/>
      <c r="B2988" s="5"/>
      <c r="C2988" s="5"/>
      <c r="D2988" s="5"/>
      <c r="E2988" s="5"/>
    </row>
    <row r="2989" ht="15.75" customHeight="1">
      <c r="A2989" s="29"/>
      <c r="B2989" s="5"/>
      <c r="C2989" s="5"/>
      <c r="D2989" s="5"/>
      <c r="E2989" s="5"/>
    </row>
    <row r="2990" ht="15.75" customHeight="1">
      <c r="A2990" s="29"/>
      <c r="B2990" s="5"/>
      <c r="C2990" s="5"/>
      <c r="D2990" s="5"/>
      <c r="E2990" s="5"/>
    </row>
    <row r="2991" ht="15.75" customHeight="1">
      <c r="A2991" s="29"/>
      <c r="B2991" s="5"/>
      <c r="C2991" s="5"/>
      <c r="D2991" s="5"/>
      <c r="E2991" s="5"/>
    </row>
    <row r="2992" ht="15.75" customHeight="1">
      <c r="A2992" s="29"/>
      <c r="B2992" s="5"/>
      <c r="C2992" s="5"/>
      <c r="D2992" s="5"/>
      <c r="E2992" s="5"/>
    </row>
    <row r="2993" ht="15.75" customHeight="1">
      <c r="A2993" s="29"/>
      <c r="B2993" s="5"/>
      <c r="C2993" s="5"/>
      <c r="D2993" s="5"/>
      <c r="E2993" s="5"/>
    </row>
    <row r="2994" ht="15.75" customHeight="1">
      <c r="A2994" s="29"/>
      <c r="B2994" s="5"/>
      <c r="C2994" s="5"/>
      <c r="D2994" s="5"/>
      <c r="E2994" s="5"/>
    </row>
    <row r="2995" ht="15.75" customHeight="1">
      <c r="A2995" s="29"/>
      <c r="B2995" s="5"/>
      <c r="C2995" s="5"/>
      <c r="D2995" s="5"/>
      <c r="E2995" s="5"/>
    </row>
    <row r="2996" ht="15.75" customHeight="1">
      <c r="A2996" s="29"/>
      <c r="B2996" s="5"/>
      <c r="C2996" s="5"/>
      <c r="D2996" s="5"/>
      <c r="E2996" s="5"/>
    </row>
    <row r="2997" ht="15.75" customHeight="1">
      <c r="A2997" s="29"/>
      <c r="B2997" s="5"/>
      <c r="C2997" s="5"/>
      <c r="D2997" s="5"/>
      <c r="E2997" s="5"/>
    </row>
    <row r="2998" ht="15.75" customHeight="1">
      <c r="A2998" s="29"/>
      <c r="B2998" s="5"/>
      <c r="C2998" s="5"/>
      <c r="D2998" s="5"/>
      <c r="E2998" s="5"/>
    </row>
    <row r="2999" ht="15.75" customHeight="1">
      <c r="A2999" s="29"/>
      <c r="B2999" s="5"/>
      <c r="C2999" s="5"/>
      <c r="D2999" s="5"/>
      <c r="E2999" s="5"/>
    </row>
    <row r="3000" ht="15.75" customHeight="1">
      <c r="A3000" s="29"/>
      <c r="B3000" s="5"/>
      <c r="C3000" s="5"/>
      <c r="D3000" s="5"/>
      <c r="E3000" s="5"/>
    </row>
    <row r="3001" ht="15.75" customHeight="1">
      <c r="A3001" s="29"/>
      <c r="B3001" s="5"/>
      <c r="C3001" s="5"/>
      <c r="D3001" s="5"/>
      <c r="E3001" s="5"/>
    </row>
    <row r="3002" ht="15.75" customHeight="1">
      <c r="A3002" s="29"/>
      <c r="B3002" s="5"/>
      <c r="C3002" s="5"/>
      <c r="D3002" s="5"/>
      <c r="E3002" s="5"/>
    </row>
    <row r="3003" ht="15.75" customHeight="1">
      <c r="A3003" s="29"/>
      <c r="B3003" s="5"/>
      <c r="C3003" s="5"/>
      <c r="D3003" s="5"/>
      <c r="E3003" s="5"/>
    </row>
    <row r="3004" ht="15.75" customHeight="1">
      <c r="A3004" s="29"/>
      <c r="B3004" s="5"/>
      <c r="C3004" s="5"/>
      <c r="D3004" s="5"/>
      <c r="E3004" s="5"/>
    </row>
    <row r="3005" ht="15.75" customHeight="1">
      <c r="A3005" s="29"/>
      <c r="B3005" s="5"/>
      <c r="C3005" s="5"/>
      <c r="D3005" s="5"/>
      <c r="E3005" s="5"/>
    </row>
    <row r="3006" ht="15.75" customHeight="1">
      <c r="A3006" s="29"/>
      <c r="B3006" s="5"/>
      <c r="C3006" s="5"/>
      <c r="D3006" s="5"/>
      <c r="E3006" s="5"/>
    </row>
    <row r="3007" ht="15.75" customHeight="1">
      <c r="A3007" s="29"/>
      <c r="B3007" s="5"/>
      <c r="C3007" s="5"/>
      <c r="D3007" s="5"/>
      <c r="E3007" s="5"/>
    </row>
    <row r="3008" ht="15.75" customHeight="1">
      <c r="A3008" s="29"/>
      <c r="B3008" s="5"/>
      <c r="C3008" s="5"/>
      <c r="D3008" s="5"/>
      <c r="E3008" s="5"/>
    </row>
    <row r="3009" ht="15.75" customHeight="1">
      <c r="A3009" s="29"/>
      <c r="B3009" s="5"/>
      <c r="C3009" s="5"/>
      <c r="D3009" s="5"/>
      <c r="E3009" s="5"/>
    </row>
    <row r="3010" ht="15.75" customHeight="1">
      <c r="A3010" s="29"/>
      <c r="B3010" s="5"/>
      <c r="C3010" s="5"/>
      <c r="D3010" s="5"/>
      <c r="E3010" s="5"/>
    </row>
    <row r="3011" ht="15.75" customHeight="1">
      <c r="A3011" s="29"/>
      <c r="B3011" s="5"/>
      <c r="C3011" s="5"/>
      <c r="D3011" s="5"/>
      <c r="E3011" s="5"/>
    </row>
    <row r="3012" ht="15.75" customHeight="1">
      <c r="A3012" s="29"/>
      <c r="B3012" s="5"/>
      <c r="C3012" s="5"/>
      <c r="D3012" s="5"/>
      <c r="E3012" s="5"/>
    </row>
    <row r="3013" ht="15.75" customHeight="1">
      <c r="A3013" s="29"/>
      <c r="B3013" s="5"/>
      <c r="C3013" s="5"/>
      <c r="D3013" s="5"/>
      <c r="E3013" s="5"/>
    </row>
    <row r="3014" ht="15.75" customHeight="1">
      <c r="A3014" s="29"/>
      <c r="B3014" s="5"/>
      <c r="C3014" s="5"/>
      <c r="D3014" s="5"/>
      <c r="E3014" s="5"/>
    </row>
    <row r="3015" ht="15.75" customHeight="1">
      <c r="A3015" s="29"/>
      <c r="B3015" s="5"/>
      <c r="C3015" s="5"/>
      <c r="D3015" s="5"/>
      <c r="E3015" s="5"/>
    </row>
    <row r="3016" ht="15.75" customHeight="1">
      <c r="A3016" s="29"/>
      <c r="B3016" s="5"/>
      <c r="C3016" s="5"/>
      <c r="D3016" s="5"/>
      <c r="E3016" s="5"/>
    </row>
    <row r="3017" ht="15.75" customHeight="1">
      <c r="A3017" s="29"/>
      <c r="B3017" s="5"/>
      <c r="C3017" s="5"/>
      <c r="D3017" s="5"/>
      <c r="E3017" s="5"/>
    </row>
    <row r="3018" ht="15.75" customHeight="1">
      <c r="A3018" s="29"/>
      <c r="B3018" s="5"/>
      <c r="C3018" s="5"/>
      <c r="D3018" s="5"/>
      <c r="E3018" s="5"/>
    </row>
    <row r="3019" ht="15.75" customHeight="1">
      <c r="A3019" s="29"/>
      <c r="B3019" s="5"/>
      <c r="C3019" s="5"/>
      <c r="D3019" s="5"/>
      <c r="E3019" s="5"/>
    </row>
    <row r="3020" ht="15.75" customHeight="1">
      <c r="A3020" s="29"/>
      <c r="B3020" s="5"/>
      <c r="C3020" s="5"/>
      <c r="D3020" s="5"/>
      <c r="E3020" s="5"/>
    </row>
    <row r="3021" ht="15.75" customHeight="1">
      <c r="A3021" s="29"/>
      <c r="B3021" s="5"/>
      <c r="C3021" s="5"/>
      <c r="D3021" s="5"/>
      <c r="E3021" s="5"/>
    </row>
    <row r="3022" ht="15.75" customHeight="1">
      <c r="A3022" s="29"/>
      <c r="B3022" s="5"/>
      <c r="C3022" s="5"/>
      <c r="D3022" s="5"/>
      <c r="E3022" s="5"/>
    </row>
    <row r="3023" ht="15.75" customHeight="1">
      <c r="A3023" s="29"/>
      <c r="B3023" s="5"/>
      <c r="C3023" s="5"/>
      <c r="D3023" s="5"/>
      <c r="E3023" s="5"/>
    </row>
    <row r="3024" ht="15.75" customHeight="1">
      <c r="A3024" s="29"/>
      <c r="B3024" s="5"/>
      <c r="C3024" s="5"/>
      <c r="D3024" s="5"/>
      <c r="E3024" s="5"/>
    </row>
    <row r="3025" ht="15.75" customHeight="1">
      <c r="A3025" s="29"/>
      <c r="B3025" s="5"/>
      <c r="C3025" s="5"/>
      <c r="D3025" s="5"/>
      <c r="E3025" s="5"/>
    </row>
    <row r="3026" ht="15.75" customHeight="1">
      <c r="A3026" s="29"/>
      <c r="B3026" s="5"/>
      <c r="C3026" s="5"/>
      <c r="D3026" s="5"/>
      <c r="E3026" s="5"/>
    </row>
    <row r="3027" ht="15.75" customHeight="1">
      <c r="A3027" s="29"/>
      <c r="B3027" s="5"/>
      <c r="C3027" s="5"/>
      <c r="D3027" s="5"/>
      <c r="E3027" s="5"/>
    </row>
    <row r="3028" ht="15.75" customHeight="1">
      <c r="A3028" s="29"/>
      <c r="B3028" s="5"/>
      <c r="C3028" s="5"/>
      <c r="D3028" s="5"/>
      <c r="E3028" s="5"/>
    </row>
    <row r="3029" ht="15.75" customHeight="1">
      <c r="A3029" s="29"/>
      <c r="B3029" s="5"/>
      <c r="C3029" s="5"/>
      <c r="D3029" s="5"/>
      <c r="E3029" s="5"/>
    </row>
    <row r="3030" ht="15.75" customHeight="1">
      <c r="A3030" s="29"/>
      <c r="B3030" s="5"/>
      <c r="C3030" s="5"/>
      <c r="D3030" s="5"/>
      <c r="E3030" s="5"/>
    </row>
    <row r="3031" ht="15.75" customHeight="1">
      <c r="A3031" s="29"/>
      <c r="B3031" s="5"/>
      <c r="C3031" s="5"/>
      <c r="D3031" s="5"/>
      <c r="E3031" s="5"/>
    </row>
    <row r="3032" ht="15.75" customHeight="1">
      <c r="A3032" s="29"/>
      <c r="B3032" s="5"/>
      <c r="C3032" s="5"/>
      <c r="D3032" s="5"/>
      <c r="E3032" s="5"/>
    </row>
    <row r="3033" ht="15.75" customHeight="1">
      <c r="A3033" s="29"/>
      <c r="B3033" s="5"/>
      <c r="C3033" s="5"/>
      <c r="D3033" s="5"/>
      <c r="E3033" s="5"/>
    </row>
    <row r="3034" ht="15.75" customHeight="1">
      <c r="A3034" s="29"/>
      <c r="B3034" s="5"/>
      <c r="C3034" s="5"/>
      <c r="D3034" s="5"/>
      <c r="E3034" s="5"/>
    </row>
    <row r="3035" ht="15.75" customHeight="1">
      <c r="A3035" s="29"/>
      <c r="B3035" s="5"/>
      <c r="C3035" s="5"/>
      <c r="D3035" s="5"/>
      <c r="E3035" s="5"/>
    </row>
    <row r="3036" ht="15.75" customHeight="1">
      <c r="A3036" s="29"/>
      <c r="B3036" s="5"/>
      <c r="C3036" s="5"/>
      <c r="D3036" s="5"/>
      <c r="E3036" s="5"/>
    </row>
    <row r="3037" ht="15.75" customHeight="1">
      <c r="A3037" s="29"/>
      <c r="B3037" s="5"/>
      <c r="C3037" s="5"/>
      <c r="D3037" s="5"/>
      <c r="E3037" s="5"/>
    </row>
    <row r="3038" ht="15.75" customHeight="1">
      <c r="A3038" s="29"/>
      <c r="B3038" s="5"/>
      <c r="C3038" s="5"/>
      <c r="D3038" s="5"/>
      <c r="E3038" s="5"/>
    </row>
    <row r="3039" ht="15.75" customHeight="1">
      <c r="A3039" s="29"/>
      <c r="B3039" s="5"/>
      <c r="C3039" s="5"/>
      <c r="D3039" s="5"/>
      <c r="E3039" s="5"/>
    </row>
    <row r="3040" ht="15.75" customHeight="1">
      <c r="A3040" s="29"/>
      <c r="B3040" s="5"/>
      <c r="C3040" s="5"/>
      <c r="D3040" s="5"/>
      <c r="E3040" s="5"/>
    </row>
    <row r="3041" ht="15.75" customHeight="1">
      <c r="A3041" s="29"/>
      <c r="B3041" s="5"/>
      <c r="C3041" s="5"/>
      <c r="D3041" s="5"/>
      <c r="E3041" s="5"/>
    </row>
    <row r="3042" ht="15.75" customHeight="1">
      <c r="A3042" s="29"/>
      <c r="B3042" s="5"/>
      <c r="C3042" s="5"/>
      <c r="D3042" s="5"/>
      <c r="E3042" s="5"/>
    </row>
    <row r="3043" ht="15.75" customHeight="1">
      <c r="A3043" s="29"/>
      <c r="B3043" s="5"/>
      <c r="C3043" s="5"/>
      <c r="D3043" s="5"/>
      <c r="E3043" s="5"/>
    </row>
    <row r="3044" ht="15.75" customHeight="1">
      <c r="A3044" s="29"/>
      <c r="B3044" s="5"/>
      <c r="C3044" s="5"/>
      <c r="D3044" s="5"/>
      <c r="E3044" s="5"/>
    </row>
    <row r="3045" ht="15.75" customHeight="1">
      <c r="A3045" s="29"/>
      <c r="B3045" s="5"/>
      <c r="C3045" s="5"/>
      <c r="D3045" s="5"/>
      <c r="E3045" s="5"/>
    </row>
    <row r="3046" ht="15.75" customHeight="1">
      <c r="A3046" s="29"/>
      <c r="B3046" s="5"/>
      <c r="C3046" s="5"/>
      <c r="D3046" s="5"/>
      <c r="E3046" s="5"/>
    </row>
    <row r="3047" ht="15.75" customHeight="1">
      <c r="A3047" s="29"/>
      <c r="B3047" s="5"/>
      <c r="C3047" s="5"/>
      <c r="D3047" s="5"/>
      <c r="E3047" s="5"/>
    </row>
    <row r="3048" ht="15.75" customHeight="1">
      <c r="A3048" s="29"/>
      <c r="B3048" s="5"/>
      <c r="C3048" s="5"/>
      <c r="D3048" s="5"/>
      <c r="E3048" s="5"/>
    </row>
    <row r="3049" ht="15.75" customHeight="1">
      <c r="A3049" s="29"/>
      <c r="B3049" s="5"/>
      <c r="C3049" s="5"/>
      <c r="D3049" s="5"/>
      <c r="E3049" s="5"/>
    </row>
    <row r="3050" ht="15.75" customHeight="1">
      <c r="A3050" s="29"/>
      <c r="B3050" s="5"/>
      <c r="C3050" s="5"/>
      <c r="D3050" s="5"/>
      <c r="E3050" s="5"/>
    </row>
    <row r="3051" ht="15.75" customHeight="1">
      <c r="A3051" s="29"/>
      <c r="B3051" s="5"/>
      <c r="C3051" s="5"/>
      <c r="D3051" s="5"/>
      <c r="E3051" s="5"/>
    </row>
    <row r="3052" ht="15.75" customHeight="1">
      <c r="A3052" s="29"/>
      <c r="B3052" s="5"/>
      <c r="C3052" s="5"/>
      <c r="D3052" s="5"/>
      <c r="E3052" s="5"/>
    </row>
    <row r="3053" ht="15.75" customHeight="1">
      <c r="A3053" s="29"/>
      <c r="B3053" s="5"/>
      <c r="C3053" s="5"/>
      <c r="D3053" s="5"/>
      <c r="E3053" s="5"/>
    </row>
    <row r="3054" ht="15.75" customHeight="1">
      <c r="A3054" s="29"/>
      <c r="B3054" s="5"/>
      <c r="C3054" s="5"/>
      <c r="D3054" s="5"/>
      <c r="E3054" s="5"/>
    </row>
    <row r="3055" ht="15.75" customHeight="1">
      <c r="A3055" s="29"/>
      <c r="B3055" s="5"/>
      <c r="C3055" s="5"/>
      <c r="D3055" s="5"/>
      <c r="E3055" s="5"/>
    </row>
    <row r="3056" ht="15.75" customHeight="1">
      <c r="A3056" s="29"/>
      <c r="B3056" s="5"/>
      <c r="C3056" s="5"/>
      <c r="D3056" s="5"/>
      <c r="E3056" s="5"/>
    </row>
    <row r="3057" ht="15.75" customHeight="1">
      <c r="A3057" s="29"/>
      <c r="B3057" s="5"/>
      <c r="C3057" s="5"/>
      <c r="D3057" s="5"/>
      <c r="E3057" s="5"/>
    </row>
    <row r="3058" ht="15.75" customHeight="1">
      <c r="A3058" s="29"/>
      <c r="B3058" s="5"/>
      <c r="C3058" s="5"/>
      <c r="D3058" s="5"/>
      <c r="E3058" s="5"/>
    </row>
    <row r="3059" ht="15.75" customHeight="1">
      <c r="A3059" s="29"/>
      <c r="B3059" s="5"/>
      <c r="C3059" s="5"/>
      <c r="D3059" s="5"/>
      <c r="E3059" s="5"/>
    </row>
    <row r="3060" ht="15.75" customHeight="1">
      <c r="A3060" s="29"/>
      <c r="B3060" s="5"/>
      <c r="C3060" s="5"/>
      <c r="D3060" s="5"/>
      <c r="E3060" s="5"/>
    </row>
    <row r="3061" ht="15.75" customHeight="1">
      <c r="A3061" s="29"/>
      <c r="B3061" s="5"/>
      <c r="C3061" s="5"/>
      <c r="D3061" s="5"/>
      <c r="E3061" s="5"/>
    </row>
    <row r="3062" ht="15.75" customHeight="1">
      <c r="A3062" s="29"/>
      <c r="B3062" s="5"/>
      <c r="C3062" s="5"/>
      <c r="D3062" s="5"/>
      <c r="E3062" s="5"/>
    </row>
    <row r="3063" ht="15.75" customHeight="1">
      <c r="A3063" s="29"/>
      <c r="B3063" s="5"/>
      <c r="C3063" s="5"/>
      <c r="D3063" s="5"/>
      <c r="E3063" s="5"/>
    </row>
    <row r="3064" ht="15.75" customHeight="1">
      <c r="A3064" s="29"/>
      <c r="B3064" s="5"/>
      <c r="C3064" s="5"/>
      <c r="D3064" s="5"/>
      <c r="E3064" s="5"/>
    </row>
    <row r="3065" ht="15.75" customHeight="1">
      <c r="A3065" s="29"/>
      <c r="B3065" s="5"/>
      <c r="C3065" s="5"/>
      <c r="D3065" s="5"/>
      <c r="E3065" s="5"/>
    </row>
    <row r="3066" ht="15.75" customHeight="1">
      <c r="A3066" s="29"/>
      <c r="B3066" s="5"/>
      <c r="C3066" s="5"/>
      <c r="D3066" s="5"/>
      <c r="E3066" s="5"/>
    </row>
    <row r="3067" ht="15.75" customHeight="1">
      <c r="A3067" s="29"/>
      <c r="B3067" s="5"/>
      <c r="C3067" s="5"/>
      <c r="D3067" s="5"/>
      <c r="E3067" s="5"/>
    </row>
    <row r="3068" ht="15.75" customHeight="1">
      <c r="A3068" s="29"/>
      <c r="B3068" s="5"/>
      <c r="C3068" s="5"/>
      <c r="D3068" s="5"/>
      <c r="E3068" s="5"/>
    </row>
    <row r="3069" ht="15.75" customHeight="1">
      <c r="A3069" s="29"/>
      <c r="B3069" s="5"/>
      <c r="C3069" s="5"/>
      <c r="D3069" s="5"/>
      <c r="E3069" s="5"/>
    </row>
    <row r="3070" ht="15.75" customHeight="1">
      <c r="A3070" s="29"/>
      <c r="B3070" s="5"/>
      <c r="C3070" s="5"/>
      <c r="D3070" s="5"/>
      <c r="E3070" s="5"/>
    </row>
    <row r="3071" ht="15.75" customHeight="1">
      <c r="A3071" s="29"/>
      <c r="B3071" s="5"/>
      <c r="C3071" s="5"/>
      <c r="D3071" s="5"/>
      <c r="E3071" s="5"/>
    </row>
    <row r="3072" ht="15.75" customHeight="1">
      <c r="A3072" s="29"/>
      <c r="B3072" s="5"/>
      <c r="C3072" s="5"/>
      <c r="D3072" s="5"/>
      <c r="E3072" s="5"/>
    </row>
    <row r="3073" ht="15.75" customHeight="1">
      <c r="A3073" s="29"/>
      <c r="B3073" s="5"/>
      <c r="C3073" s="5"/>
      <c r="D3073" s="5"/>
      <c r="E3073" s="5"/>
    </row>
    <row r="3074" ht="15.75" customHeight="1">
      <c r="A3074" s="29"/>
      <c r="B3074" s="5"/>
      <c r="C3074" s="5"/>
      <c r="D3074" s="5"/>
      <c r="E3074" s="5"/>
    </row>
    <row r="3075" ht="15.75" customHeight="1">
      <c r="A3075" s="29"/>
      <c r="B3075" s="5"/>
      <c r="C3075" s="5"/>
      <c r="D3075" s="5"/>
      <c r="E3075" s="5"/>
    </row>
    <row r="3076" ht="15.75" customHeight="1">
      <c r="A3076" s="29"/>
      <c r="B3076" s="5"/>
      <c r="C3076" s="5"/>
      <c r="D3076" s="5"/>
      <c r="E3076" s="5"/>
    </row>
    <row r="3077" ht="15.75" customHeight="1">
      <c r="A3077" s="29"/>
      <c r="B3077" s="5"/>
      <c r="C3077" s="5"/>
      <c r="D3077" s="5"/>
      <c r="E3077" s="5"/>
    </row>
    <row r="3078" ht="15.75" customHeight="1">
      <c r="A3078" s="29"/>
      <c r="B3078" s="5"/>
      <c r="C3078" s="5"/>
      <c r="D3078" s="5"/>
      <c r="E3078" s="5"/>
    </row>
    <row r="3079" ht="15.75" customHeight="1">
      <c r="A3079" s="29"/>
      <c r="B3079" s="5"/>
      <c r="C3079" s="5"/>
      <c r="D3079" s="5"/>
      <c r="E3079" s="5"/>
    </row>
    <row r="3080" ht="15.75" customHeight="1">
      <c r="A3080" s="29"/>
      <c r="B3080" s="5"/>
      <c r="C3080" s="5"/>
      <c r="D3080" s="5"/>
      <c r="E3080" s="5"/>
    </row>
    <row r="3081" ht="15.75" customHeight="1">
      <c r="A3081" s="29"/>
      <c r="B3081" s="5"/>
      <c r="C3081" s="5"/>
      <c r="D3081" s="5"/>
      <c r="E3081" s="5"/>
    </row>
    <row r="3082" ht="15.75" customHeight="1">
      <c r="A3082" s="29"/>
      <c r="B3082" s="5"/>
      <c r="C3082" s="5"/>
      <c r="D3082" s="5"/>
      <c r="E3082" s="5"/>
    </row>
    <row r="3083" ht="15.75" customHeight="1">
      <c r="A3083" s="29"/>
      <c r="B3083" s="5"/>
      <c r="C3083" s="5"/>
      <c r="D3083" s="5"/>
      <c r="E3083" s="5"/>
    </row>
    <row r="3084" ht="15.75" customHeight="1">
      <c r="A3084" s="29"/>
      <c r="B3084" s="5"/>
      <c r="C3084" s="5"/>
      <c r="D3084" s="5"/>
      <c r="E3084" s="5"/>
    </row>
    <row r="3085" ht="15.75" customHeight="1">
      <c r="A3085" s="29"/>
      <c r="B3085" s="5"/>
      <c r="C3085" s="5"/>
      <c r="D3085" s="5"/>
      <c r="E3085" s="5"/>
    </row>
    <row r="3086" ht="15.75" customHeight="1">
      <c r="A3086" s="29"/>
      <c r="B3086" s="5"/>
      <c r="C3086" s="5"/>
      <c r="D3086" s="5"/>
      <c r="E3086" s="5"/>
    </row>
    <row r="3087" ht="15.75" customHeight="1">
      <c r="A3087" s="29"/>
      <c r="B3087" s="5"/>
      <c r="C3087" s="5"/>
      <c r="D3087" s="5"/>
      <c r="E3087" s="5"/>
    </row>
    <row r="3088" ht="15.75" customHeight="1">
      <c r="A3088" s="29"/>
      <c r="B3088" s="5"/>
      <c r="C3088" s="5"/>
      <c r="D3088" s="5"/>
      <c r="E3088" s="5"/>
    </row>
    <row r="3089" ht="15.75" customHeight="1">
      <c r="A3089" s="29"/>
      <c r="B3089" s="5"/>
      <c r="C3089" s="5"/>
      <c r="D3089" s="5"/>
      <c r="E3089" s="5"/>
    </row>
    <row r="3090" ht="15.75" customHeight="1">
      <c r="A3090" s="29"/>
      <c r="B3090" s="5"/>
      <c r="C3090" s="5"/>
      <c r="D3090" s="5"/>
      <c r="E3090" s="5"/>
    </row>
    <row r="3091" ht="15.75" customHeight="1">
      <c r="A3091" s="29"/>
      <c r="B3091" s="5"/>
      <c r="C3091" s="5"/>
      <c r="D3091" s="5"/>
      <c r="E3091" s="5"/>
    </row>
    <row r="3092" ht="15.75" customHeight="1">
      <c r="A3092" s="29"/>
      <c r="B3092" s="5"/>
      <c r="C3092" s="5"/>
      <c r="D3092" s="5"/>
      <c r="E3092" s="5"/>
    </row>
    <row r="3093" ht="15.75" customHeight="1">
      <c r="A3093" s="29"/>
      <c r="B3093" s="5"/>
      <c r="C3093" s="5"/>
      <c r="D3093" s="5"/>
      <c r="E3093" s="5"/>
    </row>
    <row r="3094" ht="15.75" customHeight="1">
      <c r="A3094" s="29"/>
      <c r="B3094" s="5"/>
      <c r="C3094" s="5"/>
      <c r="D3094" s="5"/>
      <c r="E3094" s="5"/>
    </row>
    <row r="3095" ht="15.75" customHeight="1">
      <c r="A3095" s="29"/>
      <c r="B3095" s="5"/>
      <c r="C3095" s="5"/>
      <c r="D3095" s="5"/>
      <c r="E3095" s="5"/>
    </row>
    <row r="3096" ht="15.75" customHeight="1">
      <c r="A3096" s="29"/>
      <c r="B3096" s="5"/>
      <c r="C3096" s="5"/>
      <c r="D3096" s="5"/>
      <c r="E3096" s="5"/>
    </row>
    <row r="3097" ht="15.75" customHeight="1">
      <c r="A3097" s="29"/>
      <c r="B3097" s="5"/>
      <c r="C3097" s="5"/>
      <c r="D3097" s="5"/>
      <c r="E3097" s="5"/>
    </row>
    <row r="3098" ht="15.75" customHeight="1">
      <c r="A3098" s="29"/>
      <c r="B3098" s="5"/>
      <c r="C3098" s="5"/>
      <c r="D3098" s="5"/>
      <c r="E3098" s="5"/>
    </row>
    <row r="3099" ht="15.75" customHeight="1">
      <c r="A3099" s="29"/>
      <c r="B3099" s="5"/>
      <c r="C3099" s="5"/>
      <c r="D3099" s="5"/>
      <c r="E3099" s="5"/>
    </row>
    <row r="3100" ht="15.75" customHeight="1">
      <c r="A3100" s="29"/>
      <c r="B3100" s="5"/>
      <c r="C3100" s="5"/>
      <c r="D3100" s="5"/>
      <c r="E3100" s="5"/>
    </row>
    <row r="3101" ht="15.75" customHeight="1">
      <c r="A3101" s="29"/>
      <c r="B3101" s="5"/>
      <c r="C3101" s="5"/>
      <c r="D3101" s="5"/>
      <c r="E3101" s="5"/>
    </row>
    <row r="3102" ht="15.75" customHeight="1">
      <c r="A3102" s="29"/>
      <c r="B3102" s="5"/>
      <c r="C3102" s="5"/>
      <c r="D3102" s="5"/>
      <c r="E3102" s="5"/>
    </row>
    <row r="3103" ht="15.75" customHeight="1">
      <c r="A3103" s="29"/>
      <c r="B3103" s="5"/>
      <c r="C3103" s="5"/>
      <c r="D3103" s="5"/>
      <c r="E3103" s="5"/>
    </row>
    <row r="3104" ht="15.75" customHeight="1">
      <c r="A3104" s="29"/>
      <c r="B3104" s="5"/>
      <c r="C3104" s="5"/>
      <c r="D3104" s="5"/>
      <c r="E3104" s="5"/>
    </row>
    <row r="3105" ht="15.75" customHeight="1">
      <c r="A3105" s="29"/>
      <c r="B3105" s="5"/>
      <c r="C3105" s="5"/>
      <c r="D3105" s="5"/>
      <c r="E3105" s="5"/>
    </row>
    <row r="3106" ht="15.75" customHeight="1">
      <c r="A3106" s="29"/>
      <c r="B3106" s="5"/>
      <c r="C3106" s="5"/>
      <c r="D3106" s="5"/>
      <c r="E3106" s="5"/>
    </row>
    <row r="3107" ht="15.75" customHeight="1">
      <c r="A3107" s="29"/>
      <c r="B3107" s="5"/>
      <c r="C3107" s="5"/>
      <c r="D3107" s="5"/>
      <c r="E3107" s="5"/>
    </row>
    <row r="3108" ht="15.75" customHeight="1">
      <c r="A3108" s="29"/>
      <c r="B3108" s="5"/>
      <c r="C3108" s="5"/>
      <c r="D3108" s="5"/>
      <c r="E3108" s="5"/>
    </row>
    <row r="3109" ht="15.75" customHeight="1">
      <c r="A3109" s="29"/>
      <c r="B3109" s="5"/>
      <c r="C3109" s="5"/>
      <c r="D3109" s="5"/>
      <c r="E3109" s="5"/>
    </row>
    <row r="3110" ht="15.75" customHeight="1">
      <c r="A3110" s="29"/>
      <c r="B3110" s="5"/>
      <c r="C3110" s="5"/>
      <c r="D3110" s="5"/>
      <c r="E3110" s="5"/>
    </row>
    <row r="3111" ht="15.75" customHeight="1">
      <c r="A3111" s="29"/>
      <c r="B3111" s="5"/>
      <c r="C3111" s="5"/>
      <c r="D3111" s="5"/>
      <c r="E3111" s="5"/>
    </row>
    <row r="3112" ht="15.75" customHeight="1">
      <c r="A3112" s="29"/>
      <c r="B3112" s="5"/>
      <c r="C3112" s="5"/>
      <c r="D3112" s="5"/>
      <c r="E3112" s="5"/>
    </row>
    <row r="3113" ht="15.75" customHeight="1">
      <c r="A3113" s="29"/>
      <c r="B3113" s="5"/>
      <c r="C3113" s="5"/>
      <c r="D3113" s="5"/>
      <c r="E3113" s="5"/>
    </row>
    <row r="3114" ht="15.75" customHeight="1">
      <c r="A3114" s="29"/>
      <c r="B3114" s="5"/>
      <c r="C3114" s="5"/>
      <c r="D3114" s="5"/>
      <c r="E3114" s="5"/>
    </row>
    <row r="3115" ht="15.75" customHeight="1">
      <c r="A3115" s="29"/>
      <c r="B3115" s="5"/>
      <c r="C3115" s="5"/>
      <c r="D3115" s="5"/>
      <c r="E3115" s="5"/>
    </row>
    <row r="3116" ht="15.75" customHeight="1">
      <c r="A3116" s="29"/>
      <c r="B3116" s="5"/>
      <c r="C3116" s="5"/>
      <c r="D3116" s="5"/>
      <c r="E3116" s="5"/>
    </row>
    <row r="3117" ht="15.75" customHeight="1">
      <c r="A3117" s="29"/>
      <c r="B3117" s="5"/>
      <c r="C3117" s="5"/>
      <c r="D3117" s="5"/>
      <c r="E3117" s="5"/>
    </row>
    <row r="3118" ht="15.75" customHeight="1">
      <c r="A3118" s="29"/>
      <c r="B3118" s="5"/>
      <c r="C3118" s="5"/>
      <c r="D3118" s="5"/>
      <c r="E3118" s="5"/>
    </row>
    <row r="3119" ht="15.75" customHeight="1">
      <c r="A3119" s="29"/>
      <c r="B3119" s="5"/>
      <c r="C3119" s="5"/>
      <c r="D3119" s="5"/>
      <c r="E3119" s="5"/>
    </row>
    <row r="3120" ht="15.75" customHeight="1">
      <c r="A3120" s="29"/>
      <c r="B3120" s="5"/>
      <c r="C3120" s="5"/>
      <c r="D3120" s="5"/>
      <c r="E3120" s="5"/>
    </row>
    <row r="3121" ht="15.75" customHeight="1">
      <c r="A3121" s="29"/>
      <c r="B3121" s="5"/>
      <c r="C3121" s="5"/>
      <c r="D3121" s="5"/>
      <c r="E3121" s="5"/>
    </row>
    <row r="3122" ht="15.75" customHeight="1">
      <c r="A3122" s="29"/>
      <c r="B3122" s="5"/>
      <c r="C3122" s="5"/>
      <c r="D3122" s="5"/>
      <c r="E3122" s="5"/>
    </row>
    <row r="3123" ht="15.75" customHeight="1">
      <c r="A3123" s="29"/>
      <c r="B3123" s="5"/>
      <c r="C3123" s="5"/>
      <c r="D3123" s="5"/>
      <c r="E3123" s="5"/>
    </row>
    <row r="3124" ht="15.75" customHeight="1">
      <c r="A3124" s="29"/>
      <c r="B3124" s="5"/>
      <c r="C3124" s="5"/>
      <c r="D3124" s="5"/>
      <c r="E3124" s="5"/>
    </row>
    <row r="3125" ht="15.75" customHeight="1">
      <c r="A3125" s="29"/>
      <c r="B3125" s="5"/>
      <c r="C3125" s="5"/>
      <c r="D3125" s="5"/>
      <c r="E3125" s="5"/>
    </row>
    <row r="3126" ht="15.75" customHeight="1">
      <c r="A3126" s="29"/>
      <c r="B3126" s="5"/>
      <c r="C3126" s="5"/>
      <c r="D3126" s="5"/>
      <c r="E3126" s="5"/>
    </row>
    <row r="3127" ht="15.75" customHeight="1">
      <c r="A3127" s="29"/>
      <c r="B3127" s="5"/>
      <c r="C3127" s="5"/>
      <c r="D3127" s="5"/>
      <c r="E3127" s="5"/>
    </row>
    <row r="3128" ht="15.75" customHeight="1">
      <c r="A3128" s="29"/>
      <c r="B3128" s="5"/>
      <c r="C3128" s="5"/>
      <c r="D3128" s="5"/>
      <c r="E3128" s="5"/>
    </row>
    <row r="3129" ht="15.75" customHeight="1">
      <c r="A3129" s="29"/>
      <c r="B3129" s="5"/>
      <c r="C3129" s="5"/>
      <c r="D3129" s="5"/>
      <c r="E3129" s="5"/>
    </row>
    <row r="3130" ht="15.75" customHeight="1">
      <c r="A3130" s="29"/>
      <c r="B3130" s="5"/>
      <c r="C3130" s="5"/>
      <c r="D3130" s="5"/>
      <c r="E3130" s="5"/>
    </row>
    <row r="3131" ht="15.75" customHeight="1">
      <c r="A3131" s="29"/>
      <c r="B3131" s="5"/>
      <c r="C3131" s="5"/>
      <c r="D3131" s="5"/>
      <c r="E3131" s="5"/>
    </row>
    <row r="3132" ht="15.75" customHeight="1">
      <c r="A3132" s="29"/>
      <c r="B3132" s="5"/>
      <c r="C3132" s="5"/>
      <c r="D3132" s="5"/>
      <c r="E3132" s="5"/>
    </row>
    <row r="3133" ht="15.75" customHeight="1">
      <c r="A3133" s="29"/>
      <c r="B3133" s="5"/>
      <c r="C3133" s="5"/>
      <c r="D3133" s="5"/>
      <c r="E3133" s="5"/>
    </row>
    <row r="3134" ht="15.75" customHeight="1">
      <c r="A3134" s="29"/>
      <c r="B3134" s="5"/>
      <c r="C3134" s="5"/>
      <c r="D3134" s="5"/>
      <c r="E3134" s="5"/>
    </row>
    <row r="3135" ht="15.75" customHeight="1">
      <c r="A3135" s="29"/>
      <c r="B3135" s="5"/>
      <c r="C3135" s="5"/>
      <c r="D3135" s="5"/>
      <c r="E3135" s="5"/>
    </row>
    <row r="3136" ht="15.75" customHeight="1">
      <c r="A3136" s="29"/>
      <c r="B3136" s="5"/>
      <c r="C3136" s="5"/>
      <c r="D3136" s="5"/>
      <c r="E3136" s="5"/>
    </row>
    <row r="3137" ht="15.75" customHeight="1">
      <c r="A3137" s="29"/>
      <c r="B3137" s="5"/>
      <c r="C3137" s="5"/>
      <c r="D3137" s="5"/>
      <c r="E3137" s="5"/>
    </row>
    <row r="3138" ht="15.75" customHeight="1">
      <c r="A3138" s="29"/>
      <c r="B3138" s="5"/>
      <c r="C3138" s="5"/>
      <c r="D3138" s="5"/>
      <c r="E3138" s="5"/>
    </row>
    <row r="3139" ht="15.75" customHeight="1">
      <c r="A3139" s="29"/>
      <c r="B3139" s="5"/>
      <c r="C3139" s="5"/>
      <c r="D3139" s="5"/>
      <c r="E3139" s="5"/>
    </row>
    <row r="3140" ht="15.75" customHeight="1">
      <c r="A3140" s="29"/>
      <c r="B3140" s="5"/>
      <c r="C3140" s="5"/>
      <c r="D3140" s="5"/>
      <c r="E3140" s="5"/>
    </row>
    <row r="3141" ht="15.75" customHeight="1">
      <c r="A3141" s="29"/>
      <c r="B3141" s="5"/>
      <c r="C3141" s="5"/>
      <c r="D3141" s="5"/>
      <c r="E3141" s="5"/>
    </row>
    <row r="3142" ht="15.75" customHeight="1">
      <c r="A3142" s="29"/>
      <c r="B3142" s="5"/>
      <c r="C3142" s="5"/>
      <c r="D3142" s="5"/>
      <c r="E3142" s="5"/>
    </row>
    <row r="3143" ht="15.75" customHeight="1">
      <c r="A3143" s="29"/>
      <c r="B3143" s="5"/>
      <c r="C3143" s="5"/>
      <c r="D3143" s="5"/>
      <c r="E3143" s="5"/>
    </row>
    <row r="3144" ht="15.75" customHeight="1">
      <c r="A3144" s="29"/>
      <c r="B3144" s="5"/>
      <c r="C3144" s="5"/>
      <c r="D3144" s="5"/>
      <c r="E3144" s="5"/>
    </row>
    <row r="3145" ht="15.75" customHeight="1">
      <c r="A3145" s="29"/>
      <c r="B3145" s="5"/>
      <c r="C3145" s="5"/>
      <c r="D3145" s="5"/>
      <c r="E3145" s="5"/>
    </row>
    <row r="3146" ht="15.75" customHeight="1">
      <c r="A3146" s="29"/>
      <c r="B3146" s="5"/>
      <c r="C3146" s="5"/>
      <c r="D3146" s="5"/>
      <c r="E3146" s="5"/>
    </row>
    <row r="3147" ht="15.75" customHeight="1">
      <c r="A3147" s="29"/>
      <c r="B3147" s="5"/>
      <c r="C3147" s="5"/>
      <c r="D3147" s="5"/>
      <c r="E3147" s="5"/>
    </row>
    <row r="3148" ht="15.75" customHeight="1">
      <c r="A3148" s="29"/>
      <c r="B3148" s="5"/>
      <c r="C3148" s="5"/>
      <c r="D3148" s="5"/>
      <c r="E3148" s="5"/>
    </row>
    <row r="3149" ht="15.75" customHeight="1">
      <c r="A3149" s="29"/>
      <c r="B3149" s="5"/>
      <c r="C3149" s="5"/>
      <c r="D3149" s="5"/>
      <c r="E3149" s="5"/>
    </row>
    <row r="3150" ht="15.75" customHeight="1">
      <c r="A3150" s="29"/>
      <c r="B3150" s="5"/>
      <c r="C3150" s="5"/>
      <c r="D3150" s="5"/>
      <c r="E3150" s="5"/>
    </row>
    <row r="3151" ht="15.75" customHeight="1">
      <c r="A3151" s="29"/>
      <c r="B3151" s="5"/>
      <c r="C3151" s="5"/>
      <c r="D3151" s="5"/>
      <c r="E3151" s="5"/>
    </row>
    <row r="3152" ht="15.75" customHeight="1">
      <c r="A3152" s="29"/>
      <c r="B3152" s="5"/>
      <c r="C3152" s="5"/>
      <c r="D3152" s="5"/>
      <c r="E3152" s="5"/>
    </row>
    <row r="3153" ht="15.75" customHeight="1">
      <c r="A3153" s="29"/>
      <c r="B3153" s="5"/>
      <c r="C3153" s="5"/>
      <c r="D3153" s="5"/>
      <c r="E3153" s="5"/>
    </row>
    <row r="3154" ht="15.75" customHeight="1">
      <c r="A3154" s="29"/>
      <c r="B3154" s="5"/>
      <c r="C3154" s="5"/>
      <c r="D3154" s="5"/>
      <c r="E3154" s="5"/>
    </row>
    <row r="3155" ht="15.75" customHeight="1">
      <c r="A3155" s="29"/>
      <c r="B3155" s="5"/>
      <c r="C3155" s="5"/>
      <c r="D3155" s="5"/>
      <c r="E3155" s="5"/>
    </row>
    <row r="3156" ht="15.75" customHeight="1">
      <c r="A3156" s="29"/>
      <c r="B3156" s="5"/>
      <c r="C3156" s="5"/>
      <c r="D3156" s="5"/>
      <c r="E3156" s="5"/>
    </row>
    <row r="3157" ht="15.75" customHeight="1">
      <c r="A3157" s="29"/>
      <c r="B3157" s="5"/>
      <c r="C3157" s="5"/>
      <c r="D3157" s="5"/>
      <c r="E3157" s="5"/>
    </row>
    <row r="3158" ht="15.75" customHeight="1">
      <c r="A3158" s="29"/>
      <c r="B3158" s="5"/>
      <c r="C3158" s="5"/>
      <c r="D3158" s="5"/>
      <c r="E3158" s="5"/>
    </row>
    <row r="3159" ht="15.75" customHeight="1">
      <c r="A3159" s="29"/>
      <c r="B3159" s="5"/>
      <c r="C3159" s="5"/>
      <c r="D3159" s="5"/>
      <c r="E3159" s="5"/>
    </row>
    <row r="3160" ht="15.75" customHeight="1">
      <c r="A3160" s="29"/>
      <c r="B3160" s="5"/>
      <c r="C3160" s="5"/>
      <c r="D3160" s="5"/>
      <c r="E3160" s="5"/>
    </row>
    <row r="3161" ht="15.75" customHeight="1">
      <c r="A3161" s="29"/>
      <c r="B3161" s="5"/>
      <c r="C3161" s="5"/>
      <c r="D3161" s="5"/>
      <c r="E3161" s="5"/>
    </row>
    <row r="3162" ht="15.75" customHeight="1">
      <c r="A3162" s="29"/>
      <c r="B3162" s="5"/>
      <c r="C3162" s="5"/>
      <c r="D3162" s="5"/>
      <c r="E3162" s="5"/>
    </row>
    <row r="3163" ht="15.75" customHeight="1">
      <c r="A3163" s="29"/>
      <c r="B3163" s="5"/>
      <c r="C3163" s="5"/>
      <c r="D3163" s="5"/>
      <c r="E3163" s="5"/>
    </row>
    <row r="3164" ht="15.75" customHeight="1">
      <c r="A3164" s="29"/>
      <c r="B3164" s="5"/>
      <c r="C3164" s="5"/>
      <c r="D3164" s="5"/>
      <c r="E3164" s="5"/>
    </row>
    <row r="3165" ht="15.75" customHeight="1">
      <c r="A3165" s="29"/>
      <c r="B3165" s="5"/>
      <c r="C3165" s="5"/>
      <c r="D3165" s="5"/>
      <c r="E3165" s="5"/>
    </row>
    <row r="3166" ht="15.75" customHeight="1">
      <c r="A3166" s="29"/>
      <c r="B3166" s="5"/>
      <c r="C3166" s="5"/>
      <c r="D3166" s="5"/>
      <c r="E3166" s="5"/>
    </row>
    <row r="3167" ht="15.75" customHeight="1">
      <c r="A3167" s="29"/>
      <c r="B3167" s="5"/>
      <c r="C3167" s="5"/>
      <c r="D3167" s="5"/>
      <c r="E3167" s="5"/>
    </row>
    <row r="3168" ht="15.75" customHeight="1">
      <c r="A3168" s="29"/>
      <c r="B3168" s="5"/>
      <c r="C3168" s="5"/>
      <c r="D3168" s="5"/>
      <c r="E3168" s="5"/>
    </row>
    <row r="3169" ht="15.75" customHeight="1">
      <c r="A3169" s="29"/>
      <c r="B3169" s="5"/>
      <c r="C3169" s="5"/>
      <c r="D3169" s="5"/>
      <c r="E3169" s="5"/>
    </row>
    <row r="3170" ht="15.75" customHeight="1">
      <c r="A3170" s="29"/>
      <c r="B3170" s="5"/>
      <c r="C3170" s="5"/>
      <c r="D3170" s="5"/>
      <c r="E3170" s="5"/>
    </row>
    <row r="3171" ht="15.75" customHeight="1">
      <c r="A3171" s="29"/>
      <c r="B3171" s="5"/>
      <c r="C3171" s="5"/>
      <c r="D3171" s="5"/>
      <c r="E3171" s="5"/>
    </row>
    <row r="3172" ht="15.75" customHeight="1">
      <c r="A3172" s="29"/>
      <c r="B3172" s="5"/>
      <c r="C3172" s="5"/>
      <c r="D3172" s="5"/>
      <c r="E3172" s="5"/>
    </row>
    <row r="3173" ht="15.75" customHeight="1">
      <c r="A3173" s="29"/>
      <c r="B3173" s="5"/>
      <c r="C3173" s="5"/>
      <c r="D3173" s="5"/>
      <c r="E3173" s="5"/>
    </row>
    <row r="3174" ht="15.75" customHeight="1">
      <c r="A3174" s="29"/>
      <c r="B3174" s="5"/>
      <c r="C3174" s="5"/>
      <c r="D3174" s="5"/>
      <c r="E3174" s="5"/>
    </row>
    <row r="3175" ht="15.75" customHeight="1">
      <c r="A3175" s="29"/>
      <c r="B3175" s="5"/>
      <c r="C3175" s="5"/>
      <c r="D3175" s="5"/>
      <c r="E3175" s="5"/>
    </row>
    <row r="3176" ht="15.75" customHeight="1">
      <c r="A3176" s="29"/>
      <c r="B3176" s="5"/>
      <c r="C3176" s="5"/>
      <c r="D3176" s="5"/>
      <c r="E3176" s="5"/>
    </row>
    <row r="3177" ht="15.75" customHeight="1">
      <c r="A3177" s="29"/>
      <c r="B3177" s="5"/>
      <c r="C3177" s="5"/>
      <c r="D3177" s="5"/>
      <c r="E3177" s="5"/>
    </row>
    <row r="3178" ht="15.75" customHeight="1">
      <c r="A3178" s="29"/>
      <c r="B3178" s="5"/>
      <c r="C3178" s="5"/>
      <c r="D3178" s="5"/>
      <c r="E3178" s="5"/>
    </row>
    <row r="3179" ht="15.75" customHeight="1">
      <c r="A3179" s="29"/>
      <c r="B3179" s="5"/>
      <c r="C3179" s="5"/>
      <c r="D3179" s="5"/>
      <c r="E3179" s="5"/>
    </row>
    <row r="3180" ht="15.75" customHeight="1">
      <c r="A3180" s="29"/>
      <c r="B3180" s="5"/>
      <c r="C3180" s="5"/>
      <c r="D3180" s="5"/>
      <c r="E3180" s="5"/>
    </row>
    <row r="3181" ht="15.75" customHeight="1">
      <c r="A3181" s="29"/>
      <c r="B3181" s="5"/>
      <c r="C3181" s="5"/>
      <c r="D3181" s="5"/>
      <c r="E3181" s="5"/>
    </row>
    <row r="3182" ht="15.75" customHeight="1">
      <c r="A3182" s="29"/>
      <c r="B3182" s="5"/>
      <c r="C3182" s="5"/>
      <c r="D3182" s="5"/>
      <c r="E3182" s="5"/>
    </row>
    <row r="3183" ht="15.75" customHeight="1">
      <c r="A3183" s="29"/>
      <c r="B3183" s="5"/>
      <c r="C3183" s="5"/>
      <c r="D3183" s="5"/>
      <c r="E3183" s="5"/>
    </row>
    <row r="3184" ht="15.75" customHeight="1">
      <c r="A3184" s="29"/>
      <c r="B3184" s="5"/>
      <c r="C3184" s="5"/>
      <c r="D3184" s="5"/>
      <c r="E3184" s="5"/>
    </row>
    <row r="3185" ht="15.75" customHeight="1">
      <c r="A3185" s="29"/>
      <c r="B3185" s="5"/>
      <c r="C3185" s="5"/>
      <c r="D3185" s="5"/>
      <c r="E3185" s="5"/>
    </row>
    <row r="3186" ht="15.75" customHeight="1">
      <c r="A3186" s="29"/>
      <c r="B3186" s="5"/>
      <c r="C3186" s="5"/>
      <c r="D3186" s="5"/>
      <c r="E3186" s="5"/>
    </row>
    <row r="3187" ht="15.75" customHeight="1">
      <c r="A3187" s="29"/>
      <c r="B3187" s="5"/>
      <c r="C3187" s="5"/>
      <c r="D3187" s="5"/>
      <c r="E3187" s="5"/>
    </row>
    <row r="3188" ht="15.75" customHeight="1">
      <c r="A3188" s="29"/>
      <c r="B3188" s="5"/>
      <c r="C3188" s="5"/>
      <c r="D3188" s="5"/>
      <c r="E3188" s="5"/>
    </row>
    <row r="3189" ht="15.75" customHeight="1">
      <c r="A3189" s="29"/>
      <c r="B3189" s="5"/>
      <c r="C3189" s="5"/>
      <c r="D3189" s="5"/>
      <c r="E3189" s="5"/>
    </row>
    <row r="3190" ht="15.75" customHeight="1">
      <c r="A3190" s="29"/>
      <c r="B3190" s="5"/>
      <c r="C3190" s="5"/>
      <c r="D3190" s="5"/>
      <c r="E3190" s="5"/>
    </row>
    <row r="3191" ht="15.75" customHeight="1">
      <c r="A3191" s="29"/>
      <c r="B3191" s="5"/>
      <c r="C3191" s="5"/>
      <c r="D3191" s="5"/>
      <c r="E3191" s="5"/>
    </row>
    <row r="3192" ht="15.75" customHeight="1">
      <c r="A3192" s="29"/>
      <c r="B3192" s="5"/>
      <c r="C3192" s="5"/>
      <c r="D3192" s="5"/>
      <c r="E3192" s="5"/>
    </row>
    <row r="3193" ht="15.75" customHeight="1">
      <c r="A3193" s="29"/>
      <c r="B3193" s="5"/>
      <c r="C3193" s="5"/>
      <c r="D3193" s="5"/>
      <c r="E3193" s="5"/>
    </row>
    <row r="3194" ht="15.75" customHeight="1">
      <c r="A3194" s="29"/>
      <c r="B3194" s="5"/>
      <c r="C3194" s="5"/>
      <c r="D3194" s="5"/>
      <c r="E3194" s="5"/>
    </row>
    <row r="3195" ht="15.75" customHeight="1">
      <c r="A3195" s="29"/>
      <c r="B3195" s="5"/>
      <c r="C3195" s="5"/>
      <c r="D3195" s="5"/>
      <c r="E3195" s="5"/>
    </row>
    <row r="3196" ht="15.75" customHeight="1">
      <c r="A3196" s="29"/>
      <c r="B3196" s="5"/>
      <c r="C3196" s="5"/>
      <c r="D3196" s="5"/>
      <c r="E3196" s="5"/>
    </row>
    <row r="3197" ht="15.75" customHeight="1">
      <c r="A3197" s="29"/>
      <c r="B3197" s="5"/>
      <c r="C3197" s="5"/>
      <c r="D3197" s="5"/>
      <c r="E3197" s="5"/>
    </row>
    <row r="3198" ht="15.75" customHeight="1">
      <c r="A3198" s="29"/>
      <c r="B3198" s="5"/>
      <c r="C3198" s="5"/>
      <c r="D3198" s="5"/>
      <c r="E3198" s="5"/>
    </row>
    <row r="3199" ht="15.75" customHeight="1">
      <c r="A3199" s="29"/>
      <c r="B3199" s="5"/>
      <c r="C3199" s="5"/>
      <c r="D3199" s="5"/>
      <c r="E3199" s="5"/>
    </row>
    <row r="3200" ht="15.75" customHeight="1">
      <c r="A3200" s="29"/>
      <c r="B3200" s="5"/>
      <c r="C3200" s="5"/>
      <c r="D3200" s="5"/>
      <c r="E3200" s="5"/>
    </row>
    <row r="3201" ht="15.75" customHeight="1">
      <c r="A3201" s="29"/>
      <c r="B3201" s="5"/>
      <c r="C3201" s="5"/>
      <c r="D3201" s="5"/>
      <c r="E3201" s="5"/>
    </row>
    <row r="3202" ht="15.75" customHeight="1">
      <c r="A3202" s="29"/>
      <c r="B3202" s="5"/>
      <c r="C3202" s="5"/>
      <c r="D3202" s="5"/>
      <c r="E3202" s="5"/>
    </row>
    <row r="3203" ht="15.75" customHeight="1">
      <c r="A3203" s="29"/>
      <c r="B3203" s="5"/>
      <c r="C3203" s="5"/>
      <c r="D3203" s="5"/>
      <c r="E3203" s="5"/>
    </row>
    <row r="3204" ht="15.75" customHeight="1">
      <c r="A3204" s="29"/>
      <c r="B3204" s="5"/>
      <c r="C3204" s="5"/>
      <c r="D3204" s="5"/>
      <c r="E3204" s="5"/>
    </row>
    <row r="3205" ht="15.75" customHeight="1">
      <c r="A3205" s="29"/>
      <c r="B3205" s="5"/>
      <c r="C3205" s="5"/>
      <c r="D3205" s="5"/>
      <c r="E3205" s="5"/>
    </row>
    <row r="3206" ht="15.75" customHeight="1">
      <c r="A3206" s="29"/>
      <c r="B3206" s="5"/>
      <c r="C3206" s="5"/>
      <c r="D3206" s="5"/>
      <c r="E3206" s="5"/>
    </row>
    <row r="3207" ht="15.75" customHeight="1">
      <c r="A3207" s="29"/>
      <c r="B3207" s="5"/>
      <c r="C3207" s="5"/>
      <c r="D3207" s="5"/>
      <c r="E3207" s="5"/>
    </row>
    <row r="3208" ht="15.75" customHeight="1">
      <c r="A3208" s="29"/>
      <c r="B3208" s="5"/>
      <c r="C3208" s="5"/>
      <c r="D3208" s="5"/>
      <c r="E3208" s="5"/>
    </row>
    <row r="3209" ht="15.75" customHeight="1">
      <c r="A3209" s="29"/>
      <c r="B3209" s="5"/>
      <c r="C3209" s="5"/>
      <c r="D3209" s="5"/>
      <c r="E3209" s="5"/>
    </row>
    <row r="3210" ht="15.75" customHeight="1">
      <c r="A3210" s="29"/>
      <c r="B3210" s="5"/>
      <c r="C3210" s="5"/>
      <c r="D3210" s="5"/>
      <c r="E3210" s="5"/>
    </row>
    <row r="3211" ht="15.75" customHeight="1">
      <c r="A3211" s="29"/>
      <c r="B3211" s="5"/>
      <c r="C3211" s="5"/>
      <c r="D3211" s="5"/>
      <c r="E3211" s="5"/>
    </row>
    <row r="3212" ht="15.75" customHeight="1">
      <c r="A3212" s="29"/>
      <c r="B3212" s="5"/>
      <c r="C3212" s="5"/>
      <c r="D3212" s="5"/>
      <c r="E3212" s="5"/>
    </row>
    <row r="3213" ht="15.75" customHeight="1">
      <c r="A3213" s="29"/>
      <c r="B3213" s="5"/>
      <c r="C3213" s="5"/>
      <c r="D3213" s="5"/>
      <c r="E3213" s="5"/>
    </row>
    <row r="3214" ht="15.75" customHeight="1">
      <c r="A3214" s="29"/>
      <c r="B3214" s="5"/>
      <c r="C3214" s="5"/>
      <c r="D3214" s="5"/>
      <c r="E3214" s="5"/>
    </row>
    <row r="3215" ht="15.75" customHeight="1">
      <c r="A3215" s="29"/>
      <c r="B3215" s="5"/>
      <c r="C3215" s="5"/>
      <c r="D3215" s="5"/>
      <c r="E3215" s="5"/>
    </row>
    <row r="3216" ht="15.75" customHeight="1">
      <c r="A3216" s="29"/>
      <c r="B3216" s="5"/>
      <c r="C3216" s="5"/>
      <c r="D3216" s="5"/>
      <c r="E3216" s="5"/>
    </row>
    <row r="3217" ht="15.75" customHeight="1">
      <c r="A3217" s="29"/>
      <c r="B3217" s="5"/>
      <c r="C3217" s="5"/>
      <c r="D3217" s="5"/>
      <c r="E3217" s="5"/>
    </row>
    <row r="3218" ht="15.75" customHeight="1">
      <c r="A3218" s="29"/>
      <c r="B3218" s="5"/>
      <c r="C3218" s="5"/>
      <c r="D3218" s="5"/>
      <c r="E3218" s="5"/>
    </row>
    <row r="3219" ht="15.75" customHeight="1">
      <c r="A3219" s="29"/>
      <c r="B3219" s="5"/>
      <c r="C3219" s="5"/>
      <c r="D3219" s="5"/>
      <c r="E3219" s="5"/>
    </row>
    <row r="3220" ht="15.75" customHeight="1">
      <c r="A3220" s="29"/>
      <c r="B3220" s="5"/>
      <c r="C3220" s="5"/>
      <c r="D3220" s="5"/>
      <c r="E3220" s="5"/>
    </row>
    <row r="3221" ht="15.75" customHeight="1">
      <c r="A3221" s="29"/>
      <c r="B3221" s="5"/>
      <c r="C3221" s="5"/>
      <c r="D3221" s="5"/>
      <c r="E3221" s="5"/>
    </row>
    <row r="3222" ht="15.75" customHeight="1">
      <c r="A3222" s="29"/>
      <c r="B3222" s="5"/>
      <c r="C3222" s="5"/>
      <c r="D3222" s="5"/>
      <c r="E3222" s="5"/>
    </row>
    <row r="3223" ht="15.75" customHeight="1">
      <c r="A3223" s="29"/>
      <c r="B3223" s="5"/>
      <c r="C3223" s="5"/>
      <c r="D3223" s="5"/>
      <c r="E3223" s="5"/>
    </row>
    <row r="3224" ht="15.75" customHeight="1">
      <c r="A3224" s="29"/>
      <c r="B3224" s="5"/>
      <c r="C3224" s="5"/>
      <c r="D3224" s="5"/>
      <c r="E3224" s="5"/>
    </row>
    <row r="3225" ht="15.75" customHeight="1">
      <c r="A3225" s="29"/>
      <c r="B3225" s="5"/>
      <c r="C3225" s="5"/>
      <c r="D3225" s="5"/>
      <c r="E3225" s="5"/>
    </row>
    <row r="3226" ht="15.75" customHeight="1">
      <c r="A3226" s="29"/>
      <c r="B3226" s="5"/>
      <c r="C3226" s="5"/>
      <c r="D3226" s="5"/>
      <c r="E3226" s="5"/>
    </row>
    <row r="3227" ht="15.75" customHeight="1">
      <c r="A3227" s="29"/>
      <c r="B3227" s="5"/>
      <c r="C3227" s="5"/>
      <c r="D3227" s="5"/>
      <c r="E3227" s="5"/>
    </row>
    <row r="3228" ht="15.75" customHeight="1">
      <c r="A3228" s="29"/>
      <c r="B3228" s="5"/>
      <c r="C3228" s="5"/>
      <c r="D3228" s="5"/>
      <c r="E3228" s="5"/>
    </row>
    <row r="3229" ht="15.75" customHeight="1">
      <c r="A3229" s="29"/>
      <c r="B3229" s="5"/>
      <c r="C3229" s="5"/>
      <c r="D3229" s="5"/>
      <c r="E3229" s="5"/>
    </row>
    <row r="3230" ht="15.75" customHeight="1">
      <c r="A3230" s="29"/>
      <c r="B3230" s="5"/>
      <c r="C3230" s="5"/>
      <c r="D3230" s="5"/>
      <c r="E3230" s="5"/>
    </row>
    <row r="3231" ht="15.75" customHeight="1">
      <c r="A3231" s="29"/>
      <c r="B3231" s="5"/>
      <c r="C3231" s="5"/>
      <c r="D3231" s="5"/>
      <c r="E3231" s="5"/>
    </row>
    <row r="3232" ht="15.75" customHeight="1">
      <c r="A3232" s="29"/>
      <c r="B3232" s="5"/>
      <c r="C3232" s="5"/>
      <c r="D3232" s="5"/>
      <c r="E3232" s="5"/>
    </row>
    <row r="3233" ht="15.75" customHeight="1">
      <c r="A3233" s="29"/>
      <c r="B3233" s="5"/>
      <c r="C3233" s="5"/>
      <c r="D3233" s="5"/>
      <c r="E3233" s="5"/>
    </row>
    <row r="3234" ht="15.75" customHeight="1">
      <c r="A3234" s="29"/>
      <c r="B3234" s="5"/>
      <c r="C3234" s="5"/>
      <c r="D3234" s="5"/>
      <c r="E3234" s="5"/>
    </row>
    <row r="3235" ht="15.75" customHeight="1">
      <c r="A3235" s="29"/>
      <c r="B3235" s="5"/>
      <c r="C3235" s="5"/>
      <c r="D3235" s="5"/>
      <c r="E3235" s="5"/>
    </row>
    <row r="3236" ht="15.75" customHeight="1">
      <c r="A3236" s="29"/>
      <c r="B3236" s="5"/>
      <c r="C3236" s="5"/>
      <c r="D3236" s="5"/>
      <c r="E3236" s="5"/>
    </row>
    <row r="3237" ht="15.75" customHeight="1">
      <c r="A3237" s="29"/>
      <c r="B3237" s="5"/>
      <c r="C3237" s="5"/>
      <c r="D3237" s="5"/>
      <c r="E3237" s="5"/>
    </row>
    <row r="3238" ht="15.75" customHeight="1">
      <c r="A3238" s="29"/>
      <c r="B3238" s="5"/>
      <c r="C3238" s="5"/>
      <c r="D3238" s="5"/>
      <c r="E3238" s="5"/>
    </row>
    <row r="3239" ht="15.75" customHeight="1">
      <c r="A3239" s="29"/>
      <c r="B3239" s="5"/>
      <c r="C3239" s="5"/>
      <c r="D3239" s="5"/>
      <c r="E3239" s="5"/>
    </row>
    <row r="3240" ht="15.75" customHeight="1">
      <c r="A3240" s="29"/>
      <c r="B3240" s="5"/>
      <c r="C3240" s="5"/>
      <c r="D3240" s="5"/>
      <c r="E3240" s="5"/>
    </row>
    <row r="3241" ht="15.75" customHeight="1">
      <c r="A3241" s="29"/>
      <c r="B3241" s="5"/>
      <c r="C3241" s="5"/>
      <c r="D3241" s="5"/>
      <c r="E3241" s="5"/>
    </row>
    <row r="3242" ht="15.75" customHeight="1">
      <c r="A3242" s="29"/>
      <c r="B3242" s="5"/>
      <c r="C3242" s="5"/>
      <c r="D3242" s="5"/>
      <c r="E3242" s="5"/>
    </row>
    <row r="3243" ht="15.75" customHeight="1">
      <c r="A3243" s="29"/>
      <c r="B3243" s="5"/>
      <c r="C3243" s="5"/>
      <c r="D3243" s="5"/>
      <c r="E3243" s="5"/>
    </row>
    <row r="3244" ht="15.75" customHeight="1">
      <c r="A3244" s="29"/>
      <c r="B3244" s="5"/>
      <c r="C3244" s="5"/>
      <c r="D3244" s="5"/>
      <c r="E3244" s="5"/>
    </row>
    <row r="3245" ht="15.75" customHeight="1">
      <c r="A3245" s="29"/>
      <c r="B3245" s="5"/>
      <c r="C3245" s="5"/>
      <c r="D3245" s="5"/>
      <c r="E3245" s="5"/>
    </row>
    <row r="3246" ht="15.75" customHeight="1">
      <c r="A3246" s="29"/>
      <c r="B3246" s="5"/>
      <c r="C3246" s="5"/>
      <c r="D3246" s="5"/>
      <c r="E3246" s="5"/>
    </row>
    <row r="3247" ht="15.75" customHeight="1">
      <c r="A3247" s="29"/>
      <c r="B3247" s="5"/>
      <c r="C3247" s="5"/>
      <c r="D3247" s="5"/>
      <c r="E3247" s="5"/>
    </row>
    <row r="3248" ht="15.75" customHeight="1">
      <c r="A3248" s="29"/>
      <c r="B3248" s="5"/>
      <c r="C3248" s="5"/>
      <c r="D3248" s="5"/>
      <c r="E3248" s="5"/>
    </row>
    <row r="3249" ht="15.75" customHeight="1">
      <c r="A3249" s="29"/>
      <c r="B3249" s="5"/>
      <c r="C3249" s="5"/>
      <c r="D3249" s="5"/>
      <c r="E3249" s="5"/>
    </row>
    <row r="3250" ht="15.75" customHeight="1">
      <c r="A3250" s="29"/>
      <c r="B3250" s="5"/>
      <c r="C3250" s="5"/>
      <c r="D3250" s="5"/>
      <c r="E3250" s="5"/>
    </row>
    <row r="3251" ht="15.75" customHeight="1">
      <c r="A3251" s="29"/>
      <c r="B3251" s="5"/>
      <c r="C3251" s="5"/>
      <c r="D3251" s="5"/>
      <c r="E3251" s="5"/>
    </row>
    <row r="3252" ht="15.75" customHeight="1">
      <c r="A3252" s="29"/>
      <c r="B3252" s="5"/>
      <c r="C3252" s="5"/>
      <c r="D3252" s="5"/>
      <c r="E3252" s="5"/>
    </row>
    <row r="3253" ht="15.75" customHeight="1">
      <c r="A3253" s="29"/>
      <c r="B3253" s="5"/>
      <c r="C3253" s="5"/>
      <c r="D3253" s="5"/>
      <c r="E3253" s="5"/>
    </row>
    <row r="3254" ht="15.75" customHeight="1">
      <c r="A3254" s="29"/>
      <c r="B3254" s="5"/>
      <c r="C3254" s="5"/>
      <c r="D3254" s="5"/>
      <c r="E3254" s="5"/>
    </row>
    <row r="3255" ht="15.75" customHeight="1">
      <c r="A3255" s="29"/>
      <c r="B3255" s="5"/>
      <c r="C3255" s="5"/>
      <c r="D3255" s="5"/>
      <c r="E3255" s="5"/>
    </row>
    <row r="3256" ht="15.75" customHeight="1">
      <c r="A3256" s="29"/>
      <c r="B3256" s="5"/>
      <c r="C3256" s="5"/>
      <c r="D3256" s="5"/>
      <c r="E3256" s="5"/>
    </row>
    <row r="3257" ht="15.75" customHeight="1">
      <c r="A3257" s="29"/>
      <c r="B3257" s="5"/>
      <c r="C3257" s="5"/>
      <c r="D3257" s="5"/>
      <c r="E3257" s="5"/>
    </row>
    <row r="3258" ht="15.75" customHeight="1">
      <c r="A3258" s="29"/>
      <c r="B3258" s="5"/>
      <c r="C3258" s="5"/>
      <c r="D3258" s="5"/>
      <c r="E3258" s="5"/>
    </row>
    <row r="3259" ht="15.75" customHeight="1">
      <c r="A3259" s="29"/>
      <c r="B3259" s="5"/>
      <c r="C3259" s="5"/>
      <c r="D3259" s="5"/>
      <c r="E3259" s="5"/>
    </row>
    <row r="3260" ht="15.75" customHeight="1">
      <c r="A3260" s="29"/>
      <c r="B3260" s="5"/>
      <c r="C3260" s="5"/>
      <c r="D3260" s="5"/>
      <c r="E3260" s="5"/>
    </row>
    <row r="3261" ht="15.75" customHeight="1">
      <c r="A3261" s="29"/>
      <c r="B3261" s="5"/>
      <c r="C3261" s="5"/>
      <c r="D3261" s="5"/>
      <c r="E3261" s="5"/>
    </row>
    <row r="3262" ht="15.75" customHeight="1">
      <c r="A3262" s="29"/>
      <c r="B3262" s="5"/>
      <c r="C3262" s="5"/>
      <c r="D3262" s="5"/>
      <c r="E3262" s="5"/>
    </row>
    <row r="3263" ht="15.75" customHeight="1">
      <c r="A3263" s="29"/>
      <c r="B3263" s="5"/>
      <c r="C3263" s="5"/>
      <c r="D3263" s="5"/>
      <c r="E3263" s="5"/>
    </row>
    <row r="3264" ht="15.75" customHeight="1">
      <c r="A3264" s="29"/>
      <c r="B3264" s="5"/>
      <c r="C3264" s="5"/>
      <c r="D3264" s="5"/>
      <c r="E3264" s="5"/>
    </row>
    <row r="3265" ht="15.75" customHeight="1">
      <c r="A3265" s="29"/>
      <c r="B3265" s="5"/>
      <c r="C3265" s="5"/>
      <c r="D3265" s="5"/>
      <c r="E3265" s="5"/>
    </row>
    <row r="3266" ht="15.75" customHeight="1">
      <c r="A3266" s="29"/>
      <c r="B3266" s="5"/>
      <c r="C3266" s="5"/>
      <c r="D3266" s="5"/>
      <c r="E3266" s="5"/>
    </row>
    <row r="3267" ht="15.75" customHeight="1">
      <c r="A3267" s="29"/>
      <c r="B3267" s="5"/>
      <c r="C3267" s="5"/>
      <c r="D3267" s="5"/>
      <c r="E3267" s="5"/>
    </row>
    <row r="3268" ht="15.75" customHeight="1">
      <c r="A3268" s="29"/>
      <c r="B3268" s="5"/>
      <c r="C3268" s="5"/>
      <c r="D3268" s="5"/>
      <c r="E3268" s="5"/>
    </row>
    <row r="3269" ht="15.75" customHeight="1">
      <c r="A3269" s="29"/>
      <c r="B3269" s="5"/>
      <c r="C3269" s="5"/>
      <c r="D3269" s="5"/>
      <c r="E3269" s="5"/>
    </row>
    <row r="3270" ht="15.75" customHeight="1">
      <c r="A3270" s="29"/>
      <c r="B3270" s="5"/>
      <c r="C3270" s="5"/>
      <c r="D3270" s="5"/>
      <c r="E3270" s="5"/>
    </row>
    <row r="3271" ht="15.75" customHeight="1">
      <c r="A3271" s="29"/>
      <c r="B3271" s="5"/>
      <c r="C3271" s="5"/>
      <c r="D3271" s="5"/>
      <c r="E3271" s="5"/>
    </row>
    <row r="3272" ht="15.75" customHeight="1">
      <c r="A3272" s="29"/>
      <c r="B3272" s="5"/>
      <c r="C3272" s="5"/>
      <c r="D3272" s="5"/>
      <c r="E3272" s="5"/>
    </row>
    <row r="3273" ht="15.75" customHeight="1">
      <c r="A3273" s="29"/>
      <c r="B3273" s="5"/>
      <c r="C3273" s="5"/>
      <c r="D3273" s="5"/>
      <c r="E3273" s="5"/>
    </row>
    <row r="3274" ht="15.75" customHeight="1">
      <c r="A3274" s="29"/>
      <c r="B3274" s="5"/>
      <c r="C3274" s="5"/>
      <c r="D3274" s="5"/>
      <c r="E3274" s="5"/>
    </row>
    <row r="3275" ht="15.75" customHeight="1">
      <c r="A3275" s="29"/>
      <c r="B3275" s="5"/>
      <c r="C3275" s="5"/>
      <c r="D3275" s="5"/>
      <c r="E3275" s="5"/>
    </row>
    <row r="3276" ht="15.75" customHeight="1">
      <c r="A3276" s="29"/>
      <c r="B3276" s="5"/>
      <c r="C3276" s="5"/>
      <c r="D3276" s="5"/>
      <c r="E3276" s="5"/>
    </row>
    <row r="3277" ht="15.75" customHeight="1">
      <c r="A3277" s="29"/>
      <c r="B3277" s="5"/>
      <c r="C3277" s="5"/>
      <c r="D3277" s="5"/>
      <c r="E3277" s="5"/>
    </row>
    <row r="3278" ht="15.75" customHeight="1">
      <c r="A3278" s="29"/>
      <c r="B3278" s="5"/>
      <c r="C3278" s="5"/>
      <c r="D3278" s="5"/>
      <c r="E3278" s="5"/>
    </row>
    <row r="3279" ht="15.75" customHeight="1">
      <c r="A3279" s="29"/>
      <c r="B3279" s="5"/>
      <c r="C3279" s="5"/>
      <c r="D3279" s="5"/>
      <c r="E3279" s="5"/>
    </row>
    <row r="3280" ht="15.75" customHeight="1">
      <c r="A3280" s="29"/>
      <c r="B3280" s="5"/>
      <c r="C3280" s="5"/>
      <c r="D3280" s="5"/>
      <c r="E3280" s="5"/>
    </row>
    <row r="3281" ht="15.75" customHeight="1">
      <c r="A3281" s="29"/>
      <c r="B3281" s="5"/>
      <c r="C3281" s="5"/>
      <c r="D3281" s="5"/>
      <c r="E3281" s="5"/>
    </row>
    <row r="3282" ht="15.75" customHeight="1">
      <c r="A3282" s="29"/>
      <c r="B3282" s="5"/>
      <c r="C3282" s="5"/>
      <c r="D3282" s="5"/>
      <c r="E3282" s="5"/>
    </row>
    <row r="3283" ht="15.75" customHeight="1">
      <c r="A3283" s="29"/>
      <c r="B3283" s="5"/>
      <c r="C3283" s="5"/>
      <c r="D3283" s="5"/>
      <c r="E3283" s="5"/>
    </row>
    <row r="3284" ht="15.75" customHeight="1">
      <c r="A3284" s="29"/>
      <c r="B3284" s="5"/>
      <c r="C3284" s="5"/>
      <c r="D3284" s="5"/>
      <c r="E3284" s="5"/>
    </row>
    <row r="3285" ht="15.75" customHeight="1">
      <c r="A3285" s="29"/>
      <c r="B3285" s="5"/>
      <c r="C3285" s="5"/>
      <c r="D3285" s="5"/>
      <c r="E3285" s="5"/>
    </row>
    <row r="3286" ht="15.75" customHeight="1">
      <c r="A3286" s="29"/>
      <c r="B3286" s="5"/>
      <c r="C3286" s="5"/>
      <c r="D3286" s="5"/>
      <c r="E3286" s="5"/>
    </row>
    <row r="3287" ht="15.75" customHeight="1">
      <c r="A3287" s="29"/>
      <c r="B3287" s="5"/>
      <c r="C3287" s="5"/>
      <c r="D3287" s="5"/>
      <c r="E3287" s="5"/>
    </row>
    <row r="3288" ht="15.75" customHeight="1">
      <c r="A3288" s="29"/>
      <c r="B3288" s="5"/>
      <c r="C3288" s="5"/>
      <c r="D3288" s="5"/>
      <c r="E3288" s="5"/>
    </row>
    <row r="3289" ht="15.75" customHeight="1">
      <c r="A3289" s="29"/>
      <c r="B3289" s="5"/>
      <c r="C3289" s="5"/>
      <c r="D3289" s="5"/>
      <c r="E3289" s="5"/>
    </row>
    <row r="3290" ht="15.75" customHeight="1">
      <c r="A3290" s="29"/>
      <c r="B3290" s="5"/>
      <c r="C3290" s="5"/>
      <c r="D3290" s="5"/>
      <c r="E3290" s="5"/>
    </row>
    <row r="3291" ht="15.75" customHeight="1">
      <c r="A3291" s="29"/>
      <c r="B3291" s="5"/>
      <c r="C3291" s="5"/>
      <c r="D3291" s="5"/>
      <c r="E3291" s="5"/>
    </row>
    <row r="3292" ht="15.75" customHeight="1">
      <c r="A3292" s="29"/>
      <c r="B3292" s="5"/>
      <c r="C3292" s="5"/>
      <c r="D3292" s="5"/>
      <c r="E3292" s="5"/>
    </row>
    <row r="3293" ht="15.75" customHeight="1">
      <c r="A3293" s="29"/>
      <c r="B3293" s="5"/>
      <c r="C3293" s="5"/>
      <c r="D3293" s="5"/>
      <c r="E3293" s="5"/>
    </row>
    <row r="3294" ht="15.75" customHeight="1">
      <c r="A3294" s="29"/>
      <c r="B3294" s="5"/>
      <c r="C3294" s="5"/>
      <c r="D3294" s="5"/>
      <c r="E3294" s="5"/>
    </row>
    <row r="3295" ht="15.75" customHeight="1">
      <c r="A3295" s="29"/>
      <c r="B3295" s="5"/>
      <c r="C3295" s="5"/>
      <c r="D3295" s="5"/>
      <c r="E3295" s="5"/>
    </row>
    <row r="3296" ht="15.75" customHeight="1">
      <c r="A3296" s="29"/>
      <c r="B3296" s="5"/>
      <c r="C3296" s="5"/>
      <c r="D3296" s="5"/>
      <c r="E3296" s="5"/>
    </row>
    <row r="3297" ht="15.75" customHeight="1">
      <c r="A3297" s="29"/>
      <c r="B3297" s="5"/>
      <c r="C3297" s="5"/>
      <c r="D3297" s="5"/>
      <c r="E3297" s="5"/>
    </row>
    <row r="3298" ht="15.75" customHeight="1">
      <c r="A3298" s="29"/>
      <c r="B3298" s="5"/>
      <c r="C3298" s="5"/>
      <c r="D3298" s="5"/>
      <c r="E3298" s="5"/>
    </row>
    <row r="3299" ht="15.75" customHeight="1">
      <c r="A3299" s="29"/>
      <c r="B3299" s="5"/>
      <c r="C3299" s="5"/>
      <c r="D3299" s="5"/>
      <c r="E3299" s="5"/>
    </row>
    <row r="3300" ht="15.75" customHeight="1">
      <c r="A3300" s="29"/>
      <c r="B3300" s="5"/>
      <c r="C3300" s="5"/>
      <c r="D3300" s="5"/>
      <c r="E3300" s="5"/>
    </row>
    <row r="3301" ht="15.75" customHeight="1">
      <c r="A3301" s="29"/>
      <c r="B3301" s="5"/>
      <c r="C3301" s="5"/>
      <c r="D3301" s="5"/>
      <c r="E3301" s="5"/>
    </row>
    <row r="3302" ht="15.75" customHeight="1">
      <c r="A3302" s="29"/>
      <c r="B3302" s="5"/>
      <c r="C3302" s="5"/>
      <c r="D3302" s="5"/>
      <c r="E3302" s="5"/>
    </row>
    <row r="3303" ht="15.75" customHeight="1">
      <c r="A3303" s="29"/>
      <c r="B3303" s="5"/>
      <c r="C3303" s="5"/>
      <c r="D3303" s="5"/>
      <c r="E3303" s="5"/>
    </row>
    <row r="3304" ht="15.75" customHeight="1">
      <c r="A3304" s="29"/>
      <c r="B3304" s="5"/>
      <c r="C3304" s="5"/>
      <c r="D3304" s="5"/>
      <c r="E3304" s="5"/>
    </row>
    <row r="3305" ht="15.75" customHeight="1">
      <c r="A3305" s="29"/>
      <c r="B3305" s="5"/>
      <c r="C3305" s="5"/>
      <c r="D3305" s="5"/>
      <c r="E3305" s="5"/>
    </row>
    <row r="3306" ht="15.75" customHeight="1">
      <c r="A3306" s="29"/>
      <c r="B3306" s="5"/>
      <c r="C3306" s="5"/>
      <c r="D3306" s="5"/>
      <c r="E3306" s="5"/>
    </row>
    <row r="3307" ht="15.75" customHeight="1">
      <c r="A3307" s="29"/>
      <c r="B3307" s="5"/>
      <c r="C3307" s="5"/>
      <c r="D3307" s="5"/>
      <c r="E3307" s="5"/>
    </row>
    <row r="3308" ht="15.75" customHeight="1">
      <c r="A3308" s="29"/>
      <c r="B3308" s="5"/>
      <c r="C3308" s="5"/>
      <c r="D3308" s="5"/>
      <c r="E3308" s="5"/>
    </row>
    <row r="3309" ht="15.75" customHeight="1">
      <c r="A3309" s="29"/>
      <c r="B3309" s="5"/>
      <c r="C3309" s="5"/>
      <c r="D3309" s="5"/>
      <c r="E3309" s="5"/>
    </row>
    <row r="3310" ht="15.75" customHeight="1">
      <c r="A3310" s="29"/>
      <c r="B3310" s="5"/>
      <c r="C3310" s="5"/>
      <c r="D3310" s="5"/>
      <c r="E3310" s="5"/>
    </row>
    <row r="3311" ht="15.75" customHeight="1">
      <c r="A3311" s="29"/>
      <c r="B3311" s="5"/>
      <c r="C3311" s="5"/>
      <c r="D3311" s="5"/>
      <c r="E3311" s="5"/>
    </row>
    <row r="3312" ht="15.75" customHeight="1">
      <c r="A3312" s="29"/>
      <c r="B3312" s="5"/>
      <c r="C3312" s="5"/>
      <c r="D3312" s="5"/>
      <c r="E3312" s="5"/>
    </row>
    <row r="3313" ht="15.75" customHeight="1">
      <c r="A3313" s="29"/>
      <c r="B3313" s="5"/>
      <c r="C3313" s="5"/>
      <c r="D3313" s="5"/>
      <c r="E3313" s="5"/>
    </row>
    <row r="3314" ht="15.75" customHeight="1">
      <c r="A3314" s="29"/>
      <c r="B3314" s="5"/>
      <c r="C3314" s="5"/>
      <c r="D3314" s="5"/>
      <c r="E3314" s="5"/>
    </row>
    <row r="3315" ht="15.75" customHeight="1">
      <c r="A3315" s="29"/>
      <c r="B3315" s="5"/>
      <c r="C3315" s="5"/>
      <c r="D3315" s="5"/>
      <c r="E3315" s="5"/>
    </row>
    <row r="3316" ht="15.75" customHeight="1">
      <c r="A3316" s="29"/>
      <c r="B3316" s="5"/>
      <c r="C3316" s="5"/>
      <c r="D3316" s="5"/>
      <c r="E3316" s="5"/>
    </row>
    <row r="3317" ht="15.75" customHeight="1">
      <c r="A3317" s="29"/>
      <c r="B3317" s="5"/>
      <c r="C3317" s="5"/>
      <c r="D3317" s="5"/>
      <c r="E3317" s="5"/>
    </row>
    <row r="3318" ht="15.75" customHeight="1">
      <c r="A3318" s="29"/>
      <c r="B3318" s="5"/>
      <c r="C3318" s="5"/>
      <c r="D3318" s="5"/>
      <c r="E3318" s="5"/>
    </row>
    <row r="3319" ht="15.75" customHeight="1">
      <c r="A3319" s="29"/>
      <c r="B3319" s="5"/>
      <c r="C3319" s="5"/>
      <c r="D3319" s="5"/>
      <c r="E3319" s="5"/>
    </row>
    <row r="3320" ht="15.75" customHeight="1">
      <c r="A3320" s="29"/>
      <c r="B3320" s="5"/>
      <c r="C3320" s="5"/>
      <c r="D3320" s="5"/>
      <c r="E3320" s="5"/>
    </row>
    <row r="3321" ht="15.75" customHeight="1">
      <c r="A3321" s="29"/>
      <c r="B3321" s="5"/>
      <c r="C3321" s="5"/>
      <c r="D3321" s="5"/>
      <c r="E3321" s="5"/>
    </row>
    <row r="3322" ht="15.75" customHeight="1">
      <c r="A3322" s="29"/>
      <c r="B3322" s="5"/>
      <c r="C3322" s="5"/>
      <c r="D3322" s="5"/>
      <c r="E3322" s="5"/>
    </row>
    <row r="3323" ht="15.75" customHeight="1">
      <c r="A3323" s="29"/>
      <c r="B3323" s="5"/>
      <c r="C3323" s="5"/>
      <c r="D3323" s="5"/>
      <c r="E3323" s="5"/>
    </row>
    <row r="3324" ht="15.75" customHeight="1">
      <c r="A3324" s="29"/>
      <c r="B3324" s="5"/>
      <c r="C3324" s="5"/>
      <c r="D3324" s="5"/>
      <c r="E3324" s="5"/>
    </row>
    <row r="3325" ht="15.75" customHeight="1">
      <c r="A3325" s="29"/>
      <c r="B3325" s="5"/>
      <c r="C3325" s="5"/>
      <c r="D3325" s="5"/>
      <c r="E3325" s="5"/>
    </row>
    <row r="3326" ht="15.75" customHeight="1">
      <c r="A3326" s="29"/>
      <c r="B3326" s="5"/>
      <c r="C3326" s="5"/>
      <c r="D3326" s="5"/>
      <c r="E3326" s="5"/>
    </row>
    <row r="3327" ht="15.75" customHeight="1">
      <c r="A3327" s="29"/>
      <c r="B3327" s="5"/>
      <c r="C3327" s="5"/>
      <c r="D3327" s="5"/>
      <c r="E3327" s="5"/>
    </row>
    <row r="3328" ht="15.75" customHeight="1">
      <c r="A3328" s="29"/>
      <c r="B3328" s="5"/>
      <c r="C3328" s="5"/>
      <c r="D3328" s="5"/>
      <c r="E3328" s="5"/>
    </row>
    <row r="3329" ht="15.75" customHeight="1">
      <c r="A3329" s="29"/>
      <c r="B3329" s="5"/>
      <c r="C3329" s="5"/>
      <c r="D3329" s="5"/>
      <c r="E3329" s="5"/>
    </row>
    <row r="3330" ht="15.75" customHeight="1">
      <c r="A3330" s="29"/>
      <c r="B3330" s="5"/>
      <c r="C3330" s="5"/>
      <c r="D3330" s="5"/>
      <c r="E3330" s="5"/>
    </row>
    <row r="3331" ht="15.75" customHeight="1">
      <c r="A3331" s="29"/>
      <c r="B3331" s="5"/>
      <c r="C3331" s="5"/>
      <c r="D3331" s="5"/>
      <c r="E3331" s="5"/>
    </row>
    <row r="3332" ht="15.75" customHeight="1">
      <c r="A3332" s="29"/>
      <c r="B3332" s="5"/>
      <c r="C3332" s="5"/>
      <c r="D3332" s="5"/>
      <c r="E3332" s="5"/>
    </row>
    <row r="3333" ht="15.75" customHeight="1">
      <c r="A3333" s="29"/>
      <c r="B3333" s="5"/>
      <c r="C3333" s="5"/>
      <c r="D3333" s="5"/>
      <c r="E3333" s="5"/>
    </row>
    <row r="3334" ht="15.75" customHeight="1">
      <c r="A3334" s="29"/>
      <c r="B3334" s="5"/>
      <c r="C3334" s="5"/>
      <c r="D3334" s="5"/>
      <c r="E3334" s="5"/>
    </row>
    <row r="3335" ht="15.75" customHeight="1">
      <c r="A3335" s="29"/>
      <c r="B3335" s="5"/>
      <c r="C3335" s="5"/>
      <c r="D3335" s="5"/>
      <c r="E3335" s="5"/>
    </row>
    <row r="3336" ht="15.75" customHeight="1">
      <c r="A3336" s="29"/>
      <c r="B3336" s="5"/>
      <c r="C3336" s="5"/>
      <c r="D3336" s="5"/>
      <c r="E3336" s="5"/>
    </row>
    <row r="3337" ht="15.75" customHeight="1">
      <c r="A3337" s="29"/>
      <c r="B3337" s="5"/>
      <c r="C3337" s="5"/>
      <c r="D3337" s="5"/>
      <c r="E3337" s="5"/>
    </row>
    <row r="3338" ht="15.75" customHeight="1">
      <c r="A3338" s="29"/>
      <c r="B3338" s="5"/>
      <c r="C3338" s="5"/>
      <c r="D3338" s="5"/>
      <c r="E3338" s="5"/>
    </row>
    <row r="3339" ht="15.75" customHeight="1">
      <c r="A3339" s="29"/>
      <c r="B3339" s="5"/>
      <c r="C3339" s="5"/>
      <c r="D3339" s="5"/>
      <c r="E3339" s="5"/>
    </row>
    <row r="3340" ht="15.75" customHeight="1">
      <c r="A3340" s="29"/>
      <c r="B3340" s="5"/>
      <c r="C3340" s="5"/>
      <c r="D3340" s="5"/>
      <c r="E3340" s="5"/>
    </row>
    <row r="3341" ht="15.75" customHeight="1">
      <c r="A3341" s="29"/>
      <c r="B3341" s="5"/>
      <c r="C3341" s="5"/>
      <c r="D3341" s="5"/>
      <c r="E3341" s="5"/>
    </row>
    <row r="3342" ht="15.75" customHeight="1">
      <c r="A3342" s="29"/>
      <c r="B3342" s="5"/>
      <c r="C3342" s="5"/>
      <c r="D3342" s="5"/>
      <c r="E3342" s="5"/>
    </row>
    <row r="3343" ht="15.75" customHeight="1">
      <c r="A3343" s="29"/>
      <c r="B3343" s="5"/>
      <c r="C3343" s="5"/>
      <c r="D3343" s="5"/>
      <c r="E3343" s="5"/>
    </row>
    <row r="3344" ht="15.75" customHeight="1">
      <c r="A3344" s="29"/>
      <c r="B3344" s="5"/>
      <c r="C3344" s="5"/>
      <c r="D3344" s="5"/>
      <c r="E3344" s="5"/>
    </row>
    <row r="3345" ht="15.75" customHeight="1">
      <c r="A3345" s="29"/>
      <c r="B3345" s="5"/>
      <c r="C3345" s="5"/>
      <c r="D3345" s="5"/>
      <c r="E3345" s="5"/>
    </row>
    <row r="3346" ht="15.75" customHeight="1">
      <c r="A3346" s="29"/>
      <c r="B3346" s="5"/>
      <c r="C3346" s="5"/>
      <c r="D3346" s="5"/>
      <c r="E3346" s="5"/>
    </row>
    <row r="3347" ht="15.75" customHeight="1">
      <c r="A3347" s="29"/>
      <c r="B3347" s="5"/>
      <c r="C3347" s="5"/>
      <c r="D3347" s="5"/>
      <c r="E3347" s="5"/>
    </row>
    <row r="3348" ht="15.75" customHeight="1">
      <c r="A3348" s="29"/>
      <c r="B3348" s="5"/>
      <c r="C3348" s="5"/>
      <c r="D3348" s="5"/>
      <c r="E3348" s="5"/>
    </row>
    <row r="3349" ht="15.75" customHeight="1">
      <c r="A3349" s="29"/>
      <c r="B3349" s="5"/>
      <c r="C3349" s="5"/>
      <c r="D3349" s="5"/>
      <c r="E3349" s="5"/>
    </row>
    <row r="3350" ht="15.75" customHeight="1">
      <c r="A3350" s="29"/>
      <c r="B3350" s="5"/>
      <c r="C3350" s="5"/>
      <c r="D3350" s="5"/>
      <c r="E3350" s="5"/>
    </row>
    <row r="3351" ht="15.75" customHeight="1">
      <c r="A3351" s="29"/>
      <c r="B3351" s="5"/>
      <c r="C3351" s="5"/>
      <c r="D3351" s="5"/>
      <c r="E3351" s="5"/>
    </row>
    <row r="3352" ht="15.75" customHeight="1">
      <c r="A3352" s="29"/>
      <c r="B3352" s="5"/>
      <c r="C3352" s="5"/>
      <c r="D3352" s="5"/>
      <c r="E3352" s="5"/>
    </row>
    <row r="3353" ht="15.75" customHeight="1">
      <c r="A3353" s="29"/>
      <c r="B3353" s="5"/>
      <c r="C3353" s="5"/>
      <c r="D3353" s="5"/>
      <c r="E3353" s="5"/>
    </row>
    <row r="3354" ht="15.75" customHeight="1">
      <c r="A3354" s="29"/>
      <c r="B3354" s="5"/>
      <c r="C3354" s="5"/>
      <c r="D3354" s="5"/>
      <c r="E3354" s="5"/>
    </row>
    <row r="3355" ht="15.75" customHeight="1">
      <c r="A3355" s="29"/>
      <c r="B3355" s="5"/>
      <c r="C3355" s="5"/>
      <c r="D3355" s="5"/>
      <c r="E3355" s="5"/>
    </row>
    <row r="3356" ht="15.75" customHeight="1">
      <c r="A3356" s="29"/>
      <c r="B3356" s="5"/>
      <c r="C3356" s="5"/>
      <c r="D3356" s="5"/>
      <c r="E3356" s="5"/>
    </row>
    <row r="3357" ht="15.75" customHeight="1">
      <c r="A3357" s="29"/>
      <c r="B3357" s="5"/>
      <c r="C3357" s="5"/>
      <c r="D3357" s="5"/>
      <c r="E3357" s="5"/>
    </row>
    <row r="3358" ht="15.75" customHeight="1">
      <c r="A3358" s="29"/>
      <c r="B3358" s="5"/>
      <c r="C3358" s="5"/>
      <c r="D3358" s="5"/>
      <c r="E3358" s="5"/>
    </row>
    <row r="3359" ht="15.75" customHeight="1">
      <c r="A3359" s="29"/>
      <c r="B3359" s="5"/>
      <c r="C3359" s="5"/>
      <c r="D3359" s="5"/>
      <c r="E3359" s="5"/>
    </row>
    <row r="3360" ht="15.75" customHeight="1">
      <c r="A3360" s="29"/>
      <c r="B3360" s="5"/>
      <c r="C3360" s="5"/>
      <c r="D3360" s="5"/>
      <c r="E3360" s="5"/>
    </row>
    <row r="3361" ht="15.75" customHeight="1">
      <c r="A3361" s="29"/>
      <c r="B3361" s="5"/>
      <c r="C3361" s="5"/>
      <c r="D3361" s="5"/>
      <c r="E3361" s="5"/>
    </row>
    <row r="3362" ht="15.75" customHeight="1">
      <c r="A3362" s="29"/>
      <c r="B3362" s="5"/>
      <c r="C3362" s="5"/>
      <c r="D3362" s="5"/>
      <c r="E3362" s="5"/>
    </row>
    <row r="3363" ht="15.75" customHeight="1">
      <c r="A3363" s="29"/>
      <c r="B3363" s="5"/>
      <c r="C3363" s="5"/>
      <c r="D3363" s="5"/>
      <c r="E3363" s="5"/>
    </row>
    <row r="3364" ht="15.75" customHeight="1">
      <c r="A3364" s="29"/>
      <c r="B3364" s="5"/>
      <c r="C3364" s="5"/>
      <c r="D3364" s="5"/>
      <c r="E3364" s="5"/>
    </row>
    <row r="3365" ht="15.75" customHeight="1">
      <c r="A3365" s="29"/>
      <c r="B3365" s="5"/>
      <c r="C3365" s="5"/>
      <c r="D3365" s="5"/>
      <c r="E3365" s="5"/>
    </row>
    <row r="3366" ht="15.75" customHeight="1">
      <c r="A3366" s="29"/>
      <c r="B3366" s="5"/>
      <c r="C3366" s="5"/>
      <c r="D3366" s="5"/>
      <c r="E3366" s="5"/>
    </row>
    <row r="3367" ht="15.75" customHeight="1">
      <c r="A3367" s="29"/>
      <c r="B3367" s="5"/>
      <c r="C3367" s="5"/>
      <c r="D3367" s="5"/>
      <c r="E3367" s="5"/>
    </row>
    <row r="3368" ht="15.75" customHeight="1">
      <c r="A3368" s="29"/>
      <c r="B3368" s="5"/>
      <c r="C3368" s="5"/>
      <c r="D3368" s="5"/>
      <c r="E3368" s="5"/>
    </row>
    <row r="3369" ht="15.75" customHeight="1">
      <c r="A3369" s="29"/>
      <c r="B3369" s="5"/>
      <c r="C3369" s="5"/>
      <c r="D3369" s="5"/>
      <c r="E3369" s="5"/>
    </row>
    <row r="3370" ht="15.75" customHeight="1">
      <c r="A3370" s="29"/>
      <c r="B3370" s="5"/>
      <c r="C3370" s="5"/>
      <c r="D3370" s="5"/>
      <c r="E3370" s="5"/>
    </row>
    <row r="3371" ht="15.75" customHeight="1">
      <c r="A3371" s="29"/>
      <c r="B3371" s="5"/>
      <c r="C3371" s="5"/>
      <c r="D3371" s="5"/>
      <c r="E3371" s="5"/>
    </row>
    <row r="3372" ht="15.75" customHeight="1">
      <c r="A3372" s="29"/>
      <c r="B3372" s="5"/>
      <c r="C3372" s="5"/>
      <c r="D3372" s="5"/>
      <c r="E3372" s="5"/>
    </row>
    <row r="3373" ht="15.75" customHeight="1">
      <c r="A3373" s="29"/>
      <c r="B3373" s="5"/>
      <c r="C3373" s="5"/>
      <c r="D3373" s="5"/>
      <c r="E3373" s="5"/>
    </row>
    <row r="3374" ht="15.75" customHeight="1">
      <c r="A3374" s="29"/>
      <c r="B3374" s="5"/>
      <c r="C3374" s="5"/>
      <c r="D3374" s="5"/>
      <c r="E3374" s="5"/>
    </row>
    <row r="3375" ht="15.75" customHeight="1">
      <c r="A3375" s="29"/>
      <c r="B3375" s="5"/>
      <c r="C3375" s="5"/>
      <c r="D3375" s="5"/>
      <c r="E3375" s="5"/>
    </row>
    <row r="3376" ht="15.75" customHeight="1">
      <c r="A3376" s="29"/>
      <c r="B3376" s="5"/>
      <c r="C3376" s="5"/>
      <c r="D3376" s="5"/>
      <c r="E3376" s="5"/>
    </row>
    <row r="3377" ht="15.75" customHeight="1">
      <c r="A3377" s="29"/>
      <c r="B3377" s="5"/>
      <c r="C3377" s="5"/>
      <c r="D3377" s="5"/>
      <c r="E3377" s="5"/>
    </row>
    <row r="3378" ht="15.75" customHeight="1">
      <c r="A3378" s="29"/>
      <c r="B3378" s="5"/>
      <c r="C3378" s="5"/>
      <c r="D3378" s="5"/>
      <c r="E3378" s="5"/>
    </row>
    <row r="3379" ht="15.75" customHeight="1">
      <c r="A3379" s="29"/>
      <c r="B3379" s="5"/>
      <c r="C3379" s="5"/>
      <c r="D3379" s="5"/>
      <c r="E3379" s="5"/>
    </row>
    <row r="3380" ht="15.75" customHeight="1">
      <c r="A3380" s="29"/>
      <c r="B3380" s="5"/>
      <c r="C3380" s="5"/>
      <c r="D3380" s="5"/>
      <c r="E3380" s="5"/>
    </row>
    <row r="3381" ht="15.75" customHeight="1">
      <c r="A3381" s="29"/>
      <c r="B3381" s="5"/>
      <c r="C3381" s="5"/>
      <c r="D3381" s="5"/>
      <c r="E3381" s="5"/>
    </row>
    <row r="3382" ht="15.75" customHeight="1">
      <c r="A3382" s="29"/>
      <c r="B3382" s="5"/>
      <c r="C3382" s="5"/>
      <c r="D3382" s="5"/>
      <c r="E3382" s="5"/>
    </row>
    <row r="3383" ht="15.75" customHeight="1">
      <c r="A3383" s="29"/>
      <c r="B3383" s="5"/>
      <c r="C3383" s="5"/>
      <c r="D3383" s="5"/>
      <c r="E3383" s="5"/>
    </row>
    <row r="3384" ht="15.75" customHeight="1">
      <c r="A3384" s="29"/>
      <c r="B3384" s="5"/>
      <c r="C3384" s="5"/>
      <c r="D3384" s="5"/>
      <c r="E3384" s="5"/>
    </row>
    <row r="3385" ht="15.75" customHeight="1">
      <c r="A3385" s="29"/>
      <c r="B3385" s="5"/>
      <c r="C3385" s="5"/>
      <c r="D3385" s="5"/>
      <c r="E3385" s="5"/>
    </row>
    <row r="3386" ht="15.75" customHeight="1">
      <c r="A3386" s="29"/>
      <c r="B3386" s="5"/>
      <c r="C3386" s="5"/>
      <c r="D3386" s="5"/>
      <c r="E3386" s="5"/>
    </row>
    <row r="3387" ht="15.75" customHeight="1">
      <c r="A3387" s="29"/>
      <c r="B3387" s="5"/>
      <c r="C3387" s="5"/>
      <c r="D3387" s="5"/>
      <c r="E3387" s="5"/>
    </row>
    <row r="3388" ht="15.75" customHeight="1">
      <c r="A3388" s="29"/>
      <c r="B3388" s="5"/>
      <c r="C3388" s="5"/>
      <c r="D3388" s="5"/>
      <c r="E3388" s="5"/>
    </row>
    <row r="3389" ht="15.75" customHeight="1">
      <c r="A3389" s="29"/>
      <c r="B3389" s="5"/>
      <c r="C3389" s="5"/>
      <c r="D3389" s="5"/>
      <c r="E3389" s="5"/>
    </row>
    <row r="3390" ht="15.75" customHeight="1">
      <c r="A3390" s="29"/>
      <c r="B3390" s="5"/>
      <c r="C3390" s="5"/>
      <c r="D3390" s="5"/>
      <c r="E3390" s="5"/>
    </row>
    <row r="3391" ht="15.75" customHeight="1">
      <c r="A3391" s="29"/>
      <c r="B3391" s="5"/>
      <c r="C3391" s="5"/>
      <c r="D3391" s="5"/>
      <c r="E3391" s="5"/>
    </row>
    <row r="3392" ht="15.75" customHeight="1">
      <c r="A3392" s="29"/>
      <c r="B3392" s="5"/>
      <c r="C3392" s="5"/>
      <c r="D3392" s="5"/>
      <c r="E3392" s="5"/>
    </row>
    <row r="3393" ht="15.75" customHeight="1">
      <c r="A3393" s="29"/>
      <c r="B3393" s="5"/>
      <c r="C3393" s="5"/>
      <c r="D3393" s="5"/>
      <c r="E3393" s="5"/>
    </row>
    <row r="3394" ht="15.75" customHeight="1">
      <c r="A3394" s="29"/>
      <c r="B3394" s="5"/>
      <c r="C3394" s="5"/>
      <c r="D3394" s="5"/>
      <c r="E3394" s="5"/>
    </row>
    <row r="3395" ht="15.75" customHeight="1">
      <c r="A3395" s="29"/>
      <c r="B3395" s="5"/>
      <c r="C3395" s="5"/>
      <c r="D3395" s="5"/>
      <c r="E3395" s="5"/>
    </row>
    <row r="3396" ht="15.75" customHeight="1">
      <c r="A3396" s="29"/>
      <c r="B3396" s="5"/>
      <c r="C3396" s="5"/>
      <c r="D3396" s="5"/>
      <c r="E3396" s="5"/>
    </row>
    <row r="3397" ht="15.75" customHeight="1">
      <c r="A3397" s="29"/>
      <c r="B3397" s="5"/>
      <c r="C3397" s="5"/>
      <c r="D3397" s="5"/>
      <c r="E3397" s="5"/>
    </row>
    <row r="3398" ht="15.75" customHeight="1">
      <c r="A3398" s="29"/>
      <c r="B3398" s="5"/>
      <c r="C3398" s="5"/>
      <c r="D3398" s="5"/>
      <c r="E3398" s="5"/>
    </row>
    <row r="3399" ht="15.75" customHeight="1">
      <c r="A3399" s="29"/>
      <c r="B3399" s="5"/>
      <c r="C3399" s="5"/>
      <c r="D3399" s="5"/>
      <c r="E3399" s="5"/>
    </row>
    <row r="3400" ht="15.75" customHeight="1">
      <c r="A3400" s="29"/>
      <c r="B3400" s="5"/>
      <c r="C3400" s="5"/>
      <c r="D3400" s="5"/>
      <c r="E3400" s="5"/>
    </row>
    <row r="3401" ht="15.75" customHeight="1">
      <c r="A3401" s="29"/>
      <c r="B3401" s="5"/>
      <c r="C3401" s="5"/>
      <c r="D3401" s="5"/>
      <c r="E3401" s="5"/>
    </row>
    <row r="3402" ht="15.75" customHeight="1">
      <c r="A3402" s="29"/>
      <c r="B3402" s="5"/>
      <c r="C3402" s="5"/>
      <c r="D3402" s="5"/>
      <c r="E3402" s="5"/>
    </row>
    <row r="3403" ht="15.75" customHeight="1">
      <c r="A3403" s="29"/>
      <c r="B3403" s="5"/>
      <c r="C3403" s="5"/>
      <c r="D3403" s="5"/>
      <c r="E3403" s="5"/>
    </row>
    <row r="3404" ht="15.75" customHeight="1">
      <c r="A3404" s="29"/>
      <c r="B3404" s="5"/>
      <c r="C3404" s="5"/>
      <c r="D3404" s="5"/>
      <c r="E3404" s="5"/>
    </row>
    <row r="3405" ht="15.75" customHeight="1">
      <c r="A3405" s="29"/>
      <c r="B3405" s="5"/>
      <c r="C3405" s="5"/>
      <c r="D3405" s="5"/>
      <c r="E3405" s="5"/>
    </row>
    <row r="3406" ht="15.75" customHeight="1">
      <c r="A3406" s="29"/>
      <c r="B3406" s="5"/>
      <c r="C3406" s="5"/>
      <c r="D3406" s="5"/>
      <c r="E3406" s="5"/>
    </row>
    <row r="3407" ht="15.75" customHeight="1">
      <c r="A3407" s="29"/>
      <c r="B3407" s="5"/>
      <c r="C3407" s="5"/>
      <c r="D3407" s="5"/>
      <c r="E3407" s="5"/>
    </row>
    <row r="3408" ht="15.75" customHeight="1">
      <c r="A3408" s="29"/>
      <c r="B3408" s="5"/>
      <c r="C3408" s="5"/>
      <c r="D3408" s="5"/>
      <c r="E3408" s="5"/>
    </row>
    <row r="3409" ht="15.75" customHeight="1">
      <c r="A3409" s="29"/>
      <c r="B3409" s="5"/>
      <c r="C3409" s="5"/>
      <c r="D3409" s="5"/>
      <c r="E3409" s="5"/>
    </row>
    <row r="3410" ht="15.75" customHeight="1">
      <c r="A3410" s="29"/>
      <c r="B3410" s="5"/>
      <c r="C3410" s="5"/>
      <c r="D3410" s="5"/>
      <c r="E3410" s="5"/>
    </row>
    <row r="3411" ht="15.75" customHeight="1">
      <c r="A3411" s="29"/>
      <c r="B3411" s="5"/>
      <c r="C3411" s="5"/>
      <c r="D3411" s="5"/>
      <c r="E3411" s="5"/>
    </row>
    <row r="3412" ht="15.75" customHeight="1">
      <c r="A3412" s="29"/>
      <c r="B3412" s="5"/>
      <c r="C3412" s="5"/>
      <c r="D3412" s="5"/>
      <c r="E3412" s="5"/>
    </row>
    <row r="3413" ht="15.75" customHeight="1">
      <c r="A3413" s="29"/>
      <c r="B3413" s="5"/>
      <c r="C3413" s="5"/>
      <c r="D3413" s="5"/>
      <c r="E3413" s="5"/>
    </row>
    <row r="3414" ht="15.75" customHeight="1">
      <c r="A3414" s="29"/>
      <c r="B3414" s="5"/>
      <c r="C3414" s="5"/>
      <c r="D3414" s="5"/>
      <c r="E3414" s="5"/>
    </row>
    <row r="3415" ht="15.75" customHeight="1">
      <c r="A3415" s="29"/>
      <c r="B3415" s="5"/>
      <c r="C3415" s="5"/>
      <c r="D3415" s="5"/>
      <c r="E3415" s="5"/>
    </row>
    <row r="3416" ht="15.75" customHeight="1">
      <c r="A3416" s="29"/>
      <c r="B3416" s="5"/>
      <c r="C3416" s="5"/>
      <c r="D3416" s="5"/>
      <c r="E3416" s="5"/>
    </row>
    <row r="3417" ht="15.75" customHeight="1">
      <c r="A3417" s="29"/>
      <c r="B3417" s="5"/>
      <c r="C3417" s="5"/>
      <c r="D3417" s="5"/>
      <c r="E3417" s="5"/>
    </row>
    <row r="3418" ht="15.75" customHeight="1">
      <c r="A3418" s="29"/>
      <c r="B3418" s="5"/>
      <c r="C3418" s="5"/>
      <c r="D3418" s="5"/>
      <c r="E3418" s="5"/>
    </row>
    <row r="3419" ht="15.75" customHeight="1">
      <c r="A3419" s="29"/>
      <c r="B3419" s="5"/>
      <c r="C3419" s="5"/>
      <c r="D3419" s="5"/>
      <c r="E3419" s="5"/>
    </row>
    <row r="3420" ht="15.75" customHeight="1">
      <c r="A3420" s="29"/>
      <c r="B3420" s="5"/>
      <c r="C3420" s="5"/>
      <c r="D3420" s="5"/>
      <c r="E3420" s="5"/>
    </row>
    <row r="3421" ht="15.75" customHeight="1">
      <c r="A3421" s="29"/>
      <c r="B3421" s="5"/>
      <c r="C3421" s="5"/>
      <c r="D3421" s="5"/>
      <c r="E3421" s="5"/>
    </row>
    <row r="3422" ht="15.75" customHeight="1">
      <c r="A3422" s="29"/>
      <c r="B3422" s="5"/>
      <c r="C3422" s="5"/>
      <c r="D3422" s="5"/>
      <c r="E3422" s="5"/>
    </row>
    <row r="3423" ht="15.75" customHeight="1">
      <c r="A3423" s="29"/>
      <c r="B3423" s="5"/>
      <c r="C3423" s="5"/>
      <c r="D3423" s="5"/>
      <c r="E3423" s="5"/>
    </row>
    <row r="3424" ht="15.75" customHeight="1">
      <c r="A3424" s="29"/>
      <c r="B3424" s="5"/>
      <c r="C3424" s="5"/>
      <c r="D3424" s="5"/>
      <c r="E3424" s="5"/>
    </row>
    <row r="3425" ht="15.75" customHeight="1">
      <c r="A3425" s="29"/>
      <c r="B3425" s="5"/>
      <c r="C3425" s="5"/>
      <c r="D3425" s="5"/>
      <c r="E3425" s="5"/>
    </row>
    <row r="3426" ht="15.75" customHeight="1">
      <c r="A3426" s="29"/>
      <c r="B3426" s="5"/>
      <c r="C3426" s="5"/>
      <c r="D3426" s="5"/>
      <c r="E3426" s="5"/>
    </row>
    <row r="3427" ht="15.75" customHeight="1">
      <c r="A3427" s="29"/>
      <c r="B3427" s="5"/>
      <c r="C3427" s="5"/>
      <c r="D3427" s="5"/>
      <c r="E3427" s="5"/>
    </row>
    <row r="3428" ht="15.75" customHeight="1">
      <c r="A3428" s="29"/>
      <c r="B3428" s="5"/>
      <c r="C3428" s="5"/>
      <c r="D3428" s="5"/>
      <c r="E3428" s="5"/>
    </row>
    <row r="3429" ht="15.75" customHeight="1">
      <c r="A3429" s="29"/>
      <c r="B3429" s="5"/>
      <c r="C3429" s="5"/>
      <c r="D3429" s="5"/>
      <c r="E3429" s="5"/>
    </row>
    <row r="3430" ht="15.75" customHeight="1">
      <c r="A3430" s="29"/>
      <c r="B3430" s="5"/>
      <c r="C3430" s="5"/>
      <c r="D3430" s="5"/>
      <c r="E3430" s="5"/>
    </row>
    <row r="3431" ht="15.75" customHeight="1">
      <c r="A3431" s="29"/>
      <c r="B3431" s="5"/>
      <c r="C3431" s="5"/>
      <c r="D3431" s="5"/>
      <c r="E3431" s="5"/>
    </row>
    <row r="3432" ht="15.75" customHeight="1">
      <c r="A3432" s="29"/>
      <c r="B3432" s="5"/>
      <c r="C3432" s="5"/>
      <c r="D3432" s="5"/>
      <c r="E3432" s="5"/>
    </row>
    <row r="3433" ht="15.75" customHeight="1">
      <c r="A3433" s="29"/>
      <c r="B3433" s="5"/>
      <c r="C3433" s="5"/>
      <c r="D3433" s="5"/>
      <c r="E3433" s="5"/>
    </row>
    <row r="3434" ht="15.75" customHeight="1">
      <c r="A3434" s="29"/>
      <c r="B3434" s="5"/>
      <c r="C3434" s="5"/>
      <c r="D3434" s="5"/>
      <c r="E3434" s="5"/>
    </row>
    <row r="3435" ht="15.75" customHeight="1">
      <c r="A3435" s="29"/>
      <c r="B3435" s="5"/>
      <c r="C3435" s="5"/>
      <c r="D3435" s="5"/>
      <c r="E3435" s="5"/>
    </row>
    <row r="3436" ht="15.75" customHeight="1">
      <c r="A3436" s="29"/>
      <c r="B3436" s="5"/>
      <c r="C3436" s="5"/>
      <c r="D3436" s="5"/>
      <c r="E3436" s="5"/>
    </row>
    <row r="3437" ht="15.75" customHeight="1">
      <c r="A3437" s="29"/>
      <c r="B3437" s="5"/>
      <c r="C3437" s="5"/>
      <c r="D3437" s="5"/>
      <c r="E3437" s="5"/>
    </row>
    <row r="3438" ht="15.75" customHeight="1">
      <c r="A3438" s="29"/>
      <c r="B3438" s="5"/>
      <c r="C3438" s="5"/>
      <c r="D3438" s="5"/>
      <c r="E3438" s="5"/>
    </row>
    <row r="3439" ht="15.75" customHeight="1">
      <c r="A3439" s="29"/>
      <c r="B3439" s="5"/>
      <c r="C3439" s="5"/>
      <c r="D3439" s="5"/>
      <c r="E3439" s="5"/>
    </row>
    <row r="3440" ht="15.75" customHeight="1">
      <c r="A3440" s="29"/>
      <c r="B3440" s="5"/>
      <c r="C3440" s="5"/>
      <c r="D3440" s="5"/>
      <c r="E3440" s="5"/>
    </row>
    <row r="3441" ht="15.75" customHeight="1">
      <c r="A3441" s="29"/>
      <c r="B3441" s="5"/>
      <c r="C3441" s="5"/>
      <c r="D3441" s="5"/>
      <c r="E3441" s="5"/>
    </row>
    <row r="3442" ht="15.75" customHeight="1">
      <c r="A3442" s="29"/>
      <c r="B3442" s="5"/>
      <c r="C3442" s="5"/>
      <c r="D3442" s="5"/>
      <c r="E3442" s="5"/>
    </row>
    <row r="3443" ht="15.75" customHeight="1">
      <c r="A3443" s="29"/>
      <c r="B3443" s="5"/>
      <c r="C3443" s="5"/>
      <c r="D3443" s="5"/>
      <c r="E3443" s="5"/>
    </row>
    <row r="3444" ht="15.75" customHeight="1">
      <c r="A3444" s="29"/>
      <c r="B3444" s="5"/>
      <c r="C3444" s="5"/>
      <c r="D3444" s="5"/>
      <c r="E3444" s="5"/>
    </row>
    <row r="3445" ht="15.75" customHeight="1">
      <c r="A3445" s="29"/>
      <c r="B3445" s="5"/>
      <c r="C3445" s="5"/>
      <c r="D3445" s="5"/>
      <c r="E3445" s="5"/>
    </row>
    <row r="3446" ht="15.75" customHeight="1">
      <c r="A3446" s="29"/>
      <c r="B3446" s="5"/>
      <c r="C3446" s="5"/>
      <c r="D3446" s="5"/>
      <c r="E3446" s="5"/>
    </row>
    <row r="3447" ht="15.75" customHeight="1">
      <c r="A3447" s="29"/>
      <c r="B3447" s="5"/>
      <c r="C3447" s="5"/>
      <c r="D3447" s="5"/>
      <c r="E3447" s="5"/>
    </row>
    <row r="3448" ht="15.75" customHeight="1">
      <c r="A3448" s="29"/>
      <c r="B3448" s="5"/>
      <c r="C3448" s="5"/>
      <c r="D3448" s="5"/>
      <c r="E3448" s="5"/>
    </row>
    <row r="3449" ht="15.75" customHeight="1">
      <c r="A3449" s="29"/>
      <c r="B3449" s="5"/>
      <c r="C3449" s="5"/>
      <c r="D3449" s="5"/>
      <c r="E3449" s="5"/>
    </row>
    <row r="3450" ht="15.75" customHeight="1">
      <c r="A3450" s="29"/>
      <c r="B3450" s="5"/>
      <c r="C3450" s="5"/>
      <c r="D3450" s="5"/>
      <c r="E3450" s="5"/>
    </row>
    <row r="3451" ht="15.75" customHeight="1">
      <c r="A3451" s="29"/>
      <c r="B3451" s="5"/>
      <c r="C3451" s="5"/>
      <c r="D3451" s="5"/>
      <c r="E3451" s="5"/>
    </row>
    <row r="3452" ht="15.75" customHeight="1">
      <c r="A3452" s="29"/>
      <c r="B3452" s="5"/>
      <c r="C3452" s="5"/>
      <c r="D3452" s="5"/>
      <c r="E3452" s="5"/>
    </row>
    <row r="3453" ht="15.75" customHeight="1">
      <c r="A3453" s="29"/>
      <c r="B3453" s="5"/>
      <c r="C3453" s="5"/>
      <c r="D3453" s="5"/>
      <c r="E3453" s="5"/>
    </row>
    <row r="3454" ht="15.75" customHeight="1">
      <c r="A3454" s="29"/>
      <c r="B3454" s="5"/>
      <c r="C3454" s="5"/>
      <c r="D3454" s="5"/>
      <c r="E3454" s="5"/>
    </row>
    <row r="3455" ht="15.75" customHeight="1">
      <c r="A3455" s="29"/>
      <c r="B3455" s="5"/>
      <c r="C3455" s="5"/>
      <c r="D3455" s="5"/>
      <c r="E3455" s="5"/>
    </row>
    <row r="3456" ht="15.75" customHeight="1">
      <c r="A3456" s="29"/>
      <c r="B3456" s="5"/>
      <c r="C3456" s="5"/>
      <c r="D3456" s="5"/>
      <c r="E3456" s="5"/>
    </row>
    <row r="3457" ht="15.75" customHeight="1">
      <c r="A3457" s="29"/>
      <c r="B3457" s="5"/>
      <c r="C3457" s="5"/>
      <c r="D3457" s="5"/>
      <c r="E3457" s="5"/>
    </row>
    <row r="3458" ht="15.75" customHeight="1">
      <c r="A3458" s="29"/>
      <c r="B3458" s="5"/>
      <c r="C3458" s="5"/>
      <c r="D3458" s="5"/>
      <c r="E3458" s="5"/>
    </row>
    <row r="3459" ht="15.75" customHeight="1">
      <c r="A3459" s="29"/>
      <c r="B3459" s="5"/>
      <c r="C3459" s="5"/>
      <c r="D3459" s="5"/>
      <c r="E3459" s="5"/>
    </row>
    <row r="3460" ht="15.75" customHeight="1">
      <c r="A3460" s="29"/>
      <c r="B3460" s="5"/>
      <c r="C3460" s="5"/>
      <c r="D3460" s="5"/>
      <c r="E3460" s="5"/>
    </row>
    <row r="3461" ht="15.75" customHeight="1">
      <c r="A3461" s="29"/>
      <c r="B3461" s="5"/>
      <c r="C3461" s="5"/>
      <c r="D3461" s="5"/>
      <c r="E3461" s="5"/>
    </row>
    <row r="3462" ht="15.75" customHeight="1">
      <c r="A3462" s="29"/>
      <c r="B3462" s="5"/>
      <c r="C3462" s="5"/>
      <c r="D3462" s="5"/>
      <c r="E3462" s="5"/>
    </row>
    <row r="3463" ht="15.75" customHeight="1">
      <c r="A3463" s="29"/>
      <c r="B3463" s="5"/>
      <c r="C3463" s="5"/>
      <c r="D3463" s="5"/>
      <c r="E3463" s="5"/>
    </row>
    <row r="3464" ht="15.75" customHeight="1">
      <c r="A3464" s="29"/>
      <c r="B3464" s="5"/>
      <c r="C3464" s="5"/>
      <c r="D3464" s="5"/>
      <c r="E3464" s="5"/>
    </row>
    <row r="3465" ht="15.75" customHeight="1">
      <c r="A3465" s="29"/>
      <c r="B3465" s="5"/>
      <c r="C3465" s="5"/>
      <c r="D3465" s="5"/>
      <c r="E3465" s="5"/>
    </row>
    <row r="3466" ht="15.75" customHeight="1">
      <c r="A3466" s="29"/>
      <c r="B3466" s="5"/>
      <c r="C3466" s="5"/>
      <c r="D3466" s="5"/>
      <c r="E3466" s="5"/>
    </row>
    <row r="3467" ht="15.75" customHeight="1">
      <c r="A3467" s="29"/>
      <c r="B3467" s="5"/>
      <c r="C3467" s="5"/>
      <c r="D3467" s="5"/>
      <c r="E3467" s="5"/>
    </row>
    <row r="3468" ht="15.75" customHeight="1">
      <c r="A3468" s="29"/>
      <c r="B3468" s="5"/>
      <c r="C3468" s="5"/>
      <c r="D3468" s="5"/>
      <c r="E3468" s="5"/>
    </row>
    <row r="3469" ht="15.75" customHeight="1">
      <c r="A3469" s="29"/>
      <c r="B3469" s="5"/>
      <c r="C3469" s="5"/>
      <c r="D3469" s="5"/>
      <c r="E3469" s="5"/>
    </row>
    <row r="3470" ht="15.75" customHeight="1">
      <c r="A3470" s="29"/>
      <c r="B3470" s="5"/>
      <c r="C3470" s="5"/>
      <c r="D3470" s="5"/>
      <c r="E3470" s="5"/>
    </row>
    <row r="3471" ht="15.75" customHeight="1">
      <c r="A3471" s="29"/>
      <c r="B3471" s="5"/>
      <c r="C3471" s="5"/>
      <c r="D3471" s="5"/>
      <c r="E3471" s="5"/>
    </row>
    <row r="3472" ht="15.75" customHeight="1">
      <c r="A3472" s="29"/>
      <c r="B3472" s="5"/>
      <c r="C3472" s="5"/>
      <c r="D3472" s="5"/>
      <c r="E3472" s="5"/>
    </row>
    <row r="3473" ht="15.75" customHeight="1">
      <c r="A3473" s="29"/>
      <c r="B3473" s="5"/>
      <c r="C3473" s="5"/>
      <c r="D3473" s="5"/>
      <c r="E3473" s="5"/>
    </row>
    <row r="3474" ht="15.75" customHeight="1">
      <c r="A3474" s="29"/>
      <c r="B3474" s="5"/>
      <c r="C3474" s="5"/>
      <c r="D3474" s="5"/>
      <c r="E3474" s="5"/>
    </row>
    <row r="3475" ht="15.75" customHeight="1">
      <c r="A3475" s="29"/>
      <c r="B3475" s="5"/>
      <c r="C3475" s="5"/>
      <c r="D3475" s="5"/>
      <c r="E3475" s="5"/>
    </row>
    <row r="3476" ht="15.75" customHeight="1">
      <c r="A3476" s="29"/>
      <c r="B3476" s="5"/>
      <c r="C3476" s="5"/>
      <c r="D3476" s="5"/>
      <c r="E3476" s="5"/>
    </row>
    <row r="3477" ht="15.75" customHeight="1">
      <c r="A3477" s="29"/>
      <c r="B3477" s="5"/>
      <c r="C3477" s="5"/>
      <c r="D3477" s="5"/>
      <c r="E3477" s="5"/>
    </row>
    <row r="3478" ht="15.75" customHeight="1">
      <c r="A3478" s="29"/>
      <c r="B3478" s="5"/>
      <c r="C3478" s="5"/>
      <c r="D3478" s="5"/>
      <c r="E3478" s="5"/>
    </row>
    <row r="3479" ht="15.75" customHeight="1">
      <c r="A3479" s="29"/>
      <c r="B3479" s="5"/>
      <c r="C3479" s="5"/>
      <c r="D3479" s="5"/>
      <c r="E3479" s="5"/>
    </row>
    <row r="3480" ht="15.75" customHeight="1">
      <c r="A3480" s="29"/>
      <c r="B3480" s="5"/>
      <c r="C3480" s="5"/>
      <c r="D3480" s="5"/>
      <c r="E3480" s="5"/>
    </row>
    <row r="3481" ht="15.75" customHeight="1">
      <c r="A3481" s="29"/>
      <c r="B3481" s="5"/>
      <c r="C3481" s="5"/>
      <c r="D3481" s="5"/>
      <c r="E3481" s="5"/>
    </row>
    <row r="3482" ht="15.75" customHeight="1">
      <c r="A3482" s="29"/>
      <c r="B3482" s="5"/>
      <c r="C3482" s="5"/>
      <c r="D3482" s="5"/>
      <c r="E3482" s="5"/>
    </row>
    <row r="3483" ht="15.75" customHeight="1">
      <c r="A3483" s="29"/>
      <c r="B3483" s="5"/>
      <c r="C3483" s="5"/>
      <c r="D3483" s="5"/>
      <c r="E3483" s="5"/>
    </row>
    <row r="3484" ht="15.75" customHeight="1">
      <c r="A3484" s="29"/>
      <c r="B3484" s="5"/>
      <c r="C3484" s="5"/>
      <c r="D3484" s="5"/>
      <c r="E3484" s="5"/>
    </row>
    <row r="3485" ht="15.75" customHeight="1">
      <c r="A3485" s="29"/>
      <c r="B3485" s="5"/>
      <c r="C3485" s="5"/>
      <c r="D3485" s="5"/>
      <c r="E3485" s="5"/>
    </row>
    <row r="3486" ht="15.75" customHeight="1">
      <c r="A3486" s="29"/>
      <c r="B3486" s="5"/>
      <c r="C3486" s="5"/>
      <c r="D3486" s="5"/>
      <c r="E3486" s="5"/>
    </row>
    <row r="3487" ht="15.75" customHeight="1">
      <c r="A3487" s="29"/>
      <c r="B3487" s="5"/>
      <c r="C3487" s="5"/>
      <c r="D3487" s="5"/>
      <c r="E3487" s="5"/>
    </row>
    <row r="3488" ht="15.75" customHeight="1">
      <c r="A3488" s="29"/>
      <c r="B3488" s="5"/>
      <c r="C3488" s="5"/>
      <c r="D3488" s="5"/>
      <c r="E3488" s="5"/>
    </row>
    <row r="3489" ht="15.75" customHeight="1">
      <c r="A3489" s="29"/>
      <c r="B3489" s="5"/>
      <c r="C3489" s="5"/>
      <c r="D3489" s="5"/>
      <c r="E3489" s="5"/>
    </row>
    <row r="3490" ht="15.75" customHeight="1">
      <c r="A3490" s="29"/>
      <c r="B3490" s="5"/>
      <c r="C3490" s="5"/>
      <c r="D3490" s="5"/>
      <c r="E3490" s="5"/>
    </row>
    <row r="3491" ht="15.75" customHeight="1">
      <c r="A3491" s="29"/>
      <c r="B3491" s="5"/>
      <c r="C3491" s="5"/>
      <c r="D3491" s="5"/>
      <c r="E3491" s="5"/>
    </row>
    <row r="3492" ht="15.75" customHeight="1">
      <c r="A3492" s="29"/>
      <c r="B3492" s="5"/>
      <c r="C3492" s="5"/>
      <c r="D3492" s="5"/>
      <c r="E3492" s="5"/>
    </row>
    <row r="3493" ht="15.75" customHeight="1">
      <c r="A3493" s="29"/>
      <c r="B3493" s="5"/>
      <c r="C3493" s="5"/>
      <c r="D3493" s="5"/>
      <c r="E3493" s="5"/>
    </row>
    <row r="3494" ht="15.75" customHeight="1">
      <c r="A3494" s="29"/>
      <c r="B3494" s="5"/>
      <c r="C3494" s="5"/>
      <c r="D3494" s="5"/>
      <c r="E3494" s="5"/>
    </row>
    <row r="3495" ht="15.75" customHeight="1">
      <c r="A3495" s="29"/>
      <c r="B3495" s="5"/>
      <c r="C3495" s="5"/>
      <c r="D3495" s="5"/>
      <c r="E3495" s="5"/>
    </row>
    <row r="3496" ht="15.75" customHeight="1">
      <c r="A3496" s="29"/>
      <c r="B3496" s="5"/>
      <c r="C3496" s="5"/>
      <c r="D3496" s="5"/>
      <c r="E3496" s="5"/>
    </row>
    <row r="3497" ht="15.75" customHeight="1">
      <c r="A3497" s="29"/>
      <c r="B3497" s="5"/>
      <c r="C3497" s="5"/>
      <c r="D3497" s="5"/>
      <c r="E3497" s="5"/>
    </row>
    <row r="3498" ht="15.75" customHeight="1">
      <c r="A3498" s="29"/>
      <c r="B3498" s="5"/>
      <c r="C3498" s="5"/>
      <c r="D3498" s="5"/>
      <c r="E3498" s="5"/>
    </row>
    <row r="3499" ht="15.75" customHeight="1">
      <c r="A3499" s="29"/>
      <c r="B3499" s="5"/>
      <c r="C3499" s="5"/>
      <c r="D3499" s="5"/>
      <c r="E3499" s="5"/>
    </row>
    <row r="3500" ht="15.75" customHeight="1">
      <c r="A3500" s="29"/>
      <c r="B3500" s="5"/>
      <c r="C3500" s="5"/>
      <c r="D3500" s="5"/>
      <c r="E3500" s="5"/>
    </row>
    <row r="3501" ht="15.75" customHeight="1">
      <c r="A3501" s="29"/>
      <c r="B3501" s="5"/>
      <c r="C3501" s="5"/>
      <c r="D3501" s="5"/>
      <c r="E3501" s="5"/>
    </row>
    <row r="3502" ht="15.75" customHeight="1">
      <c r="A3502" s="29"/>
      <c r="B3502" s="5"/>
      <c r="C3502" s="5"/>
      <c r="D3502" s="5"/>
      <c r="E3502" s="5"/>
    </row>
    <row r="3503" ht="15.75" customHeight="1">
      <c r="A3503" s="29"/>
      <c r="B3503" s="5"/>
      <c r="C3503" s="5"/>
      <c r="D3503" s="5"/>
      <c r="E3503" s="5"/>
    </row>
    <row r="3504" ht="15.75" customHeight="1">
      <c r="A3504" s="29"/>
      <c r="B3504" s="5"/>
      <c r="C3504" s="5"/>
      <c r="D3504" s="5"/>
      <c r="E3504" s="5"/>
    </row>
    <row r="3505" ht="15.75" customHeight="1">
      <c r="A3505" s="29"/>
      <c r="B3505" s="5"/>
      <c r="C3505" s="5"/>
      <c r="D3505" s="5"/>
      <c r="E3505" s="5"/>
    </row>
    <row r="3506" ht="15.75" customHeight="1">
      <c r="A3506" s="29"/>
      <c r="B3506" s="5"/>
      <c r="C3506" s="5"/>
      <c r="D3506" s="5"/>
      <c r="E3506" s="5"/>
    </row>
    <row r="3507" ht="15.75" customHeight="1">
      <c r="A3507" s="29"/>
      <c r="B3507" s="5"/>
      <c r="C3507" s="5"/>
      <c r="D3507" s="5"/>
      <c r="E3507" s="5"/>
    </row>
    <row r="3508" ht="15.75" customHeight="1">
      <c r="A3508" s="29"/>
      <c r="B3508" s="5"/>
      <c r="C3508" s="5"/>
      <c r="D3508" s="5"/>
      <c r="E3508" s="5"/>
    </row>
    <row r="3509" ht="15.75" customHeight="1">
      <c r="A3509" s="29"/>
      <c r="B3509" s="5"/>
      <c r="C3509" s="5"/>
      <c r="D3509" s="5"/>
      <c r="E3509" s="5"/>
    </row>
    <row r="3510" ht="15.75" customHeight="1">
      <c r="A3510" s="29"/>
      <c r="B3510" s="5"/>
      <c r="C3510" s="5"/>
      <c r="D3510" s="5"/>
      <c r="E3510" s="5"/>
    </row>
    <row r="3511" ht="15.75" customHeight="1">
      <c r="A3511" s="29"/>
      <c r="B3511" s="5"/>
      <c r="C3511" s="5"/>
      <c r="D3511" s="5"/>
      <c r="E3511" s="5"/>
    </row>
    <row r="3512" ht="15.75" customHeight="1">
      <c r="A3512" s="29"/>
      <c r="B3512" s="5"/>
      <c r="C3512" s="5"/>
      <c r="D3512" s="5"/>
      <c r="E3512" s="5"/>
    </row>
    <row r="3513" ht="15.75" customHeight="1">
      <c r="A3513" s="29"/>
      <c r="B3513" s="5"/>
      <c r="C3513" s="5"/>
      <c r="D3513" s="5"/>
      <c r="E3513" s="5"/>
    </row>
    <row r="3514" ht="15.75" customHeight="1">
      <c r="A3514" s="29"/>
      <c r="B3514" s="5"/>
      <c r="C3514" s="5"/>
      <c r="D3514" s="5"/>
      <c r="E3514" s="5"/>
    </row>
    <row r="3515" ht="15.75" customHeight="1">
      <c r="A3515" s="29"/>
      <c r="B3515" s="5"/>
      <c r="C3515" s="5"/>
      <c r="D3515" s="5"/>
      <c r="E3515" s="5"/>
    </row>
    <row r="3516" ht="15.75" customHeight="1">
      <c r="A3516" s="29"/>
      <c r="B3516" s="5"/>
      <c r="C3516" s="5"/>
      <c r="D3516" s="5"/>
      <c r="E3516" s="5"/>
    </row>
    <row r="3517" ht="15.75" customHeight="1">
      <c r="A3517" s="29"/>
      <c r="B3517" s="5"/>
      <c r="C3517" s="5"/>
      <c r="D3517" s="5"/>
      <c r="E3517" s="5"/>
    </row>
    <row r="3518" ht="15.75" customHeight="1">
      <c r="A3518" s="29"/>
      <c r="B3518" s="5"/>
      <c r="C3518" s="5"/>
      <c r="D3518" s="5"/>
      <c r="E3518" s="5"/>
    </row>
    <row r="3519" ht="15.75" customHeight="1">
      <c r="A3519" s="29"/>
      <c r="B3519" s="5"/>
      <c r="C3519" s="5"/>
      <c r="D3519" s="5"/>
      <c r="E3519" s="5"/>
    </row>
    <row r="3520" ht="15.75" customHeight="1">
      <c r="A3520" s="29"/>
      <c r="B3520" s="5"/>
      <c r="C3520" s="5"/>
      <c r="D3520" s="5"/>
      <c r="E3520" s="5"/>
    </row>
    <row r="3521" ht="15.75" customHeight="1">
      <c r="A3521" s="29"/>
      <c r="B3521" s="5"/>
      <c r="C3521" s="5"/>
      <c r="D3521" s="5"/>
      <c r="E3521" s="5"/>
    </row>
    <row r="3522" ht="15.75" customHeight="1">
      <c r="A3522" s="29"/>
      <c r="B3522" s="5"/>
      <c r="C3522" s="5"/>
      <c r="D3522" s="5"/>
      <c r="E3522" s="5"/>
    </row>
    <row r="3523" ht="15.75" customHeight="1">
      <c r="A3523" s="29"/>
      <c r="B3523" s="5"/>
      <c r="C3523" s="5"/>
      <c r="D3523" s="5"/>
      <c r="E3523" s="5"/>
    </row>
    <row r="3524" ht="15.75" customHeight="1">
      <c r="A3524" s="29"/>
      <c r="B3524" s="5"/>
      <c r="C3524" s="5"/>
      <c r="D3524" s="5"/>
      <c r="E3524" s="5"/>
    </row>
    <row r="3525" ht="15.75" customHeight="1">
      <c r="A3525" s="29"/>
      <c r="B3525" s="5"/>
      <c r="C3525" s="5"/>
      <c r="D3525" s="5"/>
      <c r="E3525" s="5"/>
    </row>
    <row r="3526" ht="15.75" customHeight="1">
      <c r="A3526" s="29"/>
      <c r="B3526" s="5"/>
      <c r="C3526" s="5"/>
      <c r="D3526" s="5"/>
      <c r="E3526" s="5"/>
    </row>
    <row r="3527" ht="15.75" customHeight="1">
      <c r="A3527" s="29"/>
      <c r="B3527" s="5"/>
      <c r="C3527" s="5"/>
      <c r="D3527" s="5"/>
      <c r="E3527" s="5"/>
    </row>
    <row r="3528" ht="15.75" customHeight="1">
      <c r="A3528" s="29"/>
      <c r="B3528" s="5"/>
      <c r="C3528" s="5"/>
      <c r="D3528" s="5"/>
      <c r="E3528" s="5"/>
    </row>
    <row r="3529" ht="15.75" customHeight="1">
      <c r="A3529" s="29"/>
      <c r="B3529" s="5"/>
      <c r="C3529" s="5"/>
      <c r="D3529" s="5"/>
      <c r="E3529" s="5"/>
    </row>
    <row r="3530" ht="15.75" customHeight="1">
      <c r="A3530" s="29"/>
      <c r="B3530" s="5"/>
      <c r="C3530" s="5"/>
      <c r="D3530" s="5"/>
      <c r="E3530" s="5"/>
    </row>
    <row r="3531" ht="15.75" customHeight="1">
      <c r="A3531" s="29"/>
      <c r="B3531" s="5"/>
      <c r="C3531" s="5"/>
      <c r="D3531" s="5"/>
      <c r="E3531" s="5"/>
    </row>
    <row r="3532" ht="15.75" customHeight="1">
      <c r="A3532" s="29"/>
      <c r="B3532" s="5"/>
      <c r="C3532" s="5"/>
      <c r="D3532" s="5"/>
      <c r="E3532" s="5"/>
    </row>
    <row r="3533" ht="15.75" customHeight="1">
      <c r="A3533" s="29"/>
      <c r="B3533" s="5"/>
      <c r="C3533" s="5"/>
      <c r="D3533" s="5"/>
      <c r="E3533" s="5"/>
    </row>
    <row r="3534" ht="15.75" customHeight="1">
      <c r="A3534" s="29"/>
      <c r="B3534" s="5"/>
      <c r="C3534" s="5"/>
      <c r="D3534" s="5"/>
      <c r="E3534" s="5"/>
    </row>
    <row r="3535" ht="15.75" customHeight="1">
      <c r="A3535" s="29"/>
      <c r="B3535" s="5"/>
      <c r="C3535" s="5"/>
      <c r="D3535" s="5"/>
      <c r="E3535" s="5"/>
    </row>
    <row r="3536" ht="15.75" customHeight="1">
      <c r="A3536" s="29"/>
      <c r="B3536" s="5"/>
      <c r="C3536" s="5"/>
      <c r="D3536" s="5"/>
      <c r="E3536" s="5"/>
    </row>
    <row r="3537" ht="15.75" customHeight="1">
      <c r="A3537" s="29"/>
      <c r="B3537" s="5"/>
      <c r="C3537" s="5"/>
      <c r="D3537" s="5"/>
      <c r="E3537" s="5"/>
    </row>
    <row r="3538" ht="15.75" customHeight="1">
      <c r="A3538" s="29"/>
      <c r="B3538" s="5"/>
      <c r="C3538" s="5"/>
      <c r="D3538" s="5"/>
      <c r="E3538" s="5"/>
    </row>
    <row r="3539" ht="15.75" customHeight="1">
      <c r="A3539" s="29"/>
      <c r="B3539" s="5"/>
      <c r="C3539" s="5"/>
      <c r="D3539" s="5"/>
      <c r="E3539" s="5"/>
    </row>
    <row r="3540" ht="15.75" customHeight="1">
      <c r="A3540" s="29"/>
      <c r="B3540" s="5"/>
      <c r="C3540" s="5"/>
      <c r="D3540" s="5"/>
      <c r="E3540" s="5"/>
    </row>
    <row r="3541" ht="15.75" customHeight="1">
      <c r="A3541" s="29"/>
      <c r="B3541" s="5"/>
      <c r="C3541" s="5"/>
      <c r="D3541" s="5"/>
      <c r="E3541" s="5"/>
    </row>
    <row r="3542" ht="15.75" customHeight="1">
      <c r="A3542" s="29"/>
      <c r="B3542" s="5"/>
      <c r="C3542" s="5"/>
      <c r="D3542" s="5"/>
      <c r="E3542" s="5"/>
    </row>
    <row r="3543" ht="15.75" customHeight="1">
      <c r="A3543" s="29"/>
      <c r="B3543" s="5"/>
      <c r="C3543" s="5"/>
      <c r="D3543" s="5"/>
      <c r="E3543" s="5"/>
    </row>
    <row r="3544" ht="15.75" customHeight="1">
      <c r="A3544" s="29"/>
      <c r="B3544" s="5"/>
      <c r="C3544" s="5"/>
      <c r="D3544" s="5"/>
      <c r="E3544" s="5"/>
    </row>
    <row r="3545" ht="15.75" customHeight="1">
      <c r="A3545" s="29"/>
      <c r="B3545" s="5"/>
      <c r="C3545" s="5"/>
      <c r="D3545" s="5"/>
      <c r="E3545" s="5"/>
    </row>
    <row r="3546" ht="15.75" customHeight="1">
      <c r="A3546" s="29"/>
      <c r="B3546" s="5"/>
      <c r="C3546" s="5"/>
      <c r="D3546" s="5"/>
      <c r="E3546" s="5"/>
    </row>
    <row r="3547" ht="15.75" customHeight="1">
      <c r="A3547" s="29"/>
      <c r="B3547" s="5"/>
      <c r="C3547" s="5"/>
      <c r="D3547" s="5"/>
      <c r="E3547" s="5"/>
    </row>
    <row r="3548" ht="15.75" customHeight="1">
      <c r="A3548" s="29"/>
      <c r="B3548" s="5"/>
      <c r="C3548" s="5"/>
      <c r="D3548" s="5"/>
      <c r="E3548" s="5"/>
    </row>
    <row r="3549" ht="15.75" customHeight="1">
      <c r="A3549" s="29"/>
      <c r="B3549" s="5"/>
      <c r="C3549" s="5"/>
      <c r="D3549" s="5"/>
      <c r="E3549" s="5"/>
    </row>
    <row r="3550" ht="15.75" customHeight="1">
      <c r="A3550" s="29"/>
      <c r="B3550" s="5"/>
      <c r="C3550" s="5"/>
      <c r="D3550" s="5"/>
      <c r="E3550" s="5"/>
    </row>
    <row r="3551" ht="15.75" customHeight="1">
      <c r="A3551" s="29"/>
      <c r="B3551" s="5"/>
      <c r="C3551" s="5"/>
      <c r="D3551" s="5"/>
      <c r="E3551" s="5"/>
    </row>
    <row r="3552" ht="15.75" customHeight="1">
      <c r="A3552" s="29"/>
      <c r="B3552" s="5"/>
      <c r="C3552" s="5"/>
      <c r="D3552" s="5"/>
      <c r="E3552" s="5"/>
    </row>
    <row r="3553" ht="15.75" customHeight="1">
      <c r="A3553" s="29"/>
      <c r="B3553" s="5"/>
      <c r="C3553" s="5"/>
      <c r="D3553" s="5"/>
      <c r="E3553" s="5"/>
    </row>
    <row r="3554" ht="15.75" customHeight="1">
      <c r="A3554" s="29"/>
      <c r="B3554" s="5"/>
      <c r="C3554" s="5"/>
      <c r="D3554" s="5"/>
      <c r="E3554" s="5"/>
    </row>
    <row r="3555" ht="15.75" customHeight="1">
      <c r="A3555" s="29"/>
      <c r="B3555" s="5"/>
      <c r="C3555" s="5"/>
      <c r="D3555" s="5"/>
      <c r="E3555" s="5"/>
    </row>
    <row r="3556" ht="15.75" customHeight="1">
      <c r="A3556" s="29"/>
      <c r="B3556" s="5"/>
      <c r="C3556" s="5"/>
      <c r="D3556" s="5"/>
      <c r="E3556" s="5"/>
    </row>
    <row r="3557" ht="15.75" customHeight="1">
      <c r="A3557" s="29"/>
      <c r="B3557" s="5"/>
      <c r="C3557" s="5"/>
      <c r="D3557" s="5"/>
      <c r="E3557" s="5"/>
    </row>
    <row r="3558" ht="15.75" customHeight="1">
      <c r="A3558" s="29"/>
      <c r="B3558" s="5"/>
      <c r="C3558" s="5"/>
      <c r="D3558" s="5"/>
      <c r="E3558" s="5"/>
    </row>
    <row r="3559" ht="15.75" customHeight="1">
      <c r="A3559" s="29"/>
      <c r="B3559" s="5"/>
      <c r="C3559" s="5"/>
      <c r="D3559" s="5"/>
      <c r="E3559" s="5"/>
    </row>
    <row r="3560" ht="15.75" customHeight="1">
      <c r="A3560" s="29"/>
      <c r="B3560" s="5"/>
      <c r="C3560" s="5"/>
      <c r="D3560" s="5"/>
      <c r="E3560" s="5"/>
    </row>
    <row r="3561" ht="15.75" customHeight="1">
      <c r="A3561" s="29"/>
      <c r="B3561" s="5"/>
      <c r="C3561" s="5"/>
      <c r="D3561" s="5"/>
      <c r="E3561" s="5"/>
    </row>
    <row r="3562" ht="15.75" customHeight="1">
      <c r="A3562" s="29"/>
      <c r="B3562" s="5"/>
      <c r="C3562" s="5"/>
      <c r="D3562" s="5"/>
      <c r="E3562" s="5"/>
    </row>
    <row r="3563" ht="15.75" customHeight="1">
      <c r="A3563" s="29"/>
      <c r="B3563" s="5"/>
      <c r="C3563" s="5"/>
      <c r="D3563" s="5"/>
      <c r="E3563" s="5"/>
    </row>
    <row r="3564" ht="15.75" customHeight="1">
      <c r="A3564" s="29"/>
      <c r="B3564" s="5"/>
      <c r="C3564" s="5"/>
      <c r="D3564" s="5"/>
      <c r="E3564" s="5"/>
    </row>
    <row r="3565" ht="15.75" customHeight="1">
      <c r="A3565" s="29"/>
      <c r="B3565" s="5"/>
      <c r="C3565" s="5"/>
      <c r="D3565" s="5"/>
      <c r="E3565" s="5"/>
    </row>
    <row r="3566" ht="15.75" customHeight="1">
      <c r="A3566" s="29"/>
      <c r="B3566" s="5"/>
      <c r="C3566" s="5"/>
      <c r="D3566" s="5"/>
      <c r="E3566" s="5"/>
    </row>
    <row r="3567" ht="15.75" customHeight="1">
      <c r="A3567" s="29"/>
      <c r="B3567" s="5"/>
      <c r="C3567" s="5"/>
      <c r="D3567" s="5"/>
      <c r="E3567" s="5"/>
    </row>
    <row r="3568" ht="15.75" customHeight="1">
      <c r="A3568" s="29"/>
      <c r="B3568" s="5"/>
      <c r="C3568" s="5"/>
      <c r="D3568" s="5"/>
      <c r="E3568" s="5"/>
    </row>
    <row r="3569" ht="15.75" customHeight="1">
      <c r="A3569" s="29"/>
      <c r="B3569" s="5"/>
      <c r="C3569" s="5"/>
      <c r="D3569" s="5"/>
      <c r="E3569" s="5"/>
    </row>
    <row r="3570" ht="15.75" customHeight="1">
      <c r="A3570" s="29"/>
      <c r="B3570" s="5"/>
      <c r="C3570" s="5"/>
      <c r="D3570" s="5"/>
      <c r="E3570" s="5"/>
    </row>
    <row r="3571" ht="15.75" customHeight="1">
      <c r="A3571" s="29"/>
      <c r="B3571" s="5"/>
      <c r="C3571" s="5"/>
      <c r="D3571" s="5"/>
      <c r="E3571" s="5"/>
    </row>
    <row r="3572" ht="15.75" customHeight="1">
      <c r="A3572" s="29"/>
      <c r="B3572" s="5"/>
      <c r="C3572" s="5"/>
      <c r="D3572" s="5"/>
      <c r="E3572" s="5"/>
    </row>
    <row r="3573" ht="15.75" customHeight="1">
      <c r="A3573" s="29"/>
      <c r="B3573" s="5"/>
      <c r="C3573" s="5"/>
      <c r="D3573" s="5"/>
      <c r="E3573" s="5"/>
    </row>
    <row r="3574" ht="15.75" customHeight="1">
      <c r="A3574" s="29"/>
      <c r="B3574" s="5"/>
      <c r="C3574" s="5"/>
      <c r="D3574" s="5"/>
      <c r="E3574" s="5"/>
    </row>
    <row r="3575" ht="15.75" customHeight="1">
      <c r="A3575" s="29"/>
      <c r="B3575" s="5"/>
      <c r="C3575" s="5"/>
      <c r="D3575" s="5"/>
      <c r="E3575" s="5"/>
    </row>
    <row r="3576" ht="15.75" customHeight="1">
      <c r="A3576" s="29"/>
      <c r="B3576" s="5"/>
      <c r="C3576" s="5"/>
      <c r="D3576" s="5"/>
      <c r="E3576" s="5"/>
    </row>
    <row r="3577" ht="15.75" customHeight="1">
      <c r="A3577" s="29"/>
      <c r="B3577" s="5"/>
      <c r="C3577" s="5"/>
      <c r="D3577" s="5"/>
      <c r="E3577" s="5"/>
    </row>
    <row r="3578" ht="15.75" customHeight="1">
      <c r="A3578" s="29"/>
      <c r="B3578" s="5"/>
      <c r="C3578" s="5"/>
      <c r="D3578" s="5"/>
      <c r="E3578" s="5"/>
    </row>
    <row r="3579" ht="15.75" customHeight="1">
      <c r="A3579" s="29"/>
      <c r="B3579" s="5"/>
      <c r="C3579" s="5"/>
      <c r="D3579" s="5"/>
      <c r="E3579" s="5"/>
    </row>
    <row r="3580" ht="15.75" customHeight="1">
      <c r="A3580" s="29"/>
      <c r="B3580" s="5"/>
      <c r="C3580" s="5"/>
      <c r="D3580" s="5"/>
      <c r="E3580" s="5"/>
    </row>
    <row r="3581" ht="15.75" customHeight="1">
      <c r="A3581" s="29"/>
      <c r="B3581" s="5"/>
      <c r="C3581" s="5"/>
      <c r="D3581" s="5"/>
      <c r="E3581" s="5"/>
    </row>
    <row r="3582" ht="15.75" customHeight="1">
      <c r="A3582" s="29"/>
      <c r="B3582" s="5"/>
      <c r="C3582" s="5"/>
      <c r="D3582" s="5"/>
      <c r="E3582" s="5"/>
    </row>
    <row r="3583" ht="15.75" customHeight="1">
      <c r="A3583" s="29"/>
      <c r="B3583" s="5"/>
      <c r="C3583" s="5"/>
      <c r="D3583" s="5"/>
      <c r="E3583" s="5"/>
    </row>
    <row r="3584" ht="15.75" customHeight="1">
      <c r="A3584" s="29"/>
      <c r="B3584" s="5"/>
      <c r="C3584" s="5"/>
      <c r="D3584" s="5"/>
      <c r="E3584" s="5"/>
    </row>
    <row r="3585" ht="15.75" customHeight="1">
      <c r="A3585" s="29"/>
      <c r="B3585" s="5"/>
      <c r="C3585" s="5"/>
      <c r="D3585" s="5"/>
      <c r="E3585" s="5"/>
    </row>
    <row r="3586" ht="15.75" customHeight="1">
      <c r="A3586" s="29"/>
      <c r="B3586" s="5"/>
      <c r="C3586" s="5"/>
      <c r="D3586" s="5"/>
      <c r="E3586" s="5"/>
    </row>
    <row r="3587" ht="15.75" customHeight="1">
      <c r="A3587" s="29"/>
      <c r="B3587" s="5"/>
      <c r="C3587" s="5"/>
      <c r="D3587" s="5"/>
      <c r="E3587" s="5"/>
    </row>
    <row r="3588" ht="15.75" customHeight="1">
      <c r="A3588" s="29"/>
      <c r="B3588" s="5"/>
      <c r="C3588" s="5"/>
      <c r="D3588" s="5"/>
      <c r="E3588" s="5"/>
    </row>
    <row r="3589" ht="15.75" customHeight="1">
      <c r="A3589" s="29"/>
      <c r="B3589" s="5"/>
      <c r="C3589" s="5"/>
      <c r="D3589" s="5"/>
      <c r="E3589" s="5"/>
    </row>
    <row r="3590" ht="15.75" customHeight="1">
      <c r="A3590" s="29"/>
      <c r="B3590" s="5"/>
      <c r="C3590" s="5"/>
      <c r="D3590" s="5"/>
      <c r="E3590" s="5"/>
    </row>
    <row r="3591" ht="15.75" customHeight="1">
      <c r="A3591" s="29"/>
      <c r="B3591" s="5"/>
      <c r="C3591" s="5"/>
      <c r="D3591" s="5"/>
      <c r="E3591" s="5"/>
    </row>
    <row r="3592" ht="15.75" customHeight="1">
      <c r="A3592" s="29"/>
      <c r="B3592" s="5"/>
      <c r="C3592" s="5"/>
      <c r="D3592" s="5"/>
      <c r="E3592" s="5"/>
    </row>
    <row r="3593" ht="15.75" customHeight="1">
      <c r="A3593" s="29"/>
      <c r="B3593" s="5"/>
      <c r="C3593" s="5"/>
      <c r="D3593" s="5"/>
      <c r="E3593" s="5"/>
    </row>
    <row r="3594" ht="15.75" customHeight="1">
      <c r="A3594" s="29"/>
      <c r="B3594" s="5"/>
      <c r="C3594" s="5"/>
      <c r="D3594" s="5"/>
      <c r="E3594" s="5"/>
    </row>
    <row r="3595" ht="15.75" customHeight="1">
      <c r="A3595" s="29"/>
      <c r="B3595" s="5"/>
      <c r="C3595" s="5"/>
      <c r="D3595" s="5"/>
      <c r="E3595" s="5"/>
    </row>
    <row r="3596" ht="15.75" customHeight="1">
      <c r="A3596" s="29"/>
      <c r="B3596" s="5"/>
      <c r="C3596" s="5"/>
      <c r="D3596" s="5"/>
      <c r="E3596" s="5"/>
    </row>
    <row r="3597" ht="15.75" customHeight="1">
      <c r="A3597" s="29"/>
      <c r="B3597" s="5"/>
      <c r="C3597" s="5"/>
      <c r="D3597" s="5"/>
      <c r="E3597" s="5"/>
    </row>
    <row r="3598" ht="15.75" customHeight="1">
      <c r="A3598" s="29"/>
      <c r="B3598" s="5"/>
      <c r="C3598" s="5"/>
      <c r="D3598" s="5"/>
      <c r="E3598" s="5"/>
    </row>
    <row r="3599" ht="15.75" customHeight="1">
      <c r="A3599" s="29"/>
      <c r="B3599" s="5"/>
      <c r="C3599" s="5"/>
      <c r="D3599" s="5"/>
      <c r="E3599" s="5"/>
    </row>
    <row r="3600" ht="15.75" customHeight="1">
      <c r="A3600" s="29"/>
      <c r="B3600" s="5"/>
      <c r="C3600" s="5"/>
      <c r="D3600" s="5"/>
      <c r="E3600" s="5"/>
    </row>
    <row r="3601" ht="15.75" customHeight="1">
      <c r="A3601" s="29"/>
      <c r="B3601" s="5"/>
      <c r="C3601" s="5"/>
      <c r="D3601" s="5"/>
      <c r="E3601" s="5"/>
    </row>
    <row r="3602" ht="15.75" customHeight="1">
      <c r="A3602" s="29"/>
      <c r="B3602" s="5"/>
      <c r="C3602" s="5"/>
      <c r="D3602" s="5"/>
      <c r="E3602" s="5"/>
    </row>
    <row r="3603" ht="15.75" customHeight="1">
      <c r="A3603" s="29"/>
      <c r="B3603" s="5"/>
      <c r="C3603" s="5"/>
      <c r="D3603" s="5"/>
      <c r="E3603" s="5"/>
    </row>
    <row r="3604" ht="15.75" customHeight="1">
      <c r="A3604" s="29"/>
      <c r="B3604" s="5"/>
      <c r="C3604" s="5"/>
      <c r="D3604" s="5"/>
      <c r="E3604" s="5"/>
    </row>
    <row r="3605" ht="15.75" customHeight="1">
      <c r="A3605" s="29"/>
      <c r="B3605" s="5"/>
      <c r="C3605" s="5"/>
      <c r="D3605" s="5"/>
      <c r="E3605" s="5"/>
    </row>
    <row r="3606" ht="15.75" customHeight="1">
      <c r="A3606" s="29"/>
      <c r="B3606" s="5"/>
      <c r="C3606" s="5"/>
      <c r="D3606" s="5"/>
      <c r="E3606" s="5"/>
    </row>
    <row r="3607" ht="15.75" customHeight="1">
      <c r="A3607" s="29"/>
      <c r="B3607" s="5"/>
      <c r="C3607" s="5"/>
      <c r="D3607" s="5"/>
      <c r="E3607" s="5"/>
    </row>
    <row r="3608" ht="15.75" customHeight="1">
      <c r="A3608" s="29"/>
      <c r="B3608" s="5"/>
      <c r="C3608" s="5"/>
      <c r="D3608" s="5"/>
      <c r="E3608" s="5"/>
    </row>
    <row r="3609" ht="15.75" customHeight="1">
      <c r="A3609" s="29"/>
      <c r="B3609" s="5"/>
      <c r="C3609" s="5"/>
      <c r="D3609" s="5"/>
      <c r="E3609" s="5"/>
    </row>
    <row r="3610" ht="15.75" customHeight="1">
      <c r="A3610" s="29"/>
      <c r="B3610" s="5"/>
      <c r="C3610" s="5"/>
      <c r="D3610" s="5"/>
      <c r="E3610" s="5"/>
    </row>
    <row r="3611" ht="15.75" customHeight="1">
      <c r="A3611" s="29"/>
      <c r="B3611" s="5"/>
      <c r="C3611" s="5"/>
      <c r="D3611" s="5"/>
      <c r="E3611" s="5"/>
    </row>
    <row r="3612" ht="15.75" customHeight="1">
      <c r="A3612" s="29"/>
      <c r="B3612" s="5"/>
      <c r="C3612" s="5"/>
      <c r="D3612" s="5"/>
      <c r="E3612" s="5"/>
    </row>
    <row r="3613" ht="15.75" customHeight="1">
      <c r="A3613" s="29"/>
      <c r="B3613" s="5"/>
      <c r="C3613" s="5"/>
      <c r="D3613" s="5"/>
      <c r="E3613" s="5"/>
    </row>
    <row r="3614" ht="15.75" customHeight="1">
      <c r="A3614" s="29"/>
      <c r="B3614" s="5"/>
      <c r="C3614" s="5"/>
      <c r="D3614" s="5"/>
      <c r="E3614" s="5"/>
    </row>
    <row r="3615" ht="15.75" customHeight="1">
      <c r="A3615" s="29"/>
      <c r="B3615" s="5"/>
      <c r="C3615" s="5"/>
      <c r="D3615" s="5"/>
      <c r="E3615" s="5"/>
    </row>
    <row r="3616" ht="15.75" customHeight="1">
      <c r="A3616" s="29"/>
      <c r="B3616" s="5"/>
      <c r="C3616" s="5"/>
      <c r="D3616" s="5"/>
      <c r="E3616" s="5"/>
    </row>
    <row r="3617" ht="15.75" customHeight="1">
      <c r="A3617" s="29"/>
      <c r="B3617" s="5"/>
      <c r="C3617" s="5"/>
      <c r="D3617" s="5"/>
      <c r="E3617" s="5"/>
    </row>
    <row r="3618" ht="15.75" customHeight="1">
      <c r="A3618" s="29"/>
      <c r="B3618" s="5"/>
      <c r="C3618" s="5"/>
      <c r="D3618" s="5"/>
      <c r="E3618" s="5"/>
    </row>
    <row r="3619" ht="15.75" customHeight="1">
      <c r="A3619" s="29"/>
      <c r="B3619" s="5"/>
      <c r="C3619" s="5"/>
      <c r="D3619" s="5"/>
      <c r="E3619" s="5"/>
    </row>
    <row r="3620" ht="15.75" customHeight="1">
      <c r="A3620" s="29"/>
      <c r="B3620" s="5"/>
      <c r="C3620" s="5"/>
      <c r="D3620" s="5"/>
      <c r="E3620" s="5"/>
    </row>
    <row r="3621" ht="15.75" customHeight="1">
      <c r="A3621" s="29"/>
      <c r="B3621" s="5"/>
      <c r="C3621" s="5"/>
      <c r="D3621" s="5"/>
      <c r="E3621" s="5"/>
    </row>
    <row r="3622" ht="15.75" customHeight="1">
      <c r="A3622" s="29"/>
      <c r="B3622" s="5"/>
      <c r="C3622" s="5"/>
      <c r="D3622" s="5"/>
      <c r="E3622" s="5"/>
    </row>
    <row r="3623" ht="15.75" customHeight="1">
      <c r="A3623" s="29"/>
      <c r="B3623" s="5"/>
      <c r="C3623" s="5"/>
      <c r="D3623" s="5"/>
      <c r="E3623" s="5"/>
    </row>
    <row r="3624" ht="15.75" customHeight="1">
      <c r="A3624" s="29"/>
      <c r="B3624" s="5"/>
      <c r="C3624" s="5"/>
      <c r="D3624" s="5"/>
      <c r="E3624" s="5"/>
    </row>
    <row r="3625" ht="15.75" customHeight="1">
      <c r="A3625" s="29"/>
      <c r="B3625" s="5"/>
      <c r="C3625" s="5"/>
      <c r="D3625" s="5"/>
      <c r="E3625" s="5"/>
    </row>
    <row r="3626" ht="15.75" customHeight="1">
      <c r="A3626" s="29"/>
      <c r="B3626" s="5"/>
      <c r="C3626" s="5"/>
      <c r="D3626" s="5"/>
      <c r="E3626" s="5"/>
    </row>
    <row r="3627" ht="15.75" customHeight="1">
      <c r="A3627" s="29"/>
      <c r="B3627" s="5"/>
      <c r="C3627" s="5"/>
      <c r="D3627" s="5"/>
      <c r="E3627" s="5"/>
    </row>
    <row r="3628" ht="15.75" customHeight="1">
      <c r="A3628" s="29"/>
      <c r="B3628" s="5"/>
      <c r="C3628" s="5"/>
      <c r="D3628" s="5"/>
      <c r="E3628" s="5"/>
    </row>
    <row r="3629" ht="15.75" customHeight="1">
      <c r="A3629" s="29"/>
      <c r="B3629" s="5"/>
      <c r="C3629" s="5"/>
      <c r="D3629" s="5"/>
      <c r="E3629" s="5"/>
    </row>
    <row r="3630" ht="15.75" customHeight="1">
      <c r="A3630" s="29"/>
      <c r="B3630" s="5"/>
      <c r="C3630" s="5"/>
      <c r="D3630" s="5"/>
      <c r="E3630" s="5"/>
    </row>
    <row r="3631" ht="15.75" customHeight="1">
      <c r="A3631" s="29"/>
      <c r="B3631" s="5"/>
      <c r="C3631" s="5"/>
      <c r="D3631" s="5"/>
      <c r="E3631" s="5"/>
    </row>
    <row r="3632" ht="15.75" customHeight="1">
      <c r="A3632" s="29"/>
      <c r="B3632" s="5"/>
      <c r="C3632" s="5"/>
      <c r="D3632" s="5"/>
      <c r="E3632" s="5"/>
    </row>
    <row r="3633" ht="15.75" customHeight="1">
      <c r="A3633" s="29"/>
      <c r="B3633" s="5"/>
      <c r="C3633" s="5"/>
      <c r="D3633" s="5"/>
      <c r="E3633" s="5"/>
    </row>
    <row r="3634" ht="15.75" customHeight="1">
      <c r="A3634" s="29"/>
      <c r="B3634" s="5"/>
      <c r="C3634" s="5"/>
      <c r="D3634" s="5"/>
      <c r="E3634" s="5"/>
    </row>
    <row r="3635" ht="15.75" customHeight="1">
      <c r="A3635" s="29"/>
      <c r="B3635" s="5"/>
      <c r="C3635" s="5"/>
      <c r="D3635" s="5"/>
      <c r="E3635" s="5"/>
    </row>
    <row r="3636" ht="15.75" customHeight="1">
      <c r="A3636" s="29"/>
      <c r="B3636" s="5"/>
      <c r="C3636" s="5"/>
      <c r="D3636" s="5"/>
      <c r="E3636" s="5"/>
    </row>
    <row r="3637" ht="15.75" customHeight="1">
      <c r="A3637" s="29"/>
      <c r="B3637" s="5"/>
      <c r="C3637" s="5"/>
      <c r="D3637" s="5"/>
      <c r="E3637" s="5"/>
    </row>
    <row r="3638" ht="15.75" customHeight="1">
      <c r="A3638" s="29"/>
      <c r="B3638" s="5"/>
      <c r="C3638" s="5"/>
      <c r="D3638" s="5"/>
      <c r="E3638" s="5"/>
    </row>
    <row r="3639" ht="15.75" customHeight="1">
      <c r="A3639" s="29"/>
      <c r="B3639" s="5"/>
      <c r="C3639" s="5"/>
      <c r="D3639" s="5"/>
      <c r="E3639" s="5"/>
    </row>
    <row r="3640" ht="15.75" customHeight="1">
      <c r="A3640" s="29"/>
      <c r="B3640" s="5"/>
      <c r="C3640" s="5"/>
      <c r="D3640" s="5"/>
      <c r="E3640" s="5"/>
    </row>
    <row r="3641" ht="15.75" customHeight="1">
      <c r="A3641" s="29"/>
      <c r="B3641" s="5"/>
      <c r="C3641" s="5"/>
      <c r="D3641" s="5"/>
      <c r="E3641" s="5"/>
    </row>
    <row r="3642" ht="15.75" customHeight="1">
      <c r="A3642" s="29"/>
      <c r="B3642" s="5"/>
      <c r="C3642" s="5"/>
      <c r="D3642" s="5"/>
      <c r="E3642" s="5"/>
    </row>
    <row r="3643" ht="15.75" customHeight="1">
      <c r="A3643" s="29"/>
      <c r="B3643" s="5"/>
      <c r="C3643" s="5"/>
      <c r="D3643" s="5"/>
      <c r="E3643" s="5"/>
    </row>
    <row r="3644" ht="15.75" customHeight="1">
      <c r="A3644" s="29"/>
      <c r="B3644" s="5"/>
      <c r="C3644" s="5"/>
      <c r="D3644" s="5"/>
      <c r="E3644" s="5"/>
    </row>
    <row r="3645" ht="15.75" customHeight="1">
      <c r="A3645" s="29"/>
      <c r="B3645" s="5"/>
      <c r="C3645" s="5"/>
      <c r="D3645" s="5"/>
      <c r="E3645" s="5"/>
    </row>
    <row r="3646" ht="15.75" customHeight="1">
      <c r="A3646" s="29"/>
      <c r="B3646" s="5"/>
      <c r="C3646" s="5"/>
      <c r="D3646" s="5"/>
      <c r="E3646" s="5"/>
    </row>
    <row r="3647" ht="15.75" customHeight="1">
      <c r="A3647" s="29"/>
      <c r="B3647" s="5"/>
      <c r="C3647" s="5"/>
      <c r="D3647" s="5"/>
      <c r="E3647" s="5"/>
    </row>
    <row r="3648" ht="15.75" customHeight="1">
      <c r="A3648" s="29"/>
      <c r="B3648" s="5"/>
      <c r="C3648" s="5"/>
      <c r="D3648" s="5"/>
      <c r="E3648" s="5"/>
    </row>
    <row r="3649" ht="15.75" customHeight="1">
      <c r="A3649" s="29"/>
      <c r="B3649" s="5"/>
      <c r="C3649" s="5"/>
      <c r="D3649" s="5"/>
      <c r="E3649" s="5"/>
    </row>
    <row r="3650" ht="15.75" customHeight="1">
      <c r="A3650" s="29"/>
      <c r="B3650" s="5"/>
      <c r="C3650" s="5"/>
      <c r="D3650" s="5"/>
      <c r="E3650" s="5"/>
    </row>
    <row r="3651" ht="15.75" customHeight="1">
      <c r="A3651" s="29"/>
      <c r="B3651" s="5"/>
      <c r="C3651" s="5"/>
      <c r="D3651" s="5"/>
      <c r="E3651" s="5"/>
    </row>
    <row r="3652" ht="15.75" customHeight="1">
      <c r="A3652" s="29"/>
      <c r="B3652" s="5"/>
      <c r="C3652" s="5"/>
      <c r="D3652" s="5"/>
      <c r="E3652" s="5"/>
    </row>
    <row r="3653" ht="15.75" customHeight="1">
      <c r="A3653" s="29"/>
      <c r="B3653" s="5"/>
      <c r="C3653" s="5"/>
      <c r="D3653" s="5"/>
      <c r="E3653" s="5"/>
    </row>
    <row r="3654" ht="15.75" customHeight="1">
      <c r="A3654" s="29"/>
      <c r="B3654" s="5"/>
      <c r="C3654" s="5"/>
      <c r="D3654" s="5"/>
      <c r="E3654" s="5"/>
    </row>
    <row r="3655" ht="15.75" customHeight="1">
      <c r="A3655" s="29"/>
      <c r="B3655" s="5"/>
      <c r="C3655" s="5"/>
      <c r="D3655" s="5"/>
      <c r="E3655" s="5"/>
    </row>
    <row r="3656" ht="15.75" customHeight="1">
      <c r="A3656" s="29"/>
      <c r="B3656" s="5"/>
      <c r="C3656" s="5"/>
      <c r="D3656" s="5"/>
      <c r="E3656" s="5"/>
    </row>
    <row r="3657" ht="15.75" customHeight="1">
      <c r="A3657" s="29"/>
      <c r="B3657" s="5"/>
      <c r="C3657" s="5"/>
      <c r="D3657" s="5"/>
      <c r="E3657" s="5"/>
    </row>
    <row r="3658" ht="15.75" customHeight="1">
      <c r="A3658" s="29"/>
      <c r="B3658" s="5"/>
      <c r="C3658" s="5"/>
      <c r="D3658" s="5"/>
      <c r="E3658" s="5"/>
    </row>
    <row r="3659" ht="15.75" customHeight="1">
      <c r="A3659" s="29"/>
      <c r="B3659" s="5"/>
      <c r="C3659" s="5"/>
      <c r="D3659" s="5"/>
      <c r="E3659" s="5"/>
    </row>
    <row r="3660" ht="15.75" customHeight="1">
      <c r="A3660" s="29"/>
      <c r="B3660" s="5"/>
      <c r="C3660" s="5"/>
      <c r="D3660" s="5"/>
      <c r="E3660" s="5"/>
    </row>
    <row r="3661" ht="15.75" customHeight="1">
      <c r="A3661" s="29"/>
      <c r="B3661" s="5"/>
      <c r="C3661" s="5"/>
      <c r="D3661" s="5"/>
      <c r="E3661" s="5"/>
    </row>
    <row r="3662" ht="15.75" customHeight="1">
      <c r="A3662" s="29"/>
      <c r="B3662" s="5"/>
      <c r="C3662" s="5"/>
      <c r="D3662" s="5"/>
      <c r="E3662" s="5"/>
    </row>
    <row r="3663" ht="15.75" customHeight="1">
      <c r="A3663" s="29"/>
      <c r="B3663" s="5"/>
      <c r="C3663" s="5"/>
      <c r="D3663" s="5"/>
      <c r="E3663" s="5"/>
    </row>
    <row r="3664" ht="15.75" customHeight="1">
      <c r="A3664" s="29"/>
      <c r="B3664" s="5"/>
      <c r="C3664" s="5"/>
      <c r="D3664" s="5"/>
      <c r="E3664" s="5"/>
    </row>
    <row r="3665" ht="15.75" customHeight="1">
      <c r="A3665" s="29"/>
      <c r="B3665" s="5"/>
      <c r="C3665" s="5"/>
      <c r="D3665" s="5"/>
      <c r="E3665" s="5"/>
    </row>
    <row r="3666" ht="15.75" customHeight="1">
      <c r="A3666" s="29"/>
      <c r="B3666" s="5"/>
      <c r="C3666" s="5"/>
      <c r="D3666" s="5"/>
      <c r="E3666" s="5"/>
    </row>
    <row r="3667" ht="15.75" customHeight="1">
      <c r="A3667" s="29"/>
      <c r="B3667" s="5"/>
      <c r="C3667" s="5"/>
      <c r="D3667" s="5"/>
      <c r="E3667" s="5"/>
    </row>
    <row r="3668" ht="15.75" customHeight="1">
      <c r="A3668" s="29"/>
      <c r="B3668" s="5"/>
      <c r="C3668" s="5"/>
      <c r="D3668" s="5"/>
      <c r="E3668" s="5"/>
    </row>
    <row r="3669" ht="15.75" customHeight="1">
      <c r="A3669" s="29"/>
      <c r="B3669" s="5"/>
      <c r="C3669" s="5"/>
      <c r="D3669" s="5"/>
      <c r="E3669" s="5"/>
    </row>
    <row r="3670" ht="15.75" customHeight="1">
      <c r="A3670" s="29"/>
      <c r="B3670" s="5"/>
      <c r="C3670" s="5"/>
      <c r="D3670" s="5"/>
      <c r="E3670" s="5"/>
    </row>
    <row r="3671" ht="15.75" customHeight="1">
      <c r="A3671" s="29"/>
      <c r="B3671" s="5"/>
      <c r="C3671" s="5"/>
      <c r="D3671" s="5"/>
      <c r="E3671" s="5"/>
    </row>
    <row r="3672" ht="15.75" customHeight="1">
      <c r="A3672" s="29"/>
      <c r="B3672" s="5"/>
      <c r="C3672" s="5"/>
      <c r="D3672" s="5"/>
      <c r="E3672" s="5"/>
    </row>
    <row r="3673" ht="15.75" customHeight="1">
      <c r="A3673" s="29"/>
      <c r="B3673" s="5"/>
      <c r="C3673" s="5"/>
      <c r="D3673" s="5"/>
      <c r="E3673" s="5"/>
    </row>
    <row r="3674" ht="15.75" customHeight="1">
      <c r="A3674" s="29"/>
      <c r="B3674" s="5"/>
      <c r="C3674" s="5"/>
      <c r="D3674" s="5"/>
      <c r="E3674" s="5"/>
    </row>
    <row r="3675" ht="15.75" customHeight="1">
      <c r="A3675" s="29"/>
      <c r="B3675" s="5"/>
      <c r="C3675" s="5"/>
      <c r="D3675" s="5"/>
      <c r="E3675" s="5"/>
    </row>
    <row r="3676" ht="15.75" customHeight="1">
      <c r="A3676" s="29"/>
      <c r="B3676" s="5"/>
      <c r="C3676" s="5"/>
      <c r="D3676" s="5"/>
      <c r="E3676" s="5"/>
    </row>
    <row r="3677" ht="15.75" customHeight="1">
      <c r="A3677" s="29"/>
      <c r="B3677" s="5"/>
      <c r="C3677" s="5"/>
      <c r="D3677" s="5"/>
      <c r="E3677" s="5"/>
    </row>
    <row r="3678" ht="15.75" customHeight="1">
      <c r="A3678" s="29"/>
      <c r="B3678" s="5"/>
      <c r="C3678" s="5"/>
      <c r="D3678" s="5"/>
      <c r="E3678" s="5"/>
    </row>
    <row r="3679" ht="15.75" customHeight="1">
      <c r="A3679" s="29"/>
      <c r="B3679" s="5"/>
      <c r="C3679" s="5"/>
      <c r="D3679" s="5"/>
      <c r="E3679" s="5"/>
    </row>
    <row r="3680" ht="15.75" customHeight="1">
      <c r="A3680" s="29"/>
      <c r="B3680" s="5"/>
      <c r="C3680" s="5"/>
      <c r="D3680" s="5"/>
      <c r="E3680" s="5"/>
    </row>
    <row r="3681" ht="15.75" customHeight="1">
      <c r="A3681" s="29"/>
      <c r="B3681" s="5"/>
      <c r="C3681" s="5"/>
      <c r="D3681" s="5"/>
      <c r="E3681" s="5"/>
    </row>
    <row r="3682" ht="15.75" customHeight="1">
      <c r="A3682" s="29"/>
      <c r="B3682" s="5"/>
      <c r="C3682" s="5"/>
      <c r="D3682" s="5"/>
      <c r="E3682" s="5"/>
    </row>
    <row r="3683" ht="15.75" customHeight="1">
      <c r="A3683" s="29"/>
      <c r="B3683" s="5"/>
      <c r="C3683" s="5"/>
      <c r="D3683" s="5"/>
      <c r="E3683" s="5"/>
    </row>
    <row r="3684" ht="15.75" customHeight="1">
      <c r="A3684" s="29"/>
      <c r="B3684" s="5"/>
      <c r="C3684" s="5"/>
      <c r="D3684" s="5"/>
      <c r="E3684" s="5"/>
    </row>
    <row r="3685" ht="15.75" customHeight="1">
      <c r="A3685" s="29"/>
      <c r="B3685" s="5"/>
      <c r="C3685" s="5"/>
      <c r="D3685" s="5"/>
      <c r="E3685" s="5"/>
    </row>
    <row r="3686" ht="15.75" customHeight="1">
      <c r="A3686" s="29"/>
      <c r="B3686" s="5"/>
      <c r="C3686" s="5"/>
      <c r="D3686" s="5"/>
      <c r="E3686" s="5"/>
    </row>
    <row r="3687" ht="15.75" customHeight="1">
      <c r="A3687" s="29"/>
      <c r="B3687" s="5"/>
      <c r="C3687" s="5"/>
      <c r="D3687" s="5"/>
      <c r="E3687" s="5"/>
    </row>
    <row r="3688" ht="15.75" customHeight="1">
      <c r="A3688" s="29"/>
      <c r="B3688" s="5"/>
      <c r="C3688" s="5"/>
      <c r="D3688" s="5"/>
      <c r="E3688" s="5"/>
    </row>
    <row r="3689" ht="15.75" customHeight="1">
      <c r="A3689" s="29"/>
      <c r="B3689" s="5"/>
      <c r="C3689" s="5"/>
      <c r="D3689" s="5"/>
      <c r="E3689" s="5"/>
    </row>
    <row r="3690" ht="15.75" customHeight="1">
      <c r="A3690" s="29"/>
      <c r="B3690" s="5"/>
      <c r="C3690" s="5"/>
      <c r="D3690" s="5"/>
      <c r="E3690" s="5"/>
    </row>
    <row r="3691" ht="15.75" customHeight="1">
      <c r="A3691" s="29"/>
      <c r="B3691" s="5"/>
      <c r="C3691" s="5"/>
      <c r="D3691" s="5"/>
      <c r="E3691" s="5"/>
    </row>
    <row r="3692" ht="15.75" customHeight="1">
      <c r="A3692" s="29"/>
      <c r="B3692" s="5"/>
      <c r="C3692" s="5"/>
      <c r="D3692" s="5"/>
      <c r="E3692" s="5"/>
    </row>
    <row r="3693" ht="15.75" customHeight="1">
      <c r="A3693" s="29"/>
      <c r="B3693" s="5"/>
      <c r="C3693" s="5"/>
      <c r="D3693" s="5"/>
      <c r="E3693" s="5"/>
    </row>
    <row r="3694" ht="15.75" customHeight="1">
      <c r="A3694" s="29"/>
      <c r="B3694" s="5"/>
      <c r="C3694" s="5"/>
      <c r="D3694" s="5"/>
      <c r="E3694" s="5"/>
    </row>
    <row r="3695" ht="15.75" customHeight="1">
      <c r="A3695" s="29"/>
      <c r="B3695" s="5"/>
      <c r="C3695" s="5"/>
      <c r="D3695" s="5"/>
      <c r="E3695" s="5"/>
    </row>
    <row r="3696" ht="15.75" customHeight="1">
      <c r="A3696" s="29"/>
      <c r="B3696" s="5"/>
      <c r="C3696" s="5"/>
      <c r="D3696" s="5"/>
      <c r="E3696" s="5"/>
    </row>
    <row r="3697" ht="15.75" customHeight="1">
      <c r="A3697" s="29"/>
      <c r="B3697" s="5"/>
      <c r="C3697" s="5"/>
      <c r="D3697" s="5"/>
      <c r="E3697" s="5"/>
    </row>
    <row r="3698" ht="15.75" customHeight="1">
      <c r="A3698" s="29"/>
      <c r="B3698" s="5"/>
      <c r="C3698" s="5"/>
      <c r="D3698" s="5"/>
      <c r="E3698" s="5"/>
    </row>
    <row r="3699" ht="15.75" customHeight="1">
      <c r="A3699" s="29"/>
      <c r="B3699" s="5"/>
      <c r="C3699" s="5"/>
      <c r="D3699" s="5"/>
      <c r="E3699" s="5"/>
    </row>
    <row r="3700" ht="15.75" customHeight="1">
      <c r="A3700" s="29"/>
      <c r="B3700" s="5"/>
      <c r="C3700" s="5"/>
      <c r="D3700" s="5"/>
      <c r="E3700" s="5"/>
    </row>
    <row r="3701" ht="15.75" customHeight="1">
      <c r="A3701" s="29"/>
      <c r="B3701" s="5"/>
      <c r="C3701" s="5"/>
      <c r="D3701" s="5"/>
      <c r="E3701" s="5"/>
    </row>
    <row r="3702" ht="15.75" customHeight="1">
      <c r="A3702" s="29"/>
      <c r="B3702" s="5"/>
      <c r="C3702" s="5"/>
      <c r="D3702" s="5"/>
      <c r="E3702" s="5"/>
    </row>
    <row r="3703" ht="15.75" customHeight="1">
      <c r="A3703" s="29"/>
      <c r="B3703" s="5"/>
      <c r="C3703" s="5"/>
      <c r="D3703" s="5"/>
      <c r="E3703" s="5"/>
    </row>
    <row r="3704" ht="15.75" customHeight="1">
      <c r="A3704" s="29"/>
      <c r="B3704" s="5"/>
      <c r="C3704" s="5"/>
      <c r="D3704" s="5"/>
      <c r="E3704" s="5"/>
    </row>
    <row r="3705" ht="15.75" customHeight="1">
      <c r="A3705" s="29"/>
      <c r="B3705" s="5"/>
      <c r="C3705" s="5"/>
      <c r="D3705" s="5"/>
      <c r="E3705" s="5"/>
    </row>
    <row r="3706" ht="15.75" customHeight="1">
      <c r="A3706" s="29"/>
      <c r="B3706" s="5"/>
      <c r="C3706" s="5"/>
      <c r="D3706" s="5"/>
      <c r="E3706" s="5"/>
    </row>
    <row r="3707" ht="15.75" customHeight="1">
      <c r="A3707" s="29"/>
      <c r="B3707" s="5"/>
      <c r="C3707" s="5"/>
      <c r="D3707" s="5"/>
      <c r="E3707" s="5"/>
    </row>
    <row r="3708" ht="15.75" customHeight="1">
      <c r="A3708" s="29"/>
      <c r="B3708" s="5"/>
      <c r="C3708" s="5"/>
      <c r="D3708" s="5"/>
      <c r="E3708" s="5"/>
    </row>
    <row r="3709" ht="15.75" customHeight="1">
      <c r="A3709" s="29"/>
      <c r="B3709" s="5"/>
      <c r="C3709" s="5"/>
      <c r="D3709" s="5"/>
      <c r="E3709" s="5"/>
    </row>
    <row r="3710" ht="15.75" customHeight="1">
      <c r="A3710" s="29"/>
      <c r="B3710" s="5"/>
      <c r="C3710" s="5"/>
      <c r="D3710" s="5"/>
      <c r="E3710" s="5"/>
    </row>
    <row r="3711" ht="15.75" customHeight="1">
      <c r="A3711" s="29"/>
      <c r="B3711" s="5"/>
      <c r="C3711" s="5"/>
      <c r="D3711" s="5"/>
      <c r="E3711" s="5"/>
    </row>
    <row r="3712" ht="15.75" customHeight="1">
      <c r="A3712" s="29"/>
      <c r="B3712" s="5"/>
      <c r="C3712" s="5"/>
      <c r="D3712" s="5"/>
      <c r="E3712" s="5"/>
    </row>
    <row r="3713" ht="15.75" customHeight="1">
      <c r="A3713" s="29"/>
      <c r="B3713" s="5"/>
      <c r="C3713" s="5"/>
      <c r="D3713" s="5"/>
      <c r="E3713" s="5"/>
    </row>
    <row r="3714" ht="15.75" customHeight="1">
      <c r="A3714" s="29"/>
      <c r="B3714" s="5"/>
      <c r="C3714" s="5"/>
      <c r="D3714" s="5"/>
      <c r="E3714" s="5"/>
    </row>
    <row r="3715" ht="15.75" customHeight="1">
      <c r="A3715" s="29"/>
      <c r="B3715" s="5"/>
      <c r="C3715" s="5"/>
      <c r="D3715" s="5"/>
      <c r="E3715" s="5"/>
    </row>
    <row r="3716" ht="15.75" customHeight="1">
      <c r="A3716" s="29"/>
      <c r="B3716" s="5"/>
      <c r="C3716" s="5"/>
      <c r="D3716" s="5"/>
      <c r="E3716" s="5"/>
    </row>
    <row r="3717" ht="15.75" customHeight="1">
      <c r="A3717" s="29"/>
      <c r="B3717" s="5"/>
      <c r="C3717" s="5"/>
      <c r="D3717" s="5"/>
      <c r="E3717" s="5"/>
    </row>
    <row r="3718" ht="15.75" customHeight="1">
      <c r="A3718" s="29"/>
      <c r="B3718" s="5"/>
      <c r="C3718" s="5"/>
      <c r="D3718" s="5"/>
      <c r="E3718" s="5"/>
    </row>
    <row r="3719" ht="15.75" customHeight="1">
      <c r="A3719" s="29"/>
      <c r="B3719" s="5"/>
      <c r="C3719" s="5"/>
      <c r="D3719" s="5"/>
      <c r="E3719" s="5"/>
    </row>
    <row r="3720" ht="15.75" customHeight="1">
      <c r="A3720" s="29"/>
      <c r="B3720" s="5"/>
      <c r="C3720" s="5"/>
      <c r="D3720" s="5"/>
      <c r="E3720" s="5"/>
    </row>
    <row r="3721" ht="15.75" customHeight="1">
      <c r="A3721" s="29"/>
      <c r="B3721" s="5"/>
      <c r="C3721" s="5"/>
      <c r="D3721" s="5"/>
      <c r="E3721" s="5"/>
    </row>
    <row r="3722" ht="15.75" customHeight="1">
      <c r="A3722" s="29"/>
      <c r="B3722" s="5"/>
      <c r="C3722" s="5"/>
      <c r="D3722" s="5"/>
      <c r="E3722" s="5"/>
    </row>
    <row r="3723" ht="15.75" customHeight="1">
      <c r="A3723" s="29"/>
      <c r="B3723" s="5"/>
      <c r="C3723" s="5"/>
      <c r="D3723" s="5"/>
      <c r="E3723" s="5"/>
    </row>
    <row r="3724" ht="15.75" customHeight="1">
      <c r="A3724" s="29"/>
      <c r="B3724" s="5"/>
      <c r="C3724" s="5"/>
      <c r="D3724" s="5"/>
      <c r="E3724" s="5"/>
    </row>
    <row r="3725" ht="15.75" customHeight="1">
      <c r="A3725" s="29"/>
      <c r="B3725" s="5"/>
      <c r="C3725" s="5"/>
      <c r="D3725" s="5"/>
      <c r="E3725" s="5"/>
    </row>
    <row r="3726" ht="15.75" customHeight="1">
      <c r="A3726" s="29"/>
      <c r="B3726" s="5"/>
      <c r="C3726" s="5"/>
      <c r="D3726" s="5"/>
      <c r="E3726" s="5"/>
    </row>
    <row r="3727" ht="15.75" customHeight="1">
      <c r="A3727" s="29"/>
      <c r="B3727" s="5"/>
      <c r="C3727" s="5"/>
      <c r="D3727" s="5"/>
      <c r="E3727" s="5"/>
    </row>
    <row r="3728" ht="15.75" customHeight="1">
      <c r="A3728" s="29"/>
      <c r="B3728" s="5"/>
      <c r="C3728" s="5"/>
      <c r="D3728" s="5"/>
      <c r="E3728" s="5"/>
    </row>
    <row r="3729" ht="15.75" customHeight="1">
      <c r="A3729" s="29"/>
      <c r="B3729" s="5"/>
      <c r="C3729" s="5"/>
      <c r="D3729" s="5"/>
      <c r="E3729" s="5"/>
    </row>
    <row r="3730" ht="15.75" customHeight="1">
      <c r="A3730" s="29"/>
      <c r="B3730" s="5"/>
      <c r="C3730" s="5"/>
      <c r="D3730" s="5"/>
      <c r="E3730" s="5"/>
    </row>
    <row r="3731" ht="15.75" customHeight="1">
      <c r="A3731" s="29"/>
      <c r="B3731" s="5"/>
      <c r="C3731" s="5"/>
      <c r="D3731" s="5"/>
      <c r="E3731" s="5"/>
    </row>
    <row r="3732" ht="15.75" customHeight="1">
      <c r="A3732" s="29"/>
      <c r="B3732" s="5"/>
      <c r="C3732" s="5"/>
      <c r="D3732" s="5"/>
      <c r="E3732" s="5"/>
    </row>
    <row r="3733" ht="15.75" customHeight="1">
      <c r="A3733" s="29"/>
      <c r="B3733" s="5"/>
      <c r="C3733" s="5"/>
      <c r="D3733" s="5"/>
      <c r="E3733" s="5"/>
    </row>
    <row r="3734" ht="15.75" customHeight="1">
      <c r="A3734" s="29"/>
      <c r="B3734" s="5"/>
      <c r="C3734" s="5"/>
      <c r="D3734" s="5"/>
      <c r="E3734" s="5"/>
    </row>
    <row r="3735" ht="15.75" customHeight="1">
      <c r="A3735" s="29"/>
      <c r="B3735" s="5"/>
      <c r="C3735" s="5"/>
      <c r="D3735" s="5"/>
      <c r="E3735" s="5"/>
    </row>
    <row r="3736" ht="15.75" customHeight="1">
      <c r="A3736" s="29"/>
      <c r="B3736" s="5"/>
      <c r="C3736" s="5"/>
      <c r="D3736" s="5"/>
      <c r="E3736" s="5"/>
    </row>
    <row r="3737" ht="15.75" customHeight="1">
      <c r="A3737" s="29"/>
      <c r="B3737" s="5"/>
      <c r="C3737" s="5"/>
      <c r="D3737" s="5"/>
      <c r="E3737" s="5"/>
    </row>
    <row r="3738" ht="15.75" customHeight="1">
      <c r="A3738" s="29"/>
      <c r="B3738" s="5"/>
      <c r="C3738" s="5"/>
      <c r="D3738" s="5"/>
      <c r="E3738" s="5"/>
    </row>
    <row r="3739" ht="15.75" customHeight="1">
      <c r="A3739" s="29"/>
      <c r="B3739" s="5"/>
      <c r="C3739" s="5"/>
      <c r="D3739" s="5"/>
      <c r="E3739" s="5"/>
    </row>
    <row r="3740" ht="15.75" customHeight="1">
      <c r="A3740" s="29"/>
      <c r="B3740" s="5"/>
      <c r="C3740" s="5"/>
      <c r="D3740" s="5"/>
      <c r="E3740" s="5"/>
    </row>
    <row r="3741" ht="15.75" customHeight="1">
      <c r="A3741" s="29"/>
      <c r="B3741" s="5"/>
      <c r="C3741" s="5"/>
      <c r="D3741" s="5"/>
      <c r="E3741" s="5"/>
    </row>
    <row r="3742" ht="15.75" customHeight="1">
      <c r="A3742" s="29"/>
      <c r="B3742" s="5"/>
      <c r="C3742" s="5"/>
      <c r="D3742" s="5"/>
      <c r="E3742" s="5"/>
    </row>
    <row r="3743" ht="15.75" customHeight="1">
      <c r="A3743" s="29"/>
      <c r="B3743" s="5"/>
      <c r="C3743" s="5"/>
      <c r="D3743" s="5"/>
      <c r="E3743" s="5"/>
    </row>
    <row r="3744" ht="15.75" customHeight="1">
      <c r="A3744" s="29"/>
      <c r="B3744" s="5"/>
      <c r="C3744" s="5"/>
      <c r="D3744" s="5"/>
      <c r="E3744" s="5"/>
    </row>
    <row r="3745" ht="15.75" customHeight="1">
      <c r="A3745" s="29"/>
      <c r="B3745" s="5"/>
      <c r="C3745" s="5"/>
      <c r="D3745" s="5"/>
      <c r="E3745" s="5"/>
    </row>
    <row r="3746" ht="15.75" customHeight="1">
      <c r="A3746" s="29"/>
      <c r="B3746" s="5"/>
      <c r="C3746" s="5"/>
      <c r="D3746" s="5"/>
      <c r="E3746" s="5"/>
    </row>
    <row r="3747" ht="15.75" customHeight="1">
      <c r="A3747" s="29"/>
      <c r="B3747" s="5"/>
      <c r="C3747" s="5"/>
      <c r="D3747" s="5"/>
      <c r="E3747" s="5"/>
    </row>
    <row r="3748" ht="15.75" customHeight="1">
      <c r="A3748" s="29"/>
      <c r="B3748" s="5"/>
      <c r="C3748" s="5"/>
      <c r="D3748" s="5"/>
      <c r="E3748" s="5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8.88"/>
  </cols>
  <sheetData>
    <row r="1">
      <c r="A1" s="1" t="s">
        <v>2847</v>
      </c>
      <c r="B1" s="1" t="s">
        <v>1</v>
      </c>
      <c r="C1" s="1" t="s">
        <v>2</v>
      </c>
      <c r="D1" s="1" t="s">
        <v>3</v>
      </c>
    </row>
    <row r="2">
      <c r="A2" s="5">
        <v>1.0</v>
      </c>
      <c r="B2" s="6" t="s">
        <v>7</v>
      </c>
      <c r="C2" s="5" t="s">
        <v>8</v>
      </c>
      <c r="D2" s="5" t="s">
        <v>9</v>
      </c>
    </row>
    <row r="3">
      <c r="A3" s="5">
        <v>2.0</v>
      </c>
      <c r="B3" s="6" t="s">
        <v>162</v>
      </c>
      <c r="C3" s="5" t="s">
        <v>163</v>
      </c>
      <c r="D3" s="5" t="s">
        <v>52</v>
      </c>
    </row>
    <row r="4">
      <c r="A4" s="5">
        <v>3.0</v>
      </c>
      <c r="B4" s="6" t="s">
        <v>16</v>
      </c>
      <c r="C4" s="5" t="s">
        <v>17</v>
      </c>
      <c r="D4" s="5" t="s">
        <v>18</v>
      </c>
    </row>
    <row r="5">
      <c r="A5" s="5">
        <v>4.0</v>
      </c>
      <c r="B5" s="6" t="s">
        <v>19</v>
      </c>
      <c r="C5" s="5" t="s">
        <v>20</v>
      </c>
      <c r="D5" s="5" t="s">
        <v>15</v>
      </c>
    </row>
    <row r="6">
      <c r="A6" s="5">
        <v>5.0</v>
      </c>
      <c r="B6" s="6" t="s">
        <v>13</v>
      </c>
      <c r="C6" s="5" t="s">
        <v>14</v>
      </c>
      <c r="D6" s="5" t="s">
        <v>15</v>
      </c>
    </row>
    <row r="7">
      <c r="A7" s="5">
        <v>6.0</v>
      </c>
      <c r="B7" s="6" t="s">
        <v>10</v>
      </c>
      <c r="C7" s="5" t="s">
        <v>11</v>
      </c>
      <c r="D7" s="5" t="s">
        <v>12</v>
      </c>
    </row>
    <row r="8">
      <c r="A8" s="5">
        <v>7.0</v>
      </c>
      <c r="B8" s="6" t="s">
        <v>21</v>
      </c>
      <c r="C8" s="5" t="s">
        <v>22</v>
      </c>
      <c r="D8" s="5" t="s">
        <v>23</v>
      </c>
    </row>
    <row r="9">
      <c r="A9" s="5">
        <v>8.0</v>
      </c>
      <c r="B9" s="6" t="s">
        <v>50</v>
      </c>
      <c r="C9" s="5" t="s">
        <v>17</v>
      </c>
      <c r="D9" s="5" t="s">
        <v>49</v>
      </c>
    </row>
    <row r="10">
      <c r="A10" s="5">
        <v>9.0</v>
      </c>
      <c r="B10" s="6" t="s">
        <v>28</v>
      </c>
      <c r="C10" s="5" t="s">
        <v>29</v>
      </c>
      <c r="D10" s="5" t="s">
        <v>9</v>
      </c>
    </row>
    <row r="11">
      <c r="A11" s="5">
        <v>10.0</v>
      </c>
      <c r="B11" s="6" t="s">
        <v>24</v>
      </c>
      <c r="C11" s="5" t="s">
        <v>22</v>
      </c>
      <c r="D11" s="5" t="s">
        <v>25</v>
      </c>
    </row>
    <row r="12">
      <c r="A12" s="5">
        <v>11.0</v>
      </c>
      <c r="B12" s="6" t="s">
        <v>26</v>
      </c>
      <c r="C12" s="5" t="s">
        <v>17</v>
      </c>
      <c r="D12" s="5" t="s">
        <v>27</v>
      </c>
    </row>
    <row r="13">
      <c r="A13" s="5">
        <v>12.0</v>
      </c>
      <c r="B13" s="6" t="s">
        <v>30</v>
      </c>
      <c r="C13" s="5" t="s">
        <v>17</v>
      </c>
      <c r="D13" s="5" t="s">
        <v>31</v>
      </c>
    </row>
    <row r="14">
      <c r="A14" s="5">
        <v>13.0</v>
      </c>
      <c r="B14" s="6" t="s">
        <v>38</v>
      </c>
      <c r="C14" s="5" t="s">
        <v>39</v>
      </c>
      <c r="D14" s="5" t="s">
        <v>34</v>
      </c>
    </row>
    <row r="15">
      <c r="A15" s="5">
        <v>14.0</v>
      </c>
      <c r="B15" s="6" t="s">
        <v>32</v>
      </c>
      <c r="C15" s="5" t="s">
        <v>33</v>
      </c>
      <c r="D15" s="5" t="s">
        <v>34</v>
      </c>
    </row>
    <row r="16">
      <c r="A16" s="5">
        <v>15.0</v>
      </c>
      <c r="B16" s="6" t="s">
        <v>37</v>
      </c>
      <c r="C16" s="5" t="s">
        <v>20</v>
      </c>
      <c r="D16" s="5" t="s">
        <v>9</v>
      </c>
    </row>
    <row r="17">
      <c r="A17" s="5">
        <v>16.0</v>
      </c>
      <c r="B17" s="6" t="s">
        <v>40</v>
      </c>
      <c r="C17" s="5" t="s">
        <v>22</v>
      </c>
      <c r="D17" s="5" t="s">
        <v>9</v>
      </c>
    </row>
    <row r="18">
      <c r="A18" s="5">
        <v>17.0</v>
      </c>
      <c r="B18" s="6" t="s">
        <v>41</v>
      </c>
      <c r="C18" s="5" t="s">
        <v>11</v>
      </c>
      <c r="D18" s="5" t="s">
        <v>42</v>
      </c>
    </row>
    <row r="19">
      <c r="A19" s="5">
        <v>18.0</v>
      </c>
      <c r="B19" s="6" t="s">
        <v>43</v>
      </c>
      <c r="C19" s="5" t="s">
        <v>22</v>
      </c>
      <c r="D19" s="5" t="s">
        <v>36</v>
      </c>
    </row>
    <row r="20">
      <c r="A20" s="5">
        <v>19.0</v>
      </c>
      <c r="B20" s="6" t="s">
        <v>45</v>
      </c>
      <c r="C20" s="5" t="s">
        <v>39</v>
      </c>
      <c r="D20" s="5" t="s">
        <v>46</v>
      </c>
    </row>
    <row r="21">
      <c r="A21" s="5">
        <v>20.0</v>
      </c>
      <c r="B21" s="6" t="s">
        <v>47</v>
      </c>
      <c r="C21" s="5" t="s">
        <v>48</v>
      </c>
      <c r="D21" s="5" t="s">
        <v>49</v>
      </c>
    </row>
    <row r="22">
      <c r="A22" s="5">
        <v>21.0</v>
      </c>
      <c r="B22" s="6" t="s">
        <v>54</v>
      </c>
      <c r="C22" s="5" t="s">
        <v>55</v>
      </c>
      <c r="D22" s="5" t="s">
        <v>27</v>
      </c>
    </row>
    <row r="23">
      <c r="A23" s="5">
        <v>22.0</v>
      </c>
      <c r="B23" s="6" t="s">
        <v>53</v>
      </c>
      <c r="C23" s="5" t="s">
        <v>39</v>
      </c>
      <c r="D23" s="5" t="s">
        <v>36</v>
      </c>
    </row>
    <row r="24">
      <c r="A24" s="5">
        <v>23.0</v>
      </c>
      <c r="B24" s="6" t="s">
        <v>35</v>
      </c>
      <c r="C24" s="5" t="s">
        <v>22</v>
      </c>
      <c r="D24" s="5" t="s">
        <v>36</v>
      </c>
    </row>
    <row r="25">
      <c r="A25" s="5">
        <v>24.0</v>
      </c>
      <c r="B25" s="6" t="s">
        <v>44</v>
      </c>
      <c r="C25" s="5" t="s">
        <v>22</v>
      </c>
      <c r="D25" s="5" t="s">
        <v>25</v>
      </c>
    </row>
    <row r="26">
      <c r="A26" s="5">
        <v>25.0</v>
      </c>
      <c r="B26" s="6" t="s">
        <v>101</v>
      </c>
      <c r="C26" s="5" t="s">
        <v>22</v>
      </c>
      <c r="D26" s="5" t="s">
        <v>31</v>
      </c>
    </row>
    <row r="27">
      <c r="A27" s="5">
        <v>26.0</v>
      </c>
      <c r="B27" s="6" t="s">
        <v>51</v>
      </c>
      <c r="C27" s="5" t="s">
        <v>11</v>
      </c>
      <c r="D27" s="5" t="s">
        <v>52</v>
      </c>
    </row>
    <row r="28">
      <c r="A28" s="5">
        <v>27.0</v>
      </c>
      <c r="B28" s="6" t="s">
        <v>56</v>
      </c>
      <c r="C28" s="5" t="s">
        <v>22</v>
      </c>
      <c r="D28" s="5" t="s">
        <v>12</v>
      </c>
    </row>
    <row r="29">
      <c r="A29" s="5">
        <v>28.0</v>
      </c>
      <c r="B29" s="6" t="s">
        <v>58</v>
      </c>
      <c r="C29" s="5" t="s">
        <v>14</v>
      </c>
      <c r="D29" s="5" t="s">
        <v>42</v>
      </c>
    </row>
    <row r="30">
      <c r="A30" s="5">
        <v>29.0</v>
      </c>
      <c r="B30" s="6" t="s">
        <v>57</v>
      </c>
      <c r="C30" s="5" t="s">
        <v>14</v>
      </c>
      <c r="D30" s="5" t="s">
        <v>46</v>
      </c>
    </row>
    <row r="31">
      <c r="A31" s="5">
        <v>30.0</v>
      </c>
      <c r="B31" s="6" t="s">
        <v>70</v>
      </c>
      <c r="C31" s="5" t="s">
        <v>8</v>
      </c>
      <c r="D31" s="5" t="s">
        <v>71</v>
      </c>
    </row>
    <row r="32">
      <c r="A32" s="5">
        <v>31.0</v>
      </c>
      <c r="B32" s="6" t="s">
        <v>59</v>
      </c>
      <c r="C32" s="5" t="s">
        <v>20</v>
      </c>
      <c r="D32" s="5" t="s">
        <v>49</v>
      </c>
    </row>
    <row r="33">
      <c r="A33" s="10">
        <v>32.0</v>
      </c>
      <c r="B33" s="11" t="s">
        <v>62</v>
      </c>
      <c r="C33" s="10" t="s">
        <v>63</v>
      </c>
      <c r="D33" s="10" t="s">
        <v>23</v>
      </c>
    </row>
    <row r="34">
      <c r="A34" s="10">
        <v>33.0</v>
      </c>
      <c r="B34" s="11" t="s">
        <v>60</v>
      </c>
      <c r="C34" s="10" t="s">
        <v>22</v>
      </c>
      <c r="D34" s="10" t="s">
        <v>9</v>
      </c>
    </row>
    <row r="35">
      <c r="A35" s="10">
        <v>34.0</v>
      </c>
      <c r="B35" s="11" t="s">
        <v>75</v>
      </c>
      <c r="C35" s="10" t="s">
        <v>14</v>
      </c>
      <c r="D35" s="10" t="s">
        <v>36</v>
      </c>
    </row>
    <row r="36">
      <c r="A36" s="10">
        <v>35.0</v>
      </c>
      <c r="B36" s="11" t="s">
        <v>68</v>
      </c>
      <c r="C36" s="10" t="s">
        <v>69</v>
      </c>
      <c r="D36" s="10" t="s">
        <v>15</v>
      </c>
    </row>
    <row r="37">
      <c r="A37" s="10">
        <v>36.0</v>
      </c>
      <c r="B37" s="11" t="s">
        <v>64</v>
      </c>
      <c r="C37" s="10" t="s">
        <v>14</v>
      </c>
      <c r="D37" s="10" t="s">
        <v>105</v>
      </c>
    </row>
    <row r="38">
      <c r="A38" s="10">
        <v>37.0</v>
      </c>
      <c r="B38" s="11" t="s">
        <v>65</v>
      </c>
      <c r="C38" s="10" t="s">
        <v>66</v>
      </c>
      <c r="D38" s="10" t="s">
        <v>67</v>
      </c>
    </row>
    <row r="39">
      <c r="A39" s="10">
        <v>38.0</v>
      </c>
      <c r="B39" s="11" t="s">
        <v>72</v>
      </c>
      <c r="C39" s="10" t="s">
        <v>39</v>
      </c>
      <c r="D39" s="10" t="s">
        <v>73</v>
      </c>
    </row>
    <row r="40">
      <c r="A40" s="10">
        <v>39.0</v>
      </c>
      <c r="B40" s="11" t="s">
        <v>74</v>
      </c>
      <c r="C40" s="10" t="s">
        <v>22</v>
      </c>
      <c r="D40" s="10" t="s">
        <v>31</v>
      </c>
    </row>
    <row r="41">
      <c r="A41" s="10">
        <v>40.0</v>
      </c>
      <c r="B41" s="11" t="s">
        <v>86</v>
      </c>
      <c r="C41" s="10" t="s">
        <v>87</v>
      </c>
      <c r="D41" s="10" t="s">
        <v>49</v>
      </c>
    </row>
    <row r="42">
      <c r="A42" s="10">
        <v>41.0</v>
      </c>
      <c r="B42" s="11" t="s">
        <v>61</v>
      </c>
      <c r="C42" s="10" t="s">
        <v>22</v>
      </c>
      <c r="D42" s="10" t="s">
        <v>46</v>
      </c>
    </row>
    <row r="43">
      <c r="A43" s="10">
        <v>42.0</v>
      </c>
      <c r="B43" s="11" t="s">
        <v>76</v>
      </c>
      <c r="C43" s="10" t="s">
        <v>77</v>
      </c>
      <c r="D43" s="10" t="s">
        <v>67</v>
      </c>
    </row>
    <row r="44">
      <c r="A44" s="10">
        <v>43.0</v>
      </c>
      <c r="B44" s="11" t="s">
        <v>88</v>
      </c>
      <c r="C44" s="10" t="s">
        <v>89</v>
      </c>
      <c r="D44" s="10" t="s">
        <v>90</v>
      </c>
    </row>
    <row r="45">
      <c r="A45" s="10">
        <v>44.0</v>
      </c>
      <c r="B45" s="11" t="s">
        <v>80</v>
      </c>
      <c r="C45" s="10" t="s">
        <v>17</v>
      </c>
      <c r="D45" s="10" t="s">
        <v>31</v>
      </c>
    </row>
    <row r="46">
      <c r="A46" s="10">
        <v>45.0</v>
      </c>
      <c r="B46" s="11" t="s">
        <v>84</v>
      </c>
      <c r="C46" s="10" t="s">
        <v>22</v>
      </c>
      <c r="D46" s="10" t="s">
        <v>85</v>
      </c>
    </row>
    <row r="47">
      <c r="A47" s="10">
        <v>46.0</v>
      </c>
      <c r="B47" s="11" t="s">
        <v>97</v>
      </c>
      <c r="C47" s="10" t="s">
        <v>55</v>
      </c>
      <c r="D47" s="10" t="s">
        <v>46</v>
      </c>
    </row>
    <row r="48">
      <c r="A48" s="10">
        <v>47.0</v>
      </c>
      <c r="B48" s="11" t="s">
        <v>91</v>
      </c>
      <c r="C48" s="10" t="s">
        <v>69</v>
      </c>
      <c r="D48" s="10" t="s">
        <v>90</v>
      </c>
    </row>
    <row r="49">
      <c r="A49" s="10">
        <v>48.0</v>
      </c>
      <c r="B49" s="11" t="s">
        <v>81</v>
      </c>
      <c r="C49" s="10" t="s">
        <v>20</v>
      </c>
      <c r="D49" s="10" t="s">
        <v>82</v>
      </c>
    </row>
    <row r="50">
      <c r="A50" s="10">
        <v>49.0</v>
      </c>
      <c r="B50" s="11" t="s">
        <v>107</v>
      </c>
      <c r="C50" s="10" t="s">
        <v>22</v>
      </c>
      <c r="D50" s="10" t="s">
        <v>46</v>
      </c>
    </row>
    <row r="51">
      <c r="A51" s="10">
        <v>50.0</v>
      </c>
      <c r="B51" s="11" t="s">
        <v>124</v>
      </c>
      <c r="C51" s="10" t="s">
        <v>11</v>
      </c>
      <c r="D51" s="10" t="s">
        <v>27</v>
      </c>
    </row>
    <row r="52">
      <c r="A52" s="10">
        <v>51.0</v>
      </c>
      <c r="B52" s="11" t="s">
        <v>235</v>
      </c>
      <c r="C52" s="10" t="s">
        <v>22</v>
      </c>
      <c r="D52" s="10" t="s">
        <v>42</v>
      </c>
    </row>
    <row r="53">
      <c r="A53" s="10">
        <v>52.0</v>
      </c>
      <c r="B53" s="11" t="s">
        <v>115</v>
      </c>
      <c r="C53" s="10" t="s">
        <v>11</v>
      </c>
      <c r="D53" s="10" t="s">
        <v>82</v>
      </c>
    </row>
    <row r="54">
      <c r="A54" s="10">
        <v>53.0</v>
      </c>
      <c r="B54" s="11" t="s">
        <v>94</v>
      </c>
      <c r="C54" s="10" t="s">
        <v>22</v>
      </c>
      <c r="D54" s="10" t="s">
        <v>95</v>
      </c>
    </row>
    <row r="55">
      <c r="A55" s="10">
        <v>54.0</v>
      </c>
      <c r="B55" s="11" t="s">
        <v>92</v>
      </c>
      <c r="C55" s="10" t="s">
        <v>48</v>
      </c>
      <c r="D55" s="10" t="s">
        <v>27</v>
      </c>
    </row>
    <row r="56">
      <c r="A56" s="10">
        <v>55.0</v>
      </c>
      <c r="B56" s="11" t="s">
        <v>108</v>
      </c>
      <c r="C56" s="10" t="s">
        <v>69</v>
      </c>
      <c r="D56" s="10" t="s">
        <v>42</v>
      </c>
    </row>
    <row r="57">
      <c r="A57" s="10">
        <v>56.0</v>
      </c>
      <c r="B57" s="11" t="s">
        <v>98</v>
      </c>
      <c r="C57" s="10" t="s">
        <v>39</v>
      </c>
      <c r="D57" s="10" t="s">
        <v>99</v>
      </c>
    </row>
    <row r="58">
      <c r="A58" s="10">
        <v>57.0</v>
      </c>
      <c r="B58" s="11" t="s">
        <v>110</v>
      </c>
      <c r="C58" s="10" t="s">
        <v>22</v>
      </c>
      <c r="D58" s="10" t="s">
        <v>15</v>
      </c>
    </row>
    <row r="59">
      <c r="A59" s="10">
        <v>58.0</v>
      </c>
      <c r="B59" s="11" t="s">
        <v>93</v>
      </c>
      <c r="C59" s="10" t="s">
        <v>39</v>
      </c>
      <c r="D59" s="10" t="s">
        <v>15</v>
      </c>
    </row>
    <row r="60">
      <c r="A60" s="10">
        <v>59.0</v>
      </c>
      <c r="B60" s="11" t="s">
        <v>296</v>
      </c>
      <c r="C60" s="10" t="s">
        <v>22</v>
      </c>
      <c r="D60" s="10" t="s">
        <v>82</v>
      </c>
    </row>
    <row r="61">
      <c r="A61" s="10">
        <v>60.0</v>
      </c>
      <c r="B61" s="11" t="s">
        <v>78</v>
      </c>
      <c r="C61" s="10" t="s">
        <v>79</v>
      </c>
      <c r="D61" s="10" t="s">
        <v>25</v>
      </c>
    </row>
    <row r="62">
      <c r="A62" s="10">
        <v>61.0</v>
      </c>
      <c r="B62" s="11" t="s">
        <v>112</v>
      </c>
      <c r="C62" s="10" t="s">
        <v>8</v>
      </c>
      <c r="D62" s="10" t="s">
        <v>113</v>
      </c>
    </row>
    <row r="63">
      <c r="A63" s="10">
        <v>62.0</v>
      </c>
      <c r="B63" s="11" t="s">
        <v>117</v>
      </c>
      <c r="C63" s="10" t="s">
        <v>14</v>
      </c>
      <c r="D63" s="10" t="s">
        <v>71</v>
      </c>
    </row>
    <row r="64">
      <c r="A64" s="10">
        <v>63.0</v>
      </c>
      <c r="B64" s="11" t="s">
        <v>106</v>
      </c>
      <c r="C64" s="10" t="s">
        <v>20</v>
      </c>
      <c r="D64" s="10" t="s">
        <v>46</v>
      </c>
    </row>
    <row r="65">
      <c r="A65" s="10">
        <v>64.0</v>
      </c>
      <c r="B65" s="11" t="s">
        <v>170</v>
      </c>
      <c r="C65" s="10" t="s">
        <v>22</v>
      </c>
      <c r="D65" s="10" t="s">
        <v>129</v>
      </c>
    </row>
    <row r="66">
      <c r="A66" s="10">
        <v>65.0</v>
      </c>
      <c r="B66" s="11" t="s">
        <v>111</v>
      </c>
      <c r="C66" s="10" t="s">
        <v>22</v>
      </c>
      <c r="D66" s="10" t="s">
        <v>15</v>
      </c>
    </row>
    <row r="67">
      <c r="A67" s="10">
        <v>66.0</v>
      </c>
      <c r="B67" s="11" t="s">
        <v>109</v>
      </c>
      <c r="C67" s="10" t="s">
        <v>55</v>
      </c>
      <c r="D67" s="10" t="s">
        <v>82</v>
      </c>
    </row>
    <row r="68">
      <c r="A68" s="10">
        <v>67.0</v>
      </c>
      <c r="B68" s="11" t="s">
        <v>102</v>
      </c>
      <c r="C68" s="10" t="s">
        <v>20</v>
      </c>
      <c r="D68" s="10" t="s">
        <v>36</v>
      </c>
    </row>
    <row r="69">
      <c r="A69" s="10">
        <v>68.0</v>
      </c>
      <c r="B69" s="11" t="s">
        <v>83</v>
      </c>
      <c r="C69" s="10" t="s">
        <v>79</v>
      </c>
      <c r="D69" s="10" t="s">
        <v>46</v>
      </c>
    </row>
    <row r="70">
      <c r="A70" s="10">
        <v>69.0</v>
      </c>
      <c r="B70" s="11" t="s">
        <v>123</v>
      </c>
      <c r="C70" s="10" t="s">
        <v>69</v>
      </c>
      <c r="D70" s="10" t="s">
        <v>23</v>
      </c>
    </row>
    <row r="71">
      <c r="A71" s="10">
        <v>70.0</v>
      </c>
      <c r="B71" s="11" t="s">
        <v>96</v>
      </c>
      <c r="C71" s="10" t="s">
        <v>89</v>
      </c>
      <c r="D71" s="10" t="s">
        <v>67</v>
      </c>
    </row>
    <row r="72">
      <c r="A72" s="10">
        <v>71.0</v>
      </c>
      <c r="B72" s="11" t="s">
        <v>100</v>
      </c>
      <c r="C72" s="10" t="s">
        <v>22</v>
      </c>
      <c r="D72" s="10" t="s">
        <v>25</v>
      </c>
    </row>
    <row r="73">
      <c r="A73" s="10">
        <v>72.0</v>
      </c>
      <c r="B73" s="11" t="s">
        <v>155</v>
      </c>
      <c r="C73" s="10" t="s">
        <v>14</v>
      </c>
      <c r="D73" s="10" t="s">
        <v>99</v>
      </c>
    </row>
    <row r="74">
      <c r="A74" s="10">
        <v>73.0</v>
      </c>
      <c r="B74" s="11" t="s">
        <v>131</v>
      </c>
      <c r="C74" s="10" t="s">
        <v>22</v>
      </c>
      <c r="D74" s="10" t="s">
        <v>49</v>
      </c>
    </row>
    <row r="75">
      <c r="A75" s="10">
        <v>74.0</v>
      </c>
      <c r="B75" s="11" t="s">
        <v>142</v>
      </c>
      <c r="C75" s="10" t="s">
        <v>55</v>
      </c>
      <c r="D75" s="10" t="s">
        <v>25</v>
      </c>
    </row>
    <row r="76">
      <c r="A76" s="10">
        <v>75.0</v>
      </c>
      <c r="B76" s="11" t="s">
        <v>118</v>
      </c>
      <c r="C76" s="10" t="s">
        <v>22</v>
      </c>
      <c r="D76" s="10" t="s">
        <v>49</v>
      </c>
    </row>
    <row r="77">
      <c r="A77" s="10">
        <v>76.0</v>
      </c>
      <c r="B77" s="11" t="s">
        <v>116</v>
      </c>
      <c r="C77" s="10" t="s">
        <v>8</v>
      </c>
      <c r="D77" s="10" t="s">
        <v>85</v>
      </c>
    </row>
    <row r="78">
      <c r="A78" s="10">
        <v>77.0</v>
      </c>
      <c r="B78" s="11" t="s">
        <v>146</v>
      </c>
      <c r="C78" s="10" t="s">
        <v>11</v>
      </c>
      <c r="D78" s="10" t="s">
        <v>34</v>
      </c>
    </row>
    <row r="79">
      <c r="A79" s="10">
        <v>78.0</v>
      </c>
      <c r="B79" s="11" t="s">
        <v>125</v>
      </c>
      <c r="C79" s="10" t="s">
        <v>126</v>
      </c>
      <c r="D79" s="10" t="s">
        <v>90</v>
      </c>
    </row>
    <row r="80">
      <c r="A80" s="10">
        <v>79.0</v>
      </c>
      <c r="B80" s="11" t="s">
        <v>119</v>
      </c>
      <c r="C80" s="10" t="s">
        <v>22</v>
      </c>
      <c r="D80" s="10" t="s">
        <v>120</v>
      </c>
    </row>
    <row r="81">
      <c r="A81" s="10">
        <v>80.0</v>
      </c>
      <c r="B81" s="11" t="s">
        <v>128</v>
      </c>
      <c r="C81" s="10" t="s">
        <v>48</v>
      </c>
      <c r="D81" s="10" t="s">
        <v>129</v>
      </c>
    </row>
    <row r="82">
      <c r="A82" s="10">
        <v>81.0</v>
      </c>
      <c r="B82" s="11" t="s">
        <v>114</v>
      </c>
      <c r="C82" s="10" t="s">
        <v>22</v>
      </c>
      <c r="D82" s="10" t="s">
        <v>52</v>
      </c>
    </row>
    <row r="83">
      <c r="A83" s="10">
        <v>82.0</v>
      </c>
      <c r="B83" s="11" t="s">
        <v>103</v>
      </c>
      <c r="C83" s="10" t="s">
        <v>104</v>
      </c>
      <c r="D83" s="10" t="s">
        <v>105</v>
      </c>
    </row>
    <row r="84">
      <c r="A84" s="10">
        <v>83.0</v>
      </c>
      <c r="B84" s="11" t="s">
        <v>134</v>
      </c>
      <c r="C84" s="10" t="s">
        <v>22</v>
      </c>
      <c r="D84" s="10" t="s">
        <v>122</v>
      </c>
    </row>
    <row r="85">
      <c r="A85" s="10">
        <v>84.0</v>
      </c>
      <c r="B85" s="11" t="s">
        <v>130</v>
      </c>
      <c r="C85" s="10" t="s">
        <v>77</v>
      </c>
      <c r="D85" s="10" t="s">
        <v>9</v>
      </c>
    </row>
    <row r="86">
      <c r="A86" s="10">
        <v>85.0</v>
      </c>
      <c r="B86" s="11" t="s">
        <v>121</v>
      </c>
      <c r="C86" s="10" t="s">
        <v>22</v>
      </c>
      <c r="D86" s="10" t="s">
        <v>122</v>
      </c>
    </row>
    <row r="87">
      <c r="A87" s="10">
        <v>86.0</v>
      </c>
      <c r="B87" s="11" t="s">
        <v>132</v>
      </c>
      <c r="C87" s="10" t="s">
        <v>22</v>
      </c>
      <c r="D87" s="10" t="s">
        <v>52</v>
      </c>
    </row>
    <row r="88">
      <c r="A88" s="10">
        <v>87.0</v>
      </c>
      <c r="B88" s="11" t="s">
        <v>147</v>
      </c>
      <c r="C88" s="10" t="s">
        <v>148</v>
      </c>
      <c r="D88" s="10" t="s">
        <v>31</v>
      </c>
    </row>
    <row r="89">
      <c r="A89" s="10">
        <v>88.0</v>
      </c>
      <c r="B89" s="11" t="s">
        <v>138</v>
      </c>
      <c r="C89" s="10" t="s">
        <v>139</v>
      </c>
      <c r="D89" s="10" t="s">
        <v>140</v>
      </c>
    </row>
    <row r="90">
      <c r="A90" s="10">
        <v>89.0</v>
      </c>
      <c r="B90" s="11" t="s">
        <v>144</v>
      </c>
      <c r="C90" s="10" t="s">
        <v>22</v>
      </c>
      <c r="D90" s="10" t="s">
        <v>15</v>
      </c>
    </row>
    <row r="91">
      <c r="A91" s="10">
        <v>90.0</v>
      </c>
      <c r="B91" s="11" t="s">
        <v>151</v>
      </c>
      <c r="C91" s="10" t="s">
        <v>39</v>
      </c>
      <c r="D91" s="10" t="s">
        <v>9</v>
      </c>
    </row>
    <row r="92">
      <c r="A92" s="10">
        <v>91.0</v>
      </c>
      <c r="B92" s="11" t="s">
        <v>154</v>
      </c>
      <c r="C92" s="10" t="s">
        <v>55</v>
      </c>
      <c r="D92" s="10" t="s">
        <v>95</v>
      </c>
    </row>
    <row r="93">
      <c r="A93" s="10">
        <v>92.0</v>
      </c>
      <c r="B93" s="11" t="s">
        <v>145</v>
      </c>
      <c r="C93" s="10" t="s">
        <v>17</v>
      </c>
      <c r="D93" s="10" t="s">
        <v>95</v>
      </c>
    </row>
    <row r="94">
      <c r="A94" s="10">
        <v>93.0</v>
      </c>
      <c r="B94" s="11" t="s">
        <v>143</v>
      </c>
      <c r="C94" s="10" t="s">
        <v>22</v>
      </c>
      <c r="D94" s="10" t="s">
        <v>85</v>
      </c>
    </row>
    <row r="95">
      <c r="A95" s="10">
        <v>94.0</v>
      </c>
      <c r="B95" s="11" t="s">
        <v>135</v>
      </c>
      <c r="C95" s="10" t="s">
        <v>136</v>
      </c>
      <c r="D95" s="10" t="s">
        <v>137</v>
      </c>
    </row>
    <row r="96">
      <c r="A96" s="10">
        <v>95.0</v>
      </c>
      <c r="B96" s="11" t="s">
        <v>188</v>
      </c>
      <c r="C96" s="10" t="s">
        <v>189</v>
      </c>
      <c r="D96" s="10" t="s">
        <v>23</v>
      </c>
    </row>
    <row r="97">
      <c r="A97" s="10">
        <v>96.0</v>
      </c>
      <c r="B97" s="11" t="s">
        <v>159</v>
      </c>
      <c r="C97" s="10" t="s">
        <v>17</v>
      </c>
      <c r="D97" s="10" t="s">
        <v>12</v>
      </c>
    </row>
    <row r="98">
      <c r="A98" s="10">
        <v>97.0</v>
      </c>
      <c r="B98" s="11" t="s">
        <v>133</v>
      </c>
      <c r="C98" s="10" t="s">
        <v>79</v>
      </c>
      <c r="D98" s="10" t="s">
        <v>34</v>
      </c>
    </row>
    <row r="99">
      <c r="A99" s="10">
        <v>98.0</v>
      </c>
      <c r="B99" s="11" t="s">
        <v>141</v>
      </c>
      <c r="C99" s="10" t="s">
        <v>8</v>
      </c>
      <c r="D99" s="10" t="s">
        <v>99</v>
      </c>
    </row>
    <row r="100">
      <c r="A100" s="10">
        <v>99.0</v>
      </c>
      <c r="B100" s="11" t="s">
        <v>157</v>
      </c>
      <c r="C100" s="10" t="s">
        <v>158</v>
      </c>
      <c r="D100" s="10" t="s">
        <v>34</v>
      </c>
    </row>
    <row r="101">
      <c r="A101" s="10">
        <v>100.0</v>
      </c>
      <c r="B101" s="11" t="s">
        <v>127</v>
      </c>
      <c r="C101" s="10" t="s">
        <v>22</v>
      </c>
      <c r="D101" s="10" t="s">
        <v>46</v>
      </c>
    </row>
    <row r="102">
      <c r="A102" s="10">
        <v>101.0</v>
      </c>
      <c r="B102" s="11" t="s">
        <v>168</v>
      </c>
      <c r="C102" s="10" t="s">
        <v>33</v>
      </c>
      <c r="D102" s="10" t="s">
        <v>18</v>
      </c>
    </row>
    <row r="103">
      <c r="A103" s="10">
        <v>102.0</v>
      </c>
      <c r="B103" s="11" t="s">
        <v>183</v>
      </c>
      <c r="C103" s="10" t="s">
        <v>22</v>
      </c>
      <c r="D103" s="10" t="s">
        <v>52</v>
      </c>
    </row>
    <row r="104">
      <c r="A104" s="10">
        <v>103.0</v>
      </c>
      <c r="B104" s="11" t="s">
        <v>179</v>
      </c>
      <c r="C104" s="10" t="s">
        <v>150</v>
      </c>
      <c r="D104" s="10" t="s">
        <v>73</v>
      </c>
    </row>
    <row r="105">
      <c r="A105" s="10">
        <v>104.0</v>
      </c>
      <c r="B105" s="11" t="s">
        <v>156</v>
      </c>
      <c r="C105" s="10" t="s">
        <v>22</v>
      </c>
      <c r="D105" s="10" t="s">
        <v>34</v>
      </c>
    </row>
    <row r="106">
      <c r="A106" s="10">
        <v>105.0</v>
      </c>
      <c r="B106" s="11" t="s">
        <v>180</v>
      </c>
      <c r="C106" s="10" t="s">
        <v>39</v>
      </c>
      <c r="D106" s="10" t="s">
        <v>52</v>
      </c>
    </row>
    <row r="107">
      <c r="A107" s="10">
        <v>106.0</v>
      </c>
      <c r="B107" s="11" t="s">
        <v>160</v>
      </c>
      <c r="C107" s="10" t="s">
        <v>22</v>
      </c>
      <c r="D107" s="10" t="s">
        <v>90</v>
      </c>
    </row>
    <row r="108">
      <c r="A108" s="10">
        <v>107.0</v>
      </c>
      <c r="B108" s="11" t="s">
        <v>187</v>
      </c>
      <c r="C108" s="10" t="s">
        <v>22</v>
      </c>
      <c r="D108" s="10" t="s">
        <v>85</v>
      </c>
    </row>
    <row r="109">
      <c r="A109" s="10">
        <v>108.0</v>
      </c>
      <c r="B109" s="11" t="s">
        <v>164</v>
      </c>
      <c r="C109" s="10" t="s">
        <v>14</v>
      </c>
      <c r="D109" s="10" t="s">
        <v>67</v>
      </c>
    </row>
    <row r="110">
      <c r="A110" s="10">
        <v>109.0</v>
      </c>
      <c r="B110" s="11" t="s">
        <v>178</v>
      </c>
      <c r="C110" s="10" t="s">
        <v>55</v>
      </c>
      <c r="D110" s="10" t="s">
        <v>90</v>
      </c>
    </row>
    <row r="111">
      <c r="A111" s="10">
        <v>110.0</v>
      </c>
      <c r="B111" s="11" t="s">
        <v>185</v>
      </c>
      <c r="C111" s="10" t="s">
        <v>22</v>
      </c>
      <c r="D111" s="10" t="s">
        <v>140</v>
      </c>
    </row>
    <row r="112">
      <c r="A112" s="10">
        <v>111.0</v>
      </c>
      <c r="B112" s="11" t="s">
        <v>177</v>
      </c>
      <c r="C112" s="10" t="s">
        <v>20</v>
      </c>
      <c r="D112" s="10" t="s">
        <v>105</v>
      </c>
    </row>
    <row r="113">
      <c r="A113" s="10">
        <v>112.0</v>
      </c>
      <c r="B113" s="11" t="s">
        <v>166</v>
      </c>
      <c r="C113" s="10" t="s">
        <v>14</v>
      </c>
      <c r="D113" s="10" t="s">
        <v>49</v>
      </c>
    </row>
    <row r="114">
      <c r="A114" s="10">
        <v>113.0</v>
      </c>
      <c r="B114" s="11" t="s">
        <v>165</v>
      </c>
      <c r="C114" s="10" t="s">
        <v>79</v>
      </c>
      <c r="D114" s="10" t="s">
        <v>23</v>
      </c>
    </row>
    <row r="115">
      <c r="A115" s="10">
        <v>114.0</v>
      </c>
      <c r="B115" s="11" t="s">
        <v>175</v>
      </c>
      <c r="C115" s="10" t="s">
        <v>176</v>
      </c>
      <c r="D115" s="10" t="s">
        <v>9</v>
      </c>
    </row>
    <row r="116">
      <c r="A116" s="10">
        <v>115.0</v>
      </c>
      <c r="B116" s="11" t="s">
        <v>149</v>
      </c>
      <c r="C116" s="10" t="s">
        <v>150</v>
      </c>
      <c r="D116" s="10" t="s">
        <v>31</v>
      </c>
    </row>
    <row r="117">
      <c r="A117" s="10">
        <v>116.0</v>
      </c>
      <c r="B117" s="11" t="s">
        <v>169</v>
      </c>
      <c r="C117" s="10" t="s">
        <v>20</v>
      </c>
      <c r="D117" s="10" t="s">
        <v>31</v>
      </c>
    </row>
    <row r="118">
      <c r="A118" s="10">
        <v>117.0</v>
      </c>
      <c r="B118" s="11" t="s">
        <v>152</v>
      </c>
      <c r="C118" s="10" t="s">
        <v>79</v>
      </c>
      <c r="D118" s="10" t="s">
        <v>12</v>
      </c>
    </row>
    <row r="119">
      <c r="A119" s="10">
        <v>118.0</v>
      </c>
      <c r="B119" s="11" t="s">
        <v>172</v>
      </c>
      <c r="C119" s="10" t="s">
        <v>79</v>
      </c>
      <c r="D119" s="10" t="s">
        <v>36</v>
      </c>
    </row>
    <row r="120">
      <c r="A120" s="10">
        <v>119.0</v>
      </c>
      <c r="B120" s="11" t="s">
        <v>171</v>
      </c>
      <c r="C120" s="10" t="s">
        <v>22</v>
      </c>
      <c r="D120" s="10" t="s">
        <v>129</v>
      </c>
    </row>
    <row r="121">
      <c r="A121" s="10">
        <v>120.0</v>
      </c>
      <c r="B121" s="11" t="s">
        <v>204</v>
      </c>
      <c r="C121" s="10" t="s">
        <v>11</v>
      </c>
      <c r="D121" s="10" t="s">
        <v>46</v>
      </c>
    </row>
    <row r="122">
      <c r="A122" s="10">
        <v>121.0</v>
      </c>
      <c r="B122" s="11" t="s">
        <v>174</v>
      </c>
      <c r="C122" s="10" t="s">
        <v>22</v>
      </c>
      <c r="D122" s="10" t="s">
        <v>27</v>
      </c>
    </row>
    <row r="123">
      <c r="A123" s="10">
        <v>122.0</v>
      </c>
      <c r="B123" s="11" t="s">
        <v>200</v>
      </c>
      <c r="C123" s="10" t="s">
        <v>22</v>
      </c>
      <c r="D123" s="10" t="s">
        <v>9</v>
      </c>
    </row>
    <row r="124">
      <c r="A124" s="10">
        <v>123.0</v>
      </c>
      <c r="B124" s="11" t="s">
        <v>192</v>
      </c>
      <c r="C124" s="10" t="s">
        <v>22</v>
      </c>
      <c r="D124" s="10" t="s">
        <v>49</v>
      </c>
    </row>
    <row r="125">
      <c r="A125" s="10">
        <v>124.0</v>
      </c>
      <c r="B125" s="11" t="s">
        <v>167</v>
      </c>
      <c r="C125" s="10" t="s">
        <v>66</v>
      </c>
      <c r="D125" s="10" t="s">
        <v>82</v>
      </c>
    </row>
    <row r="126">
      <c r="A126" s="10">
        <v>125.0</v>
      </c>
      <c r="B126" s="11" t="s">
        <v>193</v>
      </c>
      <c r="C126" s="10" t="s">
        <v>150</v>
      </c>
      <c r="D126" s="10" t="s">
        <v>18</v>
      </c>
    </row>
    <row r="127">
      <c r="A127" s="10">
        <v>126.0</v>
      </c>
      <c r="B127" s="11" t="s">
        <v>181</v>
      </c>
      <c r="C127" s="10" t="s">
        <v>182</v>
      </c>
      <c r="D127" s="10" t="s">
        <v>52</v>
      </c>
    </row>
    <row r="128">
      <c r="A128" s="10">
        <v>127.0</v>
      </c>
      <c r="B128" s="11" t="s">
        <v>173</v>
      </c>
      <c r="C128" s="10" t="s">
        <v>22</v>
      </c>
      <c r="D128" s="10" t="s">
        <v>36</v>
      </c>
    </row>
    <row r="129">
      <c r="A129" s="10">
        <v>128.0</v>
      </c>
      <c r="B129" s="11" t="s">
        <v>203</v>
      </c>
      <c r="C129" s="10" t="s">
        <v>17</v>
      </c>
      <c r="D129" s="10" t="s">
        <v>36</v>
      </c>
    </row>
    <row r="130">
      <c r="A130" s="10">
        <v>129.0</v>
      </c>
      <c r="B130" s="11" t="s">
        <v>153</v>
      </c>
      <c r="C130" s="10" t="s">
        <v>22</v>
      </c>
      <c r="D130" s="10" t="s">
        <v>27</v>
      </c>
    </row>
    <row r="131">
      <c r="A131" s="10">
        <v>130.0</v>
      </c>
      <c r="B131" s="11" t="s">
        <v>194</v>
      </c>
      <c r="C131" s="10" t="s">
        <v>22</v>
      </c>
      <c r="D131" s="10" t="s">
        <v>113</v>
      </c>
    </row>
    <row r="132">
      <c r="A132" s="10">
        <v>131.0</v>
      </c>
      <c r="B132" s="11" t="s">
        <v>205</v>
      </c>
      <c r="C132" s="10" t="s">
        <v>77</v>
      </c>
      <c r="D132" s="10" t="s">
        <v>206</v>
      </c>
    </row>
    <row r="133">
      <c r="A133" s="10">
        <v>132.0</v>
      </c>
      <c r="B133" s="11" t="s">
        <v>209</v>
      </c>
      <c r="C133" s="10" t="s">
        <v>11</v>
      </c>
      <c r="D133" s="10" t="s">
        <v>15</v>
      </c>
    </row>
    <row r="134">
      <c r="A134" s="10">
        <v>133.0</v>
      </c>
      <c r="B134" s="11" t="s">
        <v>190</v>
      </c>
      <c r="C134" s="10" t="s">
        <v>22</v>
      </c>
      <c r="D134" s="10" t="s">
        <v>99</v>
      </c>
    </row>
    <row r="135">
      <c r="A135" s="10">
        <v>134.0</v>
      </c>
      <c r="B135" s="11" t="s">
        <v>195</v>
      </c>
      <c r="C135" s="10" t="s">
        <v>20</v>
      </c>
      <c r="D135" s="10" t="s">
        <v>23</v>
      </c>
    </row>
    <row r="136">
      <c r="A136" s="10">
        <v>135.0</v>
      </c>
      <c r="B136" s="11" t="s">
        <v>196</v>
      </c>
      <c r="C136" s="10" t="s">
        <v>150</v>
      </c>
      <c r="D136" s="10" t="s">
        <v>15</v>
      </c>
    </row>
    <row r="137">
      <c r="A137" s="10">
        <v>136.0</v>
      </c>
      <c r="B137" s="11" t="s">
        <v>198</v>
      </c>
      <c r="C137" s="10" t="s">
        <v>199</v>
      </c>
      <c r="D137" s="10" t="s">
        <v>9</v>
      </c>
    </row>
    <row r="138">
      <c r="A138" s="10">
        <v>137.0</v>
      </c>
      <c r="B138" s="11" t="s">
        <v>208</v>
      </c>
      <c r="C138" s="10" t="s">
        <v>17</v>
      </c>
      <c r="D138" s="10" t="s">
        <v>85</v>
      </c>
    </row>
    <row r="139">
      <c r="A139" s="10">
        <v>138.0</v>
      </c>
      <c r="B139" s="11" t="s">
        <v>222</v>
      </c>
      <c r="C139" s="10" t="s">
        <v>20</v>
      </c>
      <c r="D139" s="10" t="s">
        <v>73</v>
      </c>
    </row>
    <row r="140">
      <c r="A140" s="10">
        <v>139.0</v>
      </c>
      <c r="B140" s="11" t="s">
        <v>184</v>
      </c>
      <c r="C140" s="10" t="s">
        <v>22</v>
      </c>
      <c r="D140" s="10" t="s">
        <v>42</v>
      </c>
    </row>
    <row r="141">
      <c r="A141" s="10">
        <v>140.0</v>
      </c>
      <c r="B141" s="11" t="s">
        <v>211</v>
      </c>
      <c r="C141" s="10" t="s">
        <v>20</v>
      </c>
      <c r="D141" s="10" t="s">
        <v>129</v>
      </c>
    </row>
    <row r="142">
      <c r="A142" s="10">
        <v>141.0</v>
      </c>
      <c r="B142" s="11" t="s">
        <v>215</v>
      </c>
      <c r="C142" s="10" t="s">
        <v>69</v>
      </c>
      <c r="D142" s="10" t="s">
        <v>23</v>
      </c>
    </row>
    <row r="143">
      <c r="A143" s="10">
        <v>142.0</v>
      </c>
      <c r="B143" s="11" t="s">
        <v>186</v>
      </c>
      <c r="C143" s="10" t="s">
        <v>22</v>
      </c>
      <c r="D143" s="10" t="s">
        <v>120</v>
      </c>
    </row>
    <row r="144">
      <c r="A144" s="10">
        <v>143.0</v>
      </c>
      <c r="B144" s="11" t="s">
        <v>232</v>
      </c>
      <c r="C144" s="10" t="s">
        <v>148</v>
      </c>
      <c r="D144" s="10" t="s">
        <v>46</v>
      </c>
    </row>
    <row r="145">
      <c r="A145" s="10">
        <v>144.0</v>
      </c>
      <c r="B145" s="11" t="s">
        <v>246</v>
      </c>
      <c r="C145" s="10" t="s">
        <v>11</v>
      </c>
      <c r="D145" s="10" t="s">
        <v>9</v>
      </c>
    </row>
    <row r="146">
      <c r="A146" s="10">
        <v>145.0</v>
      </c>
      <c r="B146" s="11" t="s">
        <v>197</v>
      </c>
      <c r="C146" s="10" t="s">
        <v>14</v>
      </c>
      <c r="D146" s="10" t="s">
        <v>25</v>
      </c>
    </row>
    <row r="147">
      <c r="A147" s="10">
        <v>146.0</v>
      </c>
      <c r="B147" s="11" t="s">
        <v>207</v>
      </c>
      <c r="C147" s="10" t="s">
        <v>79</v>
      </c>
      <c r="D147" s="10" t="s">
        <v>82</v>
      </c>
    </row>
    <row r="148">
      <c r="A148" s="10">
        <v>147.0</v>
      </c>
      <c r="B148" s="11" t="s">
        <v>161</v>
      </c>
      <c r="C148" s="10" t="s">
        <v>79</v>
      </c>
      <c r="D148" s="10" t="s">
        <v>27</v>
      </c>
    </row>
    <row r="149">
      <c r="A149" s="10">
        <v>148.0</v>
      </c>
      <c r="B149" s="11" t="s">
        <v>212</v>
      </c>
      <c r="C149" s="10" t="s">
        <v>136</v>
      </c>
      <c r="D149" s="10" t="s">
        <v>95</v>
      </c>
    </row>
    <row r="150">
      <c r="A150" s="10">
        <v>149.0</v>
      </c>
      <c r="B150" s="11" t="s">
        <v>202</v>
      </c>
      <c r="C150" s="10" t="s">
        <v>22</v>
      </c>
      <c r="D150" s="10" t="s">
        <v>52</v>
      </c>
    </row>
    <row r="151">
      <c r="A151" s="10">
        <v>150.0</v>
      </c>
      <c r="B151" s="11" t="s">
        <v>227</v>
      </c>
      <c r="C151" s="10" t="s">
        <v>218</v>
      </c>
      <c r="D151" s="10" t="s">
        <v>82</v>
      </c>
    </row>
    <row r="152">
      <c r="A152" s="10">
        <v>151.0</v>
      </c>
      <c r="B152" s="11" t="s">
        <v>250</v>
      </c>
      <c r="C152" s="10" t="s">
        <v>69</v>
      </c>
      <c r="D152" s="10" t="s">
        <v>27</v>
      </c>
    </row>
    <row r="153">
      <c r="A153" s="10">
        <v>152.0</v>
      </c>
      <c r="B153" s="11" t="s">
        <v>201</v>
      </c>
      <c r="C153" s="10" t="s">
        <v>17</v>
      </c>
      <c r="D153" s="10" t="s">
        <v>85</v>
      </c>
    </row>
    <row r="154">
      <c r="A154" s="10">
        <v>153.0</v>
      </c>
      <c r="B154" s="11" t="s">
        <v>216</v>
      </c>
      <c r="C154" s="10" t="s">
        <v>63</v>
      </c>
      <c r="D154" s="10" t="s">
        <v>25</v>
      </c>
    </row>
    <row r="155">
      <c r="A155" s="10">
        <v>154.0</v>
      </c>
      <c r="B155" s="11" t="s">
        <v>217</v>
      </c>
      <c r="C155" s="10" t="s">
        <v>218</v>
      </c>
      <c r="D155" s="10" t="s">
        <v>42</v>
      </c>
    </row>
    <row r="156">
      <c r="A156" s="10">
        <v>155.0</v>
      </c>
      <c r="B156" s="11" t="s">
        <v>287</v>
      </c>
      <c r="C156" s="10" t="s">
        <v>22</v>
      </c>
      <c r="D156" s="10" t="s">
        <v>90</v>
      </c>
    </row>
    <row r="157">
      <c r="A157" s="10">
        <v>156.0</v>
      </c>
      <c r="B157" s="11" t="s">
        <v>229</v>
      </c>
      <c r="C157" s="10" t="s">
        <v>22</v>
      </c>
      <c r="D157" s="10" t="s">
        <v>27</v>
      </c>
    </row>
    <row r="158">
      <c r="A158" s="10">
        <v>157.0</v>
      </c>
      <c r="B158" s="11" t="s">
        <v>231</v>
      </c>
      <c r="C158" s="10" t="s">
        <v>218</v>
      </c>
      <c r="D158" s="10" t="s">
        <v>206</v>
      </c>
    </row>
    <row r="159">
      <c r="A159" s="10">
        <v>158.0</v>
      </c>
      <c r="B159" s="11" t="s">
        <v>191</v>
      </c>
      <c r="C159" s="10" t="s">
        <v>79</v>
      </c>
      <c r="D159" s="10" t="s">
        <v>49</v>
      </c>
    </row>
    <row r="160">
      <c r="A160" s="10">
        <v>159.0</v>
      </c>
      <c r="B160" s="11" t="s">
        <v>241</v>
      </c>
      <c r="C160" s="10" t="s">
        <v>242</v>
      </c>
      <c r="D160" s="10" t="s">
        <v>140</v>
      </c>
    </row>
    <row r="161">
      <c r="A161" s="10">
        <v>160.0</v>
      </c>
      <c r="B161" s="11" t="s">
        <v>247</v>
      </c>
      <c r="C161" s="10" t="s">
        <v>69</v>
      </c>
      <c r="D161" s="10" t="s">
        <v>73</v>
      </c>
    </row>
    <row r="162">
      <c r="A162" s="10">
        <v>161.0</v>
      </c>
      <c r="B162" s="11" t="s">
        <v>291</v>
      </c>
      <c r="C162" s="10" t="s">
        <v>22</v>
      </c>
      <c r="D162" s="10" t="s">
        <v>27</v>
      </c>
    </row>
    <row r="163">
      <c r="A163" s="10">
        <v>162.0</v>
      </c>
      <c r="B163" s="11" t="s">
        <v>221</v>
      </c>
      <c r="C163" s="10" t="s">
        <v>20</v>
      </c>
      <c r="D163" s="10" t="s">
        <v>27</v>
      </c>
    </row>
    <row r="164">
      <c r="A164" s="10">
        <v>163.0</v>
      </c>
      <c r="B164" s="11" t="s">
        <v>210</v>
      </c>
      <c r="C164" s="10" t="s">
        <v>22</v>
      </c>
      <c r="D164" s="10" t="s">
        <v>95</v>
      </c>
    </row>
    <row r="165">
      <c r="A165" s="10">
        <v>164.0</v>
      </c>
      <c r="B165" s="11" t="s">
        <v>244</v>
      </c>
      <c r="C165" s="10" t="s">
        <v>218</v>
      </c>
      <c r="D165" s="10" t="s">
        <v>71</v>
      </c>
    </row>
    <row r="166">
      <c r="A166" s="10">
        <v>165.0</v>
      </c>
      <c r="B166" s="11" t="s">
        <v>239</v>
      </c>
      <c r="C166" s="10" t="s">
        <v>240</v>
      </c>
      <c r="D166" s="10" t="s">
        <v>105</v>
      </c>
    </row>
    <row r="167">
      <c r="A167" s="10">
        <v>166.0</v>
      </c>
      <c r="B167" s="11" t="s">
        <v>214</v>
      </c>
      <c r="C167" s="10" t="s">
        <v>189</v>
      </c>
      <c r="D167" s="10" t="s">
        <v>95</v>
      </c>
    </row>
    <row r="168">
      <c r="A168" s="10">
        <v>167.0</v>
      </c>
      <c r="B168" s="11" t="s">
        <v>230</v>
      </c>
      <c r="C168" s="10" t="s">
        <v>22</v>
      </c>
      <c r="D168" s="10" t="s">
        <v>73</v>
      </c>
    </row>
    <row r="169">
      <c r="A169" s="10">
        <v>168.0</v>
      </c>
      <c r="B169" s="11" t="s">
        <v>223</v>
      </c>
      <c r="C169" s="10" t="s">
        <v>22</v>
      </c>
      <c r="D169" s="10" t="s">
        <v>113</v>
      </c>
    </row>
    <row r="170">
      <c r="A170" s="10">
        <v>169.0</v>
      </c>
      <c r="B170" s="11" t="s">
        <v>224</v>
      </c>
      <c r="C170" s="10" t="s">
        <v>11</v>
      </c>
      <c r="D170" s="10" t="s">
        <v>137</v>
      </c>
    </row>
    <row r="171">
      <c r="A171" s="10">
        <v>170.0</v>
      </c>
      <c r="B171" s="11" t="s">
        <v>237</v>
      </c>
      <c r="C171" s="10" t="s">
        <v>48</v>
      </c>
      <c r="D171" s="10" t="s">
        <v>31</v>
      </c>
    </row>
    <row r="172">
      <c r="A172" s="10">
        <v>171.0</v>
      </c>
      <c r="B172" s="11" t="s">
        <v>234</v>
      </c>
      <c r="C172" s="10" t="s">
        <v>8</v>
      </c>
      <c r="D172" s="10" t="s">
        <v>23</v>
      </c>
    </row>
    <row r="173">
      <c r="A173" s="10">
        <v>172.0</v>
      </c>
      <c r="B173" s="11" t="s">
        <v>257</v>
      </c>
      <c r="C173" s="10" t="s">
        <v>89</v>
      </c>
      <c r="D173" s="10" t="s">
        <v>95</v>
      </c>
    </row>
    <row r="174">
      <c r="A174" s="10">
        <v>173.0</v>
      </c>
      <c r="B174" s="11" t="s">
        <v>236</v>
      </c>
      <c r="C174" s="10" t="s">
        <v>55</v>
      </c>
      <c r="D174" s="10" t="s">
        <v>67</v>
      </c>
    </row>
    <row r="175">
      <c r="A175" s="10">
        <v>174.0</v>
      </c>
      <c r="B175" s="11" t="s">
        <v>258</v>
      </c>
      <c r="C175" s="10" t="s">
        <v>218</v>
      </c>
      <c r="D175" s="10" t="s">
        <v>36</v>
      </c>
    </row>
    <row r="176">
      <c r="A176" s="10">
        <v>175.0</v>
      </c>
      <c r="B176" s="11" t="s">
        <v>253</v>
      </c>
      <c r="C176" s="10" t="s">
        <v>218</v>
      </c>
      <c r="D176" s="10" t="s">
        <v>49</v>
      </c>
    </row>
    <row r="177">
      <c r="A177" s="10">
        <v>176.0</v>
      </c>
      <c r="B177" s="11" t="s">
        <v>256</v>
      </c>
      <c r="C177" s="10" t="s">
        <v>79</v>
      </c>
      <c r="D177" s="10" t="s">
        <v>140</v>
      </c>
    </row>
    <row r="178">
      <c r="A178" s="10">
        <v>177.0</v>
      </c>
      <c r="B178" s="11" t="s">
        <v>228</v>
      </c>
      <c r="C178" s="10" t="s">
        <v>69</v>
      </c>
      <c r="D178" s="10" t="s">
        <v>113</v>
      </c>
    </row>
    <row r="179">
      <c r="A179" s="10">
        <v>178.0</v>
      </c>
      <c r="B179" s="11" t="s">
        <v>238</v>
      </c>
      <c r="C179" s="10" t="s">
        <v>22</v>
      </c>
      <c r="D179" s="10" t="s">
        <v>206</v>
      </c>
    </row>
    <row r="180">
      <c r="A180" s="10">
        <v>179.0</v>
      </c>
      <c r="B180" s="11" t="s">
        <v>213</v>
      </c>
      <c r="C180" s="10" t="s">
        <v>79</v>
      </c>
      <c r="D180" s="10" t="s">
        <v>15</v>
      </c>
    </row>
    <row r="181">
      <c r="A181" s="10">
        <v>180.0</v>
      </c>
      <c r="B181" s="11" t="s">
        <v>245</v>
      </c>
      <c r="C181" s="10" t="s">
        <v>22</v>
      </c>
      <c r="D181" s="10" t="s">
        <v>122</v>
      </c>
    </row>
    <row r="182">
      <c r="A182" s="10">
        <v>181.0</v>
      </c>
      <c r="B182" s="11" t="s">
        <v>130</v>
      </c>
      <c r="C182" s="10" t="s">
        <v>79</v>
      </c>
      <c r="D182" s="10" t="s">
        <v>49</v>
      </c>
    </row>
    <row r="183">
      <c r="A183" s="10">
        <v>182.0</v>
      </c>
      <c r="B183" s="11" t="s">
        <v>248</v>
      </c>
      <c r="C183" s="10" t="s">
        <v>63</v>
      </c>
      <c r="D183" s="10" t="s">
        <v>120</v>
      </c>
    </row>
    <row r="184">
      <c r="A184" s="10">
        <v>183.0</v>
      </c>
      <c r="B184" s="11" t="s">
        <v>273</v>
      </c>
      <c r="C184" s="10" t="s">
        <v>22</v>
      </c>
      <c r="D184" s="10" t="s">
        <v>12</v>
      </c>
    </row>
    <row r="185">
      <c r="A185" s="10">
        <v>184.0</v>
      </c>
      <c r="B185" s="11" t="s">
        <v>271</v>
      </c>
      <c r="C185" s="10" t="s">
        <v>79</v>
      </c>
      <c r="D185" s="10" t="s">
        <v>122</v>
      </c>
    </row>
    <row r="186">
      <c r="A186" s="10">
        <v>185.0</v>
      </c>
      <c r="B186" s="11" t="s">
        <v>290</v>
      </c>
      <c r="C186" s="10" t="s">
        <v>262</v>
      </c>
      <c r="D186" s="10" t="s">
        <v>46</v>
      </c>
    </row>
    <row r="187">
      <c r="A187" s="10">
        <v>186.0</v>
      </c>
      <c r="B187" s="11" t="s">
        <v>292</v>
      </c>
      <c r="C187" s="10" t="s">
        <v>69</v>
      </c>
      <c r="D187" s="10" t="s">
        <v>34</v>
      </c>
    </row>
    <row r="188">
      <c r="A188" s="10">
        <v>187.0</v>
      </c>
      <c r="B188" s="11" t="s">
        <v>252</v>
      </c>
      <c r="C188" s="10" t="s">
        <v>20</v>
      </c>
      <c r="D188" s="10" t="s">
        <v>52</v>
      </c>
    </row>
    <row r="189">
      <c r="A189" s="10">
        <v>188.0</v>
      </c>
      <c r="B189" s="11" t="s">
        <v>259</v>
      </c>
      <c r="C189" s="10" t="s">
        <v>22</v>
      </c>
      <c r="D189" s="10" t="s">
        <v>34</v>
      </c>
    </row>
    <row r="190">
      <c r="A190" s="10">
        <v>189.0</v>
      </c>
      <c r="B190" s="11" t="s">
        <v>263</v>
      </c>
      <c r="C190" s="10" t="s">
        <v>20</v>
      </c>
      <c r="D190" s="10" t="s">
        <v>206</v>
      </c>
    </row>
    <row r="191">
      <c r="A191" s="10">
        <v>190.0</v>
      </c>
      <c r="B191" s="11" t="s">
        <v>225</v>
      </c>
      <c r="C191" s="10" t="s">
        <v>11</v>
      </c>
      <c r="D191" s="10" t="s">
        <v>23</v>
      </c>
    </row>
    <row r="192">
      <c r="A192" s="10">
        <v>191.0</v>
      </c>
      <c r="B192" s="11" t="s">
        <v>261</v>
      </c>
      <c r="C192" s="10" t="s">
        <v>262</v>
      </c>
      <c r="D192" s="10" t="s">
        <v>99</v>
      </c>
    </row>
    <row r="193">
      <c r="A193" s="10">
        <v>192.0</v>
      </c>
      <c r="B193" s="11" t="s">
        <v>219</v>
      </c>
      <c r="C193" s="10" t="s">
        <v>220</v>
      </c>
      <c r="D193" s="10" t="s">
        <v>46</v>
      </c>
    </row>
    <row r="194">
      <c r="A194" s="10">
        <v>193.0</v>
      </c>
      <c r="B194" s="11" t="s">
        <v>268</v>
      </c>
      <c r="C194" s="10" t="s">
        <v>22</v>
      </c>
      <c r="D194" s="10" t="s">
        <v>105</v>
      </c>
    </row>
    <row r="195">
      <c r="A195" s="10">
        <v>194.0</v>
      </c>
      <c r="B195" s="11" t="s">
        <v>267</v>
      </c>
      <c r="C195" s="10" t="s">
        <v>22</v>
      </c>
      <c r="D195" s="10" t="s">
        <v>12</v>
      </c>
    </row>
    <row r="196">
      <c r="A196" s="10">
        <v>195.0</v>
      </c>
      <c r="B196" s="11" t="s">
        <v>272</v>
      </c>
      <c r="C196" s="10" t="s">
        <v>17</v>
      </c>
      <c r="D196" s="10" t="s">
        <v>105</v>
      </c>
    </row>
    <row r="197">
      <c r="A197" s="10">
        <v>196.0</v>
      </c>
      <c r="B197" s="11" t="s">
        <v>233</v>
      </c>
      <c r="C197" s="10" t="s">
        <v>22</v>
      </c>
      <c r="D197" s="10" t="s">
        <v>27</v>
      </c>
    </row>
    <row r="198">
      <c r="A198" s="10">
        <v>197.0</v>
      </c>
      <c r="B198" s="11" t="s">
        <v>288</v>
      </c>
      <c r="C198" s="10" t="s">
        <v>22</v>
      </c>
      <c r="D198" s="10" t="s">
        <v>12</v>
      </c>
    </row>
    <row r="199">
      <c r="A199" s="10">
        <v>198.0</v>
      </c>
      <c r="B199" s="11" t="s">
        <v>265</v>
      </c>
      <c r="C199" s="10" t="s">
        <v>22</v>
      </c>
      <c r="D199" s="10" t="s">
        <v>206</v>
      </c>
    </row>
    <row r="200">
      <c r="A200" s="10">
        <v>199.0</v>
      </c>
      <c r="B200" s="11" t="s">
        <v>276</v>
      </c>
      <c r="C200" s="10" t="s">
        <v>55</v>
      </c>
      <c r="D200" s="10" t="s">
        <v>105</v>
      </c>
    </row>
    <row r="201">
      <c r="A201" s="10">
        <v>200.0</v>
      </c>
      <c r="B201" s="11" t="s">
        <v>274</v>
      </c>
      <c r="C201" s="10" t="s">
        <v>22</v>
      </c>
      <c r="D201" s="10" t="s">
        <v>113</v>
      </c>
    </row>
    <row r="202">
      <c r="A202" s="10">
        <v>201.0</v>
      </c>
      <c r="B202" s="11" t="s">
        <v>270</v>
      </c>
      <c r="C202" s="10" t="s">
        <v>136</v>
      </c>
      <c r="D202" s="10" t="s">
        <v>9</v>
      </c>
    </row>
    <row r="203">
      <c r="A203" s="10">
        <v>202.0</v>
      </c>
      <c r="B203" s="11" t="s">
        <v>266</v>
      </c>
      <c r="C203" s="10" t="s">
        <v>22</v>
      </c>
      <c r="D203" s="10" t="s">
        <v>122</v>
      </c>
    </row>
    <row r="204">
      <c r="A204" s="10">
        <v>203.0</v>
      </c>
      <c r="B204" s="11" t="s">
        <v>277</v>
      </c>
      <c r="C204" s="10" t="s">
        <v>22</v>
      </c>
      <c r="D204" s="10" t="s">
        <v>15</v>
      </c>
    </row>
    <row r="205">
      <c r="A205" s="10">
        <v>204.0</v>
      </c>
      <c r="B205" s="11" t="s">
        <v>254</v>
      </c>
      <c r="C205" s="10" t="s">
        <v>55</v>
      </c>
      <c r="D205" s="10" t="s">
        <v>49</v>
      </c>
    </row>
    <row r="206">
      <c r="A206" s="10">
        <v>205.0</v>
      </c>
      <c r="B206" s="11" t="s">
        <v>308</v>
      </c>
      <c r="C206" s="10" t="s">
        <v>136</v>
      </c>
      <c r="D206" s="10" t="s">
        <v>52</v>
      </c>
    </row>
    <row r="207">
      <c r="A207" s="10">
        <v>206.0</v>
      </c>
      <c r="B207" s="11" t="s">
        <v>275</v>
      </c>
      <c r="C207" s="10" t="s">
        <v>20</v>
      </c>
      <c r="D207" s="10" t="s">
        <v>85</v>
      </c>
    </row>
    <row r="208">
      <c r="A208" s="10">
        <v>207.0</v>
      </c>
      <c r="B208" s="11" t="s">
        <v>255</v>
      </c>
      <c r="C208" s="10" t="s">
        <v>8</v>
      </c>
      <c r="D208" s="10" t="s">
        <v>105</v>
      </c>
    </row>
    <row r="209">
      <c r="A209" s="10">
        <v>208.0</v>
      </c>
      <c r="B209" s="11" t="s">
        <v>309</v>
      </c>
      <c r="C209" s="10" t="s">
        <v>69</v>
      </c>
      <c r="D209" s="10" t="s">
        <v>52</v>
      </c>
    </row>
    <row r="210">
      <c r="A210" s="10">
        <v>209.0</v>
      </c>
      <c r="B210" s="11" t="s">
        <v>251</v>
      </c>
      <c r="C210" s="10" t="s">
        <v>20</v>
      </c>
      <c r="D210" s="10" t="s">
        <v>122</v>
      </c>
    </row>
    <row r="211">
      <c r="A211" s="10">
        <v>210.0</v>
      </c>
      <c r="B211" s="11" t="s">
        <v>301</v>
      </c>
      <c r="C211" s="10" t="s">
        <v>22</v>
      </c>
      <c r="D211" s="10" t="s">
        <v>34</v>
      </c>
    </row>
    <row r="212">
      <c r="A212" s="10">
        <v>211.0</v>
      </c>
      <c r="B212" s="11" t="s">
        <v>264</v>
      </c>
      <c r="C212" s="10" t="s">
        <v>14</v>
      </c>
      <c r="D212" s="10" t="s">
        <v>122</v>
      </c>
    </row>
    <row r="213">
      <c r="A213" s="10">
        <v>212.0</v>
      </c>
      <c r="B213" s="11" t="s">
        <v>243</v>
      </c>
      <c r="C213" s="10" t="s">
        <v>79</v>
      </c>
      <c r="D213" s="10" t="s">
        <v>9</v>
      </c>
    </row>
    <row r="214">
      <c r="A214" s="10">
        <v>213.0</v>
      </c>
      <c r="B214" s="11" t="s">
        <v>300</v>
      </c>
      <c r="C214" s="10" t="s">
        <v>20</v>
      </c>
      <c r="D214" s="10" t="s">
        <v>71</v>
      </c>
    </row>
    <row r="215">
      <c r="A215" s="10">
        <v>214.0</v>
      </c>
      <c r="B215" s="11" t="s">
        <v>279</v>
      </c>
      <c r="C215" s="10" t="s">
        <v>22</v>
      </c>
      <c r="D215" s="10" t="s">
        <v>82</v>
      </c>
    </row>
    <row r="216">
      <c r="A216" s="10">
        <v>215.0</v>
      </c>
      <c r="B216" s="11" t="s">
        <v>299</v>
      </c>
      <c r="C216" s="10" t="s">
        <v>63</v>
      </c>
      <c r="D216" s="10" t="s">
        <v>122</v>
      </c>
    </row>
    <row r="217">
      <c r="A217" s="10">
        <v>216.0</v>
      </c>
      <c r="B217" s="11" t="s">
        <v>304</v>
      </c>
      <c r="C217" s="10" t="s">
        <v>22</v>
      </c>
      <c r="D217" s="10" t="s">
        <v>67</v>
      </c>
    </row>
    <row r="218">
      <c r="A218" s="10">
        <v>217.0</v>
      </c>
      <c r="B218" s="11" t="s">
        <v>310</v>
      </c>
      <c r="C218" s="10" t="s">
        <v>22</v>
      </c>
      <c r="D218" s="10" t="s">
        <v>15</v>
      </c>
    </row>
    <row r="219">
      <c r="A219" s="10">
        <v>218.0</v>
      </c>
      <c r="B219" s="11" t="s">
        <v>260</v>
      </c>
      <c r="C219" s="10" t="s">
        <v>48</v>
      </c>
      <c r="D219" s="10" t="s">
        <v>25</v>
      </c>
    </row>
    <row r="220">
      <c r="A220" s="10">
        <v>219.0</v>
      </c>
      <c r="B220" s="11" t="s">
        <v>316</v>
      </c>
      <c r="C220" s="10" t="s">
        <v>20</v>
      </c>
      <c r="D220" s="10" t="s">
        <v>99</v>
      </c>
    </row>
    <row r="221">
      <c r="A221" s="10">
        <v>220.0</v>
      </c>
      <c r="B221" s="11" t="s">
        <v>320</v>
      </c>
      <c r="C221" s="10" t="s">
        <v>11</v>
      </c>
      <c r="D221" s="10" t="s">
        <v>31</v>
      </c>
    </row>
    <row r="222">
      <c r="A222" s="10">
        <v>221.0</v>
      </c>
      <c r="B222" s="11" t="s">
        <v>294</v>
      </c>
      <c r="C222" s="10" t="s">
        <v>17</v>
      </c>
      <c r="D222" s="10" t="s">
        <v>73</v>
      </c>
    </row>
    <row r="223">
      <c r="A223" s="10">
        <v>222.0</v>
      </c>
      <c r="B223" s="11" t="s">
        <v>323</v>
      </c>
      <c r="C223" s="10" t="s">
        <v>39</v>
      </c>
      <c r="D223" s="10" t="s">
        <v>95</v>
      </c>
    </row>
    <row r="224">
      <c r="A224" s="10">
        <v>223.0</v>
      </c>
      <c r="B224" s="11" t="s">
        <v>280</v>
      </c>
      <c r="C224" s="10" t="s">
        <v>39</v>
      </c>
      <c r="D224" s="10" t="s">
        <v>82</v>
      </c>
    </row>
    <row r="225">
      <c r="A225" s="10">
        <v>224.0</v>
      </c>
      <c r="B225" s="11" t="s">
        <v>317</v>
      </c>
      <c r="C225" s="10" t="s">
        <v>22</v>
      </c>
      <c r="D225" s="10" t="s">
        <v>52</v>
      </c>
    </row>
    <row r="226">
      <c r="A226" s="10">
        <v>225.0</v>
      </c>
      <c r="B226" s="11" t="s">
        <v>330</v>
      </c>
      <c r="C226" s="10" t="s">
        <v>22</v>
      </c>
      <c r="D226" s="10" t="s">
        <v>36</v>
      </c>
    </row>
    <row r="227">
      <c r="A227" s="10">
        <v>226.0</v>
      </c>
      <c r="B227" s="11" t="s">
        <v>322</v>
      </c>
      <c r="C227" s="10" t="s">
        <v>22</v>
      </c>
      <c r="D227" s="10" t="s">
        <v>23</v>
      </c>
    </row>
    <row r="228">
      <c r="A228" s="10">
        <v>227.0</v>
      </c>
      <c r="B228" s="11" t="s">
        <v>282</v>
      </c>
      <c r="C228" s="10" t="s">
        <v>283</v>
      </c>
      <c r="D228" s="10" t="s">
        <v>25</v>
      </c>
    </row>
    <row r="229">
      <c r="A229" s="10">
        <v>228.0</v>
      </c>
      <c r="B229" s="11" t="s">
        <v>324</v>
      </c>
      <c r="C229" s="10" t="s">
        <v>87</v>
      </c>
      <c r="D229" s="10" t="s">
        <v>42</v>
      </c>
    </row>
    <row r="230">
      <c r="A230" s="10">
        <v>229.0</v>
      </c>
      <c r="B230" s="11" t="s">
        <v>325</v>
      </c>
      <c r="C230" s="10" t="s">
        <v>77</v>
      </c>
      <c r="D230" s="10" t="s">
        <v>49</v>
      </c>
    </row>
    <row r="231">
      <c r="A231" s="10">
        <v>230.0</v>
      </c>
      <c r="B231" s="11" t="s">
        <v>315</v>
      </c>
      <c r="C231" s="10" t="s">
        <v>79</v>
      </c>
      <c r="D231" s="10" t="s">
        <v>46</v>
      </c>
    </row>
    <row r="232">
      <c r="A232" s="10">
        <v>231.0</v>
      </c>
      <c r="B232" s="11" t="s">
        <v>338</v>
      </c>
      <c r="C232" s="10" t="s">
        <v>22</v>
      </c>
      <c r="D232" s="10" t="s">
        <v>9</v>
      </c>
    </row>
    <row r="233">
      <c r="A233" s="10">
        <v>232.0</v>
      </c>
      <c r="B233" s="11" t="s">
        <v>332</v>
      </c>
      <c r="C233" s="10" t="s">
        <v>22</v>
      </c>
      <c r="D233" s="10" t="s">
        <v>36</v>
      </c>
    </row>
    <row r="234">
      <c r="A234" s="10">
        <v>233.0</v>
      </c>
      <c r="B234" s="11" t="s">
        <v>269</v>
      </c>
      <c r="C234" s="10" t="s">
        <v>79</v>
      </c>
      <c r="D234" s="10" t="s">
        <v>137</v>
      </c>
    </row>
    <row r="235">
      <c r="A235" s="10">
        <v>234.0</v>
      </c>
      <c r="B235" s="11" t="s">
        <v>285</v>
      </c>
      <c r="C235" s="10" t="s">
        <v>286</v>
      </c>
      <c r="D235" s="10" t="s">
        <v>12</v>
      </c>
    </row>
    <row r="236">
      <c r="A236" s="10">
        <v>235.0</v>
      </c>
      <c r="B236" s="11" t="s">
        <v>334</v>
      </c>
      <c r="C236" s="10" t="s">
        <v>20</v>
      </c>
      <c r="D236" s="10" t="s">
        <v>52</v>
      </c>
    </row>
    <row r="237">
      <c r="A237" s="10">
        <v>236.0</v>
      </c>
      <c r="B237" s="11" t="s">
        <v>339</v>
      </c>
      <c r="C237" s="10" t="s">
        <v>22</v>
      </c>
      <c r="D237" s="10" t="s">
        <v>67</v>
      </c>
    </row>
    <row r="238">
      <c r="A238" s="10">
        <v>237.0</v>
      </c>
      <c r="B238" s="11" t="s">
        <v>278</v>
      </c>
      <c r="C238" s="10" t="s">
        <v>39</v>
      </c>
      <c r="D238" s="10" t="s">
        <v>12</v>
      </c>
    </row>
    <row r="239">
      <c r="A239" s="10">
        <v>238.0</v>
      </c>
      <c r="B239" s="11" t="s">
        <v>397</v>
      </c>
      <c r="C239" s="10" t="s">
        <v>14</v>
      </c>
      <c r="D239" s="10" t="s">
        <v>23</v>
      </c>
    </row>
    <row r="240">
      <c r="A240" s="10">
        <v>239.0</v>
      </c>
      <c r="B240" s="11" t="s">
        <v>337</v>
      </c>
      <c r="C240" s="10" t="s">
        <v>22</v>
      </c>
      <c r="D240" s="10" t="s">
        <v>18</v>
      </c>
    </row>
    <row r="241">
      <c r="A241" s="10">
        <v>240.0</v>
      </c>
      <c r="B241" s="11" t="s">
        <v>328</v>
      </c>
      <c r="C241" s="10" t="s">
        <v>329</v>
      </c>
      <c r="D241" s="10" t="s">
        <v>140</v>
      </c>
    </row>
    <row r="242">
      <c r="A242" s="10">
        <v>241.0</v>
      </c>
      <c r="B242" s="11" t="s">
        <v>284</v>
      </c>
      <c r="C242" s="10" t="s">
        <v>220</v>
      </c>
      <c r="D242" s="10" t="s">
        <v>31</v>
      </c>
    </row>
    <row r="243">
      <c r="A243" s="10">
        <v>242.0</v>
      </c>
      <c r="B243" s="11" t="s">
        <v>297</v>
      </c>
      <c r="C243" s="10" t="s">
        <v>22</v>
      </c>
      <c r="D243" s="10" t="s">
        <v>23</v>
      </c>
    </row>
    <row r="244">
      <c r="A244" s="10">
        <v>243.0</v>
      </c>
      <c r="B244" s="11" t="s">
        <v>306</v>
      </c>
      <c r="C244" s="10" t="s">
        <v>22</v>
      </c>
      <c r="D244" s="10" t="s">
        <v>49</v>
      </c>
    </row>
    <row r="245">
      <c r="A245" s="10">
        <v>244.0</v>
      </c>
      <c r="B245" s="11" t="s">
        <v>281</v>
      </c>
      <c r="C245" s="10" t="s">
        <v>79</v>
      </c>
      <c r="D245" s="10" t="s">
        <v>99</v>
      </c>
    </row>
    <row r="246">
      <c r="A246" s="10">
        <v>245.0</v>
      </c>
      <c r="B246" s="11" t="s">
        <v>341</v>
      </c>
      <c r="C246" s="10" t="s">
        <v>63</v>
      </c>
      <c r="D246" s="10" t="s">
        <v>99</v>
      </c>
    </row>
    <row r="247">
      <c r="A247" s="10">
        <v>246.0</v>
      </c>
      <c r="B247" s="11" t="s">
        <v>336</v>
      </c>
      <c r="C247" s="10" t="s">
        <v>89</v>
      </c>
      <c r="D247" s="10" t="s">
        <v>99</v>
      </c>
    </row>
    <row r="248">
      <c r="A248" s="10">
        <v>247.0</v>
      </c>
      <c r="B248" s="11" t="s">
        <v>307</v>
      </c>
      <c r="C248" s="10" t="s">
        <v>22</v>
      </c>
      <c r="D248" s="10" t="s">
        <v>122</v>
      </c>
    </row>
    <row r="249">
      <c r="A249" s="10">
        <v>248.0</v>
      </c>
      <c r="B249" s="11" t="s">
        <v>340</v>
      </c>
      <c r="C249" s="10" t="s">
        <v>79</v>
      </c>
      <c r="D249" s="10" t="s">
        <v>113</v>
      </c>
    </row>
    <row r="250">
      <c r="A250" s="10">
        <v>249.0</v>
      </c>
      <c r="B250" s="11" t="s">
        <v>314</v>
      </c>
      <c r="C250" s="10" t="s">
        <v>22</v>
      </c>
      <c r="D250" s="10" t="s">
        <v>82</v>
      </c>
    </row>
    <row r="251">
      <c r="A251" s="10">
        <v>250.0</v>
      </c>
      <c r="B251" s="11" t="s">
        <v>326</v>
      </c>
      <c r="C251" s="10" t="s">
        <v>327</v>
      </c>
      <c r="D251" s="10" t="s">
        <v>9</v>
      </c>
    </row>
    <row r="252">
      <c r="A252" s="10">
        <v>251.0</v>
      </c>
      <c r="B252" s="11" t="s">
        <v>303</v>
      </c>
      <c r="C252" s="10" t="s">
        <v>176</v>
      </c>
      <c r="D252" s="10" t="s">
        <v>113</v>
      </c>
    </row>
    <row r="253">
      <c r="A253" s="10">
        <v>252.0</v>
      </c>
      <c r="B253" s="11" t="s">
        <v>295</v>
      </c>
      <c r="C253" s="10" t="s">
        <v>220</v>
      </c>
      <c r="D253" s="10" t="s">
        <v>42</v>
      </c>
    </row>
    <row r="254">
      <c r="A254" s="10">
        <v>253.0</v>
      </c>
      <c r="B254" s="11" t="s">
        <v>333</v>
      </c>
      <c r="C254" s="10" t="s">
        <v>79</v>
      </c>
      <c r="D254" s="10" t="s">
        <v>42</v>
      </c>
    </row>
    <row r="255">
      <c r="A255" s="10">
        <v>254.0</v>
      </c>
      <c r="B255" s="11" t="s">
        <v>351</v>
      </c>
      <c r="C255" s="10" t="s">
        <v>136</v>
      </c>
      <c r="D255" s="10" t="s">
        <v>36</v>
      </c>
    </row>
    <row r="256">
      <c r="A256" s="10">
        <v>255.0</v>
      </c>
      <c r="B256" s="11" t="s">
        <v>318</v>
      </c>
      <c r="C256" s="10" t="s">
        <v>189</v>
      </c>
      <c r="D256" s="10" t="s">
        <v>36</v>
      </c>
    </row>
    <row r="257">
      <c r="A257" s="10">
        <v>256.0</v>
      </c>
      <c r="B257" s="11" t="s">
        <v>289</v>
      </c>
      <c r="C257" s="10" t="s">
        <v>79</v>
      </c>
      <c r="D257" s="10" t="s">
        <v>67</v>
      </c>
    </row>
    <row r="258">
      <c r="A258" s="10">
        <v>257.0</v>
      </c>
      <c r="B258" s="11" t="s">
        <v>249</v>
      </c>
      <c r="C258" s="10" t="s">
        <v>220</v>
      </c>
      <c r="D258" s="10" t="s">
        <v>31</v>
      </c>
    </row>
    <row r="259">
      <c r="A259" s="10">
        <v>258.0</v>
      </c>
      <c r="B259" s="11" t="s">
        <v>321</v>
      </c>
      <c r="C259" s="10" t="s">
        <v>79</v>
      </c>
      <c r="D259" s="10" t="s">
        <v>25</v>
      </c>
    </row>
    <row r="260">
      <c r="A260" s="10">
        <v>259.0</v>
      </c>
      <c r="B260" s="11" t="s">
        <v>342</v>
      </c>
      <c r="C260" s="10" t="s">
        <v>220</v>
      </c>
      <c r="D260" s="10" t="s">
        <v>12</v>
      </c>
    </row>
    <row r="261">
      <c r="A261" s="10">
        <v>260.0</v>
      </c>
      <c r="B261" s="11" t="s">
        <v>302</v>
      </c>
      <c r="C261" s="10" t="s">
        <v>136</v>
      </c>
      <c r="D261" s="10" t="s">
        <v>113</v>
      </c>
    </row>
    <row r="262">
      <c r="A262" s="10">
        <v>261.0</v>
      </c>
      <c r="B262" s="11" t="s">
        <v>364</v>
      </c>
      <c r="C262" s="10" t="s">
        <v>22</v>
      </c>
      <c r="D262" s="10" t="s">
        <v>71</v>
      </c>
    </row>
    <row r="263">
      <c r="A263" s="10">
        <v>262.0</v>
      </c>
      <c r="B263" s="11" t="s">
        <v>343</v>
      </c>
      <c r="C263" s="10" t="s">
        <v>79</v>
      </c>
      <c r="D263" s="10" t="s">
        <v>42</v>
      </c>
    </row>
    <row r="264">
      <c r="A264" s="10">
        <v>263.0</v>
      </c>
      <c r="B264" s="11" t="s">
        <v>335</v>
      </c>
      <c r="C264" s="10" t="s">
        <v>11</v>
      </c>
      <c r="D264" s="10" t="s">
        <v>113</v>
      </c>
    </row>
    <row r="265">
      <c r="A265" s="10">
        <v>264.0</v>
      </c>
      <c r="B265" s="11" t="s">
        <v>313</v>
      </c>
      <c r="C265" s="10" t="s">
        <v>148</v>
      </c>
      <c r="D265" s="10" t="s">
        <v>129</v>
      </c>
    </row>
    <row r="266">
      <c r="A266" s="10">
        <v>265.0</v>
      </c>
      <c r="B266" s="11" t="s">
        <v>350</v>
      </c>
      <c r="C266" s="10" t="s">
        <v>22</v>
      </c>
      <c r="D266" s="10" t="s">
        <v>31</v>
      </c>
    </row>
    <row r="267">
      <c r="A267" s="10">
        <v>266.0</v>
      </c>
      <c r="B267" s="11" t="s">
        <v>319</v>
      </c>
      <c r="C267" s="10" t="s">
        <v>79</v>
      </c>
      <c r="D267" s="10" t="s">
        <v>23</v>
      </c>
    </row>
    <row r="268">
      <c r="A268" s="10">
        <v>267.0</v>
      </c>
      <c r="B268" s="11" t="s">
        <v>586</v>
      </c>
      <c r="C268" s="10" t="s">
        <v>220</v>
      </c>
      <c r="D268" s="10" t="s">
        <v>206</v>
      </c>
    </row>
    <row r="269">
      <c r="A269" s="10">
        <v>268.0</v>
      </c>
      <c r="B269" s="11" t="s">
        <v>354</v>
      </c>
      <c r="C269" s="10" t="s">
        <v>355</v>
      </c>
      <c r="D269" s="10" t="s">
        <v>15</v>
      </c>
    </row>
    <row r="270">
      <c r="A270" s="10">
        <v>269.0</v>
      </c>
      <c r="B270" s="11" t="s">
        <v>358</v>
      </c>
      <c r="C270" s="10" t="s">
        <v>283</v>
      </c>
      <c r="D270" s="10" t="s">
        <v>206</v>
      </c>
    </row>
    <row r="271">
      <c r="A271" s="10">
        <v>270.0</v>
      </c>
      <c r="B271" s="11" t="s">
        <v>312</v>
      </c>
      <c r="C271" s="10" t="s">
        <v>77</v>
      </c>
      <c r="D271" s="10" t="s">
        <v>42</v>
      </c>
    </row>
    <row r="272">
      <c r="A272" s="10">
        <v>271.0</v>
      </c>
      <c r="B272" s="11" t="s">
        <v>344</v>
      </c>
      <c r="C272" s="10" t="s">
        <v>22</v>
      </c>
      <c r="D272" s="10" t="s">
        <v>71</v>
      </c>
    </row>
    <row r="273">
      <c r="A273" s="10">
        <v>272.0</v>
      </c>
      <c r="B273" s="11" t="s">
        <v>471</v>
      </c>
      <c r="C273" s="10" t="s">
        <v>22</v>
      </c>
      <c r="D273" s="10" t="s">
        <v>85</v>
      </c>
    </row>
    <row r="274">
      <c r="A274" s="10">
        <v>273.0</v>
      </c>
      <c r="B274" s="11" t="s">
        <v>331</v>
      </c>
      <c r="C274" s="10" t="s">
        <v>139</v>
      </c>
      <c r="D274" s="10" t="s">
        <v>42</v>
      </c>
    </row>
    <row r="275">
      <c r="A275" s="10">
        <v>274.0</v>
      </c>
      <c r="B275" s="11" t="s">
        <v>293</v>
      </c>
      <c r="C275" s="10" t="s">
        <v>77</v>
      </c>
      <c r="D275" s="10" t="s">
        <v>18</v>
      </c>
    </row>
    <row r="276">
      <c r="A276" s="10">
        <v>275.0</v>
      </c>
      <c r="B276" s="11" t="s">
        <v>367</v>
      </c>
      <c r="C276" s="10" t="s">
        <v>346</v>
      </c>
      <c r="D276" s="10" t="s">
        <v>95</v>
      </c>
    </row>
    <row r="277">
      <c r="A277" s="10">
        <v>276.0</v>
      </c>
      <c r="B277" s="11" t="s">
        <v>370</v>
      </c>
      <c r="C277" s="10" t="s">
        <v>22</v>
      </c>
      <c r="D277" s="10" t="s">
        <v>9</v>
      </c>
    </row>
    <row r="278">
      <c r="A278" s="10">
        <v>277.0</v>
      </c>
      <c r="B278" s="11" t="s">
        <v>305</v>
      </c>
      <c r="C278" s="10" t="s">
        <v>77</v>
      </c>
      <c r="D278" s="10" t="s">
        <v>71</v>
      </c>
    </row>
    <row r="279">
      <c r="A279" s="10">
        <v>278.0</v>
      </c>
      <c r="B279" s="11" t="s">
        <v>373</v>
      </c>
      <c r="C279" s="10" t="s">
        <v>139</v>
      </c>
      <c r="D279" s="10" t="s">
        <v>105</v>
      </c>
    </row>
    <row r="280">
      <c r="A280" s="10">
        <v>279.0</v>
      </c>
      <c r="B280" s="11" t="s">
        <v>363</v>
      </c>
      <c r="C280" s="10" t="s">
        <v>14</v>
      </c>
      <c r="D280" s="10" t="s">
        <v>67</v>
      </c>
    </row>
    <row r="281">
      <c r="A281" s="10">
        <v>280.0</v>
      </c>
      <c r="B281" s="11" t="s">
        <v>356</v>
      </c>
      <c r="C281" s="10" t="s">
        <v>79</v>
      </c>
      <c r="D281" s="10" t="s">
        <v>95</v>
      </c>
    </row>
    <row r="282">
      <c r="A282" s="10">
        <v>281.0</v>
      </c>
      <c r="B282" s="11" t="s">
        <v>377</v>
      </c>
      <c r="C282" s="10" t="s">
        <v>218</v>
      </c>
      <c r="D282" s="10" t="s">
        <v>122</v>
      </c>
    </row>
    <row r="283">
      <c r="A283" s="10">
        <v>282.0</v>
      </c>
      <c r="B283" s="11" t="s">
        <v>352</v>
      </c>
      <c r="C283" s="10" t="s">
        <v>220</v>
      </c>
      <c r="D283" s="10" t="s">
        <v>27</v>
      </c>
    </row>
    <row r="284">
      <c r="A284" s="10">
        <v>283.0</v>
      </c>
      <c r="B284" s="11" t="s">
        <v>383</v>
      </c>
      <c r="C284" s="10" t="s">
        <v>22</v>
      </c>
      <c r="D284" s="10" t="s">
        <v>90</v>
      </c>
    </row>
    <row r="285">
      <c r="A285" s="10">
        <v>284.0</v>
      </c>
      <c r="B285" s="11" t="s">
        <v>390</v>
      </c>
      <c r="C285" s="10" t="s">
        <v>11</v>
      </c>
      <c r="D285" s="10" t="s">
        <v>122</v>
      </c>
    </row>
    <row r="286">
      <c r="A286" s="10">
        <v>285.0</v>
      </c>
      <c r="B286" s="11" t="s">
        <v>348</v>
      </c>
      <c r="C286" s="10" t="s">
        <v>77</v>
      </c>
      <c r="D286" s="10" t="s">
        <v>140</v>
      </c>
    </row>
    <row r="287">
      <c r="A287" s="10">
        <v>286.0</v>
      </c>
      <c r="B287" s="11" t="s">
        <v>380</v>
      </c>
      <c r="C287" s="10" t="s">
        <v>77</v>
      </c>
      <c r="D287" s="10" t="s">
        <v>90</v>
      </c>
    </row>
    <row r="288">
      <c r="A288" s="10">
        <v>287.0</v>
      </c>
      <c r="B288" s="11" t="s">
        <v>298</v>
      </c>
      <c r="C288" s="10" t="s">
        <v>22</v>
      </c>
      <c r="D288" s="10" t="s">
        <v>99</v>
      </c>
    </row>
    <row r="289">
      <c r="A289" s="10">
        <v>288.0</v>
      </c>
      <c r="B289" s="11" t="s">
        <v>366</v>
      </c>
      <c r="C289" s="10" t="s">
        <v>22</v>
      </c>
      <c r="D289" s="10" t="s">
        <v>18</v>
      </c>
    </row>
    <row r="290">
      <c r="A290" s="10">
        <v>289.0</v>
      </c>
      <c r="B290" s="11" t="s">
        <v>345</v>
      </c>
      <c r="C290" s="10" t="s">
        <v>346</v>
      </c>
      <c r="D290" s="10" t="s">
        <v>36</v>
      </c>
    </row>
    <row r="291">
      <c r="A291" s="10">
        <v>290.0</v>
      </c>
      <c r="B291" s="11" t="s">
        <v>357</v>
      </c>
      <c r="C291" s="10" t="s">
        <v>55</v>
      </c>
      <c r="D291" s="10" t="s">
        <v>25</v>
      </c>
    </row>
    <row r="292">
      <c r="A292" s="10">
        <v>291.0</v>
      </c>
      <c r="B292" s="11" t="s">
        <v>384</v>
      </c>
      <c r="C292" s="10" t="s">
        <v>262</v>
      </c>
      <c r="D292" s="10" t="s">
        <v>122</v>
      </c>
    </row>
    <row r="293">
      <c r="A293" s="10">
        <v>292.0</v>
      </c>
      <c r="B293" s="11" t="s">
        <v>534</v>
      </c>
      <c r="C293" s="10" t="s">
        <v>22</v>
      </c>
      <c r="D293" s="10" t="s">
        <v>9</v>
      </c>
    </row>
    <row r="294">
      <c r="A294" s="10">
        <v>293.0</v>
      </c>
      <c r="B294" s="11" t="s">
        <v>385</v>
      </c>
      <c r="C294" s="10" t="s">
        <v>48</v>
      </c>
      <c r="D294" s="10" t="s">
        <v>71</v>
      </c>
    </row>
    <row r="295">
      <c r="A295" s="10">
        <v>294.0</v>
      </c>
      <c r="B295" s="11" t="s">
        <v>388</v>
      </c>
      <c r="C295" s="10" t="s">
        <v>20</v>
      </c>
      <c r="D295" s="10" t="s">
        <v>25</v>
      </c>
    </row>
    <row r="296">
      <c r="A296" s="10">
        <v>295.0</v>
      </c>
      <c r="B296" s="11" t="s">
        <v>361</v>
      </c>
      <c r="C296" s="10" t="s">
        <v>77</v>
      </c>
      <c r="D296" s="10" t="s">
        <v>99</v>
      </c>
    </row>
    <row r="297">
      <c r="A297" s="10">
        <v>296.0</v>
      </c>
      <c r="B297" s="11" t="s">
        <v>387</v>
      </c>
      <c r="C297" s="10" t="s">
        <v>79</v>
      </c>
      <c r="D297" s="10" t="s">
        <v>122</v>
      </c>
    </row>
    <row r="298">
      <c r="A298" s="10">
        <v>297.0</v>
      </c>
      <c r="B298" s="11" t="s">
        <v>371</v>
      </c>
      <c r="C298" s="10" t="s">
        <v>77</v>
      </c>
      <c r="D298" s="10" t="s">
        <v>120</v>
      </c>
    </row>
    <row r="299">
      <c r="A299" s="10">
        <v>298.0</v>
      </c>
      <c r="B299" s="11" t="s">
        <v>311</v>
      </c>
      <c r="C299" s="10" t="s">
        <v>55</v>
      </c>
      <c r="D299" s="10" t="s">
        <v>49</v>
      </c>
    </row>
    <row r="300">
      <c r="A300" s="10">
        <v>299.0</v>
      </c>
      <c r="B300" s="11" t="s">
        <v>391</v>
      </c>
      <c r="C300" s="10" t="s">
        <v>20</v>
      </c>
      <c r="D300" s="10" t="s">
        <v>140</v>
      </c>
    </row>
    <row r="301">
      <c r="A301" s="10">
        <v>300.0</v>
      </c>
      <c r="B301" s="11" t="s">
        <v>365</v>
      </c>
      <c r="C301" s="10" t="s">
        <v>220</v>
      </c>
      <c r="D301" s="10" t="s">
        <v>9</v>
      </c>
    </row>
    <row r="302">
      <c r="A302" s="10">
        <v>301.0</v>
      </c>
      <c r="B302" s="11" t="s">
        <v>427</v>
      </c>
      <c r="C302" s="10" t="s">
        <v>77</v>
      </c>
      <c r="D302" s="10" t="s">
        <v>73</v>
      </c>
    </row>
    <row r="303">
      <c r="A303" s="10">
        <v>302.0</v>
      </c>
      <c r="B303" s="11" t="s">
        <v>395</v>
      </c>
      <c r="C303" s="10" t="s">
        <v>20</v>
      </c>
      <c r="D303" s="10" t="s">
        <v>12</v>
      </c>
    </row>
    <row r="304">
      <c r="A304" s="10">
        <v>303.0</v>
      </c>
      <c r="B304" s="11" t="s">
        <v>405</v>
      </c>
      <c r="C304" s="10" t="s">
        <v>63</v>
      </c>
      <c r="D304" s="10" t="s">
        <v>15</v>
      </c>
    </row>
    <row r="305">
      <c r="A305" s="10">
        <v>304.0</v>
      </c>
      <c r="B305" s="11" t="s">
        <v>400</v>
      </c>
      <c r="C305" s="10" t="s">
        <v>79</v>
      </c>
      <c r="D305" s="10" t="s">
        <v>31</v>
      </c>
    </row>
    <row r="306">
      <c r="A306" s="10">
        <v>305.0</v>
      </c>
      <c r="B306" s="11" t="s">
        <v>445</v>
      </c>
      <c r="C306" s="10" t="s">
        <v>79</v>
      </c>
      <c r="D306" s="10" t="s">
        <v>82</v>
      </c>
    </row>
    <row r="307">
      <c r="A307" s="10">
        <v>306.0</v>
      </c>
      <c r="B307" s="11" t="s">
        <v>403</v>
      </c>
      <c r="C307" s="10" t="s">
        <v>150</v>
      </c>
      <c r="D307" s="10" t="s">
        <v>36</v>
      </c>
    </row>
    <row r="308">
      <c r="A308" s="10">
        <v>307.0</v>
      </c>
      <c r="B308" s="11" t="s">
        <v>398</v>
      </c>
      <c r="C308" s="10" t="s">
        <v>283</v>
      </c>
      <c r="D308" s="10" t="s">
        <v>85</v>
      </c>
    </row>
    <row r="309">
      <c r="A309" s="10">
        <v>308.0</v>
      </c>
      <c r="B309" s="11" t="s">
        <v>418</v>
      </c>
      <c r="C309" s="10" t="s">
        <v>419</v>
      </c>
      <c r="D309" s="10" t="s">
        <v>206</v>
      </c>
    </row>
    <row r="310">
      <c r="A310" s="10">
        <v>309.0</v>
      </c>
      <c r="B310" s="11" t="s">
        <v>484</v>
      </c>
      <c r="C310" s="10" t="s">
        <v>22</v>
      </c>
      <c r="D310" s="10" t="s">
        <v>90</v>
      </c>
    </row>
    <row r="311">
      <c r="A311" s="10">
        <v>310.0</v>
      </c>
      <c r="B311" s="11" t="s">
        <v>410</v>
      </c>
      <c r="C311" s="10" t="s">
        <v>55</v>
      </c>
      <c r="D311" s="10" t="s">
        <v>140</v>
      </c>
    </row>
    <row r="312">
      <c r="A312" s="10">
        <v>311.0</v>
      </c>
      <c r="B312" s="11" t="s">
        <v>376</v>
      </c>
      <c r="C312" s="10" t="s">
        <v>22</v>
      </c>
      <c r="D312" s="10" t="s">
        <v>31</v>
      </c>
    </row>
    <row r="313">
      <c r="A313" s="10">
        <v>312.0</v>
      </c>
      <c r="B313" s="11" t="s">
        <v>404</v>
      </c>
      <c r="C313" s="10" t="s">
        <v>8</v>
      </c>
      <c r="D313" s="10" t="s">
        <v>34</v>
      </c>
    </row>
    <row r="314">
      <c r="A314" s="10">
        <v>313.0</v>
      </c>
      <c r="B314" s="11" t="s">
        <v>414</v>
      </c>
      <c r="C314" s="10" t="s">
        <v>55</v>
      </c>
      <c r="D314" s="10" t="s">
        <v>71</v>
      </c>
    </row>
    <row r="315">
      <c r="A315" s="10">
        <v>314.0</v>
      </c>
      <c r="B315" s="11" t="s">
        <v>433</v>
      </c>
      <c r="C315" s="10" t="s">
        <v>434</v>
      </c>
      <c r="D315" s="10" t="s">
        <v>99</v>
      </c>
    </row>
    <row r="316">
      <c r="A316" s="10">
        <v>315.0</v>
      </c>
      <c r="B316" s="11" t="s">
        <v>474</v>
      </c>
      <c r="C316" s="10" t="s">
        <v>22</v>
      </c>
      <c r="D316" s="10" t="s">
        <v>140</v>
      </c>
    </row>
    <row r="317">
      <c r="A317" s="10">
        <v>316.0</v>
      </c>
      <c r="B317" s="11" t="s">
        <v>381</v>
      </c>
      <c r="C317" s="10" t="s">
        <v>22</v>
      </c>
      <c r="D317" s="10" t="s">
        <v>85</v>
      </c>
    </row>
    <row r="318">
      <c r="A318" s="10">
        <v>317.0</v>
      </c>
      <c r="B318" s="11" t="s">
        <v>408</v>
      </c>
      <c r="C318" s="10" t="s">
        <v>48</v>
      </c>
      <c r="D318" s="10" t="s">
        <v>206</v>
      </c>
    </row>
    <row r="319">
      <c r="A319" s="10">
        <v>318.0</v>
      </c>
      <c r="B319" s="11" t="s">
        <v>394</v>
      </c>
      <c r="C319" s="10" t="s">
        <v>77</v>
      </c>
      <c r="D319" s="10" t="s">
        <v>25</v>
      </c>
    </row>
    <row r="320">
      <c r="A320" s="10">
        <v>319.0</v>
      </c>
      <c r="B320" s="11" t="s">
        <v>451</v>
      </c>
      <c r="C320" s="10" t="s">
        <v>8</v>
      </c>
      <c r="D320" s="10" t="s">
        <v>206</v>
      </c>
    </row>
    <row r="321">
      <c r="A321" s="10">
        <v>320.0</v>
      </c>
      <c r="B321" s="11" t="s">
        <v>353</v>
      </c>
      <c r="C321" s="10" t="s">
        <v>69</v>
      </c>
      <c r="D321" s="10" t="s">
        <v>85</v>
      </c>
    </row>
    <row r="322">
      <c r="A322" s="10">
        <v>321.0</v>
      </c>
      <c r="B322" s="11" t="s">
        <v>799</v>
      </c>
      <c r="C322" s="10" t="s">
        <v>22</v>
      </c>
      <c r="D322" s="10" t="s">
        <v>18</v>
      </c>
    </row>
    <row r="323">
      <c r="A323" s="10">
        <v>322.0</v>
      </c>
      <c r="B323" s="11" t="s">
        <v>420</v>
      </c>
      <c r="C323" s="10" t="s">
        <v>14</v>
      </c>
      <c r="D323" s="10" t="s">
        <v>31</v>
      </c>
    </row>
    <row r="324">
      <c r="A324" s="10">
        <v>323.0</v>
      </c>
      <c r="B324" s="11" t="s">
        <v>412</v>
      </c>
      <c r="C324" s="10" t="s">
        <v>22</v>
      </c>
      <c r="D324" s="10" t="s">
        <v>137</v>
      </c>
    </row>
    <row r="325">
      <c r="A325" s="10">
        <v>324.0</v>
      </c>
      <c r="B325" s="11" t="s">
        <v>2074</v>
      </c>
      <c r="C325" s="10" t="s">
        <v>22</v>
      </c>
      <c r="D325" s="10" t="s">
        <v>18</v>
      </c>
    </row>
    <row r="326">
      <c r="A326" s="10">
        <v>325.0</v>
      </c>
      <c r="B326" s="11" t="s">
        <v>422</v>
      </c>
      <c r="C326" s="10" t="s">
        <v>139</v>
      </c>
      <c r="D326" s="10" t="s">
        <v>129</v>
      </c>
    </row>
    <row r="327">
      <c r="A327" s="10">
        <v>326.0</v>
      </c>
      <c r="B327" s="11" t="s">
        <v>417</v>
      </c>
      <c r="C327" s="10" t="s">
        <v>79</v>
      </c>
      <c r="D327" s="10" t="s">
        <v>90</v>
      </c>
    </row>
    <row r="328">
      <c r="A328" s="10">
        <v>327.0</v>
      </c>
      <c r="B328" s="11" t="s">
        <v>426</v>
      </c>
      <c r="C328" s="10" t="s">
        <v>14</v>
      </c>
      <c r="D328" s="10" t="s">
        <v>82</v>
      </c>
    </row>
    <row r="329">
      <c r="A329" s="10">
        <v>328.0</v>
      </c>
      <c r="B329" s="11" t="s">
        <v>556</v>
      </c>
      <c r="C329" s="10" t="s">
        <v>220</v>
      </c>
      <c r="D329" s="10" t="s">
        <v>52</v>
      </c>
    </row>
    <row r="330">
      <c r="A330" s="10">
        <v>329.0</v>
      </c>
      <c r="B330" s="11" t="s">
        <v>409</v>
      </c>
      <c r="C330" s="10" t="s">
        <v>79</v>
      </c>
      <c r="D330" s="10" t="s">
        <v>95</v>
      </c>
    </row>
    <row r="331">
      <c r="A331" s="10">
        <v>330.0</v>
      </c>
      <c r="B331" s="11" t="s">
        <v>577</v>
      </c>
      <c r="C331" s="10" t="s">
        <v>22</v>
      </c>
      <c r="D331" s="10" t="s">
        <v>25</v>
      </c>
    </row>
    <row r="332">
      <c r="A332" s="10">
        <v>331.0</v>
      </c>
      <c r="B332" s="11" t="s">
        <v>431</v>
      </c>
      <c r="C332" s="10" t="s">
        <v>79</v>
      </c>
      <c r="D332" s="10" t="s">
        <v>12</v>
      </c>
    </row>
    <row r="333">
      <c r="A333" s="10">
        <v>332.0</v>
      </c>
      <c r="B333" s="11" t="s">
        <v>435</v>
      </c>
      <c r="C333" s="10" t="s">
        <v>79</v>
      </c>
      <c r="D333" s="10" t="s">
        <v>27</v>
      </c>
    </row>
    <row r="334">
      <c r="A334" s="10">
        <v>333.0</v>
      </c>
      <c r="B334" s="11" t="s">
        <v>436</v>
      </c>
      <c r="C334" s="10" t="s">
        <v>20</v>
      </c>
      <c r="D334" s="10" t="s">
        <v>67</v>
      </c>
    </row>
    <row r="335">
      <c r="A335" s="10">
        <v>334.0</v>
      </c>
      <c r="B335" s="11" t="s">
        <v>413</v>
      </c>
      <c r="C335" s="10" t="s">
        <v>22</v>
      </c>
      <c r="D335" s="10" t="s">
        <v>120</v>
      </c>
    </row>
    <row r="336">
      <c r="A336" s="10">
        <v>335.0</v>
      </c>
      <c r="B336" s="11" t="s">
        <v>442</v>
      </c>
      <c r="C336" s="10" t="s">
        <v>218</v>
      </c>
      <c r="D336" s="10" t="s">
        <v>90</v>
      </c>
    </row>
    <row r="337">
      <c r="A337" s="10">
        <v>336.0</v>
      </c>
      <c r="B337" s="11" t="s">
        <v>438</v>
      </c>
      <c r="C337" s="10" t="s">
        <v>439</v>
      </c>
      <c r="D337" s="10" t="s">
        <v>140</v>
      </c>
    </row>
    <row r="338">
      <c r="A338" s="10">
        <v>337.0</v>
      </c>
      <c r="B338" s="11" t="s">
        <v>379</v>
      </c>
      <c r="C338" s="10" t="s">
        <v>48</v>
      </c>
      <c r="D338" s="10" t="s">
        <v>18</v>
      </c>
    </row>
    <row r="339">
      <c r="A339" s="10">
        <v>338.0</v>
      </c>
      <c r="B339" s="11" t="s">
        <v>429</v>
      </c>
      <c r="C339" s="10" t="s">
        <v>79</v>
      </c>
      <c r="D339" s="10" t="s">
        <v>129</v>
      </c>
    </row>
    <row r="340">
      <c r="A340" s="10">
        <v>339.0</v>
      </c>
      <c r="B340" s="11" t="s">
        <v>447</v>
      </c>
      <c r="C340" s="10" t="s">
        <v>79</v>
      </c>
      <c r="D340" s="10" t="s">
        <v>71</v>
      </c>
    </row>
    <row r="341">
      <c r="A341" s="10">
        <v>340.0</v>
      </c>
      <c r="B341" s="11" t="s">
        <v>441</v>
      </c>
      <c r="C341" s="10" t="s">
        <v>39</v>
      </c>
      <c r="D341" s="10" t="s">
        <v>18</v>
      </c>
    </row>
    <row r="342">
      <c r="A342" s="10">
        <v>341.0</v>
      </c>
      <c r="B342" s="11" t="s">
        <v>443</v>
      </c>
      <c r="C342" s="10" t="s">
        <v>33</v>
      </c>
      <c r="D342" s="10" t="s">
        <v>90</v>
      </c>
    </row>
    <row r="343">
      <c r="A343" s="10">
        <v>342.0</v>
      </c>
      <c r="B343" s="11" t="s">
        <v>444</v>
      </c>
      <c r="C343" s="10" t="s">
        <v>48</v>
      </c>
      <c r="D343" s="10" t="s">
        <v>90</v>
      </c>
    </row>
    <row r="344">
      <c r="A344" s="10">
        <v>343.0</v>
      </c>
      <c r="B344" s="11" t="s">
        <v>389</v>
      </c>
      <c r="C344" s="10" t="s">
        <v>79</v>
      </c>
      <c r="D344" s="10" t="s">
        <v>85</v>
      </c>
    </row>
    <row r="345">
      <c r="A345" s="10">
        <v>344.0</v>
      </c>
      <c r="B345" s="11" t="s">
        <v>378</v>
      </c>
      <c r="C345" s="10" t="s">
        <v>11</v>
      </c>
      <c r="D345" s="10" t="s">
        <v>113</v>
      </c>
    </row>
    <row r="346">
      <c r="A346" s="10">
        <v>345.0</v>
      </c>
      <c r="B346" s="11" t="s">
        <v>486</v>
      </c>
      <c r="C346" s="10" t="s">
        <v>79</v>
      </c>
      <c r="D346" s="10" t="s">
        <v>49</v>
      </c>
    </row>
    <row r="347">
      <c r="A347" s="10">
        <v>346.0</v>
      </c>
      <c r="B347" s="11" t="s">
        <v>454</v>
      </c>
      <c r="C347" s="10" t="s">
        <v>39</v>
      </c>
      <c r="D347" s="10" t="s">
        <v>42</v>
      </c>
    </row>
    <row r="348">
      <c r="A348" s="10">
        <v>347.0</v>
      </c>
      <c r="B348" s="11" t="s">
        <v>446</v>
      </c>
      <c r="C348" s="10" t="s">
        <v>11</v>
      </c>
      <c r="D348" s="10" t="s">
        <v>71</v>
      </c>
    </row>
    <row r="349">
      <c r="A349" s="10">
        <v>348.0</v>
      </c>
      <c r="B349" s="11" t="s">
        <v>396</v>
      </c>
      <c r="C349" s="10" t="s">
        <v>79</v>
      </c>
      <c r="D349" s="10" t="s">
        <v>120</v>
      </c>
    </row>
    <row r="350">
      <c r="A350" s="10">
        <v>349.0</v>
      </c>
      <c r="B350" s="11" t="s">
        <v>369</v>
      </c>
      <c r="C350" s="10" t="s">
        <v>220</v>
      </c>
      <c r="D350" s="10" t="s">
        <v>90</v>
      </c>
    </row>
    <row r="351">
      <c r="A351" s="10">
        <v>350.0</v>
      </c>
      <c r="B351" s="11" t="s">
        <v>450</v>
      </c>
      <c r="C351" s="10" t="s">
        <v>77</v>
      </c>
      <c r="D351" s="10" t="s">
        <v>82</v>
      </c>
    </row>
    <row r="352">
      <c r="A352" s="10">
        <v>351.0</v>
      </c>
      <c r="B352" s="11" t="s">
        <v>386</v>
      </c>
      <c r="C352" s="10" t="s">
        <v>77</v>
      </c>
      <c r="D352" s="10" t="s">
        <v>15</v>
      </c>
    </row>
    <row r="353">
      <c r="A353" s="10">
        <v>352.0</v>
      </c>
      <c r="B353" s="11" t="s">
        <v>455</v>
      </c>
      <c r="C353" s="10" t="s">
        <v>33</v>
      </c>
      <c r="D353" s="10" t="s">
        <v>140</v>
      </c>
    </row>
    <row r="354">
      <c r="A354" s="10">
        <v>353.0</v>
      </c>
      <c r="B354" s="11" t="s">
        <v>590</v>
      </c>
      <c r="C354" s="10" t="s">
        <v>89</v>
      </c>
      <c r="D354" s="10" t="s">
        <v>129</v>
      </c>
    </row>
    <row r="355">
      <c r="A355" s="10">
        <v>354.0</v>
      </c>
      <c r="B355" s="11" t="s">
        <v>459</v>
      </c>
      <c r="C355" s="10" t="s">
        <v>77</v>
      </c>
      <c r="D355" s="10" t="s">
        <v>113</v>
      </c>
    </row>
    <row r="356">
      <c r="A356" s="10">
        <v>355.0</v>
      </c>
      <c r="B356" s="11" t="s">
        <v>407</v>
      </c>
      <c r="C356" s="10" t="s">
        <v>240</v>
      </c>
      <c r="D356" s="10" t="s">
        <v>95</v>
      </c>
    </row>
    <row r="357">
      <c r="A357" s="10">
        <v>356.0</v>
      </c>
      <c r="B357" s="11" t="s">
        <v>462</v>
      </c>
      <c r="C357" s="10" t="s">
        <v>218</v>
      </c>
      <c r="D357" s="10" t="s">
        <v>206</v>
      </c>
    </row>
    <row r="358">
      <c r="A358" s="10">
        <v>357.0</v>
      </c>
      <c r="B358" s="11" t="s">
        <v>368</v>
      </c>
      <c r="C358" s="10" t="s">
        <v>220</v>
      </c>
      <c r="D358" s="10" t="s">
        <v>25</v>
      </c>
    </row>
    <row r="359">
      <c r="A359" s="10">
        <v>358.0</v>
      </c>
      <c r="B359" s="11" t="s">
        <v>449</v>
      </c>
      <c r="C359" s="10" t="s">
        <v>79</v>
      </c>
      <c r="D359" s="10" t="s">
        <v>206</v>
      </c>
    </row>
    <row r="360">
      <c r="A360" s="10">
        <v>359.0</v>
      </c>
      <c r="B360" s="11" t="s">
        <v>1754</v>
      </c>
      <c r="C360" s="10" t="s">
        <v>17</v>
      </c>
      <c r="D360" s="10" t="s">
        <v>71</v>
      </c>
    </row>
    <row r="361">
      <c r="A361" s="10">
        <v>360.0</v>
      </c>
      <c r="B361" s="11" t="s">
        <v>432</v>
      </c>
      <c r="C361" s="10" t="s">
        <v>220</v>
      </c>
      <c r="D361" s="10" t="s">
        <v>85</v>
      </c>
    </row>
    <row r="362">
      <c r="A362" s="10">
        <v>361.0</v>
      </c>
      <c r="B362" s="11" t="s">
        <v>825</v>
      </c>
      <c r="C362" s="10" t="s">
        <v>22</v>
      </c>
      <c r="D362" s="10" t="s">
        <v>129</v>
      </c>
    </row>
    <row r="363">
      <c r="A363" s="10">
        <v>362.0</v>
      </c>
      <c r="B363" s="11" t="s">
        <v>468</v>
      </c>
      <c r="C363" s="10" t="s">
        <v>79</v>
      </c>
      <c r="D363" s="10" t="s">
        <v>15</v>
      </c>
    </row>
    <row r="364">
      <c r="A364" s="10">
        <v>363.0</v>
      </c>
      <c r="B364" s="11" t="s">
        <v>473</v>
      </c>
      <c r="C364" s="10" t="s">
        <v>77</v>
      </c>
      <c r="D364" s="10" t="s">
        <v>206</v>
      </c>
    </row>
    <row r="365">
      <c r="A365" s="10">
        <v>364.0</v>
      </c>
      <c r="B365" s="11" t="s">
        <v>392</v>
      </c>
      <c r="C365" s="10" t="s">
        <v>79</v>
      </c>
      <c r="D365" s="10" t="s">
        <v>23</v>
      </c>
    </row>
    <row r="366">
      <c r="A366" s="10">
        <v>365.0</v>
      </c>
      <c r="B366" s="11" t="s">
        <v>465</v>
      </c>
      <c r="C366" s="10" t="s">
        <v>79</v>
      </c>
      <c r="D366" s="10" t="s">
        <v>23</v>
      </c>
    </row>
    <row r="367">
      <c r="A367" s="10">
        <v>366.0</v>
      </c>
      <c r="B367" s="11" t="s">
        <v>485</v>
      </c>
      <c r="C367" s="10" t="s">
        <v>79</v>
      </c>
      <c r="D367" s="10" t="s">
        <v>34</v>
      </c>
    </row>
    <row r="368">
      <c r="A368" s="10">
        <v>367.0</v>
      </c>
      <c r="B368" s="11" t="s">
        <v>487</v>
      </c>
      <c r="C368" s="10" t="s">
        <v>79</v>
      </c>
      <c r="D368" s="10" t="s">
        <v>122</v>
      </c>
    </row>
    <row r="369">
      <c r="A369" s="10">
        <v>368.0</v>
      </c>
      <c r="B369" s="11" t="s">
        <v>488</v>
      </c>
      <c r="C369" s="10" t="s">
        <v>79</v>
      </c>
      <c r="D369" s="10" t="s">
        <v>95</v>
      </c>
    </row>
    <row r="370">
      <c r="A370" s="10">
        <v>369.0</v>
      </c>
      <c r="B370" s="11" t="s">
        <v>430</v>
      </c>
      <c r="C370" s="10" t="s">
        <v>220</v>
      </c>
      <c r="D370" s="10" t="s">
        <v>49</v>
      </c>
    </row>
    <row r="371">
      <c r="A371" s="10">
        <v>370.0</v>
      </c>
      <c r="B371" s="11" t="s">
        <v>489</v>
      </c>
      <c r="C371" s="10" t="s">
        <v>79</v>
      </c>
      <c r="D371" s="10" t="s">
        <v>122</v>
      </c>
    </row>
    <row r="372">
      <c r="A372" s="10">
        <v>371.0</v>
      </c>
      <c r="B372" s="11" t="s">
        <v>490</v>
      </c>
      <c r="C372" s="10" t="s">
        <v>79</v>
      </c>
      <c r="D372" s="10" t="s">
        <v>46</v>
      </c>
    </row>
    <row r="373">
      <c r="A373" s="10">
        <v>372.0</v>
      </c>
      <c r="B373" s="11" t="s">
        <v>349</v>
      </c>
      <c r="C373" s="10" t="s">
        <v>22</v>
      </c>
      <c r="D373" s="10" t="s">
        <v>95</v>
      </c>
    </row>
    <row r="374">
      <c r="A374" s="10">
        <v>373.0</v>
      </c>
      <c r="B374" s="11" t="s">
        <v>491</v>
      </c>
      <c r="C374" s="10" t="s">
        <v>79</v>
      </c>
      <c r="D374" s="10" t="s">
        <v>25</v>
      </c>
    </row>
    <row r="375">
      <c r="A375" s="10">
        <v>374.0</v>
      </c>
      <c r="B375" s="11" t="s">
        <v>428</v>
      </c>
      <c r="C375" s="10" t="s">
        <v>14</v>
      </c>
      <c r="D375" s="10" t="s">
        <v>95</v>
      </c>
    </row>
    <row r="376">
      <c r="A376" s="10">
        <v>375.0</v>
      </c>
      <c r="B376" s="11" t="s">
        <v>492</v>
      </c>
      <c r="C376" s="10" t="s">
        <v>79</v>
      </c>
      <c r="D376" s="10" t="s">
        <v>113</v>
      </c>
    </row>
    <row r="377">
      <c r="A377" s="10">
        <v>376.0</v>
      </c>
      <c r="B377" s="11" t="s">
        <v>493</v>
      </c>
      <c r="C377" s="10" t="s">
        <v>220</v>
      </c>
      <c r="D377" s="10" t="s">
        <v>52</v>
      </c>
    </row>
    <row r="378">
      <c r="A378" s="10">
        <v>377.0</v>
      </c>
      <c r="B378" s="11" t="s">
        <v>494</v>
      </c>
      <c r="C378" s="10" t="s">
        <v>79</v>
      </c>
      <c r="D378" s="10" t="s">
        <v>67</v>
      </c>
    </row>
    <row r="379">
      <c r="A379" s="10">
        <v>378.0</v>
      </c>
      <c r="B379" s="11" t="s">
        <v>453</v>
      </c>
      <c r="C379" s="10" t="s">
        <v>79</v>
      </c>
      <c r="D379" s="10" t="s">
        <v>73</v>
      </c>
    </row>
    <row r="380">
      <c r="A380" s="10">
        <v>379.0</v>
      </c>
      <c r="B380" s="11" t="s">
        <v>495</v>
      </c>
      <c r="C380" s="10" t="s">
        <v>79</v>
      </c>
      <c r="D380" s="10" t="s">
        <v>15</v>
      </c>
    </row>
    <row r="381">
      <c r="A381" s="10">
        <v>380.0</v>
      </c>
      <c r="B381" s="11" t="s">
        <v>496</v>
      </c>
      <c r="C381" s="10" t="s">
        <v>79</v>
      </c>
      <c r="D381" s="10" t="s">
        <v>140</v>
      </c>
    </row>
    <row r="382">
      <c r="A382" s="10">
        <v>381.0</v>
      </c>
      <c r="B382" s="11" t="s">
        <v>497</v>
      </c>
      <c r="C382" s="10" t="s">
        <v>79</v>
      </c>
      <c r="D382" s="10" t="s">
        <v>9</v>
      </c>
    </row>
    <row r="383">
      <c r="A383" s="10">
        <v>382.0</v>
      </c>
      <c r="B383" s="11" t="s">
        <v>498</v>
      </c>
      <c r="C383" s="10" t="s">
        <v>79</v>
      </c>
      <c r="D383" s="10" t="s">
        <v>99</v>
      </c>
    </row>
    <row r="384">
      <c r="A384" s="10">
        <v>383.0</v>
      </c>
      <c r="B384" s="11" t="s">
        <v>499</v>
      </c>
      <c r="C384" s="10" t="s">
        <v>79</v>
      </c>
      <c r="D384" s="10" t="s">
        <v>25</v>
      </c>
    </row>
    <row r="385">
      <c r="A385" s="10">
        <v>384.0</v>
      </c>
      <c r="B385" s="11" t="s">
        <v>425</v>
      </c>
      <c r="C385" s="10" t="s">
        <v>14</v>
      </c>
      <c r="D385" s="10" t="s">
        <v>85</v>
      </c>
    </row>
    <row r="386">
      <c r="A386" s="10">
        <v>385.0</v>
      </c>
      <c r="B386" s="11" t="s">
        <v>452</v>
      </c>
      <c r="C386" s="10" t="s">
        <v>79</v>
      </c>
      <c r="D386" s="10" t="s">
        <v>105</v>
      </c>
    </row>
    <row r="387">
      <c r="A387" s="10">
        <v>386.0</v>
      </c>
      <c r="B387" s="11" t="s">
        <v>500</v>
      </c>
      <c r="C387" s="10" t="s">
        <v>79</v>
      </c>
      <c r="D387" s="10" t="s">
        <v>120</v>
      </c>
    </row>
    <row r="388">
      <c r="A388" s="10">
        <v>387.0</v>
      </c>
      <c r="B388" s="11" t="s">
        <v>456</v>
      </c>
      <c r="C388" s="10" t="s">
        <v>22</v>
      </c>
      <c r="D388" s="10" t="s">
        <v>95</v>
      </c>
    </row>
    <row r="389">
      <c r="A389" s="10">
        <v>388.0</v>
      </c>
      <c r="B389" s="11" t="s">
        <v>501</v>
      </c>
      <c r="C389" s="10" t="s">
        <v>79</v>
      </c>
      <c r="D389" s="10" t="s">
        <v>36</v>
      </c>
    </row>
    <row r="390">
      <c r="A390" s="10">
        <v>389.0</v>
      </c>
      <c r="B390" s="11" t="s">
        <v>502</v>
      </c>
      <c r="C390" s="10" t="s">
        <v>79</v>
      </c>
      <c r="D390" s="10" t="s">
        <v>122</v>
      </c>
    </row>
    <row r="391">
      <c r="A391" s="10">
        <v>390.0</v>
      </c>
      <c r="B391" s="11" t="s">
        <v>503</v>
      </c>
      <c r="C391" s="10" t="s">
        <v>79</v>
      </c>
      <c r="D391" s="10" t="s">
        <v>90</v>
      </c>
    </row>
    <row r="392">
      <c r="A392" s="10">
        <v>391.0</v>
      </c>
      <c r="B392" s="11" t="s">
        <v>504</v>
      </c>
      <c r="C392" s="10" t="s">
        <v>79</v>
      </c>
      <c r="D392" s="10" t="s">
        <v>129</v>
      </c>
    </row>
    <row r="393">
      <c r="A393" s="10">
        <v>392.0</v>
      </c>
      <c r="B393" s="11" t="s">
        <v>440</v>
      </c>
      <c r="C393" s="10" t="s">
        <v>189</v>
      </c>
      <c r="D393" s="10" t="s">
        <v>122</v>
      </c>
    </row>
    <row r="394">
      <c r="A394" s="10">
        <v>393.0</v>
      </c>
      <c r="B394" s="11" t="s">
        <v>505</v>
      </c>
      <c r="C394" s="10" t="s">
        <v>79</v>
      </c>
      <c r="D394" s="10" t="s">
        <v>137</v>
      </c>
    </row>
    <row r="395">
      <c r="A395" s="10">
        <v>394.0</v>
      </c>
      <c r="B395" s="11" t="s">
        <v>506</v>
      </c>
      <c r="C395" s="10" t="s">
        <v>220</v>
      </c>
      <c r="D395" s="10" t="s">
        <v>82</v>
      </c>
    </row>
    <row r="396">
      <c r="A396" s="10">
        <v>395.0</v>
      </c>
      <c r="B396" s="11" t="s">
        <v>507</v>
      </c>
      <c r="C396" s="10" t="s">
        <v>79</v>
      </c>
      <c r="D396" s="10" t="s">
        <v>23</v>
      </c>
    </row>
    <row r="397">
      <c r="A397" s="10">
        <v>396.0</v>
      </c>
      <c r="B397" s="11" t="s">
        <v>508</v>
      </c>
      <c r="C397" s="10" t="s">
        <v>22</v>
      </c>
      <c r="D397" s="10" t="s">
        <v>99</v>
      </c>
    </row>
    <row r="398">
      <c r="A398" s="10">
        <v>397.0</v>
      </c>
      <c r="B398" s="11" t="s">
        <v>460</v>
      </c>
      <c r="C398" s="10" t="s">
        <v>79</v>
      </c>
      <c r="D398" s="10" t="s">
        <v>85</v>
      </c>
    </row>
    <row r="399">
      <c r="A399" s="10">
        <v>398.0</v>
      </c>
      <c r="B399" s="11" t="s">
        <v>509</v>
      </c>
      <c r="C399" s="10" t="s">
        <v>79</v>
      </c>
      <c r="D399" s="10" t="s">
        <v>95</v>
      </c>
    </row>
    <row r="400">
      <c r="A400" s="10">
        <v>399.0</v>
      </c>
      <c r="B400" s="11" t="s">
        <v>475</v>
      </c>
      <c r="C400" s="10" t="s">
        <v>218</v>
      </c>
      <c r="D400" s="10" t="s">
        <v>129</v>
      </c>
    </row>
    <row r="401">
      <c r="A401" s="10">
        <v>400.0</v>
      </c>
      <c r="B401" s="11" t="s">
        <v>510</v>
      </c>
      <c r="C401" s="10" t="s">
        <v>79</v>
      </c>
      <c r="D401" s="10" t="s">
        <v>23</v>
      </c>
    </row>
    <row r="402">
      <c r="A402" s="10">
        <v>401.0</v>
      </c>
      <c r="B402" s="11" t="s">
        <v>472</v>
      </c>
      <c r="C402" s="10" t="s">
        <v>22</v>
      </c>
      <c r="D402" s="10" t="s">
        <v>113</v>
      </c>
    </row>
    <row r="403">
      <c r="A403" s="10">
        <v>402.0</v>
      </c>
      <c r="B403" s="11" t="s">
        <v>511</v>
      </c>
      <c r="C403" s="10" t="s">
        <v>79</v>
      </c>
      <c r="D403" s="10" t="s">
        <v>34</v>
      </c>
    </row>
    <row r="404">
      <c r="A404" s="10">
        <v>403.0</v>
      </c>
      <c r="B404" s="11" t="s">
        <v>512</v>
      </c>
      <c r="C404" s="10" t="s">
        <v>220</v>
      </c>
      <c r="D404" s="10" t="s">
        <v>122</v>
      </c>
    </row>
    <row r="405">
      <c r="A405" s="10">
        <v>404.0</v>
      </c>
      <c r="B405" s="11" t="s">
        <v>513</v>
      </c>
      <c r="C405" s="10" t="s">
        <v>79</v>
      </c>
      <c r="D405" s="10" t="s">
        <v>15</v>
      </c>
    </row>
    <row r="406">
      <c r="A406" s="10">
        <v>405.0</v>
      </c>
      <c r="B406" s="11" t="s">
        <v>514</v>
      </c>
      <c r="C406" s="10" t="s">
        <v>79</v>
      </c>
      <c r="D406" s="10" t="s">
        <v>129</v>
      </c>
    </row>
    <row r="407">
      <c r="A407" s="10">
        <v>406.0</v>
      </c>
      <c r="B407" s="11" t="s">
        <v>515</v>
      </c>
      <c r="C407" s="10" t="s">
        <v>79</v>
      </c>
      <c r="D407" s="10" t="s">
        <v>34</v>
      </c>
    </row>
    <row r="408">
      <c r="A408" s="10">
        <v>407.0</v>
      </c>
      <c r="B408" s="11" t="s">
        <v>516</v>
      </c>
      <c r="C408" s="10" t="s">
        <v>79</v>
      </c>
      <c r="D408" s="10" t="s">
        <v>122</v>
      </c>
    </row>
    <row r="409">
      <c r="A409" s="10">
        <v>408.0</v>
      </c>
      <c r="B409" s="11" t="s">
        <v>517</v>
      </c>
      <c r="C409" s="10" t="s">
        <v>79</v>
      </c>
      <c r="D409" s="10" t="s">
        <v>15</v>
      </c>
    </row>
    <row r="410">
      <c r="A410" s="10">
        <v>409.0</v>
      </c>
      <c r="B410" s="11" t="s">
        <v>518</v>
      </c>
      <c r="C410" s="10" t="s">
        <v>79</v>
      </c>
      <c r="D410" s="10" t="s">
        <v>15</v>
      </c>
    </row>
    <row r="411">
      <c r="A411" s="10">
        <v>410.0</v>
      </c>
      <c r="B411" s="11" t="s">
        <v>423</v>
      </c>
      <c r="C411" s="10" t="s">
        <v>220</v>
      </c>
      <c r="D411" s="10" t="s">
        <v>90</v>
      </c>
    </row>
    <row r="412">
      <c r="A412" s="10">
        <v>411.0</v>
      </c>
      <c r="B412" s="11" t="s">
        <v>519</v>
      </c>
      <c r="C412" s="10" t="s">
        <v>22</v>
      </c>
      <c r="D412" s="10" t="s">
        <v>113</v>
      </c>
    </row>
    <row r="413">
      <c r="A413" s="10">
        <v>412.0</v>
      </c>
      <c r="B413" s="11" t="s">
        <v>374</v>
      </c>
      <c r="C413" s="10" t="s">
        <v>375</v>
      </c>
      <c r="D413" s="10" t="s">
        <v>46</v>
      </c>
    </row>
    <row r="414">
      <c r="A414" s="10">
        <v>413.0</v>
      </c>
      <c r="B414" s="11" t="s">
        <v>520</v>
      </c>
      <c r="C414" s="10" t="s">
        <v>8</v>
      </c>
      <c r="D414" s="10" t="s">
        <v>105</v>
      </c>
    </row>
    <row r="415">
      <c r="A415" s="10">
        <v>414.0</v>
      </c>
      <c r="B415" s="11" t="s">
        <v>521</v>
      </c>
      <c r="C415" s="10" t="s">
        <v>79</v>
      </c>
      <c r="D415" s="10" t="s">
        <v>85</v>
      </c>
    </row>
    <row r="416">
      <c r="A416" s="10">
        <v>415.0</v>
      </c>
      <c r="B416" s="11" t="s">
        <v>522</v>
      </c>
      <c r="C416" s="10" t="s">
        <v>22</v>
      </c>
      <c r="D416" s="10" t="s">
        <v>42</v>
      </c>
    </row>
    <row r="417">
      <c r="A417" s="10">
        <v>416.0</v>
      </c>
      <c r="B417" s="11" t="s">
        <v>523</v>
      </c>
      <c r="C417" s="10" t="s">
        <v>79</v>
      </c>
      <c r="D417" s="10" t="s">
        <v>99</v>
      </c>
    </row>
    <row r="418">
      <c r="A418" s="10">
        <v>417.0</v>
      </c>
      <c r="B418" s="11" t="s">
        <v>399</v>
      </c>
      <c r="C418" s="10" t="s">
        <v>22</v>
      </c>
      <c r="D418" s="10" t="s">
        <v>25</v>
      </c>
    </row>
    <row r="419">
      <c r="A419" s="10">
        <v>418.0</v>
      </c>
      <c r="B419" s="11" t="s">
        <v>524</v>
      </c>
      <c r="C419" s="10" t="s">
        <v>79</v>
      </c>
      <c r="D419" s="10" t="s">
        <v>42</v>
      </c>
    </row>
    <row r="420">
      <c r="A420" s="10">
        <v>419.0</v>
      </c>
      <c r="B420" s="11" t="s">
        <v>525</v>
      </c>
      <c r="C420" s="10" t="s">
        <v>20</v>
      </c>
      <c r="D420" s="10" t="s">
        <v>113</v>
      </c>
    </row>
    <row r="421">
      <c r="A421" s="10">
        <v>420.0</v>
      </c>
      <c r="B421" s="11" t="s">
        <v>526</v>
      </c>
      <c r="C421" s="10" t="s">
        <v>79</v>
      </c>
      <c r="D421" s="10" t="s">
        <v>99</v>
      </c>
    </row>
    <row r="422">
      <c r="A422" s="10">
        <v>421.0</v>
      </c>
      <c r="B422" s="11" t="s">
        <v>527</v>
      </c>
      <c r="C422" s="10" t="s">
        <v>79</v>
      </c>
      <c r="D422" s="10" t="s">
        <v>90</v>
      </c>
    </row>
    <row r="423">
      <c r="A423" s="10">
        <v>422.0</v>
      </c>
      <c r="B423" s="11" t="s">
        <v>528</v>
      </c>
      <c r="C423" s="10" t="s">
        <v>79</v>
      </c>
      <c r="D423" s="10" t="s">
        <v>46</v>
      </c>
    </row>
    <row r="424">
      <c r="A424" s="10">
        <v>423.0</v>
      </c>
      <c r="B424" s="11" t="s">
        <v>529</v>
      </c>
      <c r="C424" s="10" t="s">
        <v>79</v>
      </c>
      <c r="D424" s="10" t="s">
        <v>31</v>
      </c>
    </row>
    <row r="425">
      <c r="A425" s="10">
        <v>424.0</v>
      </c>
      <c r="B425" s="11" t="s">
        <v>530</v>
      </c>
      <c r="C425" s="10" t="s">
        <v>79</v>
      </c>
      <c r="D425" s="10" t="s">
        <v>49</v>
      </c>
    </row>
    <row r="426">
      <c r="A426" s="10">
        <v>425.0</v>
      </c>
      <c r="B426" s="11" t="s">
        <v>531</v>
      </c>
      <c r="C426" s="10" t="s">
        <v>79</v>
      </c>
      <c r="D426" s="10" t="s">
        <v>206</v>
      </c>
    </row>
    <row r="427">
      <c r="A427" s="10">
        <v>426.0</v>
      </c>
      <c r="B427" s="11" t="s">
        <v>532</v>
      </c>
      <c r="C427" s="10" t="s">
        <v>79</v>
      </c>
      <c r="D427" s="10" t="s">
        <v>9</v>
      </c>
    </row>
    <row r="428">
      <c r="A428" s="10">
        <v>427.0</v>
      </c>
      <c r="B428" s="11" t="s">
        <v>533</v>
      </c>
      <c r="C428" s="10" t="s">
        <v>79</v>
      </c>
      <c r="D428" s="10" t="s">
        <v>105</v>
      </c>
    </row>
    <row r="429">
      <c r="A429" s="10">
        <v>428.0</v>
      </c>
      <c r="B429" s="11" t="s">
        <v>535</v>
      </c>
      <c r="C429" s="10" t="s">
        <v>79</v>
      </c>
      <c r="D429" s="10" t="s">
        <v>73</v>
      </c>
    </row>
    <row r="430">
      <c r="A430" s="10">
        <v>429.0</v>
      </c>
      <c r="B430" s="11" t="s">
        <v>536</v>
      </c>
      <c r="C430" s="10" t="s">
        <v>79</v>
      </c>
      <c r="D430" s="10" t="s">
        <v>82</v>
      </c>
    </row>
    <row r="431">
      <c r="A431" s="10">
        <v>430.0</v>
      </c>
      <c r="B431" s="11" t="s">
        <v>537</v>
      </c>
      <c r="C431" s="10" t="s">
        <v>220</v>
      </c>
      <c r="D431" s="10" t="s">
        <v>25</v>
      </c>
    </row>
    <row r="432">
      <c r="A432" s="10">
        <v>431.0</v>
      </c>
      <c r="B432" s="11" t="s">
        <v>538</v>
      </c>
      <c r="C432" s="10" t="s">
        <v>79</v>
      </c>
      <c r="D432" s="10" t="s">
        <v>129</v>
      </c>
    </row>
    <row r="433">
      <c r="A433" s="10">
        <v>432.0</v>
      </c>
      <c r="B433" s="11" t="s">
        <v>539</v>
      </c>
      <c r="C433" s="10" t="s">
        <v>79</v>
      </c>
      <c r="D433" s="10" t="s">
        <v>46</v>
      </c>
    </row>
    <row r="434">
      <c r="A434" s="10">
        <v>433.0</v>
      </c>
      <c r="B434" s="11" t="s">
        <v>540</v>
      </c>
      <c r="C434" s="10" t="s">
        <v>22</v>
      </c>
      <c r="D434" s="10" t="s">
        <v>9</v>
      </c>
    </row>
    <row r="435">
      <c r="A435" s="10">
        <v>434.0</v>
      </c>
      <c r="B435" s="11" t="s">
        <v>541</v>
      </c>
      <c r="C435" s="10" t="s">
        <v>79</v>
      </c>
      <c r="D435" s="10" t="s">
        <v>52</v>
      </c>
    </row>
    <row r="436">
      <c r="A436" s="10">
        <v>435.0</v>
      </c>
      <c r="B436" s="11" t="s">
        <v>542</v>
      </c>
      <c r="C436" s="10" t="s">
        <v>79</v>
      </c>
      <c r="D436" s="10" t="s">
        <v>34</v>
      </c>
    </row>
    <row r="437">
      <c r="A437" s="10">
        <v>436.0</v>
      </c>
      <c r="B437" s="11" t="s">
        <v>543</v>
      </c>
      <c r="C437" s="10" t="s">
        <v>79</v>
      </c>
      <c r="D437" s="10" t="s">
        <v>52</v>
      </c>
    </row>
    <row r="438">
      <c r="A438" s="10">
        <v>437.0</v>
      </c>
      <c r="B438" s="11" t="s">
        <v>544</v>
      </c>
      <c r="C438" s="10" t="s">
        <v>79</v>
      </c>
      <c r="D438" s="10" t="s">
        <v>52</v>
      </c>
    </row>
    <row r="439">
      <c r="A439" s="10">
        <v>438.0</v>
      </c>
      <c r="B439" s="11" t="s">
        <v>545</v>
      </c>
      <c r="C439" s="10" t="s">
        <v>22</v>
      </c>
      <c r="D439" s="10" t="s">
        <v>206</v>
      </c>
    </row>
    <row r="440">
      <c r="A440" s="10">
        <v>439.0</v>
      </c>
      <c r="B440" s="11" t="s">
        <v>546</v>
      </c>
      <c r="C440" s="10" t="s">
        <v>79</v>
      </c>
      <c r="D440" s="10" t="s">
        <v>85</v>
      </c>
    </row>
    <row r="441">
      <c r="A441" s="10">
        <v>440.0</v>
      </c>
      <c r="B441" s="11" t="s">
        <v>547</v>
      </c>
      <c r="C441" s="10" t="s">
        <v>79</v>
      </c>
      <c r="D441" s="10" t="s">
        <v>90</v>
      </c>
    </row>
    <row r="442">
      <c r="A442" s="10">
        <v>441.0</v>
      </c>
      <c r="B442" s="11" t="s">
        <v>548</v>
      </c>
      <c r="C442" s="10" t="s">
        <v>79</v>
      </c>
      <c r="D442" s="10" t="s">
        <v>71</v>
      </c>
    </row>
    <row r="443">
      <c r="A443" s="10">
        <v>442.0</v>
      </c>
      <c r="B443" s="11" t="s">
        <v>549</v>
      </c>
      <c r="C443" s="10" t="s">
        <v>79</v>
      </c>
      <c r="D443" s="10" t="s">
        <v>206</v>
      </c>
    </row>
    <row r="444">
      <c r="A444" s="10">
        <v>443.0</v>
      </c>
      <c r="B444" s="11" t="s">
        <v>359</v>
      </c>
      <c r="C444" s="10" t="s">
        <v>220</v>
      </c>
      <c r="D444" s="10" t="s">
        <v>23</v>
      </c>
    </row>
    <row r="445">
      <c r="A445" s="10">
        <v>444.0</v>
      </c>
      <c r="B445" s="11" t="s">
        <v>550</v>
      </c>
      <c r="C445" s="10" t="s">
        <v>22</v>
      </c>
      <c r="D445" s="10" t="s">
        <v>105</v>
      </c>
    </row>
    <row r="446">
      <c r="A446" s="10">
        <v>445.0</v>
      </c>
      <c r="B446" s="11" t="s">
        <v>551</v>
      </c>
      <c r="C446" s="10" t="s">
        <v>79</v>
      </c>
      <c r="D446" s="10" t="s">
        <v>113</v>
      </c>
    </row>
    <row r="447">
      <c r="A447" s="10">
        <v>446.0</v>
      </c>
      <c r="B447" s="11" t="s">
        <v>552</v>
      </c>
      <c r="C447" s="10" t="s">
        <v>79</v>
      </c>
      <c r="D447" s="10" t="s">
        <v>36</v>
      </c>
    </row>
    <row r="448">
      <c r="A448" s="10">
        <v>447.0</v>
      </c>
      <c r="B448" s="11" t="s">
        <v>553</v>
      </c>
      <c r="C448" s="10" t="s">
        <v>79</v>
      </c>
      <c r="D448" s="10" t="s">
        <v>31</v>
      </c>
    </row>
    <row r="449">
      <c r="A449" s="10">
        <v>448.0</v>
      </c>
      <c r="B449" s="11" t="s">
        <v>554</v>
      </c>
      <c r="C449" s="10" t="s">
        <v>79</v>
      </c>
      <c r="D449" s="10" t="s">
        <v>9</v>
      </c>
    </row>
    <row r="450">
      <c r="A450" s="10">
        <v>449.0</v>
      </c>
      <c r="B450" s="11" t="s">
        <v>555</v>
      </c>
      <c r="C450" s="10" t="s">
        <v>79</v>
      </c>
      <c r="D450" s="10" t="s">
        <v>46</v>
      </c>
    </row>
    <row r="451">
      <c r="A451" s="10">
        <v>450.0</v>
      </c>
      <c r="B451" s="11" t="s">
        <v>557</v>
      </c>
      <c r="C451" s="10" t="s">
        <v>79</v>
      </c>
      <c r="D451" s="10" t="s">
        <v>71</v>
      </c>
    </row>
    <row r="452">
      <c r="A452" s="10">
        <v>451.0</v>
      </c>
      <c r="B452" s="11" t="s">
        <v>558</v>
      </c>
      <c r="C452" s="10" t="s">
        <v>79</v>
      </c>
      <c r="D452" s="10" t="s">
        <v>122</v>
      </c>
    </row>
    <row r="453">
      <c r="A453" s="10">
        <v>452.0</v>
      </c>
      <c r="B453" s="11" t="s">
        <v>559</v>
      </c>
      <c r="C453" s="10" t="s">
        <v>79</v>
      </c>
      <c r="D453" s="10" t="s">
        <v>85</v>
      </c>
    </row>
    <row r="454">
      <c r="A454" s="10">
        <v>453.0</v>
      </c>
      <c r="B454" s="11" t="s">
        <v>560</v>
      </c>
      <c r="C454" s="10" t="s">
        <v>79</v>
      </c>
      <c r="D454" s="10" t="s">
        <v>9</v>
      </c>
    </row>
    <row r="455">
      <c r="A455" s="10">
        <v>454.0</v>
      </c>
      <c r="B455" s="11" t="s">
        <v>561</v>
      </c>
      <c r="C455" s="10" t="s">
        <v>79</v>
      </c>
      <c r="D455" s="10" t="s">
        <v>122</v>
      </c>
    </row>
    <row r="456">
      <c r="A456" s="10">
        <v>455.0</v>
      </c>
      <c r="B456" s="11" t="s">
        <v>562</v>
      </c>
      <c r="C456" s="10" t="s">
        <v>79</v>
      </c>
      <c r="D456" s="10" t="s">
        <v>25</v>
      </c>
    </row>
    <row r="457">
      <c r="A457" s="10">
        <v>456.0</v>
      </c>
      <c r="B457" s="11" t="s">
        <v>563</v>
      </c>
      <c r="C457" s="10" t="s">
        <v>79</v>
      </c>
      <c r="D457" s="10" t="s">
        <v>90</v>
      </c>
    </row>
    <row r="458">
      <c r="A458" s="10">
        <v>457.0</v>
      </c>
      <c r="B458" s="11" t="s">
        <v>564</v>
      </c>
      <c r="C458" s="10" t="s">
        <v>79</v>
      </c>
      <c r="D458" s="10" t="s">
        <v>36</v>
      </c>
    </row>
    <row r="459">
      <c r="A459" s="10">
        <v>458.0</v>
      </c>
      <c r="B459" s="11" t="s">
        <v>565</v>
      </c>
      <c r="C459" s="10" t="s">
        <v>220</v>
      </c>
      <c r="D459" s="10" t="s">
        <v>46</v>
      </c>
    </row>
    <row r="460">
      <c r="A460" s="10">
        <v>459.0</v>
      </c>
      <c r="B460" s="11" t="s">
        <v>566</v>
      </c>
      <c r="C460" s="10" t="s">
        <v>79</v>
      </c>
      <c r="D460" s="10" t="s">
        <v>67</v>
      </c>
    </row>
    <row r="461">
      <c r="A461" s="10">
        <v>460.0</v>
      </c>
      <c r="B461" s="11" t="s">
        <v>567</v>
      </c>
      <c r="C461" s="10" t="s">
        <v>79</v>
      </c>
      <c r="D461" s="10" t="s">
        <v>23</v>
      </c>
    </row>
    <row r="462">
      <c r="A462" s="10">
        <v>461.0</v>
      </c>
      <c r="B462" s="11" t="s">
        <v>568</v>
      </c>
      <c r="C462" s="10" t="s">
        <v>79</v>
      </c>
      <c r="D462" s="10" t="s">
        <v>82</v>
      </c>
    </row>
    <row r="463">
      <c r="A463" s="10">
        <v>462.0</v>
      </c>
      <c r="B463" s="11" t="s">
        <v>569</v>
      </c>
      <c r="C463" s="10" t="s">
        <v>79</v>
      </c>
      <c r="D463" s="10" t="s">
        <v>18</v>
      </c>
    </row>
    <row r="464">
      <c r="A464" s="10">
        <v>463.0</v>
      </c>
      <c r="B464" s="11" t="s">
        <v>570</v>
      </c>
      <c r="C464" s="10" t="s">
        <v>79</v>
      </c>
      <c r="D464" s="10" t="s">
        <v>90</v>
      </c>
    </row>
    <row r="465">
      <c r="A465" s="10">
        <v>464.0</v>
      </c>
      <c r="B465" s="11" t="s">
        <v>571</v>
      </c>
      <c r="C465" s="10" t="s">
        <v>79</v>
      </c>
      <c r="D465" s="10" t="s">
        <v>34</v>
      </c>
    </row>
    <row r="466">
      <c r="A466" s="10">
        <v>465.0</v>
      </c>
      <c r="B466" s="11" t="s">
        <v>572</v>
      </c>
      <c r="C466" s="10" t="s">
        <v>79</v>
      </c>
      <c r="D466" s="10" t="s">
        <v>49</v>
      </c>
    </row>
    <row r="467">
      <c r="A467" s="10">
        <v>466.0</v>
      </c>
      <c r="B467" s="11" t="s">
        <v>573</v>
      </c>
      <c r="C467" s="10" t="s">
        <v>79</v>
      </c>
      <c r="D467" s="10" t="s">
        <v>140</v>
      </c>
    </row>
    <row r="468">
      <c r="A468" s="10">
        <v>467.0</v>
      </c>
      <c r="B468" s="11" t="s">
        <v>574</v>
      </c>
      <c r="C468" s="10" t="s">
        <v>79</v>
      </c>
      <c r="D468" s="10" t="s">
        <v>9</v>
      </c>
    </row>
    <row r="469">
      <c r="A469" s="10">
        <v>468.0</v>
      </c>
      <c r="B469" s="11" t="s">
        <v>575</v>
      </c>
      <c r="C469" s="10" t="s">
        <v>79</v>
      </c>
      <c r="D469" s="10" t="s">
        <v>120</v>
      </c>
    </row>
    <row r="470">
      <c r="A470" s="10">
        <v>469.0</v>
      </c>
      <c r="B470" s="11" t="s">
        <v>576</v>
      </c>
      <c r="C470" s="10" t="s">
        <v>79</v>
      </c>
      <c r="D470" s="10" t="s">
        <v>90</v>
      </c>
    </row>
    <row r="471">
      <c r="A471" s="10">
        <v>470.0</v>
      </c>
      <c r="B471" s="11" t="s">
        <v>578</v>
      </c>
      <c r="C471" s="10" t="s">
        <v>79</v>
      </c>
      <c r="D471" s="10" t="s">
        <v>18</v>
      </c>
    </row>
    <row r="472">
      <c r="A472" s="10">
        <v>471.0</v>
      </c>
      <c r="B472" s="11" t="s">
        <v>476</v>
      </c>
      <c r="C472" s="10" t="s">
        <v>87</v>
      </c>
      <c r="D472" s="10" t="s">
        <v>90</v>
      </c>
    </row>
    <row r="473">
      <c r="A473" s="10">
        <v>472.0</v>
      </c>
      <c r="B473" s="11" t="s">
        <v>579</v>
      </c>
      <c r="C473" s="10" t="s">
        <v>79</v>
      </c>
      <c r="D473" s="10" t="s">
        <v>36</v>
      </c>
    </row>
    <row r="474">
      <c r="A474" s="10">
        <v>473.0</v>
      </c>
      <c r="B474" s="11" t="s">
        <v>580</v>
      </c>
      <c r="C474" s="10" t="s">
        <v>79</v>
      </c>
      <c r="D474" s="10" t="s">
        <v>67</v>
      </c>
    </row>
    <row r="475">
      <c r="A475" s="10">
        <v>474.0</v>
      </c>
      <c r="B475" s="11" t="s">
        <v>581</v>
      </c>
      <c r="C475" s="10" t="s">
        <v>220</v>
      </c>
      <c r="D475" s="10" t="s">
        <v>206</v>
      </c>
    </row>
    <row r="476">
      <c r="A476" s="10">
        <v>475.0</v>
      </c>
      <c r="B476" s="11" t="s">
        <v>582</v>
      </c>
      <c r="C476" s="10" t="s">
        <v>39</v>
      </c>
      <c r="D476" s="10" t="s">
        <v>67</v>
      </c>
    </row>
    <row r="477">
      <c r="A477" s="10">
        <v>476.0</v>
      </c>
      <c r="B477" s="11" t="s">
        <v>583</v>
      </c>
      <c r="C477" s="10" t="s">
        <v>79</v>
      </c>
      <c r="D477" s="10" t="s">
        <v>85</v>
      </c>
    </row>
    <row r="478">
      <c r="A478" s="10">
        <v>477.0</v>
      </c>
      <c r="B478" s="11" t="s">
        <v>584</v>
      </c>
      <c r="C478" s="10" t="s">
        <v>585</v>
      </c>
      <c r="D478" s="10" t="s">
        <v>82</v>
      </c>
    </row>
    <row r="479">
      <c r="A479" s="10">
        <v>478.0</v>
      </c>
      <c r="B479" s="11" t="s">
        <v>424</v>
      </c>
      <c r="C479" s="10" t="s">
        <v>220</v>
      </c>
      <c r="D479" s="10" t="s">
        <v>113</v>
      </c>
    </row>
    <row r="480">
      <c r="A480" s="10">
        <v>479.0</v>
      </c>
      <c r="B480" s="11" t="s">
        <v>587</v>
      </c>
      <c r="C480" s="10" t="s">
        <v>79</v>
      </c>
      <c r="D480" s="10" t="s">
        <v>49</v>
      </c>
    </row>
    <row r="481">
      <c r="A481" s="10">
        <v>480.0</v>
      </c>
      <c r="B481" s="11" t="s">
        <v>588</v>
      </c>
      <c r="C481" s="10" t="s">
        <v>79</v>
      </c>
      <c r="D481" s="10" t="s">
        <v>99</v>
      </c>
    </row>
    <row r="482">
      <c r="A482" s="10">
        <v>481.0</v>
      </c>
      <c r="B482" s="11" t="s">
        <v>589</v>
      </c>
      <c r="C482" s="10" t="s">
        <v>79</v>
      </c>
      <c r="D482" s="10" t="s">
        <v>27</v>
      </c>
    </row>
    <row r="483">
      <c r="A483" s="10">
        <v>482.0</v>
      </c>
      <c r="B483" s="11" t="s">
        <v>591</v>
      </c>
      <c r="C483" s="10" t="s">
        <v>220</v>
      </c>
      <c r="D483" s="10" t="s">
        <v>137</v>
      </c>
    </row>
    <row r="484">
      <c r="A484" s="10">
        <v>483.0</v>
      </c>
      <c r="B484" s="11" t="s">
        <v>592</v>
      </c>
      <c r="C484" s="10" t="s">
        <v>79</v>
      </c>
      <c r="D484" s="10" t="s">
        <v>90</v>
      </c>
    </row>
    <row r="485">
      <c r="A485" s="10">
        <v>484.0</v>
      </c>
      <c r="B485" s="11" t="s">
        <v>593</v>
      </c>
      <c r="C485" s="10" t="s">
        <v>79</v>
      </c>
      <c r="D485" s="10" t="s">
        <v>46</v>
      </c>
    </row>
    <row r="486">
      <c r="A486" s="10">
        <v>485.0</v>
      </c>
      <c r="B486" s="11" t="s">
        <v>594</v>
      </c>
      <c r="C486" s="10" t="s">
        <v>79</v>
      </c>
      <c r="D486" s="10" t="s">
        <v>27</v>
      </c>
    </row>
    <row r="487">
      <c r="A487" s="10">
        <v>486.0</v>
      </c>
      <c r="B487" s="11" t="s">
        <v>595</v>
      </c>
      <c r="C487" s="10" t="s">
        <v>79</v>
      </c>
      <c r="D487" s="10" t="s">
        <v>140</v>
      </c>
    </row>
    <row r="488">
      <c r="A488" s="10">
        <v>487.0</v>
      </c>
      <c r="B488" s="11" t="s">
        <v>596</v>
      </c>
      <c r="C488" s="10" t="s">
        <v>79</v>
      </c>
      <c r="D488" s="10" t="s">
        <v>206</v>
      </c>
    </row>
    <row r="489">
      <c r="A489" s="10">
        <v>488.0</v>
      </c>
      <c r="B489" s="11" t="s">
        <v>597</v>
      </c>
      <c r="C489" s="10" t="s">
        <v>79</v>
      </c>
      <c r="D489" s="10" t="s">
        <v>71</v>
      </c>
    </row>
    <row r="490">
      <c r="A490" s="10">
        <v>489.0</v>
      </c>
      <c r="B490" s="11" t="s">
        <v>598</v>
      </c>
      <c r="C490" s="10" t="s">
        <v>79</v>
      </c>
      <c r="D490" s="10" t="s">
        <v>49</v>
      </c>
    </row>
    <row r="491">
      <c r="A491" s="10">
        <v>490.0</v>
      </c>
      <c r="B491" s="11" t="s">
        <v>599</v>
      </c>
      <c r="C491" s="10" t="s">
        <v>79</v>
      </c>
      <c r="D491" s="10" t="s">
        <v>113</v>
      </c>
    </row>
    <row r="492">
      <c r="A492" s="10">
        <v>491.0</v>
      </c>
      <c r="B492" s="11" t="s">
        <v>600</v>
      </c>
      <c r="C492" s="10" t="s">
        <v>79</v>
      </c>
      <c r="D492" s="10" t="s">
        <v>36</v>
      </c>
    </row>
    <row r="493">
      <c r="A493" s="10">
        <v>492.0</v>
      </c>
      <c r="B493" s="11" t="s">
        <v>601</v>
      </c>
      <c r="C493" s="10" t="s">
        <v>79</v>
      </c>
      <c r="D493" s="10" t="s">
        <v>52</v>
      </c>
    </row>
    <row r="494">
      <c r="A494" s="10">
        <v>493.0</v>
      </c>
      <c r="B494" s="11" t="s">
        <v>602</v>
      </c>
      <c r="C494" s="10" t="s">
        <v>79</v>
      </c>
      <c r="D494" s="10" t="s">
        <v>42</v>
      </c>
    </row>
    <row r="495">
      <c r="A495" s="10">
        <v>494.0</v>
      </c>
      <c r="B495" s="11" t="s">
        <v>603</v>
      </c>
      <c r="C495" s="10" t="s">
        <v>79</v>
      </c>
      <c r="D495" s="10" t="s">
        <v>120</v>
      </c>
    </row>
    <row r="496">
      <c r="A496" s="10">
        <v>495.0</v>
      </c>
      <c r="B496" s="11" t="s">
        <v>604</v>
      </c>
      <c r="C496" s="10" t="s">
        <v>22</v>
      </c>
      <c r="D496" s="10" t="s">
        <v>140</v>
      </c>
    </row>
    <row r="497">
      <c r="A497" s="10">
        <v>496.0</v>
      </c>
      <c r="B497" s="11" t="s">
        <v>605</v>
      </c>
      <c r="C497" s="10" t="s">
        <v>79</v>
      </c>
      <c r="D497" s="10" t="s">
        <v>12</v>
      </c>
    </row>
    <row r="498">
      <c r="A498" s="10">
        <v>497.0</v>
      </c>
      <c r="B498" s="11" t="s">
        <v>606</v>
      </c>
      <c r="C498" s="10" t="s">
        <v>79</v>
      </c>
      <c r="D498" s="10" t="s">
        <v>12</v>
      </c>
    </row>
    <row r="499">
      <c r="A499" s="10">
        <v>498.0</v>
      </c>
      <c r="B499" s="11" t="s">
        <v>607</v>
      </c>
      <c r="C499" s="10" t="s">
        <v>79</v>
      </c>
      <c r="D499" s="10" t="s">
        <v>95</v>
      </c>
    </row>
    <row r="500">
      <c r="A500" s="10">
        <v>499.0</v>
      </c>
      <c r="B500" s="11" t="s">
        <v>608</v>
      </c>
      <c r="C500" s="10" t="s">
        <v>220</v>
      </c>
      <c r="D500" s="10" t="s">
        <v>34</v>
      </c>
    </row>
    <row r="501">
      <c r="A501" s="10">
        <v>500.0</v>
      </c>
      <c r="B501" s="11" t="s">
        <v>609</v>
      </c>
      <c r="C501" s="10" t="s">
        <v>22</v>
      </c>
      <c r="D501" s="10" t="s">
        <v>18</v>
      </c>
    </row>
    <row r="502">
      <c r="A502" s="10">
        <v>501.0</v>
      </c>
      <c r="B502" s="11" t="s">
        <v>610</v>
      </c>
      <c r="C502" s="10" t="s">
        <v>79</v>
      </c>
      <c r="D502" s="10" t="s">
        <v>99</v>
      </c>
    </row>
    <row r="503">
      <c r="A503" s="10">
        <v>502.0</v>
      </c>
      <c r="B503" s="11" t="s">
        <v>611</v>
      </c>
      <c r="C503" s="10" t="s">
        <v>79</v>
      </c>
      <c r="D503" s="10" t="s">
        <v>25</v>
      </c>
    </row>
    <row r="504">
      <c r="A504" s="10">
        <v>503.0</v>
      </c>
      <c r="B504" s="11" t="s">
        <v>612</v>
      </c>
      <c r="C504" s="10" t="s">
        <v>79</v>
      </c>
      <c r="D504" s="10" t="s">
        <v>36</v>
      </c>
    </row>
    <row r="505">
      <c r="A505" s="10">
        <v>504.0</v>
      </c>
      <c r="B505" s="11" t="s">
        <v>613</v>
      </c>
      <c r="C505" s="10" t="s">
        <v>79</v>
      </c>
      <c r="D505" s="10" t="s">
        <v>71</v>
      </c>
    </row>
    <row r="506">
      <c r="A506" s="10">
        <v>505.0</v>
      </c>
      <c r="B506" s="11" t="s">
        <v>614</v>
      </c>
      <c r="C506" s="10" t="s">
        <v>615</v>
      </c>
      <c r="D506" s="10" t="s">
        <v>71</v>
      </c>
    </row>
    <row r="507">
      <c r="A507" s="10">
        <v>506.0</v>
      </c>
      <c r="B507" s="11" t="s">
        <v>616</v>
      </c>
      <c r="C507" s="10" t="s">
        <v>218</v>
      </c>
      <c r="D507" s="10" t="s">
        <v>36</v>
      </c>
    </row>
    <row r="508">
      <c r="A508" s="10">
        <v>507.0</v>
      </c>
      <c r="B508" s="11" t="s">
        <v>617</v>
      </c>
      <c r="C508" s="10" t="s">
        <v>79</v>
      </c>
      <c r="D508" s="10" t="s">
        <v>49</v>
      </c>
    </row>
    <row r="509">
      <c r="A509" s="10">
        <v>508.0</v>
      </c>
      <c r="B509" s="11" t="s">
        <v>618</v>
      </c>
      <c r="C509" s="10" t="s">
        <v>619</v>
      </c>
      <c r="D509" s="10" t="s">
        <v>95</v>
      </c>
    </row>
    <row r="510">
      <c r="A510" s="10">
        <v>509.0</v>
      </c>
      <c r="B510" s="11" t="s">
        <v>620</v>
      </c>
      <c r="C510" s="10" t="s">
        <v>220</v>
      </c>
      <c r="D510" s="10" t="s">
        <v>206</v>
      </c>
    </row>
    <row r="511">
      <c r="A511" s="10">
        <v>510.0</v>
      </c>
      <c r="B511" s="11" t="s">
        <v>621</v>
      </c>
      <c r="C511" s="10" t="s">
        <v>220</v>
      </c>
      <c r="D511" s="10" t="s">
        <v>206</v>
      </c>
    </row>
    <row r="512">
      <c r="A512" s="10">
        <v>511.0</v>
      </c>
      <c r="B512" s="11" t="s">
        <v>622</v>
      </c>
      <c r="C512" s="10" t="s">
        <v>220</v>
      </c>
      <c r="D512" s="10" t="s">
        <v>67</v>
      </c>
    </row>
    <row r="513">
      <c r="A513" s="10">
        <v>512.0</v>
      </c>
      <c r="B513" s="11" t="s">
        <v>623</v>
      </c>
      <c r="C513" s="10" t="s">
        <v>79</v>
      </c>
      <c r="D513" s="10" t="s">
        <v>105</v>
      </c>
    </row>
    <row r="514">
      <c r="A514" s="10">
        <v>513.0</v>
      </c>
      <c r="B514" s="11" t="s">
        <v>624</v>
      </c>
      <c r="C514" s="10" t="s">
        <v>79</v>
      </c>
      <c r="D514" s="10" t="s">
        <v>71</v>
      </c>
    </row>
    <row r="515">
      <c r="A515" s="10">
        <v>514.0</v>
      </c>
      <c r="B515" s="11" t="s">
        <v>625</v>
      </c>
      <c r="C515" s="10" t="s">
        <v>79</v>
      </c>
      <c r="D515" s="10" t="s">
        <v>206</v>
      </c>
    </row>
    <row r="516">
      <c r="A516" s="10">
        <v>515.0</v>
      </c>
      <c r="B516" s="11" t="s">
        <v>626</v>
      </c>
      <c r="C516" s="10" t="s">
        <v>79</v>
      </c>
      <c r="D516" s="10" t="s">
        <v>67</v>
      </c>
    </row>
    <row r="517">
      <c r="A517" s="10">
        <v>516.0</v>
      </c>
      <c r="B517" s="11" t="s">
        <v>627</v>
      </c>
      <c r="C517" s="10" t="s">
        <v>220</v>
      </c>
      <c r="D517" s="10" t="s">
        <v>129</v>
      </c>
    </row>
    <row r="518">
      <c r="A518" s="10">
        <v>517.0</v>
      </c>
      <c r="B518" s="11" t="s">
        <v>628</v>
      </c>
      <c r="C518" s="10" t="s">
        <v>79</v>
      </c>
      <c r="D518" s="10" t="s">
        <v>206</v>
      </c>
    </row>
    <row r="519">
      <c r="A519" s="10">
        <v>518.0</v>
      </c>
      <c r="B519" s="11" t="s">
        <v>629</v>
      </c>
      <c r="C519" s="10" t="s">
        <v>218</v>
      </c>
      <c r="D519" s="10" t="s">
        <v>122</v>
      </c>
    </row>
    <row r="520">
      <c r="A520" s="10">
        <v>519.0</v>
      </c>
      <c r="B520" s="11" t="s">
        <v>630</v>
      </c>
      <c r="C520" s="10" t="s">
        <v>79</v>
      </c>
      <c r="D520" s="10" t="s">
        <v>82</v>
      </c>
    </row>
    <row r="521">
      <c r="A521" s="10">
        <v>520.0</v>
      </c>
      <c r="B521" s="11" t="s">
        <v>631</v>
      </c>
      <c r="C521" s="10" t="s">
        <v>79</v>
      </c>
      <c r="D521" s="10" t="s">
        <v>99</v>
      </c>
    </row>
    <row r="522">
      <c r="A522" s="10">
        <v>521.0</v>
      </c>
      <c r="B522" s="11" t="s">
        <v>632</v>
      </c>
      <c r="C522" s="10" t="s">
        <v>79</v>
      </c>
      <c r="D522" s="10" t="s">
        <v>52</v>
      </c>
    </row>
    <row r="523">
      <c r="A523" s="10">
        <v>522.0</v>
      </c>
      <c r="B523" s="11" t="s">
        <v>633</v>
      </c>
      <c r="C523" s="10" t="s">
        <v>199</v>
      </c>
      <c r="D523" s="10" t="s">
        <v>46</v>
      </c>
    </row>
    <row r="524">
      <c r="A524" s="10">
        <v>523.0</v>
      </c>
      <c r="B524" s="11" t="s">
        <v>634</v>
      </c>
      <c r="C524" s="10" t="s">
        <v>220</v>
      </c>
      <c r="D524" s="10" t="s">
        <v>9</v>
      </c>
    </row>
    <row r="525">
      <c r="A525" s="10">
        <v>524.0</v>
      </c>
      <c r="B525" s="11" t="s">
        <v>635</v>
      </c>
      <c r="C525" s="10" t="s">
        <v>22</v>
      </c>
      <c r="D525" s="10" t="s">
        <v>129</v>
      </c>
    </row>
    <row r="526">
      <c r="A526" s="10">
        <v>525.0</v>
      </c>
      <c r="B526" s="11" t="s">
        <v>636</v>
      </c>
      <c r="C526" s="10" t="s">
        <v>22</v>
      </c>
      <c r="D526" s="10" t="s">
        <v>73</v>
      </c>
    </row>
    <row r="527">
      <c r="A527" s="10">
        <v>526.0</v>
      </c>
      <c r="B527" s="11" t="s">
        <v>637</v>
      </c>
      <c r="C527" s="10" t="s">
        <v>79</v>
      </c>
      <c r="D527" s="10" t="s">
        <v>31</v>
      </c>
    </row>
    <row r="528">
      <c r="A528" s="10">
        <v>527.0</v>
      </c>
      <c r="B528" s="11" t="s">
        <v>638</v>
      </c>
      <c r="C528" s="10" t="s">
        <v>79</v>
      </c>
      <c r="D528" s="10" t="s">
        <v>49</v>
      </c>
    </row>
    <row r="529">
      <c r="A529" s="10">
        <v>528.0</v>
      </c>
      <c r="B529" s="11" t="s">
        <v>639</v>
      </c>
      <c r="C529" s="10" t="s">
        <v>79</v>
      </c>
      <c r="D529" s="10" t="s">
        <v>15</v>
      </c>
    </row>
    <row r="530">
      <c r="A530" s="10">
        <v>529.0</v>
      </c>
      <c r="B530" s="11" t="s">
        <v>640</v>
      </c>
      <c r="C530" s="10" t="s">
        <v>79</v>
      </c>
      <c r="D530" s="10" t="s">
        <v>46</v>
      </c>
    </row>
    <row r="531">
      <c r="A531" s="10">
        <v>530.0</v>
      </c>
      <c r="B531" s="11" t="s">
        <v>641</v>
      </c>
      <c r="C531" s="10" t="s">
        <v>79</v>
      </c>
      <c r="D531" s="10" t="s">
        <v>122</v>
      </c>
    </row>
    <row r="532">
      <c r="A532" s="10">
        <v>531.0</v>
      </c>
      <c r="B532" s="11" t="s">
        <v>642</v>
      </c>
      <c r="C532" s="10" t="s">
        <v>346</v>
      </c>
      <c r="D532" s="10" t="s">
        <v>120</v>
      </c>
    </row>
    <row r="533">
      <c r="A533" s="10">
        <v>532.0</v>
      </c>
      <c r="B533" s="11" t="s">
        <v>643</v>
      </c>
      <c r="C533" s="10" t="s">
        <v>79</v>
      </c>
      <c r="D533" s="10" t="s">
        <v>52</v>
      </c>
    </row>
    <row r="534">
      <c r="A534" s="10">
        <v>533.0</v>
      </c>
      <c r="B534" s="11" t="s">
        <v>402</v>
      </c>
      <c r="C534" s="10" t="s">
        <v>22</v>
      </c>
      <c r="D534" s="10" t="s">
        <v>42</v>
      </c>
    </row>
    <row r="535">
      <c r="A535" s="10">
        <v>534.0</v>
      </c>
      <c r="B535" s="11" t="s">
        <v>347</v>
      </c>
      <c r="C535" s="10" t="s">
        <v>22</v>
      </c>
      <c r="D535" s="10" t="s">
        <v>99</v>
      </c>
    </row>
    <row r="536">
      <c r="A536" s="10">
        <v>535.0</v>
      </c>
      <c r="B536" s="11" t="s">
        <v>644</v>
      </c>
      <c r="C536" s="10" t="s">
        <v>79</v>
      </c>
      <c r="D536" s="10" t="s">
        <v>90</v>
      </c>
    </row>
    <row r="537">
      <c r="A537" s="10">
        <v>536.0</v>
      </c>
      <c r="B537" s="11" t="s">
        <v>645</v>
      </c>
      <c r="C537" s="10" t="s">
        <v>22</v>
      </c>
      <c r="D537" s="10" t="s">
        <v>113</v>
      </c>
    </row>
    <row r="538">
      <c r="A538" s="10">
        <v>537.0</v>
      </c>
      <c r="B538" s="11" t="s">
        <v>646</v>
      </c>
      <c r="C538" s="10" t="s">
        <v>79</v>
      </c>
      <c r="D538" s="10" t="s">
        <v>113</v>
      </c>
    </row>
    <row r="539">
      <c r="A539" s="10">
        <v>538.0</v>
      </c>
      <c r="B539" s="11" t="s">
        <v>647</v>
      </c>
      <c r="C539" s="10" t="s">
        <v>79</v>
      </c>
      <c r="D539" s="10" t="s">
        <v>113</v>
      </c>
    </row>
    <row r="540">
      <c r="A540" s="10">
        <v>539.0</v>
      </c>
      <c r="B540" s="11" t="s">
        <v>648</v>
      </c>
      <c r="C540" s="10" t="s">
        <v>220</v>
      </c>
      <c r="D540" s="10" t="s">
        <v>52</v>
      </c>
    </row>
    <row r="541">
      <c r="A541" s="10">
        <v>540.0</v>
      </c>
      <c r="B541" s="11" t="s">
        <v>649</v>
      </c>
      <c r="C541" s="10" t="s">
        <v>220</v>
      </c>
      <c r="D541" s="10" t="s">
        <v>90</v>
      </c>
    </row>
    <row r="542">
      <c r="A542" s="10">
        <v>541.0</v>
      </c>
      <c r="B542" s="11" t="s">
        <v>650</v>
      </c>
      <c r="C542" s="10" t="s">
        <v>79</v>
      </c>
      <c r="D542" s="10" t="s">
        <v>82</v>
      </c>
    </row>
    <row r="543">
      <c r="A543" s="10">
        <v>542.0</v>
      </c>
      <c r="B543" s="11" t="s">
        <v>651</v>
      </c>
      <c r="C543" s="10" t="s">
        <v>150</v>
      </c>
      <c r="D543" s="10" t="s">
        <v>122</v>
      </c>
    </row>
    <row r="544">
      <c r="A544" s="10">
        <v>543.0</v>
      </c>
      <c r="B544" s="11" t="s">
        <v>652</v>
      </c>
      <c r="C544" s="10" t="s">
        <v>79</v>
      </c>
      <c r="D544" s="10" t="s">
        <v>140</v>
      </c>
    </row>
    <row r="545">
      <c r="A545" s="10">
        <v>544.0</v>
      </c>
      <c r="B545" s="11" t="s">
        <v>653</v>
      </c>
      <c r="C545" s="10" t="s">
        <v>79</v>
      </c>
      <c r="D545" s="10" t="s">
        <v>71</v>
      </c>
    </row>
    <row r="546">
      <c r="A546" s="10">
        <v>545.0</v>
      </c>
      <c r="B546" s="11" t="s">
        <v>654</v>
      </c>
      <c r="C546" s="10" t="s">
        <v>220</v>
      </c>
      <c r="D546" s="10" t="s">
        <v>18</v>
      </c>
    </row>
    <row r="547">
      <c r="A547" s="10">
        <v>546.0</v>
      </c>
      <c r="B547" s="11" t="s">
        <v>655</v>
      </c>
      <c r="C547" s="10" t="s">
        <v>79</v>
      </c>
      <c r="D547" s="10" t="s">
        <v>31</v>
      </c>
    </row>
    <row r="548">
      <c r="A548" s="10">
        <v>547.0</v>
      </c>
      <c r="B548" s="11" t="s">
        <v>656</v>
      </c>
      <c r="C548" s="10" t="s">
        <v>79</v>
      </c>
      <c r="D548" s="10" t="s">
        <v>49</v>
      </c>
    </row>
    <row r="549">
      <c r="A549" s="10">
        <v>548.0</v>
      </c>
      <c r="B549" s="11" t="s">
        <v>657</v>
      </c>
      <c r="C549" s="10" t="s">
        <v>39</v>
      </c>
      <c r="D549" s="10" t="s">
        <v>90</v>
      </c>
    </row>
    <row r="550">
      <c r="A550" s="10">
        <v>549.0</v>
      </c>
      <c r="B550" s="11" t="s">
        <v>481</v>
      </c>
      <c r="C550" s="10" t="s">
        <v>22</v>
      </c>
      <c r="D550" s="10" t="s">
        <v>140</v>
      </c>
    </row>
    <row r="551">
      <c r="A551" s="10">
        <v>550.0</v>
      </c>
      <c r="B551" s="11" t="s">
        <v>658</v>
      </c>
      <c r="C551" s="10" t="s">
        <v>136</v>
      </c>
      <c r="D551" s="10" t="s">
        <v>31</v>
      </c>
    </row>
    <row r="552">
      <c r="A552" s="10">
        <v>551.0</v>
      </c>
      <c r="B552" s="11" t="s">
        <v>659</v>
      </c>
      <c r="C552" s="10" t="s">
        <v>79</v>
      </c>
      <c r="D552" s="10" t="s">
        <v>71</v>
      </c>
    </row>
    <row r="553">
      <c r="A553" s="10">
        <v>552.0</v>
      </c>
      <c r="B553" s="11" t="s">
        <v>464</v>
      </c>
      <c r="C553" s="10" t="s">
        <v>22</v>
      </c>
      <c r="D553" s="10" t="s">
        <v>23</v>
      </c>
    </row>
    <row r="554">
      <c r="A554" s="10">
        <v>553.0</v>
      </c>
      <c r="B554" s="11" t="s">
        <v>660</v>
      </c>
      <c r="C554" s="10" t="s">
        <v>79</v>
      </c>
      <c r="D554" s="10" t="s">
        <v>46</v>
      </c>
    </row>
    <row r="555">
      <c r="A555" s="10">
        <v>554.0</v>
      </c>
      <c r="B555" s="11" t="s">
        <v>661</v>
      </c>
      <c r="C555" s="10" t="s">
        <v>585</v>
      </c>
      <c r="D555" s="10" t="s">
        <v>90</v>
      </c>
    </row>
    <row r="556">
      <c r="A556" s="10">
        <v>555.0</v>
      </c>
      <c r="B556" s="11" t="s">
        <v>662</v>
      </c>
      <c r="C556" s="10" t="s">
        <v>79</v>
      </c>
      <c r="D556" s="10" t="s">
        <v>27</v>
      </c>
    </row>
    <row r="557">
      <c r="A557" s="10">
        <v>556.0</v>
      </c>
      <c r="B557" s="11" t="s">
        <v>663</v>
      </c>
      <c r="C557" s="10" t="s">
        <v>79</v>
      </c>
      <c r="D557" s="10" t="s">
        <v>15</v>
      </c>
    </row>
    <row r="558">
      <c r="A558" s="10">
        <v>557.0</v>
      </c>
      <c r="B558" s="11" t="s">
        <v>664</v>
      </c>
      <c r="C558" s="10" t="s">
        <v>79</v>
      </c>
      <c r="D558" s="10" t="s">
        <v>90</v>
      </c>
    </row>
    <row r="559">
      <c r="A559" s="10">
        <v>558.0</v>
      </c>
      <c r="B559" s="11" t="s">
        <v>665</v>
      </c>
      <c r="C559" s="10" t="s">
        <v>79</v>
      </c>
      <c r="D559" s="10" t="s">
        <v>67</v>
      </c>
    </row>
    <row r="560">
      <c r="A560" s="10">
        <v>559.0</v>
      </c>
      <c r="B560" s="11" t="s">
        <v>666</v>
      </c>
      <c r="C560" s="10" t="s">
        <v>79</v>
      </c>
      <c r="D560" s="10" t="s">
        <v>9</v>
      </c>
    </row>
    <row r="561">
      <c r="A561" s="10">
        <v>560.0</v>
      </c>
      <c r="B561" s="11" t="s">
        <v>667</v>
      </c>
      <c r="C561" s="10" t="s">
        <v>79</v>
      </c>
      <c r="D561" s="10" t="s">
        <v>31</v>
      </c>
    </row>
    <row r="562">
      <c r="A562" s="10">
        <v>561.0</v>
      </c>
      <c r="B562" s="11" t="s">
        <v>668</v>
      </c>
      <c r="C562" s="10" t="s">
        <v>79</v>
      </c>
      <c r="D562" s="10" t="s">
        <v>9</v>
      </c>
    </row>
    <row r="563">
      <c r="A563" s="10">
        <v>562.0</v>
      </c>
      <c r="B563" s="11" t="s">
        <v>461</v>
      </c>
      <c r="C563" s="10" t="s">
        <v>218</v>
      </c>
      <c r="D563" s="10" t="s">
        <v>206</v>
      </c>
    </row>
    <row r="564">
      <c r="A564" s="10">
        <v>563.0</v>
      </c>
      <c r="B564" s="11" t="s">
        <v>669</v>
      </c>
      <c r="C564" s="10" t="s">
        <v>79</v>
      </c>
      <c r="D564" s="10" t="s">
        <v>27</v>
      </c>
    </row>
    <row r="565">
      <c r="A565" s="10">
        <v>564.0</v>
      </c>
      <c r="B565" s="11" t="s">
        <v>670</v>
      </c>
      <c r="C565" s="10" t="s">
        <v>79</v>
      </c>
      <c r="D565" s="10" t="s">
        <v>15</v>
      </c>
    </row>
    <row r="566">
      <c r="A566" s="10">
        <v>565.0</v>
      </c>
      <c r="B566" s="11" t="s">
        <v>671</v>
      </c>
      <c r="C566" s="10" t="s">
        <v>79</v>
      </c>
      <c r="D566" s="10" t="s">
        <v>27</v>
      </c>
    </row>
    <row r="567">
      <c r="A567" s="10">
        <v>566.0</v>
      </c>
      <c r="B567" s="11" t="s">
        <v>672</v>
      </c>
      <c r="C567" s="10" t="s">
        <v>79</v>
      </c>
      <c r="D567" s="10" t="s">
        <v>12</v>
      </c>
    </row>
    <row r="568">
      <c r="A568" s="10">
        <v>567.0</v>
      </c>
      <c r="B568" s="11" t="s">
        <v>482</v>
      </c>
      <c r="C568" s="10" t="s">
        <v>22</v>
      </c>
      <c r="D568" s="10" t="s">
        <v>23</v>
      </c>
    </row>
    <row r="569">
      <c r="A569" s="10">
        <v>568.0</v>
      </c>
      <c r="B569" s="11" t="s">
        <v>673</v>
      </c>
      <c r="C569" s="10" t="s">
        <v>79</v>
      </c>
      <c r="D569" s="10" t="s">
        <v>105</v>
      </c>
    </row>
    <row r="570">
      <c r="A570" s="10">
        <v>569.0</v>
      </c>
      <c r="B570" s="11" t="s">
        <v>480</v>
      </c>
      <c r="C570" s="10" t="s">
        <v>22</v>
      </c>
      <c r="D570" s="10" t="s">
        <v>27</v>
      </c>
    </row>
    <row r="571">
      <c r="A571" s="10">
        <v>570.0</v>
      </c>
      <c r="B571" s="11" t="s">
        <v>674</v>
      </c>
      <c r="C571" s="10" t="s">
        <v>79</v>
      </c>
      <c r="D571" s="10" t="s">
        <v>206</v>
      </c>
    </row>
    <row r="572">
      <c r="A572" s="10">
        <v>571.0</v>
      </c>
      <c r="B572" s="11" t="s">
        <v>675</v>
      </c>
      <c r="C572" s="10" t="s">
        <v>79</v>
      </c>
      <c r="D572" s="10" t="s">
        <v>42</v>
      </c>
    </row>
    <row r="573">
      <c r="A573" s="10">
        <v>572.0</v>
      </c>
      <c r="B573" s="11" t="s">
        <v>676</v>
      </c>
      <c r="C573" s="10" t="s">
        <v>79</v>
      </c>
      <c r="D573" s="10" t="s">
        <v>42</v>
      </c>
    </row>
    <row r="574">
      <c r="A574" s="10">
        <v>573.0</v>
      </c>
      <c r="B574" s="11" t="s">
        <v>677</v>
      </c>
      <c r="C574" s="10" t="s">
        <v>79</v>
      </c>
      <c r="D574" s="10" t="s">
        <v>25</v>
      </c>
    </row>
    <row r="575">
      <c r="A575" s="10">
        <v>574.0</v>
      </c>
      <c r="B575" s="11" t="s">
        <v>678</v>
      </c>
      <c r="C575" s="10" t="s">
        <v>79</v>
      </c>
      <c r="D575" s="10" t="s">
        <v>99</v>
      </c>
    </row>
    <row r="576">
      <c r="A576" s="10">
        <v>575.0</v>
      </c>
      <c r="B576" s="11" t="s">
        <v>679</v>
      </c>
      <c r="C576" s="10" t="s">
        <v>79</v>
      </c>
      <c r="D576" s="10" t="s">
        <v>46</v>
      </c>
    </row>
    <row r="577">
      <c r="A577" s="10">
        <v>576.0</v>
      </c>
      <c r="B577" s="11" t="s">
        <v>680</v>
      </c>
      <c r="C577" s="10" t="s">
        <v>79</v>
      </c>
      <c r="D577" s="10" t="s">
        <v>12</v>
      </c>
    </row>
    <row r="578">
      <c r="A578" s="10">
        <v>577.0</v>
      </c>
      <c r="B578" s="11" t="s">
        <v>681</v>
      </c>
      <c r="C578" s="10" t="s">
        <v>22</v>
      </c>
      <c r="D578" s="10" t="s">
        <v>18</v>
      </c>
    </row>
    <row r="579">
      <c r="A579" s="10">
        <v>578.0</v>
      </c>
      <c r="B579" s="11" t="s">
        <v>682</v>
      </c>
      <c r="C579" s="10" t="s">
        <v>79</v>
      </c>
      <c r="D579" s="10" t="s">
        <v>46</v>
      </c>
    </row>
    <row r="580">
      <c r="A580" s="10">
        <v>579.0</v>
      </c>
      <c r="B580" s="11" t="s">
        <v>683</v>
      </c>
      <c r="C580" s="10" t="s">
        <v>79</v>
      </c>
      <c r="D580" s="10" t="s">
        <v>67</v>
      </c>
    </row>
    <row r="581">
      <c r="A581" s="10">
        <v>580.0</v>
      </c>
      <c r="B581" s="11" t="s">
        <v>684</v>
      </c>
      <c r="C581" s="10" t="s">
        <v>79</v>
      </c>
      <c r="D581" s="10" t="s">
        <v>120</v>
      </c>
    </row>
    <row r="582">
      <c r="A582" s="10">
        <v>581.0</v>
      </c>
      <c r="B582" s="11" t="s">
        <v>685</v>
      </c>
      <c r="C582" s="10" t="s">
        <v>220</v>
      </c>
      <c r="D582" s="10" t="s">
        <v>206</v>
      </c>
    </row>
    <row r="583">
      <c r="A583" s="10">
        <v>582.0</v>
      </c>
      <c r="B583" s="11" t="s">
        <v>686</v>
      </c>
      <c r="C583" s="10" t="s">
        <v>79</v>
      </c>
      <c r="D583" s="10" t="s">
        <v>9</v>
      </c>
    </row>
    <row r="584">
      <c r="A584" s="10">
        <v>583.0</v>
      </c>
      <c r="B584" s="11" t="s">
        <v>687</v>
      </c>
      <c r="C584" s="10" t="s">
        <v>22</v>
      </c>
      <c r="D584" s="10" t="s">
        <v>49</v>
      </c>
    </row>
    <row r="585">
      <c r="A585" s="10">
        <v>584.0</v>
      </c>
      <c r="B585" s="11" t="s">
        <v>688</v>
      </c>
      <c r="C585" s="10" t="s">
        <v>79</v>
      </c>
      <c r="D585" s="10" t="s">
        <v>129</v>
      </c>
    </row>
    <row r="586">
      <c r="A586" s="10">
        <v>585.0</v>
      </c>
      <c r="B586" s="11" t="s">
        <v>689</v>
      </c>
      <c r="C586" s="10" t="s">
        <v>22</v>
      </c>
      <c r="D586" s="10" t="s">
        <v>67</v>
      </c>
    </row>
    <row r="587">
      <c r="A587" s="10">
        <v>586.0</v>
      </c>
      <c r="B587" s="11" t="s">
        <v>690</v>
      </c>
      <c r="C587" s="10" t="s">
        <v>218</v>
      </c>
      <c r="D587" s="10" t="s">
        <v>90</v>
      </c>
    </row>
    <row r="588">
      <c r="A588" s="10">
        <v>587.0</v>
      </c>
      <c r="B588" s="11" t="s">
        <v>691</v>
      </c>
      <c r="C588" s="10" t="s">
        <v>220</v>
      </c>
      <c r="D588" s="10" t="s">
        <v>206</v>
      </c>
    </row>
    <row r="589">
      <c r="A589" s="10">
        <v>588.0</v>
      </c>
      <c r="B589" s="11" t="s">
        <v>692</v>
      </c>
      <c r="C589" s="10" t="s">
        <v>22</v>
      </c>
      <c r="D589" s="10" t="s">
        <v>71</v>
      </c>
    </row>
    <row r="590">
      <c r="A590" s="10">
        <v>589.0</v>
      </c>
      <c r="B590" s="11" t="s">
        <v>693</v>
      </c>
      <c r="C590" s="10" t="s">
        <v>79</v>
      </c>
      <c r="D590" s="10" t="s">
        <v>90</v>
      </c>
    </row>
    <row r="591">
      <c r="A591" s="10">
        <v>590.0</v>
      </c>
      <c r="B591" s="11" t="s">
        <v>694</v>
      </c>
      <c r="C591" s="10" t="s">
        <v>79</v>
      </c>
      <c r="D591" s="10" t="s">
        <v>90</v>
      </c>
    </row>
    <row r="592">
      <c r="A592" s="10">
        <v>591.0</v>
      </c>
      <c r="B592" s="11" t="s">
        <v>695</v>
      </c>
      <c r="C592" s="10" t="s">
        <v>79</v>
      </c>
      <c r="D592" s="10" t="s">
        <v>9</v>
      </c>
    </row>
    <row r="593">
      <c r="A593" s="10">
        <v>592.0</v>
      </c>
      <c r="B593" s="11" t="s">
        <v>696</v>
      </c>
      <c r="C593" s="10" t="s">
        <v>79</v>
      </c>
      <c r="D593" s="10" t="s">
        <v>67</v>
      </c>
    </row>
    <row r="594">
      <c r="A594" s="10">
        <v>593.0</v>
      </c>
      <c r="B594" s="11" t="s">
        <v>437</v>
      </c>
      <c r="C594" s="10" t="s">
        <v>22</v>
      </c>
      <c r="D594" s="10" t="s">
        <v>90</v>
      </c>
    </row>
    <row r="595">
      <c r="A595" s="10">
        <v>594.0</v>
      </c>
      <c r="B595" s="11" t="s">
        <v>697</v>
      </c>
      <c r="C595" s="10" t="s">
        <v>79</v>
      </c>
      <c r="D595" s="10" t="s">
        <v>85</v>
      </c>
    </row>
    <row r="596">
      <c r="A596" s="10">
        <v>595.0</v>
      </c>
      <c r="B596" s="11" t="s">
        <v>698</v>
      </c>
      <c r="C596" s="10" t="s">
        <v>79</v>
      </c>
      <c r="D596" s="10" t="s">
        <v>105</v>
      </c>
    </row>
    <row r="597">
      <c r="A597" s="10">
        <v>596.0</v>
      </c>
      <c r="B597" s="11" t="s">
        <v>699</v>
      </c>
      <c r="C597" s="10" t="s">
        <v>700</v>
      </c>
      <c r="D597" s="10" t="s">
        <v>113</v>
      </c>
    </row>
    <row r="598">
      <c r="A598" s="10">
        <v>597.0</v>
      </c>
      <c r="B598" s="11" t="s">
        <v>701</v>
      </c>
      <c r="C598" s="10" t="s">
        <v>79</v>
      </c>
      <c r="D598" s="10" t="s">
        <v>9</v>
      </c>
    </row>
    <row r="599">
      <c r="A599" s="10">
        <v>598.0</v>
      </c>
      <c r="B599" s="11" t="s">
        <v>702</v>
      </c>
      <c r="C599" s="10" t="s">
        <v>79</v>
      </c>
      <c r="D599" s="10" t="s">
        <v>18</v>
      </c>
    </row>
    <row r="600">
      <c r="A600" s="10">
        <v>599.0</v>
      </c>
      <c r="B600" s="11" t="s">
        <v>703</v>
      </c>
      <c r="C600" s="10" t="s">
        <v>79</v>
      </c>
      <c r="D600" s="10" t="s">
        <v>99</v>
      </c>
    </row>
    <row r="601">
      <c r="A601" s="10">
        <v>600.0</v>
      </c>
      <c r="B601" s="11" t="s">
        <v>704</v>
      </c>
      <c r="C601" s="10" t="s">
        <v>79</v>
      </c>
      <c r="D601" s="10" t="s">
        <v>9</v>
      </c>
    </row>
    <row r="602">
      <c r="A602" s="10">
        <v>601.0</v>
      </c>
      <c r="B602" s="11" t="s">
        <v>705</v>
      </c>
      <c r="C602" s="10" t="s">
        <v>79</v>
      </c>
      <c r="D602" s="10" t="s">
        <v>140</v>
      </c>
    </row>
    <row r="603">
      <c r="A603" s="10">
        <v>602.0</v>
      </c>
      <c r="B603" s="11" t="s">
        <v>706</v>
      </c>
      <c r="C603" s="10" t="s">
        <v>79</v>
      </c>
      <c r="D603" s="10" t="s">
        <v>34</v>
      </c>
    </row>
    <row r="604">
      <c r="A604" s="10">
        <v>603.0</v>
      </c>
      <c r="B604" s="11" t="s">
        <v>448</v>
      </c>
      <c r="C604" s="10" t="s">
        <v>22</v>
      </c>
      <c r="D604" s="10" t="s">
        <v>36</v>
      </c>
    </row>
    <row r="605">
      <c r="A605" s="10">
        <v>604.0</v>
      </c>
      <c r="B605" s="11" t="s">
        <v>707</v>
      </c>
      <c r="C605" s="10" t="s">
        <v>79</v>
      </c>
      <c r="D605" s="10" t="s">
        <v>90</v>
      </c>
    </row>
    <row r="606">
      <c r="A606" s="10">
        <v>605.0</v>
      </c>
      <c r="B606" s="11" t="s">
        <v>708</v>
      </c>
      <c r="C606" s="10" t="s">
        <v>79</v>
      </c>
      <c r="D606" s="10" t="s">
        <v>18</v>
      </c>
    </row>
    <row r="607">
      <c r="A607" s="10">
        <v>606.0</v>
      </c>
      <c r="B607" s="11" t="s">
        <v>709</v>
      </c>
      <c r="C607" s="10" t="s">
        <v>79</v>
      </c>
      <c r="D607" s="10" t="s">
        <v>9</v>
      </c>
    </row>
    <row r="608">
      <c r="A608" s="10">
        <v>607.0</v>
      </c>
      <c r="B608" s="11" t="s">
        <v>710</v>
      </c>
      <c r="C608" s="10" t="s">
        <v>79</v>
      </c>
      <c r="D608" s="10" t="s">
        <v>18</v>
      </c>
    </row>
    <row r="609">
      <c r="A609" s="10">
        <v>608.0</v>
      </c>
      <c r="B609" s="11" t="s">
        <v>711</v>
      </c>
      <c r="C609" s="10" t="s">
        <v>79</v>
      </c>
      <c r="D609" s="10" t="s">
        <v>9</v>
      </c>
    </row>
    <row r="610">
      <c r="A610" s="10">
        <v>609.0</v>
      </c>
      <c r="B610" s="11" t="s">
        <v>712</v>
      </c>
      <c r="C610" s="10" t="s">
        <v>22</v>
      </c>
      <c r="D610" s="10" t="s">
        <v>67</v>
      </c>
    </row>
    <row r="611">
      <c r="A611" s="10">
        <v>610.0</v>
      </c>
      <c r="B611" s="11" t="s">
        <v>713</v>
      </c>
      <c r="C611" s="10" t="s">
        <v>79</v>
      </c>
      <c r="D611" s="10" t="s">
        <v>99</v>
      </c>
    </row>
    <row r="612">
      <c r="A612" s="10">
        <v>611.0</v>
      </c>
      <c r="B612" s="11" t="s">
        <v>714</v>
      </c>
      <c r="C612" s="10" t="s">
        <v>79</v>
      </c>
      <c r="D612" s="10" t="s">
        <v>34</v>
      </c>
    </row>
    <row r="613">
      <c r="A613" s="10">
        <v>612.0</v>
      </c>
      <c r="B613" s="11" t="s">
        <v>715</v>
      </c>
      <c r="C613" s="10" t="s">
        <v>79</v>
      </c>
      <c r="D613" s="10" t="s">
        <v>82</v>
      </c>
    </row>
    <row r="614">
      <c r="A614" s="10">
        <v>613.0</v>
      </c>
      <c r="B614" s="11" t="s">
        <v>716</v>
      </c>
      <c r="C614" s="10" t="s">
        <v>22</v>
      </c>
      <c r="D614" s="10" t="s">
        <v>18</v>
      </c>
    </row>
    <row r="615">
      <c r="A615" s="10">
        <v>614.0</v>
      </c>
      <c r="B615" s="11" t="s">
        <v>717</v>
      </c>
      <c r="C615" s="10" t="s">
        <v>79</v>
      </c>
      <c r="D615" s="10" t="s">
        <v>137</v>
      </c>
    </row>
    <row r="616">
      <c r="A616" s="10">
        <v>615.0</v>
      </c>
      <c r="B616" s="11" t="s">
        <v>718</v>
      </c>
      <c r="C616" s="10" t="s">
        <v>79</v>
      </c>
      <c r="D616" s="10" t="s">
        <v>73</v>
      </c>
    </row>
    <row r="617">
      <c r="A617" s="10">
        <v>616.0</v>
      </c>
      <c r="B617" s="11" t="s">
        <v>719</v>
      </c>
      <c r="C617" s="10" t="s">
        <v>220</v>
      </c>
      <c r="D617" s="10" t="s">
        <v>113</v>
      </c>
    </row>
    <row r="618">
      <c r="A618" s="10">
        <v>617.0</v>
      </c>
      <c r="B618" s="11" t="s">
        <v>720</v>
      </c>
      <c r="C618" s="10" t="s">
        <v>79</v>
      </c>
      <c r="D618" s="10" t="s">
        <v>49</v>
      </c>
    </row>
    <row r="619">
      <c r="A619" s="10">
        <v>618.0</v>
      </c>
      <c r="B619" s="11" t="s">
        <v>721</v>
      </c>
      <c r="C619" s="10" t="s">
        <v>79</v>
      </c>
      <c r="D619" s="10" t="s">
        <v>52</v>
      </c>
    </row>
    <row r="620">
      <c r="A620" s="10">
        <v>619.0</v>
      </c>
      <c r="B620" s="11" t="s">
        <v>722</v>
      </c>
      <c r="C620" s="10" t="s">
        <v>79</v>
      </c>
      <c r="D620" s="10" t="s">
        <v>206</v>
      </c>
    </row>
    <row r="621">
      <c r="A621" s="10">
        <v>620.0</v>
      </c>
      <c r="B621" s="11" t="s">
        <v>723</v>
      </c>
      <c r="C621" s="10" t="s">
        <v>79</v>
      </c>
      <c r="D621" s="10" t="s">
        <v>42</v>
      </c>
    </row>
    <row r="622">
      <c r="A622" s="10">
        <v>621.0</v>
      </c>
      <c r="B622" s="11" t="s">
        <v>724</v>
      </c>
      <c r="C622" s="10" t="s">
        <v>79</v>
      </c>
      <c r="D622" s="10" t="s">
        <v>9</v>
      </c>
    </row>
    <row r="623">
      <c r="A623" s="10">
        <v>622.0</v>
      </c>
      <c r="B623" s="11" t="s">
        <v>725</v>
      </c>
      <c r="C623" s="10" t="s">
        <v>22</v>
      </c>
      <c r="D623" s="10" t="s">
        <v>82</v>
      </c>
    </row>
    <row r="624">
      <c r="A624" s="10">
        <v>623.0</v>
      </c>
      <c r="B624" s="11" t="s">
        <v>726</v>
      </c>
      <c r="C624" s="10" t="s">
        <v>79</v>
      </c>
      <c r="D624" s="10" t="s">
        <v>42</v>
      </c>
    </row>
    <row r="625">
      <c r="A625" s="10">
        <v>624.0</v>
      </c>
      <c r="B625" s="11" t="s">
        <v>727</v>
      </c>
      <c r="C625" s="10" t="s">
        <v>79</v>
      </c>
      <c r="D625" s="10" t="s">
        <v>95</v>
      </c>
    </row>
    <row r="626">
      <c r="A626" s="10">
        <v>625.0</v>
      </c>
      <c r="B626" s="11" t="s">
        <v>728</v>
      </c>
      <c r="C626" s="10" t="s">
        <v>79</v>
      </c>
      <c r="D626" s="10" t="s">
        <v>9</v>
      </c>
    </row>
    <row r="627">
      <c r="A627" s="10">
        <v>626.0</v>
      </c>
      <c r="B627" s="11" t="s">
        <v>729</v>
      </c>
      <c r="C627" s="10" t="s">
        <v>79</v>
      </c>
      <c r="D627" s="10" t="s">
        <v>129</v>
      </c>
    </row>
    <row r="628">
      <c r="A628" s="10">
        <v>627.0</v>
      </c>
      <c r="B628" s="11" t="s">
        <v>730</v>
      </c>
      <c r="C628" s="10" t="s">
        <v>79</v>
      </c>
      <c r="D628" s="10" t="s">
        <v>23</v>
      </c>
    </row>
    <row r="629">
      <c r="A629" s="10">
        <v>628.0</v>
      </c>
      <c r="B629" s="11" t="s">
        <v>731</v>
      </c>
      <c r="C629" s="10" t="s">
        <v>79</v>
      </c>
      <c r="D629" s="10" t="s">
        <v>15</v>
      </c>
    </row>
    <row r="630">
      <c r="A630" s="10">
        <v>629.0</v>
      </c>
      <c r="B630" s="11" t="s">
        <v>732</v>
      </c>
      <c r="C630" s="10" t="s">
        <v>79</v>
      </c>
      <c r="D630" s="10" t="s">
        <v>34</v>
      </c>
    </row>
    <row r="631">
      <c r="A631" s="10">
        <v>630.0</v>
      </c>
      <c r="B631" s="11" t="s">
        <v>733</v>
      </c>
      <c r="C631" s="10" t="s">
        <v>22</v>
      </c>
      <c r="D631" s="10" t="s">
        <v>99</v>
      </c>
    </row>
    <row r="632">
      <c r="A632" s="10">
        <v>631.0</v>
      </c>
      <c r="B632" s="11" t="s">
        <v>734</v>
      </c>
      <c r="C632" s="10" t="s">
        <v>79</v>
      </c>
      <c r="D632" s="10" t="s">
        <v>71</v>
      </c>
    </row>
    <row r="633">
      <c r="A633" s="10">
        <v>632.0</v>
      </c>
      <c r="B633" s="11" t="s">
        <v>735</v>
      </c>
      <c r="C633" s="10" t="s">
        <v>79</v>
      </c>
      <c r="D633" s="10" t="s">
        <v>120</v>
      </c>
    </row>
    <row r="634">
      <c r="A634" s="10">
        <v>633.0</v>
      </c>
      <c r="B634" s="11" t="s">
        <v>736</v>
      </c>
      <c r="C634" s="10" t="s">
        <v>22</v>
      </c>
      <c r="D634" s="10" t="s">
        <v>129</v>
      </c>
    </row>
    <row r="635">
      <c r="A635" s="10">
        <v>634.0</v>
      </c>
      <c r="B635" s="11" t="s">
        <v>737</v>
      </c>
      <c r="C635" s="10" t="s">
        <v>79</v>
      </c>
      <c r="D635" s="10" t="s">
        <v>95</v>
      </c>
    </row>
    <row r="636">
      <c r="A636" s="10">
        <v>635.0</v>
      </c>
      <c r="B636" s="11" t="s">
        <v>738</v>
      </c>
      <c r="C636" s="10" t="s">
        <v>79</v>
      </c>
      <c r="D636" s="10" t="s">
        <v>18</v>
      </c>
    </row>
    <row r="637">
      <c r="A637" s="10">
        <v>636.0</v>
      </c>
      <c r="B637" s="11" t="s">
        <v>739</v>
      </c>
      <c r="C637" s="10" t="s">
        <v>79</v>
      </c>
      <c r="D637" s="10" t="s">
        <v>52</v>
      </c>
    </row>
    <row r="638">
      <c r="A638" s="10">
        <v>637.0</v>
      </c>
      <c r="B638" s="11" t="s">
        <v>740</v>
      </c>
      <c r="C638" s="10" t="s">
        <v>79</v>
      </c>
      <c r="D638" s="10" t="s">
        <v>15</v>
      </c>
    </row>
    <row r="639">
      <c r="A639" s="10">
        <v>638.0</v>
      </c>
      <c r="B639" s="11" t="s">
        <v>741</v>
      </c>
      <c r="C639" s="10" t="s">
        <v>79</v>
      </c>
      <c r="D639" s="10" t="s">
        <v>31</v>
      </c>
    </row>
    <row r="640">
      <c r="A640" s="10">
        <v>639.0</v>
      </c>
      <c r="B640" s="11" t="s">
        <v>742</v>
      </c>
      <c r="C640" s="10" t="s">
        <v>79</v>
      </c>
      <c r="D640" s="10" t="s">
        <v>120</v>
      </c>
    </row>
    <row r="641">
      <c r="A641" s="10">
        <v>640.0</v>
      </c>
      <c r="B641" s="11" t="s">
        <v>743</v>
      </c>
      <c r="C641" s="10" t="s">
        <v>22</v>
      </c>
      <c r="D641" s="10" t="s">
        <v>71</v>
      </c>
    </row>
    <row r="642">
      <c r="A642" s="10">
        <v>641.0</v>
      </c>
      <c r="B642" s="11" t="s">
        <v>744</v>
      </c>
      <c r="C642" s="10" t="s">
        <v>79</v>
      </c>
      <c r="D642" s="10" t="s">
        <v>36</v>
      </c>
    </row>
    <row r="643">
      <c r="A643" s="10">
        <v>642.0</v>
      </c>
      <c r="B643" s="11" t="s">
        <v>477</v>
      </c>
      <c r="C643" s="10" t="s">
        <v>478</v>
      </c>
      <c r="D643" s="10" t="s">
        <v>52</v>
      </c>
    </row>
    <row r="644">
      <c r="A644" s="10">
        <v>643.0</v>
      </c>
      <c r="B644" s="11" t="s">
        <v>745</v>
      </c>
      <c r="C644" s="10" t="s">
        <v>79</v>
      </c>
      <c r="D644" s="10" t="s">
        <v>34</v>
      </c>
    </row>
    <row r="645">
      <c r="A645" s="10">
        <v>644.0</v>
      </c>
      <c r="B645" s="11" t="s">
        <v>746</v>
      </c>
      <c r="C645" s="10" t="s">
        <v>79</v>
      </c>
      <c r="D645" s="10" t="s">
        <v>95</v>
      </c>
    </row>
    <row r="646">
      <c r="A646" s="10">
        <v>645.0</v>
      </c>
      <c r="B646" s="11" t="s">
        <v>747</v>
      </c>
      <c r="C646" s="10" t="s">
        <v>79</v>
      </c>
      <c r="D646" s="10" t="s">
        <v>15</v>
      </c>
    </row>
    <row r="647">
      <c r="A647" s="10">
        <v>646.0</v>
      </c>
      <c r="B647" s="11" t="s">
        <v>748</v>
      </c>
      <c r="C647" s="10" t="s">
        <v>79</v>
      </c>
      <c r="D647" s="10" t="s">
        <v>82</v>
      </c>
    </row>
    <row r="648">
      <c r="A648" s="10">
        <v>647.0</v>
      </c>
      <c r="B648" s="11" t="s">
        <v>749</v>
      </c>
      <c r="C648" s="10" t="s">
        <v>79</v>
      </c>
      <c r="D648" s="10" t="s">
        <v>34</v>
      </c>
    </row>
    <row r="649">
      <c r="A649" s="10">
        <v>648.0</v>
      </c>
      <c r="B649" s="11" t="s">
        <v>750</v>
      </c>
      <c r="C649" s="10" t="s">
        <v>585</v>
      </c>
      <c r="D649" s="10" t="s">
        <v>122</v>
      </c>
    </row>
    <row r="650">
      <c r="A650" s="10">
        <v>649.0</v>
      </c>
      <c r="B650" s="11" t="s">
        <v>751</v>
      </c>
      <c r="C650" s="10" t="s">
        <v>79</v>
      </c>
      <c r="D650" s="10" t="s">
        <v>99</v>
      </c>
    </row>
    <row r="651">
      <c r="A651" s="10">
        <v>650.0</v>
      </c>
      <c r="B651" s="11" t="s">
        <v>752</v>
      </c>
      <c r="C651" s="10" t="s">
        <v>753</v>
      </c>
      <c r="D651" s="10" t="s">
        <v>67</v>
      </c>
    </row>
    <row r="652">
      <c r="A652" s="10">
        <v>651.0</v>
      </c>
      <c r="B652" s="11" t="s">
        <v>754</v>
      </c>
      <c r="C652" s="10" t="s">
        <v>22</v>
      </c>
      <c r="D652" s="10" t="s">
        <v>52</v>
      </c>
    </row>
    <row r="653">
      <c r="A653" s="10">
        <v>652.0</v>
      </c>
      <c r="B653" s="11" t="s">
        <v>755</v>
      </c>
      <c r="C653" s="10" t="s">
        <v>79</v>
      </c>
      <c r="D653" s="10" t="s">
        <v>90</v>
      </c>
    </row>
    <row r="654">
      <c r="A654" s="10">
        <v>653.0</v>
      </c>
      <c r="B654" s="11" t="s">
        <v>756</v>
      </c>
      <c r="C654" s="10" t="s">
        <v>79</v>
      </c>
      <c r="D654" s="10" t="s">
        <v>105</v>
      </c>
    </row>
    <row r="655">
      <c r="A655" s="10">
        <v>654.0</v>
      </c>
      <c r="B655" s="11" t="s">
        <v>757</v>
      </c>
      <c r="C655" s="10" t="s">
        <v>79</v>
      </c>
      <c r="D655" s="10" t="s">
        <v>120</v>
      </c>
    </row>
    <row r="656">
      <c r="A656" s="10">
        <v>655.0</v>
      </c>
      <c r="B656" s="11" t="s">
        <v>758</v>
      </c>
      <c r="C656" s="10" t="s">
        <v>220</v>
      </c>
      <c r="D656" s="10" t="s">
        <v>85</v>
      </c>
    </row>
    <row r="657">
      <c r="A657" s="10">
        <v>656.0</v>
      </c>
      <c r="B657" s="11" t="s">
        <v>759</v>
      </c>
      <c r="C657" s="10" t="s">
        <v>79</v>
      </c>
      <c r="D657" s="10" t="s">
        <v>129</v>
      </c>
    </row>
    <row r="658">
      <c r="A658" s="10">
        <v>657.0</v>
      </c>
      <c r="B658" s="11" t="s">
        <v>760</v>
      </c>
      <c r="C658" s="10" t="s">
        <v>79</v>
      </c>
      <c r="D658" s="10" t="s">
        <v>34</v>
      </c>
    </row>
    <row r="659">
      <c r="A659" s="10">
        <v>658.0</v>
      </c>
      <c r="B659" s="11" t="s">
        <v>761</v>
      </c>
      <c r="C659" s="10" t="s">
        <v>48</v>
      </c>
      <c r="D659" s="10" t="s">
        <v>129</v>
      </c>
    </row>
    <row r="660">
      <c r="A660" s="10">
        <v>659.0</v>
      </c>
      <c r="B660" s="11" t="s">
        <v>762</v>
      </c>
      <c r="C660" s="10" t="s">
        <v>79</v>
      </c>
      <c r="D660" s="10" t="s">
        <v>15</v>
      </c>
    </row>
    <row r="661">
      <c r="A661" s="10">
        <v>660.0</v>
      </c>
      <c r="B661" s="11" t="s">
        <v>763</v>
      </c>
      <c r="C661" s="10" t="s">
        <v>79</v>
      </c>
      <c r="D661" s="10" t="s">
        <v>206</v>
      </c>
    </row>
    <row r="662">
      <c r="A662" s="10">
        <v>661.0</v>
      </c>
      <c r="B662" s="11" t="s">
        <v>764</v>
      </c>
      <c r="C662" s="10" t="s">
        <v>79</v>
      </c>
      <c r="D662" s="10" t="s">
        <v>206</v>
      </c>
    </row>
    <row r="663">
      <c r="A663" s="10">
        <v>662.0</v>
      </c>
      <c r="B663" s="11" t="s">
        <v>765</v>
      </c>
      <c r="C663" s="10" t="s">
        <v>79</v>
      </c>
      <c r="D663" s="10" t="s">
        <v>113</v>
      </c>
    </row>
    <row r="664">
      <c r="A664" s="10">
        <v>663.0</v>
      </c>
      <c r="B664" s="11" t="s">
        <v>766</v>
      </c>
      <c r="C664" s="10" t="s">
        <v>79</v>
      </c>
      <c r="D664" s="10" t="s">
        <v>36</v>
      </c>
    </row>
    <row r="665">
      <c r="A665" s="10">
        <v>664.0</v>
      </c>
      <c r="B665" s="11" t="s">
        <v>767</v>
      </c>
      <c r="C665" s="10" t="s">
        <v>79</v>
      </c>
      <c r="D665" s="10" t="s">
        <v>73</v>
      </c>
    </row>
    <row r="666">
      <c r="A666" s="10">
        <v>665.0</v>
      </c>
      <c r="B666" s="11" t="s">
        <v>768</v>
      </c>
      <c r="C666" s="10" t="s">
        <v>79</v>
      </c>
      <c r="D666" s="10" t="s">
        <v>73</v>
      </c>
    </row>
    <row r="667">
      <c r="A667" s="10">
        <v>666.0</v>
      </c>
      <c r="B667" s="11" t="s">
        <v>769</v>
      </c>
      <c r="C667" s="10" t="s">
        <v>22</v>
      </c>
      <c r="D667" s="10" t="s">
        <v>82</v>
      </c>
    </row>
    <row r="668">
      <c r="A668" s="10">
        <v>667.0</v>
      </c>
      <c r="B668" s="11" t="s">
        <v>770</v>
      </c>
      <c r="C668" s="10" t="s">
        <v>136</v>
      </c>
      <c r="D668" s="10" t="s">
        <v>82</v>
      </c>
    </row>
    <row r="669">
      <c r="A669" s="10">
        <v>668.0</v>
      </c>
      <c r="B669" s="11" t="s">
        <v>771</v>
      </c>
      <c r="C669" s="10" t="s">
        <v>79</v>
      </c>
      <c r="D669" s="10" t="s">
        <v>23</v>
      </c>
    </row>
    <row r="670">
      <c r="A670" s="10">
        <v>669.0</v>
      </c>
      <c r="B670" s="11" t="s">
        <v>469</v>
      </c>
      <c r="C670" s="10" t="s">
        <v>470</v>
      </c>
      <c r="D670" s="10" t="s">
        <v>113</v>
      </c>
    </row>
    <row r="671">
      <c r="A671" s="10">
        <v>670.0</v>
      </c>
      <c r="B671" s="11" t="s">
        <v>772</v>
      </c>
      <c r="C671" s="10" t="s">
        <v>79</v>
      </c>
      <c r="D671" s="10" t="s">
        <v>95</v>
      </c>
    </row>
    <row r="672">
      <c r="A672" s="10">
        <v>671.0</v>
      </c>
      <c r="B672" s="11" t="s">
        <v>773</v>
      </c>
      <c r="C672" s="10" t="s">
        <v>79</v>
      </c>
      <c r="D672" s="10" t="s">
        <v>36</v>
      </c>
    </row>
    <row r="673">
      <c r="A673" s="10">
        <v>672.0</v>
      </c>
      <c r="B673" s="11" t="s">
        <v>774</v>
      </c>
      <c r="C673" s="10" t="s">
        <v>220</v>
      </c>
      <c r="D673" s="10" t="s">
        <v>9</v>
      </c>
    </row>
    <row r="674">
      <c r="A674" s="10">
        <v>673.0</v>
      </c>
      <c r="B674" s="11" t="s">
        <v>775</v>
      </c>
      <c r="C674" s="10" t="s">
        <v>79</v>
      </c>
      <c r="D674" s="10" t="s">
        <v>52</v>
      </c>
    </row>
    <row r="675">
      <c r="A675" s="10">
        <v>674.0</v>
      </c>
      <c r="B675" s="11" t="s">
        <v>776</v>
      </c>
      <c r="C675" s="10" t="s">
        <v>79</v>
      </c>
      <c r="D675" s="10" t="s">
        <v>140</v>
      </c>
    </row>
    <row r="676">
      <c r="A676" s="10">
        <v>675.0</v>
      </c>
      <c r="B676" s="11" t="s">
        <v>777</v>
      </c>
      <c r="C676" s="10" t="s">
        <v>79</v>
      </c>
      <c r="D676" s="10" t="s">
        <v>27</v>
      </c>
    </row>
    <row r="677">
      <c r="A677" s="10">
        <v>676.0</v>
      </c>
      <c r="B677" s="11" t="s">
        <v>778</v>
      </c>
      <c r="C677" s="10" t="s">
        <v>79</v>
      </c>
      <c r="D677" s="10" t="s">
        <v>137</v>
      </c>
    </row>
    <row r="678">
      <c r="A678" s="10">
        <v>677.0</v>
      </c>
      <c r="B678" s="11" t="s">
        <v>779</v>
      </c>
      <c r="C678" s="10" t="s">
        <v>585</v>
      </c>
      <c r="D678" s="10" t="s">
        <v>34</v>
      </c>
    </row>
    <row r="679">
      <c r="A679" s="10">
        <v>678.0</v>
      </c>
      <c r="B679" s="11" t="s">
        <v>780</v>
      </c>
      <c r="C679" s="10" t="s">
        <v>585</v>
      </c>
      <c r="D679" s="10" t="s">
        <v>120</v>
      </c>
    </row>
    <row r="680">
      <c r="A680" s="10">
        <v>679.0</v>
      </c>
      <c r="B680" s="11" t="s">
        <v>781</v>
      </c>
      <c r="C680" s="10" t="s">
        <v>79</v>
      </c>
      <c r="D680" s="10" t="s">
        <v>129</v>
      </c>
    </row>
    <row r="681">
      <c r="A681" s="10">
        <v>680.0</v>
      </c>
      <c r="B681" s="11" t="s">
        <v>782</v>
      </c>
      <c r="C681" s="10" t="s">
        <v>79</v>
      </c>
      <c r="D681" s="10" t="s">
        <v>9</v>
      </c>
    </row>
    <row r="682">
      <c r="A682" s="10">
        <v>681.0</v>
      </c>
      <c r="B682" s="11" t="s">
        <v>783</v>
      </c>
      <c r="C682" s="10" t="s">
        <v>79</v>
      </c>
      <c r="D682" s="10" t="s">
        <v>46</v>
      </c>
    </row>
    <row r="683">
      <c r="A683" s="10">
        <v>682.0</v>
      </c>
      <c r="B683" s="11" t="s">
        <v>784</v>
      </c>
      <c r="C683" s="10" t="s">
        <v>79</v>
      </c>
      <c r="D683" s="10" t="s">
        <v>9</v>
      </c>
    </row>
    <row r="684">
      <c r="A684" s="10">
        <v>683.0</v>
      </c>
      <c r="B684" s="11" t="s">
        <v>785</v>
      </c>
      <c r="C684" s="10" t="s">
        <v>79</v>
      </c>
      <c r="D684" s="10" t="s">
        <v>99</v>
      </c>
    </row>
    <row r="685">
      <c r="A685" s="10">
        <v>684.0</v>
      </c>
      <c r="B685" s="11" t="s">
        <v>786</v>
      </c>
      <c r="C685" s="10" t="s">
        <v>79</v>
      </c>
      <c r="D685" s="10" t="s">
        <v>137</v>
      </c>
    </row>
    <row r="686">
      <c r="A686" s="10">
        <v>685.0</v>
      </c>
      <c r="B686" s="11" t="s">
        <v>787</v>
      </c>
      <c r="C686" s="10" t="s">
        <v>79</v>
      </c>
      <c r="D686" s="10" t="s">
        <v>71</v>
      </c>
    </row>
    <row r="687">
      <c r="A687" s="10">
        <v>686.0</v>
      </c>
      <c r="B687" s="11" t="s">
        <v>788</v>
      </c>
      <c r="C687" s="10" t="s">
        <v>79</v>
      </c>
      <c r="D687" s="10" t="s">
        <v>36</v>
      </c>
    </row>
    <row r="688">
      <c r="A688" s="10">
        <v>687.0</v>
      </c>
      <c r="B688" s="11" t="s">
        <v>789</v>
      </c>
      <c r="C688" s="10" t="s">
        <v>79</v>
      </c>
      <c r="D688" s="10" t="s">
        <v>85</v>
      </c>
    </row>
    <row r="689">
      <c r="A689" s="10">
        <v>688.0</v>
      </c>
      <c r="B689" s="11" t="s">
        <v>790</v>
      </c>
      <c r="C689" s="10" t="s">
        <v>79</v>
      </c>
      <c r="D689" s="10" t="s">
        <v>71</v>
      </c>
    </row>
    <row r="690">
      <c r="A690" s="10">
        <v>689.0</v>
      </c>
      <c r="B690" s="11" t="s">
        <v>791</v>
      </c>
      <c r="C690" s="10" t="s">
        <v>22</v>
      </c>
      <c r="D690" s="10" t="s">
        <v>18</v>
      </c>
    </row>
    <row r="691">
      <c r="A691" s="10">
        <v>690.0</v>
      </c>
      <c r="B691" s="11" t="s">
        <v>792</v>
      </c>
      <c r="C691" s="10" t="s">
        <v>22</v>
      </c>
      <c r="D691" s="10" t="s">
        <v>73</v>
      </c>
    </row>
    <row r="692">
      <c r="A692" s="10">
        <v>691.0</v>
      </c>
      <c r="B692" s="11" t="s">
        <v>793</v>
      </c>
      <c r="C692" s="10" t="s">
        <v>79</v>
      </c>
      <c r="D692" s="10" t="s">
        <v>140</v>
      </c>
    </row>
    <row r="693">
      <c r="A693" s="10">
        <v>692.0</v>
      </c>
      <c r="B693" s="11" t="s">
        <v>794</v>
      </c>
      <c r="C693" s="10" t="s">
        <v>79</v>
      </c>
      <c r="D693" s="10" t="s">
        <v>206</v>
      </c>
    </row>
    <row r="694">
      <c r="A694" s="10">
        <v>693.0</v>
      </c>
      <c r="B694" s="11" t="s">
        <v>795</v>
      </c>
      <c r="C694" s="10" t="s">
        <v>79</v>
      </c>
      <c r="D694" s="10" t="s">
        <v>34</v>
      </c>
    </row>
    <row r="695">
      <c r="A695" s="10">
        <v>694.0</v>
      </c>
      <c r="B695" s="11" t="s">
        <v>796</v>
      </c>
      <c r="C695" s="10" t="s">
        <v>22</v>
      </c>
      <c r="D695" s="10" t="s">
        <v>36</v>
      </c>
    </row>
    <row r="696">
      <c r="A696" s="10">
        <v>695.0</v>
      </c>
      <c r="B696" s="11" t="s">
        <v>797</v>
      </c>
      <c r="C696" s="10" t="s">
        <v>22</v>
      </c>
      <c r="D696" s="10" t="s">
        <v>12</v>
      </c>
    </row>
    <row r="697">
      <c r="A697" s="10">
        <v>696.0</v>
      </c>
      <c r="B697" s="11" t="s">
        <v>798</v>
      </c>
      <c r="C697" s="10" t="s">
        <v>79</v>
      </c>
      <c r="D697" s="10" t="s">
        <v>9</v>
      </c>
    </row>
    <row r="698">
      <c r="A698" s="10">
        <v>697.0</v>
      </c>
      <c r="B698" s="11" t="s">
        <v>800</v>
      </c>
      <c r="C698" s="10" t="s">
        <v>79</v>
      </c>
      <c r="D698" s="10" t="s">
        <v>71</v>
      </c>
    </row>
    <row r="699">
      <c r="A699" s="10">
        <v>698.0</v>
      </c>
      <c r="B699" s="11" t="s">
        <v>801</v>
      </c>
      <c r="C699" s="10" t="s">
        <v>22</v>
      </c>
      <c r="D699" s="10" t="s">
        <v>73</v>
      </c>
    </row>
    <row r="700">
      <c r="A700" s="10">
        <v>699.0</v>
      </c>
      <c r="B700" s="11" t="s">
        <v>802</v>
      </c>
      <c r="C700" s="10" t="s">
        <v>22</v>
      </c>
      <c r="D700" s="10" t="s">
        <v>137</v>
      </c>
    </row>
    <row r="701">
      <c r="A701" s="10">
        <v>700.0</v>
      </c>
      <c r="B701" s="11" t="s">
        <v>803</v>
      </c>
      <c r="C701" s="10" t="s">
        <v>79</v>
      </c>
      <c r="D701" s="10" t="s">
        <v>36</v>
      </c>
    </row>
    <row r="702">
      <c r="A702" s="10">
        <v>701.0</v>
      </c>
      <c r="B702" s="11" t="s">
        <v>804</v>
      </c>
      <c r="C702" s="10" t="s">
        <v>79</v>
      </c>
      <c r="D702" s="10" t="s">
        <v>82</v>
      </c>
    </row>
    <row r="703">
      <c r="A703" s="10">
        <v>702.0</v>
      </c>
      <c r="B703" s="11" t="s">
        <v>805</v>
      </c>
      <c r="C703" s="10" t="s">
        <v>22</v>
      </c>
      <c r="D703" s="10" t="s">
        <v>120</v>
      </c>
    </row>
    <row r="704">
      <c r="A704" s="10">
        <v>703.0</v>
      </c>
      <c r="B704" s="11" t="s">
        <v>806</v>
      </c>
      <c r="C704" s="10" t="s">
        <v>22</v>
      </c>
      <c r="D704" s="10" t="s">
        <v>85</v>
      </c>
    </row>
    <row r="705">
      <c r="A705" s="10">
        <v>704.0</v>
      </c>
      <c r="B705" s="11" t="s">
        <v>807</v>
      </c>
      <c r="C705" s="10" t="s">
        <v>79</v>
      </c>
      <c r="D705" s="10" t="s">
        <v>23</v>
      </c>
    </row>
    <row r="706">
      <c r="A706" s="10">
        <v>705.0</v>
      </c>
      <c r="B706" s="11" t="s">
        <v>808</v>
      </c>
      <c r="C706" s="10" t="s">
        <v>79</v>
      </c>
      <c r="D706" s="10" t="s">
        <v>27</v>
      </c>
    </row>
    <row r="707">
      <c r="A707" s="10">
        <v>706.0</v>
      </c>
      <c r="B707" s="11" t="s">
        <v>809</v>
      </c>
      <c r="C707" s="10" t="s">
        <v>79</v>
      </c>
      <c r="D707" s="10" t="s">
        <v>90</v>
      </c>
    </row>
    <row r="708">
      <c r="A708" s="10">
        <v>707.0</v>
      </c>
      <c r="B708" s="11" t="s">
        <v>810</v>
      </c>
      <c r="C708" s="10" t="s">
        <v>79</v>
      </c>
      <c r="D708" s="10" t="s">
        <v>52</v>
      </c>
    </row>
    <row r="709">
      <c r="A709" s="10">
        <v>708.0</v>
      </c>
      <c r="B709" s="11" t="s">
        <v>811</v>
      </c>
      <c r="C709" s="10" t="s">
        <v>22</v>
      </c>
      <c r="D709" s="10" t="s">
        <v>206</v>
      </c>
    </row>
    <row r="710">
      <c r="A710" s="10">
        <v>709.0</v>
      </c>
      <c r="B710" s="11" t="s">
        <v>812</v>
      </c>
      <c r="C710" s="10" t="s">
        <v>79</v>
      </c>
      <c r="D710" s="10" t="s">
        <v>82</v>
      </c>
    </row>
    <row r="711">
      <c r="A711" s="10">
        <v>710.0</v>
      </c>
      <c r="B711" s="11" t="s">
        <v>813</v>
      </c>
      <c r="C711" s="10" t="s">
        <v>79</v>
      </c>
      <c r="D711" s="10" t="s">
        <v>90</v>
      </c>
    </row>
    <row r="712">
      <c r="A712" s="10">
        <v>711.0</v>
      </c>
      <c r="B712" s="11" t="s">
        <v>814</v>
      </c>
      <c r="C712" s="10" t="s">
        <v>22</v>
      </c>
      <c r="D712" s="10" t="s">
        <v>140</v>
      </c>
    </row>
    <row r="713">
      <c r="A713" s="10">
        <v>712.0</v>
      </c>
      <c r="B713" s="11" t="s">
        <v>815</v>
      </c>
      <c r="C713" s="10" t="s">
        <v>22</v>
      </c>
      <c r="D713" s="10" t="s">
        <v>34</v>
      </c>
    </row>
    <row r="714">
      <c r="A714" s="10">
        <v>713.0</v>
      </c>
      <c r="B714" s="11" t="s">
        <v>816</v>
      </c>
      <c r="C714" s="10" t="s">
        <v>79</v>
      </c>
      <c r="D714" s="10" t="s">
        <v>73</v>
      </c>
    </row>
    <row r="715">
      <c r="A715" s="10">
        <v>714.0</v>
      </c>
      <c r="B715" s="11" t="s">
        <v>817</v>
      </c>
      <c r="C715" s="10" t="s">
        <v>79</v>
      </c>
      <c r="D715" s="10" t="s">
        <v>206</v>
      </c>
    </row>
    <row r="716">
      <c r="A716" s="10">
        <v>715.0</v>
      </c>
      <c r="B716" s="11" t="s">
        <v>818</v>
      </c>
      <c r="C716" s="10" t="s">
        <v>22</v>
      </c>
      <c r="D716" s="10" t="s">
        <v>71</v>
      </c>
    </row>
    <row r="717">
      <c r="A717" s="10">
        <v>716.0</v>
      </c>
      <c r="B717" s="11" t="s">
        <v>819</v>
      </c>
      <c r="C717" s="10" t="s">
        <v>22</v>
      </c>
      <c r="D717" s="10" t="s">
        <v>31</v>
      </c>
    </row>
    <row r="718">
      <c r="A718" s="10">
        <v>717.0</v>
      </c>
      <c r="B718" s="11" t="s">
        <v>820</v>
      </c>
      <c r="C718" s="10" t="s">
        <v>22</v>
      </c>
      <c r="D718" s="10" t="s">
        <v>122</v>
      </c>
    </row>
    <row r="719">
      <c r="A719" s="10">
        <v>718.0</v>
      </c>
      <c r="B719" s="11" t="s">
        <v>821</v>
      </c>
      <c r="C719" s="10" t="s">
        <v>22</v>
      </c>
      <c r="D719" s="10" t="s">
        <v>129</v>
      </c>
    </row>
    <row r="720">
      <c r="A720" s="10">
        <v>719.0</v>
      </c>
      <c r="B720" s="11" t="s">
        <v>822</v>
      </c>
      <c r="C720" s="10" t="s">
        <v>22</v>
      </c>
      <c r="D720" s="10" t="s">
        <v>12</v>
      </c>
    </row>
    <row r="721">
      <c r="A721" s="10">
        <v>720.0</v>
      </c>
      <c r="B721" s="11" t="s">
        <v>823</v>
      </c>
      <c r="C721" s="10" t="s">
        <v>22</v>
      </c>
      <c r="D721" s="10" t="s">
        <v>9</v>
      </c>
    </row>
    <row r="722">
      <c r="A722" s="10">
        <v>721.0</v>
      </c>
      <c r="B722" s="11" t="s">
        <v>824</v>
      </c>
      <c r="C722" s="10" t="s">
        <v>79</v>
      </c>
      <c r="D722" s="10" t="s">
        <v>23</v>
      </c>
    </row>
    <row r="723">
      <c r="A723" s="10">
        <v>722.0</v>
      </c>
      <c r="B723" s="11" t="s">
        <v>826</v>
      </c>
      <c r="C723" s="10" t="s">
        <v>22</v>
      </c>
      <c r="D723" s="10" t="s">
        <v>23</v>
      </c>
    </row>
    <row r="724">
      <c r="A724" s="10">
        <v>723.0</v>
      </c>
      <c r="B724" s="11" t="s">
        <v>827</v>
      </c>
      <c r="C724" s="10" t="s">
        <v>22</v>
      </c>
      <c r="D724" s="10" t="s">
        <v>23</v>
      </c>
    </row>
    <row r="725">
      <c r="A725" s="10">
        <v>724.0</v>
      </c>
      <c r="B725" s="11" t="s">
        <v>828</v>
      </c>
      <c r="C725" s="10" t="s">
        <v>22</v>
      </c>
      <c r="D725" s="10" t="s">
        <v>85</v>
      </c>
    </row>
    <row r="726">
      <c r="A726" s="10">
        <v>725.0</v>
      </c>
      <c r="B726" s="11" t="s">
        <v>829</v>
      </c>
      <c r="C726" s="10" t="s">
        <v>22</v>
      </c>
      <c r="D726" s="10" t="s">
        <v>82</v>
      </c>
    </row>
    <row r="727">
      <c r="A727" s="10">
        <v>726.0</v>
      </c>
      <c r="B727" s="11" t="s">
        <v>830</v>
      </c>
      <c r="C727" s="10" t="s">
        <v>22</v>
      </c>
      <c r="D727" s="10" t="s">
        <v>12</v>
      </c>
    </row>
    <row r="728">
      <c r="A728" s="10">
        <v>727.0</v>
      </c>
      <c r="B728" s="11" t="s">
        <v>831</v>
      </c>
      <c r="C728" s="10" t="s">
        <v>79</v>
      </c>
      <c r="D728" s="10" t="s">
        <v>206</v>
      </c>
    </row>
    <row r="729">
      <c r="A729" s="10">
        <v>728.0</v>
      </c>
      <c r="B729" s="11" t="s">
        <v>832</v>
      </c>
      <c r="C729" s="10" t="s">
        <v>22</v>
      </c>
      <c r="D729" s="10" t="s">
        <v>129</v>
      </c>
    </row>
    <row r="730">
      <c r="A730" s="10">
        <v>729.0</v>
      </c>
      <c r="B730" s="11" t="s">
        <v>833</v>
      </c>
      <c r="C730" s="10" t="s">
        <v>79</v>
      </c>
      <c r="D730" s="10" t="s">
        <v>122</v>
      </c>
    </row>
    <row r="731">
      <c r="A731" s="10">
        <v>730.0</v>
      </c>
      <c r="B731" s="11" t="s">
        <v>834</v>
      </c>
      <c r="C731" s="10" t="s">
        <v>79</v>
      </c>
      <c r="D731" s="10" t="s">
        <v>206</v>
      </c>
    </row>
    <row r="732">
      <c r="A732" s="10">
        <v>731.0</v>
      </c>
      <c r="B732" s="11" t="s">
        <v>835</v>
      </c>
      <c r="C732" s="10" t="s">
        <v>22</v>
      </c>
      <c r="D732" s="10" t="s">
        <v>95</v>
      </c>
    </row>
    <row r="733">
      <c r="A733" s="10">
        <v>732.0</v>
      </c>
      <c r="B733" s="11" t="s">
        <v>836</v>
      </c>
      <c r="C733" s="10" t="s">
        <v>22</v>
      </c>
      <c r="D733" s="10" t="s">
        <v>18</v>
      </c>
    </row>
    <row r="734">
      <c r="A734" s="10">
        <v>733.0</v>
      </c>
      <c r="B734" s="11" t="s">
        <v>837</v>
      </c>
      <c r="C734" s="10" t="s">
        <v>22</v>
      </c>
      <c r="D734" s="10" t="s">
        <v>27</v>
      </c>
    </row>
    <row r="735">
      <c r="A735" s="10">
        <v>734.0</v>
      </c>
      <c r="B735" s="11" t="s">
        <v>838</v>
      </c>
      <c r="C735" s="10" t="s">
        <v>79</v>
      </c>
      <c r="D735" s="10" t="s">
        <v>18</v>
      </c>
    </row>
    <row r="736">
      <c r="A736" s="10">
        <v>735.0</v>
      </c>
      <c r="B736" s="11" t="s">
        <v>839</v>
      </c>
      <c r="C736" s="10" t="s">
        <v>22</v>
      </c>
      <c r="D736" s="10" t="s">
        <v>52</v>
      </c>
    </row>
    <row r="737">
      <c r="A737" s="10">
        <v>736.0</v>
      </c>
      <c r="B737" s="11" t="s">
        <v>840</v>
      </c>
      <c r="C737" s="10" t="s">
        <v>79</v>
      </c>
      <c r="D737" s="10" t="s">
        <v>42</v>
      </c>
    </row>
    <row r="738">
      <c r="A738" s="10">
        <v>737.0</v>
      </c>
      <c r="B738" s="11" t="s">
        <v>841</v>
      </c>
      <c r="C738" s="10" t="s">
        <v>79</v>
      </c>
      <c r="D738" s="10" t="s">
        <v>36</v>
      </c>
    </row>
    <row r="739">
      <c r="A739" s="10">
        <v>738.0</v>
      </c>
      <c r="B739" s="11" t="s">
        <v>842</v>
      </c>
      <c r="C739" s="10" t="s">
        <v>79</v>
      </c>
      <c r="D739" s="10" t="s">
        <v>67</v>
      </c>
    </row>
    <row r="740">
      <c r="A740" s="10">
        <v>739.0</v>
      </c>
      <c r="B740" s="11" t="s">
        <v>843</v>
      </c>
      <c r="C740" s="10" t="s">
        <v>22</v>
      </c>
      <c r="D740" s="10" t="s">
        <v>49</v>
      </c>
    </row>
    <row r="741">
      <c r="A741" s="10">
        <v>740.0</v>
      </c>
      <c r="B741" s="11" t="s">
        <v>844</v>
      </c>
      <c r="C741" s="10" t="s">
        <v>22</v>
      </c>
      <c r="D741" s="10" t="s">
        <v>36</v>
      </c>
    </row>
    <row r="742">
      <c r="A742" s="10">
        <v>741.0</v>
      </c>
      <c r="B742" s="11" t="s">
        <v>845</v>
      </c>
      <c r="C742" s="10" t="s">
        <v>22</v>
      </c>
      <c r="D742" s="10" t="s">
        <v>67</v>
      </c>
    </row>
    <row r="743">
      <c r="A743" s="10">
        <v>742.0</v>
      </c>
      <c r="B743" s="11" t="s">
        <v>846</v>
      </c>
      <c r="C743" s="10" t="s">
        <v>22</v>
      </c>
      <c r="D743" s="10" t="s">
        <v>137</v>
      </c>
    </row>
    <row r="744">
      <c r="A744" s="10">
        <v>743.0</v>
      </c>
      <c r="B744" s="11" t="s">
        <v>847</v>
      </c>
      <c r="C744" s="10" t="s">
        <v>22</v>
      </c>
      <c r="D744" s="10" t="s">
        <v>52</v>
      </c>
    </row>
    <row r="745">
      <c r="A745" s="10">
        <v>744.0</v>
      </c>
      <c r="B745" s="11" t="s">
        <v>848</v>
      </c>
      <c r="C745" s="10" t="s">
        <v>22</v>
      </c>
      <c r="D745" s="10" t="s">
        <v>46</v>
      </c>
    </row>
    <row r="746">
      <c r="A746" s="10">
        <v>745.0</v>
      </c>
      <c r="B746" s="11" t="s">
        <v>849</v>
      </c>
      <c r="C746" s="10" t="s">
        <v>79</v>
      </c>
      <c r="D746" s="10" t="s">
        <v>31</v>
      </c>
    </row>
    <row r="747">
      <c r="A747" s="10">
        <v>746.0</v>
      </c>
      <c r="B747" s="11" t="s">
        <v>850</v>
      </c>
      <c r="C747" s="10" t="s">
        <v>79</v>
      </c>
      <c r="D747" s="10" t="s">
        <v>73</v>
      </c>
    </row>
    <row r="748">
      <c r="A748" s="10">
        <v>747.0</v>
      </c>
      <c r="B748" s="11" t="s">
        <v>851</v>
      </c>
      <c r="C748" s="10" t="s">
        <v>22</v>
      </c>
      <c r="D748" s="10" t="s">
        <v>46</v>
      </c>
    </row>
    <row r="749">
      <c r="A749" s="10">
        <v>748.0</v>
      </c>
      <c r="B749" s="11" t="s">
        <v>852</v>
      </c>
      <c r="C749" s="10" t="s">
        <v>79</v>
      </c>
      <c r="D749" s="10" t="s">
        <v>82</v>
      </c>
    </row>
    <row r="750">
      <c r="A750" s="10">
        <v>749.0</v>
      </c>
      <c r="B750" s="11" t="s">
        <v>853</v>
      </c>
      <c r="C750" s="10" t="s">
        <v>79</v>
      </c>
      <c r="D750" s="10" t="s">
        <v>34</v>
      </c>
    </row>
    <row r="751">
      <c r="A751" s="10">
        <v>750.0</v>
      </c>
      <c r="B751" s="11" t="s">
        <v>854</v>
      </c>
      <c r="C751" s="10" t="s">
        <v>22</v>
      </c>
      <c r="D751" s="10" t="s">
        <v>120</v>
      </c>
    </row>
    <row r="752">
      <c r="A752" s="10">
        <v>751.0</v>
      </c>
      <c r="B752" s="11" t="s">
        <v>855</v>
      </c>
      <c r="C752" s="10" t="s">
        <v>79</v>
      </c>
      <c r="D752" s="10" t="s">
        <v>122</v>
      </c>
    </row>
    <row r="753">
      <c r="A753" s="10">
        <v>752.0</v>
      </c>
      <c r="B753" s="11" t="s">
        <v>856</v>
      </c>
      <c r="C753" s="10" t="s">
        <v>79</v>
      </c>
      <c r="D753" s="10" t="s">
        <v>25</v>
      </c>
    </row>
    <row r="754">
      <c r="A754" s="10">
        <v>753.0</v>
      </c>
      <c r="B754" s="11" t="s">
        <v>857</v>
      </c>
      <c r="C754" s="10" t="s">
        <v>79</v>
      </c>
      <c r="D754" s="10" t="s">
        <v>34</v>
      </c>
    </row>
    <row r="755">
      <c r="A755" s="10">
        <v>754.0</v>
      </c>
      <c r="B755" s="11" t="s">
        <v>858</v>
      </c>
      <c r="C755" s="10" t="s">
        <v>79</v>
      </c>
      <c r="D755" s="10" t="s">
        <v>206</v>
      </c>
    </row>
    <row r="756">
      <c r="A756" s="10">
        <v>755.0</v>
      </c>
      <c r="B756" s="11" t="s">
        <v>859</v>
      </c>
      <c r="C756" s="10" t="s">
        <v>79</v>
      </c>
      <c r="D756" s="10" t="s">
        <v>137</v>
      </c>
    </row>
    <row r="757">
      <c r="A757" s="10">
        <v>756.0</v>
      </c>
      <c r="B757" s="11" t="s">
        <v>860</v>
      </c>
      <c r="C757" s="10" t="s">
        <v>22</v>
      </c>
      <c r="D757" s="10" t="s">
        <v>12</v>
      </c>
    </row>
    <row r="758">
      <c r="A758" s="10">
        <v>757.0</v>
      </c>
      <c r="B758" s="11" t="s">
        <v>861</v>
      </c>
      <c r="C758" s="10" t="s">
        <v>220</v>
      </c>
      <c r="D758" s="10" t="s">
        <v>46</v>
      </c>
    </row>
    <row r="759">
      <c r="A759" s="10">
        <v>758.0</v>
      </c>
      <c r="B759" s="11" t="s">
        <v>862</v>
      </c>
      <c r="C759" s="10" t="s">
        <v>22</v>
      </c>
      <c r="D759" s="10" t="s">
        <v>67</v>
      </c>
    </row>
    <row r="760">
      <c r="A760" s="10">
        <v>759.0</v>
      </c>
      <c r="B760" s="11" t="s">
        <v>863</v>
      </c>
      <c r="C760" s="10" t="s">
        <v>79</v>
      </c>
      <c r="D760" s="10" t="s">
        <v>25</v>
      </c>
    </row>
    <row r="761">
      <c r="A761" s="10">
        <v>760.0</v>
      </c>
      <c r="B761" s="11" t="s">
        <v>864</v>
      </c>
      <c r="C761" s="10" t="s">
        <v>22</v>
      </c>
      <c r="D761" s="10" t="s">
        <v>137</v>
      </c>
    </row>
    <row r="762">
      <c r="A762" s="10">
        <v>761.0</v>
      </c>
      <c r="B762" s="11" t="s">
        <v>865</v>
      </c>
      <c r="C762" s="10" t="s">
        <v>22</v>
      </c>
      <c r="D762" s="10" t="s">
        <v>137</v>
      </c>
    </row>
    <row r="763">
      <c r="A763" s="10">
        <v>762.0</v>
      </c>
      <c r="B763" s="11" t="s">
        <v>866</v>
      </c>
      <c r="C763" s="10" t="s">
        <v>79</v>
      </c>
      <c r="D763" s="10" t="s">
        <v>23</v>
      </c>
    </row>
    <row r="764">
      <c r="A764" s="10">
        <v>763.0</v>
      </c>
      <c r="B764" s="11" t="s">
        <v>867</v>
      </c>
      <c r="C764" s="10" t="s">
        <v>22</v>
      </c>
      <c r="D764" s="10" t="s">
        <v>9</v>
      </c>
    </row>
    <row r="765">
      <c r="A765" s="10">
        <v>764.0</v>
      </c>
      <c r="B765" s="11" t="s">
        <v>868</v>
      </c>
      <c r="C765" s="10" t="s">
        <v>22</v>
      </c>
      <c r="D765" s="10" t="s">
        <v>23</v>
      </c>
    </row>
    <row r="766">
      <c r="A766" s="10">
        <v>765.0</v>
      </c>
      <c r="B766" s="11" t="s">
        <v>869</v>
      </c>
      <c r="C766" s="10" t="s">
        <v>22</v>
      </c>
      <c r="D766" s="10" t="s">
        <v>105</v>
      </c>
    </row>
    <row r="767">
      <c r="A767" s="10">
        <v>766.0</v>
      </c>
      <c r="B767" s="11" t="s">
        <v>870</v>
      </c>
      <c r="C767" s="10" t="s">
        <v>79</v>
      </c>
      <c r="D767" s="10" t="s">
        <v>82</v>
      </c>
    </row>
    <row r="768">
      <c r="A768" s="10">
        <v>767.0</v>
      </c>
      <c r="B768" s="11" t="s">
        <v>871</v>
      </c>
      <c r="C768" s="10" t="s">
        <v>22</v>
      </c>
      <c r="D768" s="10" t="s">
        <v>90</v>
      </c>
    </row>
    <row r="769">
      <c r="A769" s="10">
        <v>768.0</v>
      </c>
      <c r="B769" s="11" t="s">
        <v>872</v>
      </c>
      <c r="C769" s="10" t="s">
        <v>22</v>
      </c>
      <c r="D769" s="10" t="s">
        <v>113</v>
      </c>
    </row>
    <row r="770">
      <c r="A770" s="10">
        <v>769.0</v>
      </c>
      <c r="B770" s="11" t="s">
        <v>873</v>
      </c>
      <c r="C770" s="10" t="s">
        <v>220</v>
      </c>
      <c r="D770" s="10" t="s">
        <v>113</v>
      </c>
    </row>
    <row r="771">
      <c r="A771" s="10">
        <v>770.0</v>
      </c>
      <c r="B771" s="11" t="s">
        <v>874</v>
      </c>
      <c r="C771" s="10" t="s">
        <v>22</v>
      </c>
      <c r="D771" s="10" t="s">
        <v>105</v>
      </c>
    </row>
    <row r="772">
      <c r="A772" s="10">
        <v>771.0</v>
      </c>
      <c r="B772" s="11" t="s">
        <v>875</v>
      </c>
      <c r="C772" s="10" t="s">
        <v>79</v>
      </c>
      <c r="D772" s="10" t="s">
        <v>42</v>
      </c>
    </row>
    <row r="773">
      <c r="A773" s="10">
        <v>772.0</v>
      </c>
      <c r="B773" s="11" t="s">
        <v>876</v>
      </c>
      <c r="C773" s="10" t="s">
        <v>79</v>
      </c>
      <c r="D773" s="10" t="s">
        <v>105</v>
      </c>
    </row>
    <row r="774">
      <c r="A774" s="10">
        <v>773.0</v>
      </c>
      <c r="B774" s="11" t="s">
        <v>877</v>
      </c>
      <c r="C774" s="10" t="s">
        <v>22</v>
      </c>
      <c r="D774" s="10" t="s">
        <v>18</v>
      </c>
    </row>
    <row r="775">
      <c r="A775" s="10">
        <v>774.0</v>
      </c>
      <c r="B775" s="11" t="s">
        <v>878</v>
      </c>
      <c r="C775" s="10" t="s">
        <v>79</v>
      </c>
      <c r="D775" s="10" t="s">
        <v>122</v>
      </c>
    </row>
    <row r="776">
      <c r="A776" s="10">
        <v>775.0</v>
      </c>
      <c r="B776" s="11" t="s">
        <v>879</v>
      </c>
      <c r="C776" s="10" t="s">
        <v>79</v>
      </c>
      <c r="D776" s="10" t="s">
        <v>85</v>
      </c>
    </row>
    <row r="777">
      <c r="A777" s="10">
        <v>776.0</v>
      </c>
      <c r="B777" s="11" t="s">
        <v>880</v>
      </c>
      <c r="C777" s="10" t="s">
        <v>79</v>
      </c>
      <c r="D777" s="10" t="s">
        <v>73</v>
      </c>
    </row>
    <row r="778">
      <c r="A778" s="10">
        <v>777.0</v>
      </c>
      <c r="B778" s="11" t="s">
        <v>881</v>
      </c>
      <c r="C778" s="10" t="s">
        <v>79</v>
      </c>
      <c r="D778" s="10" t="s">
        <v>206</v>
      </c>
    </row>
    <row r="779">
      <c r="A779" s="10">
        <v>778.0</v>
      </c>
      <c r="B779" s="11" t="s">
        <v>882</v>
      </c>
      <c r="C779" s="10" t="s">
        <v>22</v>
      </c>
      <c r="D779" s="10" t="s">
        <v>9</v>
      </c>
    </row>
    <row r="780">
      <c r="A780" s="10">
        <v>779.0</v>
      </c>
      <c r="B780" s="11" t="s">
        <v>883</v>
      </c>
      <c r="C780" s="10" t="s">
        <v>22</v>
      </c>
      <c r="D780" s="10" t="s">
        <v>90</v>
      </c>
    </row>
    <row r="781">
      <c r="A781" s="10">
        <v>780.0</v>
      </c>
      <c r="B781" s="11" t="s">
        <v>884</v>
      </c>
      <c r="C781" s="10" t="s">
        <v>22</v>
      </c>
      <c r="D781" s="10" t="s">
        <v>206</v>
      </c>
    </row>
    <row r="782">
      <c r="A782" s="10">
        <v>781.0</v>
      </c>
      <c r="B782" s="11" t="s">
        <v>885</v>
      </c>
      <c r="C782" s="10" t="s">
        <v>22</v>
      </c>
      <c r="D782" s="10" t="s">
        <v>73</v>
      </c>
    </row>
    <row r="783">
      <c r="A783" s="10">
        <v>782.0</v>
      </c>
      <c r="B783" s="11" t="s">
        <v>886</v>
      </c>
      <c r="C783" s="10" t="s">
        <v>79</v>
      </c>
      <c r="D783" s="10" t="s">
        <v>82</v>
      </c>
    </row>
    <row r="784">
      <c r="A784" s="10">
        <v>783.0</v>
      </c>
      <c r="B784" s="11" t="s">
        <v>887</v>
      </c>
      <c r="C784" s="10" t="s">
        <v>22</v>
      </c>
      <c r="D784" s="10" t="s">
        <v>120</v>
      </c>
    </row>
    <row r="785">
      <c r="A785" s="10">
        <v>784.0</v>
      </c>
      <c r="B785" s="11" t="s">
        <v>888</v>
      </c>
      <c r="C785" s="10" t="s">
        <v>22</v>
      </c>
      <c r="D785" s="10" t="s">
        <v>9</v>
      </c>
    </row>
    <row r="786">
      <c r="A786" s="10">
        <v>785.0</v>
      </c>
      <c r="B786" s="11" t="s">
        <v>889</v>
      </c>
      <c r="C786" s="10" t="s">
        <v>22</v>
      </c>
      <c r="D786" s="10" t="s">
        <v>46</v>
      </c>
    </row>
    <row r="787">
      <c r="A787" s="10">
        <v>786.0</v>
      </c>
      <c r="B787" s="11" t="s">
        <v>890</v>
      </c>
      <c r="C787" s="10" t="s">
        <v>79</v>
      </c>
      <c r="D787" s="10" t="s">
        <v>122</v>
      </c>
    </row>
    <row r="788">
      <c r="A788" s="10">
        <v>787.0</v>
      </c>
      <c r="B788" s="11" t="s">
        <v>891</v>
      </c>
      <c r="C788" s="10" t="s">
        <v>22</v>
      </c>
      <c r="D788" s="10" t="s">
        <v>99</v>
      </c>
    </row>
    <row r="789">
      <c r="A789" s="10">
        <v>788.0</v>
      </c>
      <c r="B789" s="11" t="s">
        <v>892</v>
      </c>
      <c r="C789" s="10" t="s">
        <v>22</v>
      </c>
      <c r="D789" s="10" t="s">
        <v>129</v>
      </c>
    </row>
    <row r="790">
      <c r="A790" s="10">
        <v>789.0</v>
      </c>
      <c r="B790" s="11" t="s">
        <v>466</v>
      </c>
      <c r="C790" s="10" t="s">
        <v>22</v>
      </c>
      <c r="D790" s="10" t="s">
        <v>129</v>
      </c>
    </row>
    <row r="791">
      <c r="A791" s="10">
        <v>790.0</v>
      </c>
      <c r="B791" s="11" t="s">
        <v>893</v>
      </c>
      <c r="C791" s="10" t="s">
        <v>22</v>
      </c>
      <c r="D791" s="10" t="s">
        <v>137</v>
      </c>
    </row>
    <row r="792">
      <c r="A792" s="10">
        <v>791.0</v>
      </c>
      <c r="B792" s="11" t="s">
        <v>894</v>
      </c>
      <c r="C792" s="10" t="s">
        <v>79</v>
      </c>
      <c r="D792" s="10" t="s">
        <v>42</v>
      </c>
    </row>
    <row r="793">
      <c r="A793" s="10">
        <v>792.0</v>
      </c>
      <c r="B793" s="11" t="s">
        <v>895</v>
      </c>
      <c r="C793" s="10" t="s">
        <v>22</v>
      </c>
      <c r="D793" s="10" t="s">
        <v>15</v>
      </c>
    </row>
    <row r="794">
      <c r="A794" s="10">
        <v>793.0</v>
      </c>
      <c r="B794" s="11" t="s">
        <v>896</v>
      </c>
      <c r="C794" s="10" t="s">
        <v>22</v>
      </c>
      <c r="D794" s="10" t="s">
        <v>15</v>
      </c>
    </row>
    <row r="795">
      <c r="A795" s="10">
        <v>794.0</v>
      </c>
      <c r="B795" s="11" t="s">
        <v>897</v>
      </c>
      <c r="C795" s="10" t="s">
        <v>79</v>
      </c>
      <c r="D795" s="10" t="s">
        <v>90</v>
      </c>
    </row>
    <row r="796">
      <c r="A796" s="10">
        <v>795.0</v>
      </c>
      <c r="B796" s="11" t="s">
        <v>898</v>
      </c>
      <c r="C796" s="10" t="s">
        <v>22</v>
      </c>
      <c r="D796" s="10" t="s">
        <v>15</v>
      </c>
    </row>
    <row r="797">
      <c r="A797" s="10">
        <v>796.0</v>
      </c>
      <c r="B797" s="11" t="s">
        <v>899</v>
      </c>
      <c r="C797" s="10" t="s">
        <v>79</v>
      </c>
      <c r="D797" s="10" t="s">
        <v>71</v>
      </c>
    </row>
    <row r="798">
      <c r="A798" s="10">
        <v>797.0</v>
      </c>
      <c r="B798" s="11" t="s">
        <v>900</v>
      </c>
      <c r="C798" s="10" t="s">
        <v>22</v>
      </c>
      <c r="D798" s="10" t="s">
        <v>137</v>
      </c>
    </row>
    <row r="799">
      <c r="A799" s="10">
        <v>798.0</v>
      </c>
      <c r="B799" s="11" t="s">
        <v>901</v>
      </c>
      <c r="C799" s="10" t="s">
        <v>79</v>
      </c>
      <c r="D799" s="10" t="s">
        <v>34</v>
      </c>
    </row>
    <row r="800">
      <c r="A800" s="10">
        <v>799.0</v>
      </c>
      <c r="B800" s="11" t="s">
        <v>902</v>
      </c>
      <c r="C800" s="10" t="s">
        <v>22</v>
      </c>
      <c r="D800" s="10" t="s">
        <v>42</v>
      </c>
    </row>
    <row r="801">
      <c r="A801" s="10">
        <v>800.0</v>
      </c>
      <c r="B801" s="11" t="s">
        <v>903</v>
      </c>
      <c r="C801" s="10" t="s">
        <v>22</v>
      </c>
      <c r="D801" s="10" t="s">
        <v>120</v>
      </c>
    </row>
    <row r="802">
      <c r="A802" s="10">
        <v>801.0</v>
      </c>
      <c r="B802" s="11" t="s">
        <v>904</v>
      </c>
      <c r="C802" s="10" t="s">
        <v>22</v>
      </c>
      <c r="D802" s="10" t="s">
        <v>67</v>
      </c>
    </row>
    <row r="803">
      <c r="A803" s="10">
        <v>802.0</v>
      </c>
      <c r="B803" s="11" t="s">
        <v>905</v>
      </c>
      <c r="C803" s="10" t="s">
        <v>22</v>
      </c>
      <c r="D803" s="10" t="s">
        <v>206</v>
      </c>
    </row>
    <row r="804">
      <c r="A804" s="10">
        <v>803.0</v>
      </c>
      <c r="B804" s="11" t="s">
        <v>906</v>
      </c>
      <c r="C804" s="10" t="s">
        <v>22</v>
      </c>
      <c r="D804" s="10" t="s">
        <v>12</v>
      </c>
    </row>
    <row r="805">
      <c r="A805" s="10">
        <v>804.0</v>
      </c>
      <c r="B805" s="11" t="s">
        <v>907</v>
      </c>
      <c r="C805" s="10" t="s">
        <v>22</v>
      </c>
      <c r="D805" s="10" t="s">
        <v>18</v>
      </c>
    </row>
    <row r="806">
      <c r="A806" s="10">
        <v>805.0</v>
      </c>
      <c r="B806" s="11" t="s">
        <v>908</v>
      </c>
      <c r="C806" s="10" t="s">
        <v>22</v>
      </c>
      <c r="D806" s="10" t="s">
        <v>31</v>
      </c>
    </row>
    <row r="807">
      <c r="A807" s="10">
        <v>806.0</v>
      </c>
      <c r="B807" s="11" t="s">
        <v>909</v>
      </c>
      <c r="C807" s="10" t="s">
        <v>79</v>
      </c>
      <c r="D807" s="10" t="s">
        <v>120</v>
      </c>
    </row>
    <row r="808">
      <c r="A808" s="10">
        <v>807.0</v>
      </c>
      <c r="B808" s="11" t="s">
        <v>910</v>
      </c>
      <c r="C808" s="10" t="s">
        <v>22</v>
      </c>
      <c r="D808" s="10" t="s">
        <v>122</v>
      </c>
    </row>
    <row r="809">
      <c r="A809" s="10">
        <v>808.0</v>
      </c>
      <c r="B809" s="11" t="s">
        <v>911</v>
      </c>
      <c r="C809" s="10" t="s">
        <v>22</v>
      </c>
      <c r="D809" s="10" t="s">
        <v>206</v>
      </c>
    </row>
    <row r="810">
      <c r="A810" s="10">
        <v>809.0</v>
      </c>
      <c r="B810" s="11" t="s">
        <v>912</v>
      </c>
      <c r="C810" s="10" t="s">
        <v>22</v>
      </c>
      <c r="D810" s="10" t="s">
        <v>137</v>
      </c>
    </row>
    <row r="811">
      <c r="A811" s="10">
        <v>810.0</v>
      </c>
      <c r="B811" s="11" t="s">
        <v>913</v>
      </c>
      <c r="C811" s="10" t="s">
        <v>22</v>
      </c>
      <c r="D811" s="10" t="s">
        <v>46</v>
      </c>
    </row>
    <row r="812">
      <c r="A812" s="10">
        <v>811.0</v>
      </c>
      <c r="B812" s="11" t="s">
        <v>914</v>
      </c>
      <c r="C812" s="10" t="s">
        <v>79</v>
      </c>
      <c r="D812" s="10" t="s">
        <v>52</v>
      </c>
    </row>
    <row r="813">
      <c r="A813" s="10">
        <v>812.0</v>
      </c>
      <c r="B813" s="11" t="s">
        <v>915</v>
      </c>
      <c r="C813" s="10" t="s">
        <v>22</v>
      </c>
      <c r="D813" s="10" t="s">
        <v>90</v>
      </c>
    </row>
    <row r="814">
      <c r="A814" s="10">
        <v>813.0</v>
      </c>
      <c r="B814" s="11" t="s">
        <v>916</v>
      </c>
      <c r="C814" s="10" t="s">
        <v>22</v>
      </c>
      <c r="D814" s="10" t="s">
        <v>82</v>
      </c>
    </row>
    <row r="815">
      <c r="A815" s="10">
        <v>814.0</v>
      </c>
      <c r="B815" s="11" t="s">
        <v>917</v>
      </c>
      <c r="C815" s="10" t="s">
        <v>22</v>
      </c>
      <c r="D815" s="10" t="s">
        <v>105</v>
      </c>
    </row>
    <row r="816">
      <c r="A816" s="10">
        <v>815.0</v>
      </c>
      <c r="B816" s="11" t="s">
        <v>918</v>
      </c>
      <c r="C816" s="10" t="s">
        <v>22</v>
      </c>
      <c r="D816" s="10" t="s">
        <v>140</v>
      </c>
    </row>
    <row r="817">
      <c r="A817" s="10">
        <v>816.0</v>
      </c>
      <c r="B817" s="11" t="s">
        <v>919</v>
      </c>
      <c r="C817" s="10" t="s">
        <v>22</v>
      </c>
      <c r="D817" s="10" t="s">
        <v>140</v>
      </c>
    </row>
    <row r="818">
      <c r="A818" s="10">
        <v>817.0</v>
      </c>
      <c r="B818" s="11" t="s">
        <v>920</v>
      </c>
      <c r="C818" s="10" t="s">
        <v>22</v>
      </c>
      <c r="D818" s="10" t="s">
        <v>67</v>
      </c>
    </row>
    <row r="819">
      <c r="A819" s="10">
        <v>818.0</v>
      </c>
      <c r="B819" s="11" t="s">
        <v>921</v>
      </c>
      <c r="C819" s="10" t="s">
        <v>22</v>
      </c>
      <c r="D819" s="10" t="s">
        <v>140</v>
      </c>
    </row>
    <row r="820">
      <c r="A820" s="10">
        <v>819.0</v>
      </c>
      <c r="B820" s="11" t="s">
        <v>922</v>
      </c>
      <c r="C820" s="10" t="s">
        <v>22</v>
      </c>
      <c r="D820" s="10" t="s">
        <v>90</v>
      </c>
    </row>
    <row r="821">
      <c r="A821" s="10">
        <v>820.0</v>
      </c>
      <c r="B821" s="11" t="s">
        <v>923</v>
      </c>
      <c r="C821" s="10" t="s">
        <v>79</v>
      </c>
      <c r="D821" s="10" t="s">
        <v>46</v>
      </c>
    </row>
    <row r="822">
      <c r="A822" s="10">
        <v>821.0</v>
      </c>
      <c r="B822" s="11" t="s">
        <v>924</v>
      </c>
      <c r="C822" s="10" t="s">
        <v>22</v>
      </c>
      <c r="D822" s="10" t="s">
        <v>85</v>
      </c>
    </row>
    <row r="823">
      <c r="A823" s="10">
        <v>822.0</v>
      </c>
      <c r="B823" s="11" t="s">
        <v>925</v>
      </c>
      <c r="C823" s="10" t="s">
        <v>22</v>
      </c>
      <c r="D823" s="10" t="s">
        <v>34</v>
      </c>
    </row>
    <row r="824">
      <c r="A824" s="10">
        <v>823.0</v>
      </c>
      <c r="B824" s="11" t="s">
        <v>926</v>
      </c>
      <c r="C824" s="10" t="s">
        <v>79</v>
      </c>
      <c r="D824" s="10" t="s">
        <v>9</v>
      </c>
    </row>
    <row r="825">
      <c r="A825" s="10">
        <v>824.0</v>
      </c>
      <c r="B825" s="11" t="s">
        <v>927</v>
      </c>
      <c r="C825" s="10" t="s">
        <v>22</v>
      </c>
      <c r="D825" s="10" t="s">
        <v>95</v>
      </c>
    </row>
    <row r="826">
      <c r="A826" s="10">
        <v>825.0</v>
      </c>
      <c r="B826" s="11" t="s">
        <v>928</v>
      </c>
      <c r="C826" s="10" t="s">
        <v>22</v>
      </c>
      <c r="D826" s="10" t="s">
        <v>85</v>
      </c>
    </row>
    <row r="827">
      <c r="A827" s="10">
        <v>826.0</v>
      </c>
      <c r="B827" s="11" t="s">
        <v>929</v>
      </c>
      <c r="C827" s="10" t="s">
        <v>22</v>
      </c>
      <c r="D827" s="10" t="s">
        <v>12</v>
      </c>
    </row>
    <row r="828">
      <c r="A828" s="10">
        <v>827.0</v>
      </c>
      <c r="B828" s="11" t="s">
        <v>930</v>
      </c>
      <c r="C828" s="10" t="s">
        <v>22</v>
      </c>
      <c r="D828" s="10" t="s">
        <v>67</v>
      </c>
    </row>
    <row r="829">
      <c r="A829" s="10">
        <v>828.0</v>
      </c>
      <c r="B829" s="11" t="s">
        <v>931</v>
      </c>
      <c r="C829" s="10" t="s">
        <v>22</v>
      </c>
      <c r="D829" s="10" t="s">
        <v>140</v>
      </c>
    </row>
    <row r="830">
      <c r="A830" s="10">
        <v>829.0</v>
      </c>
      <c r="B830" s="11" t="s">
        <v>932</v>
      </c>
      <c r="C830" s="10" t="s">
        <v>22</v>
      </c>
      <c r="D830" s="10" t="s">
        <v>25</v>
      </c>
    </row>
    <row r="831">
      <c r="A831" s="10">
        <v>830.0</v>
      </c>
      <c r="B831" s="11" t="s">
        <v>933</v>
      </c>
      <c r="C831" s="10" t="s">
        <v>79</v>
      </c>
      <c r="D831" s="10" t="s">
        <v>140</v>
      </c>
    </row>
    <row r="832">
      <c r="A832" s="10">
        <v>831.0</v>
      </c>
      <c r="B832" s="11" t="s">
        <v>934</v>
      </c>
      <c r="C832" s="10" t="s">
        <v>22</v>
      </c>
      <c r="D832" s="10" t="s">
        <v>206</v>
      </c>
    </row>
    <row r="833">
      <c r="A833" s="10">
        <v>832.0</v>
      </c>
      <c r="B833" s="11" t="s">
        <v>935</v>
      </c>
      <c r="C833" s="10" t="s">
        <v>79</v>
      </c>
      <c r="D833" s="10" t="s">
        <v>46</v>
      </c>
    </row>
    <row r="834">
      <c r="A834" s="10">
        <v>833.0</v>
      </c>
      <c r="B834" s="11" t="s">
        <v>936</v>
      </c>
      <c r="C834" s="10" t="s">
        <v>22</v>
      </c>
      <c r="D834" s="10" t="s">
        <v>52</v>
      </c>
    </row>
    <row r="835">
      <c r="A835" s="10">
        <v>834.0</v>
      </c>
      <c r="B835" s="11" t="s">
        <v>937</v>
      </c>
      <c r="C835" s="10" t="s">
        <v>79</v>
      </c>
      <c r="D835" s="10" t="s">
        <v>137</v>
      </c>
    </row>
    <row r="836">
      <c r="A836" s="10">
        <v>835.0</v>
      </c>
      <c r="B836" s="11" t="s">
        <v>938</v>
      </c>
      <c r="C836" s="10" t="s">
        <v>22</v>
      </c>
      <c r="D836" s="10" t="s">
        <v>9</v>
      </c>
    </row>
    <row r="837">
      <c r="A837" s="10">
        <v>836.0</v>
      </c>
      <c r="B837" s="11" t="s">
        <v>939</v>
      </c>
      <c r="C837" s="10" t="s">
        <v>22</v>
      </c>
      <c r="D837" s="10" t="s">
        <v>49</v>
      </c>
    </row>
    <row r="838">
      <c r="A838" s="10">
        <v>837.0</v>
      </c>
      <c r="B838" s="11" t="s">
        <v>940</v>
      </c>
      <c r="C838" s="10" t="s">
        <v>22</v>
      </c>
      <c r="D838" s="10" t="s">
        <v>25</v>
      </c>
    </row>
    <row r="839">
      <c r="A839" s="10">
        <v>838.0</v>
      </c>
      <c r="B839" s="11" t="s">
        <v>941</v>
      </c>
      <c r="C839" s="10" t="s">
        <v>79</v>
      </c>
      <c r="D839" s="10" t="s">
        <v>36</v>
      </c>
    </row>
    <row r="840">
      <c r="A840" s="10">
        <v>839.0</v>
      </c>
      <c r="B840" s="11" t="s">
        <v>942</v>
      </c>
      <c r="C840" s="10" t="s">
        <v>22</v>
      </c>
      <c r="D840" s="10" t="s">
        <v>73</v>
      </c>
    </row>
    <row r="841">
      <c r="A841" s="10">
        <v>840.0</v>
      </c>
      <c r="B841" s="11" t="s">
        <v>943</v>
      </c>
      <c r="C841" s="10" t="s">
        <v>79</v>
      </c>
      <c r="D841" s="10" t="s">
        <v>113</v>
      </c>
    </row>
    <row r="842">
      <c r="A842" s="10">
        <v>841.0</v>
      </c>
      <c r="B842" s="11" t="s">
        <v>944</v>
      </c>
      <c r="C842" s="10" t="s">
        <v>22</v>
      </c>
      <c r="D842" s="10" t="s">
        <v>27</v>
      </c>
    </row>
    <row r="843">
      <c r="A843" s="10">
        <v>842.0</v>
      </c>
      <c r="B843" s="11" t="s">
        <v>945</v>
      </c>
      <c r="C843" s="10" t="s">
        <v>22</v>
      </c>
      <c r="D843" s="10" t="s">
        <v>99</v>
      </c>
    </row>
    <row r="844">
      <c r="A844" s="10">
        <v>843.0</v>
      </c>
      <c r="B844" s="11" t="s">
        <v>946</v>
      </c>
      <c r="C844" s="10" t="s">
        <v>22</v>
      </c>
      <c r="D844" s="10" t="s">
        <v>12</v>
      </c>
    </row>
    <row r="845">
      <c r="A845" s="10">
        <v>844.0</v>
      </c>
      <c r="B845" s="11" t="s">
        <v>947</v>
      </c>
      <c r="C845" s="10" t="s">
        <v>79</v>
      </c>
      <c r="D845" s="10" t="s">
        <v>49</v>
      </c>
    </row>
    <row r="846">
      <c r="A846" s="10">
        <v>845.0</v>
      </c>
      <c r="B846" s="11" t="s">
        <v>948</v>
      </c>
      <c r="C846" s="10" t="s">
        <v>22</v>
      </c>
      <c r="D846" s="10" t="s">
        <v>113</v>
      </c>
    </row>
    <row r="847">
      <c r="A847" s="10">
        <v>846.0</v>
      </c>
      <c r="B847" s="11" t="s">
        <v>949</v>
      </c>
      <c r="C847" s="10" t="s">
        <v>79</v>
      </c>
      <c r="D847" s="10" t="s">
        <v>67</v>
      </c>
    </row>
    <row r="848">
      <c r="A848" s="10">
        <v>847.0</v>
      </c>
      <c r="B848" s="11" t="s">
        <v>950</v>
      </c>
      <c r="C848" s="10" t="s">
        <v>79</v>
      </c>
      <c r="D848" s="10" t="s">
        <v>67</v>
      </c>
    </row>
    <row r="849">
      <c r="A849" s="10">
        <v>848.0</v>
      </c>
      <c r="B849" s="11" t="s">
        <v>951</v>
      </c>
      <c r="C849" s="10" t="s">
        <v>22</v>
      </c>
      <c r="D849" s="10" t="s">
        <v>113</v>
      </c>
    </row>
    <row r="850">
      <c r="A850" s="10">
        <v>849.0</v>
      </c>
      <c r="B850" s="11" t="s">
        <v>952</v>
      </c>
      <c r="C850" s="10" t="s">
        <v>22</v>
      </c>
      <c r="D850" s="10" t="s">
        <v>15</v>
      </c>
    </row>
    <row r="851">
      <c r="A851" s="10">
        <v>850.0</v>
      </c>
      <c r="B851" s="11" t="s">
        <v>953</v>
      </c>
      <c r="C851" s="10" t="s">
        <v>22</v>
      </c>
      <c r="D851" s="10" t="s">
        <v>9</v>
      </c>
    </row>
    <row r="852">
      <c r="A852" s="10">
        <v>851.0</v>
      </c>
      <c r="B852" s="11" t="s">
        <v>954</v>
      </c>
      <c r="C852" s="10" t="s">
        <v>22</v>
      </c>
      <c r="D852" s="10" t="s">
        <v>85</v>
      </c>
    </row>
    <row r="853">
      <c r="A853" s="10">
        <v>852.0</v>
      </c>
      <c r="B853" s="11" t="s">
        <v>955</v>
      </c>
      <c r="C853" s="10" t="s">
        <v>22</v>
      </c>
      <c r="D853" s="10" t="s">
        <v>105</v>
      </c>
    </row>
    <row r="854">
      <c r="A854" s="10">
        <v>853.0</v>
      </c>
      <c r="B854" s="11" t="s">
        <v>956</v>
      </c>
      <c r="C854" s="10" t="s">
        <v>22</v>
      </c>
      <c r="D854" s="10" t="s">
        <v>31</v>
      </c>
    </row>
    <row r="855">
      <c r="A855" s="10">
        <v>854.0</v>
      </c>
      <c r="B855" s="11" t="s">
        <v>957</v>
      </c>
      <c r="C855" s="10" t="s">
        <v>22</v>
      </c>
      <c r="D855" s="10" t="s">
        <v>129</v>
      </c>
    </row>
    <row r="856">
      <c r="A856" s="10">
        <v>855.0</v>
      </c>
      <c r="B856" s="11" t="s">
        <v>958</v>
      </c>
      <c r="C856" s="10" t="s">
        <v>22</v>
      </c>
      <c r="D856" s="10" t="s">
        <v>90</v>
      </c>
    </row>
    <row r="857">
      <c r="A857" s="10">
        <v>856.0</v>
      </c>
      <c r="B857" s="11" t="s">
        <v>959</v>
      </c>
      <c r="C857" s="10" t="s">
        <v>22</v>
      </c>
      <c r="D857" s="10" t="s">
        <v>27</v>
      </c>
    </row>
    <row r="858">
      <c r="A858" s="10">
        <v>857.0</v>
      </c>
      <c r="B858" s="11" t="s">
        <v>960</v>
      </c>
      <c r="C858" s="10" t="s">
        <v>79</v>
      </c>
      <c r="D858" s="10" t="s">
        <v>99</v>
      </c>
    </row>
    <row r="859">
      <c r="A859" s="10">
        <v>858.0</v>
      </c>
      <c r="B859" s="11" t="s">
        <v>961</v>
      </c>
      <c r="C859" s="10" t="s">
        <v>22</v>
      </c>
      <c r="D859" s="10" t="s">
        <v>36</v>
      </c>
    </row>
    <row r="860">
      <c r="A860" s="10">
        <v>859.0</v>
      </c>
      <c r="B860" s="11" t="s">
        <v>962</v>
      </c>
      <c r="C860" s="10" t="s">
        <v>79</v>
      </c>
      <c r="D860" s="10" t="s">
        <v>90</v>
      </c>
    </row>
    <row r="861">
      <c r="A861" s="10">
        <v>860.0</v>
      </c>
      <c r="B861" s="11" t="s">
        <v>963</v>
      </c>
      <c r="C861" s="10" t="s">
        <v>22</v>
      </c>
      <c r="D861" s="10" t="s">
        <v>36</v>
      </c>
    </row>
    <row r="862">
      <c r="A862" s="10">
        <v>861.0</v>
      </c>
      <c r="B862" s="11" t="s">
        <v>964</v>
      </c>
      <c r="C862" s="10" t="s">
        <v>22</v>
      </c>
      <c r="D862" s="10" t="s">
        <v>34</v>
      </c>
    </row>
    <row r="863">
      <c r="A863" s="10">
        <v>862.0</v>
      </c>
      <c r="B863" s="11" t="s">
        <v>965</v>
      </c>
      <c r="C863" s="10" t="s">
        <v>79</v>
      </c>
      <c r="D863" s="10" t="s">
        <v>18</v>
      </c>
    </row>
    <row r="864">
      <c r="A864" s="10">
        <v>863.0</v>
      </c>
      <c r="B864" s="11" t="s">
        <v>966</v>
      </c>
      <c r="C864" s="10" t="s">
        <v>79</v>
      </c>
      <c r="D864" s="10" t="s">
        <v>42</v>
      </c>
    </row>
    <row r="865">
      <c r="A865" s="10">
        <v>864.0</v>
      </c>
      <c r="B865" s="11" t="s">
        <v>967</v>
      </c>
      <c r="C865" s="10" t="s">
        <v>22</v>
      </c>
      <c r="D865" s="10" t="s">
        <v>140</v>
      </c>
    </row>
    <row r="866">
      <c r="A866" s="10">
        <v>865.0</v>
      </c>
      <c r="B866" s="11" t="s">
        <v>968</v>
      </c>
      <c r="C866" s="10" t="s">
        <v>22</v>
      </c>
      <c r="D866" s="10" t="s">
        <v>27</v>
      </c>
    </row>
    <row r="867">
      <c r="A867" s="10">
        <v>866.0</v>
      </c>
      <c r="B867" s="11" t="s">
        <v>969</v>
      </c>
      <c r="C867" s="10" t="s">
        <v>22</v>
      </c>
      <c r="D867" s="10" t="s">
        <v>9</v>
      </c>
    </row>
    <row r="868">
      <c r="A868" s="10">
        <v>867.0</v>
      </c>
      <c r="B868" s="11" t="s">
        <v>970</v>
      </c>
      <c r="C868" s="10" t="s">
        <v>22</v>
      </c>
      <c r="D868" s="10" t="s">
        <v>36</v>
      </c>
    </row>
    <row r="869">
      <c r="A869" s="10">
        <v>868.0</v>
      </c>
      <c r="B869" s="11" t="s">
        <v>971</v>
      </c>
      <c r="C869" s="10" t="s">
        <v>22</v>
      </c>
      <c r="D869" s="10" t="s">
        <v>129</v>
      </c>
    </row>
    <row r="870">
      <c r="A870" s="10">
        <v>869.0</v>
      </c>
      <c r="B870" s="11" t="s">
        <v>972</v>
      </c>
      <c r="C870" s="10" t="s">
        <v>79</v>
      </c>
      <c r="D870" s="10" t="s">
        <v>105</v>
      </c>
    </row>
    <row r="871">
      <c r="A871" s="10">
        <v>870.0</v>
      </c>
      <c r="B871" s="11" t="s">
        <v>973</v>
      </c>
      <c r="C871" s="10" t="s">
        <v>22</v>
      </c>
      <c r="D871" s="10" t="s">
        <v>34</v>
      </c>
    </row>
    <row r="872">
      <c r="A872" s="10">
        <v>871.0</v>
      </c>
      <c r="B872" s="11" t="s">
        <v>974</v>
      </c>
      <c r="C872" s="10" t="s">
        <v>79</v>
      </c>
      <c r="D872" s="10" t="s">
        <v>95</v>
      </c>
    </row>
    <row r="873">
      <c r="A873" s="10">
        <v>872.0</v>
      </c>
      <c r="B873" s="11" t="s">
        <v>975</v>
      </c>
      <c r="C873" s="10" t="s">
        <v>22</v>
      </c>
      <c r="D873" s="10" t="s">
        <v>95</v>
      </c>
    </row>
    <row r="874">
      <c r="A874" s="10">
        <v>873.0</v>
      </c>
      <c r="B874" s="11" t="s">
        <v>976</v>
      </c>
      <c r="C874" s="10" t="s">
        <v>22</v>
      </c>
      <c r="D874" s="10" t="s">
        <v>52</v>
      </c>
    </row>
    <row r="875">
      <c r="A875" s="10">
        <v>874.0</v>
      </c>
      <c r="B875" s="11" t="s">
        <v>977</v>
      </c>
      <c r="C875" s="10" t="s">
        <v>79</v>
      </c>
      <c r="D875" s="10" t="s">
        <v>120</v>
      </c>
    </row>
    <row r="876">
      <c r="A876" s="10">
        <v>875.0</v>
      </c>
      <c r="B876" s="11" t="s">
        <v>978</v>
      </c>
      <c r="C876" s="10" t="s">
        <v>22</v>
      </c>
      <c r="D876" s="10" t="s">
        <v>122</v>
      </c>
    </row>
    <row r="877">
      <c r="A877" s="10">
        <v>876.0</v>
      </c>
      <c r="B877" s="11" t="s">
        <v>979</v>
      </c>
      <c r="C877" s="10" t="s">
        <v>79</v>
      </c>
      <c r="D877" s="10" t="s">
        <v>206</v>
      </c>
    </row>
    <row r="878">
      <c r="A878" s="10">
        <v>877.0</v>
      </c>
      <c r="B878" s="11" t="s">
        <v>980</v>
      </c>
      <c r="C878" s="10" t="s">
        <v>22</v>
      </c>
      <c r="D878" s="10" t="s">
        <v>67</v>
      </c>
    </row>
    <row r="879">
      <c r="A879" s="10">
        <v>878.0</v>
      </c>
      <c r="B879" s="11" t="s">
        <v>981</v>
      </c>
      <c r="C879" s="10" t="s">
        <v>22</v>
      </c>
      <c r="D879" s="10" t="s">
        <v>120</v>
      </c>
    </row>
    <row r="880">
      <c r="A880" s="10">
        <v>879.0</v>
      </c>
      <c r="B880" s="11" t="s">
        <v>982</v>
      </c>
      <c r="C880" s="10" t="s">
        <v>22</v>
      </c>
      <c r="D880" s="10" t="s">
        <v>23</v>
      </c>
    </row>
    <row r="881">
      <c r="A881" s="10">
        <v>880.0</v>
      </c>
      <c r="B881" s="11" t="s">
        <v>983</v>
      </c>
      <c r="C881" s="10" t="s">
        <v>79</v>
      </c>
      <c r="D881" s="10" t="s">
        <v>113</v>
      </c>
    </row>
    <row r="882">
      <c r="A882" s="10">
        <v>881.0</v>
      </c>
      <c r="B882" s="11" t="s">
        <v>984</v>
      </c>
      <c r="C882" s="10" t="s">
        <v>22</v>
      </c>
      <c r="D882" s="10" t="s">
        <v>27</v>
      </c>
    </row>
    <row r="883">
      <c r="A883" s="10">
        <v>882.0</v>
      </c>
      <c r="B883" s="11" t="s">
        <v>985</v>
      </c>
      <c r="C883" s="10" t="s">
        <v>79</v>
      </c>
      <c r="D883" s="10" t="s">
        <v>71</v>
      </c>
    </row>
    <row r="884">
      <c r="A884" s="10">
        <v>883.0</v>
      </c>
      <c r="B884" s="11" t="s">
        <v>986</v>
      </c>
      <c r="C884" s="10" t="s">
        <v>220</v>
      </c>
      <c r="D884" s="10" t="s">
        <v>82</v>
      </c>
    </row>
    <row r="885">
      <c r="A885" s="10">
        <v>884.0</v>
      </c>
      <c r="B885" s="11" t="s">
        <v>987</v>
      </c>
      <c r="C885" s="10" t="s">
        <v>79</v>
      </c>
      <c r="D885" s="10" t="s">
        <v>129</v>
      </c>
    </row>
    <row r="886">
      <c r="A886" s="10">
        <v>885.0</v>
      </c>
      <c r="B886" s="11" t="s">
        <v>988</v>
      </c>
      <c r="C886" s="10" t="s">
        <v>79</v>
      </c>
      <c r="D886" s="10" t="s">
        <v>23</v>
      </c>
    </row>
    <row r="887">
      <c r="A887" s="10">
        <v>886.0</v>
      </c>
      <c r="B887" s="11" t="s">
        <v>989</v>
      </c>
      <c r="C887" s="10" t="s">
        <v>22</v>
      </c>
      <c r="D887" s="10" t="s">
        <v>18</v>
      </c>
    </row>
    <row r="888">
      <c r="A888" s="10">
        <v>887.0</v>
      </c>
      <c r="B888" s="11" t="s">
        <v>990</v>
      </c>
      <c r="C888" s="10" t="s">
        <v>22</v>
      </c>
      <c r="D888" s="10" t="s">
        <v>71</v>
      </c>
    </row>
    <row r="889">
      <c r="A889" s="10">
        <v>888.0</v>
      </c>
      <c r="B889" s="11" t="s">
        <v>991</v>
      </c>
      <c r="C889" s="10" t="s">
        <v>79</v>
      </c>
      <c r="D889" s="10" t="s">
        <v>49</v>
      </c>
    </row>
    <row r="890">
      <c r="A890" s="10">
        <v>889.0</v>
      </c>
      <c r="B890" s="11" t="s">
        <v>992</v>
      </c>
      <c r="C890" s="10" t="s">
        <v>22</v>
      </c>
      <c r="D890" s="10" t="s">
        <v>49</v>
      </c>
    </row>
    <row r="891">
      <c r="A891" s="10">
        <v>890.0</v>
      </c>
      <c r="B891" s="11" t="s">
        <v>993</v>
      </c>
      <c r="C891" s="10" t="s">
        <v>22</v>
      </c>
      <c r="D891" s="10" t="s">
        <v>129</v>
      </c>
    </row>
    <row r="892">
      <c r="A892" s="10">
        <v>891.0</v>
      </c>
      <c r="B892" s="11" t="s">
        <v>994</v>
      </c>
      <c r="C892" s="10" t="s">
        <v>22</v>
      </c>
      <c r="D892" s="10" t="s">
        <v>42</v>
      </c>
    </row>
    <row r="893">
      <c r="A893" s="10">
        <v>892.0</v>
      </c>
      <c r="B893" s="11" t="s">
        <v>995</v>
      </c>
      <c r="C893" s="10" t="s">
        <v>22</v>
      </c>
      <c r="D893" s="10" t="s">
        <v>99</v>
      </c>
    </row>
    <row r="894">
      <c r="A894" s="10">
        <v>893.0</v>
      </c>
      <c r="B894" s="11" t="s">
        <v>996</v>
      </c>
      <c r="C894" s="10" t="s">
        <v>79</v>
      </c>
      <c r="D894" s="10" t="s">
        <v>99</v>
      </c>
    </row>
    <row r="895">
      <c r="A895" s="10">
        <v>894.0</v>
      </c>
      <c r="B895" s="11" t="s">
        <v>997</v>
      </c>
      <c r="C895" s="10" t="s">
        <v>220</v>
      </c>
      <c r="D895" s="10" t="s">
        <v>206</v>
      </c>
    </row>
    <row r="896">
      <c r="A896" s="10">
        <v>895.0</v>
      </c>
      <c r="B896" s="11" t="s">
        <v>998</v>
      </c>
      <c r="C896" s="10" t="s">
        <v>22</v>
      </c>
      <c r="D896" s="10" t="s">
        <v>99</v>
      </c>
    </row>
    <row r="897">
      <c r="A897" s="10">
        <v>896.0</v>
      </c>
      <c r="B897" s="11" t="s">
        <v>999</v>
      </c>
      <c r="C897" s="10" t="s">
        <v>79</v>
      </c>
      <c r="D897" s="10" t="s">
        <v>15</v>
      </c>
    </row>
    <row r="898">
      <c r="A898" s="10">
        <v>897.0</v>
      </c>
      <c r="B898" s="11" t="s">
        <v>1000</v>
      </c>
      <c r="C898" s="10" t="s">
        <v>79</v>
      </c>
      <c r="D898" s="10" t="s">
        <v>129</v>
      </c>
    </row>
    <row r="899">
      <c r="A899" s="10">
        <v>898.0</v>
      </c>
      <c r="B899" s="11" t="s">
        <v>1001</v>
      </c>
      <c r="C899" s="10" t="s">
        <v>79</v>
      </c>
      <c r="D899" s="10" t="s">
        <v>52</v>
      </c>
    </row>
    <row r="900">
      <c r="A900" s="10">
        <v>899.0</v>
      </c>
      <c r="B900" s="11" t="s">
        <v>1002</v>
      </c>
      <c r="C900" s="10" t="s">
        <v>22</v>
      </c>
      <c r="D900" s="10" t="s">
        <v>113</v>
      </c>
    </row>
    <row r="901">
      <c r="A901" s="10">
        <v>900.0</v>
      </c>
      <c r="B901" s="11" t="s">
        <v>1003</v>
      </c>
      <c r="C901" s="10" t="s">
        <v>79</v>
      </c>
      <c r="D901" s="10" t="s">
        <v>49</v>
      </c>
    </row>
    <row r="902">
      <c r="A902" s="10">
        <v>901.0</v>
      </c>
      <c r="B902" s="11" t="s">
        <v>1004</v>
      </c>
      <c r="C902" s="10" t="s">
        <v>22</v>
      </c>
      <c r="D902" s="10" t="s">
        <v>90</v>
      </c>
    </row>
    <row r="903">
      <c r="A903" s="10">
        <v>902.0</v>
      </c>
      <c r="B903" s="11" t="s">
        <v>1005</v>
      </c>
      <c r="C903" s="10" t="s">
        <v>22</v>
      </c>
      <c r="D903" s="10" t="s">
        <v>31</v>
      </c>
    </row>
    <row r="904">
      <c r="A904" s="10">
        <v>903.0</v>
      </c>
      <c r="B904" s="11" t="s">
        <v>1006</v>
      </c>
      <c r="C904" s="10" t="s">
        <v>22</v>
      </c>
      <c r="D904" s="10" t="s">
        <v>71</v>
      </c>
    </row>
    <row r="905">
      <c r="A905" s="10">
        <v>904.0</v>
      </c>
      <c r="B905" s="11" t="s">
        <v>1007</v>
      </c>
      <c r="C905" s="10" t="s">
        <v>22</v>
      </c>
      <c r="D905" s="10" t="s">
        <v>46</v>
      </c>
    </row>
    <row r="906">
      <c r="A906" s="10">
        <v>905.0</v>
      </c>
      <c r="B906" s="11" t="s">
        <v>1008</v>
      </c>
      <c r="C906" s="10" t="s">
        <v>79</v>
      </c>
      <c r="D906" s="10" t="s">
        <v>95</v>
      </c>
    </row>
    <row r="907">
      <c r="A907" s="10">
        <v>906.0</v>
      </c>
      <c r="B907" s="11" t="s">
        <v>1009</v>
      </c>
      <c r="C907" s="10" t="s">
        <v>22</v>
      </c>
      <c r="D907" s="10" t="s">
        <v>34</v>
      </c>
    </row>
    <row r="908">
      <c r="A908" s="10">
        <v>907.0</v>
      </c>
      <c r="B908" s="11" t="s">
        <v>1010</v>
      </c>
      <c r="C908" s="10" t="s">
        <v>22</v>
      </c>
      <c r="D908" s="10" t="s">
        <v>140</v>
      </c>
    </row>
    <row r="909">
      <c r="A909" s="10">
        <v>908.0</v>
      </c>
      <c r="B909" s="11" t="s">
        <v>1011</v>
      </c>
      <c r="C909" s="10" t="s">
        <v>79</v>
      </c>
      <c r="D909" s="10" t="s">
        <v>42</v>
      </c>
    </row>
    <row r="910">
      <c r="A910" s="10">
        <v>909.0</v>
      </c>
      <c r="B910" s="11" t="s">
        <v>1012</v>
      </c>
      <c r="C910" s="10" t="s">
        <v>79</v>
      </c>
      <c r="D910" s="10" t="s">
        <v>120</v>
      </c>
    </row>
    <row r="911">
      <c r="A911" s="10">
        <v>910.0</v>
      </c>
      <c r="B911" s="11" t="s">
        <v>1013</v>
      </c>
      <c r="C911" s="10" t="s">
        <v>22</v>
      </c>
      <c r="D911" s="10" t="s">
        <v>46</v>
      </c>
    </row>
    <row r="912">
      <c r="A912" s="10">
        <v>911.0</v>
      </c>
      <c r="B912" s="11" t="s">
        <v>1014</v>
      </c>
      <c r="C912" s="10" t="s">
        <v>79</v>
      </c>
      <c r="D912" s="10" t="s">
        <v>113</v>
      </c>
    </row>
    <row r="913">
      <c r="A913" s="10">
        <v>912.0</v>
      </c>
      <c r="B913" s="11" t="s">
        <v>1015</v>
      </c>
      <c r="C913" s="10" t="s">
        <v>22</v>
      </c>
      <c r="D913" s="10" t="s">
        <v>15</v>
      </c>
    </row>
    <row r="914">
      <c r="A914" s="10">
        <v>913.0</v>
      </c>
      <c r="B914" s="11" t="s">
        <v>1016</v>
      </c>
      <c r="C914" s="10" t="s">
        <v>22</v>
      </c>
      <c r="D914" s="10" t="s">
        <v>137</v>
      </c>
    </row>
    <row r="915">
      <c r="A915" s="10">
        <v>914.0</v>
      </c>
      <c r="B915" s="11" t="s">
        <v>1017</v>
      </c>
      <c r="C915" s="10" t="s">
        <v>79</v>
      </c>
      <c r="D915" s="10" t="s">
        <v>95</v>
      </c>
    </row>
    <row r="916">
      <c r="A916" s="10">
        <v>915.0</v>
      </c>
      <c r="B916" s="11" t="s">
        <v>1018</v>
      </c>
      <c r="C916" s="10" t="s">
        <v>22</v>
      </c>
      <c r="D916" s="10" t="s">
        <v>71</v>
      </c>
    </row>
    <row r="917">
      <c r="A917" s="10">
        <v>916.0</v>
      </c>
      <c r="B917" s="11" t="s">
        <v>1019</v>
      </c>
      <c r="C917" s="10" t="s">
        <v>79</v>
      </c>
      <c r="D917" s="10" t="s">
        <v>34</v>
      </c>
    </row>
    <row r="918">
      <c r="A918" s="10">
        <v>917.0</v>
      </c>
      <c r="B918" s="11" t="s">
        <v>1020</v>
      </c>
      <c r="C918" s="10" t="s">
        <v>220</v>
      </c>
      <c r="D918" s="10" t="s">
        <v>71</v>
      </c>
    </row>
    <row r="919">
      <c r="A919" s="10">
        <v>918.0</v>
      </c>
      <c r="B919" s="11" t="s">
        <v>1021</v>
      </c>
      <c r="C919" s="10" t="s">
        <v>22</v>
      </c>
      <c r="D919" s="10" t="s">
        <v>52</v>
      </c>
    </row>
    <row r="920">
      <c r="A920" s="10">
        <v>919.0</v>
      </c>
      <c r="B920" s="11" t="s">
        <v>1022</v>
      </c>
      <c r="C920" s="10" t="s">
        <v>22</v>
      </c>
      <c r="D920" s="10" t="s">
        <v>95</v>
      </c>
    </row>
    <row r="921">
      <c r="A921" s="10">
        <v>920.0</v>
      </c>
      <c r="B921" s="11" t="s">
        <v>1023</v>
      </c>
      <c r="C921" s="10" t="s">
        <v>79</v>
      </c>
      <c r="D921" s="10" t="s">
        <v>15</v>
      </c>
    </row>
    <row r="922">
      <c r="A922" s="10">
        <v>921.0</v>
      </c>
      <c r="B922" s="11" t="s">
        <v>1024</v>
      </c>
      <c r="C922" s="10" t="s">
        <v>79</v>
      </c>
      <c r="D922" s="10" t="s">
        <v>113</v>
      </c>
    </row>
    <row r="923">
      <c r="A923" s="10">
        <v>922.0</v>
      </c>
      <c r="B923" s="11" t="s">
        <v>1025</v>
      </c>
      <c r="C923" s="10" t="s">
        <v>22</v>
      </c>
      <c r="D923" s="10" t="s">
        <v>137</v>
      </c>
    </row>
    <row r="924">
      <c r="A924" s="10">
        <v>923.0</v>
      </c>
      <c r="B924" s="11" t="s">
        <v>1026</v>
      </c>
      <c r="C924" s="10" t="s">
        <v>22</v>
      </c>
      <c r="D924" s="10" t="s">
        <v>46</v>
      </c>
    </row>
    <row r="925">
      <c r="A925" s="10">
        <v>924.0</v>
      </c>
      <c r="B925" s="11" t="s">
        <v>1027</v>
      </c>
      <c r="C925" s="10" t="s">
        <v>79</v>
      </c>
      <c r="D925" s="10" t="s">
        <v>122</v>
      </c>
    </row>
    <row r="926">
      <c r="A926" s="10">
        <v>925.0</v>
      </c>
      <c r="B926" s="11" t="s">
        <v>1028</v>
      </c>
      <c r="C926" s="10" t="s">
        <v>22</v>
      </c>
      <c r="D926" s="10" t="s">
        <v>90</v>
      </c>
    </row>
    <row r="927">
      <c r="A927" s="10">
        <v>926.0</v>
      </c>
      <c r="B927" s="11" t="s">
        <v>1029</v>
      </c>
      <c r="C927" s="10" t="s">
        <v>22</v>
      </c>
      <c r="D927" s="10" t="s">
        <v>18</v>
      </c>
    </row>
    <row r="928">
      <c r="A928" s="10">
        <v>927.0</v>
      </c>
      <c r="B928" s="11" t="s">
        <v>1030</v>
      </c>
      <c r="C928" s="10" t="s">
        <v>79</v>
      </c>
      <c r="D928" s="10" t="s">
        <v>95</v>
      </c>
    </row>
    <row r="929">
      <c r="A929" s="10">
        <v>928.0</v>
      </c>
      <c r="B929" s="11" t="s">
        <v>1031</v>
      </c>
      <c r="C929" s="10" t="s">
        <v>22</v>
      </c>
      <c r="D929" s="10" t="s">
        <v>18</v>
      </c>
    </row>
    <row r="930">
      <c r="A930" s="10">
        <v>929.0</v>
      </c>
      <c r="B930" s="11" t="s">
        <v>1032</v>
      </c>
      <c r="C930" s="10" t="s">
        <v>79</v>
      </c>
      <c r="D930" s="10" t="s">
        <v>206</v>
      </c>
    </row>
    <row r="931">
      <c r="A931" s="10">
        <v>930.0</v>
      </c>
      <c r="B931" s="11" t="s">
        <v>1033</v>
      </c>
      <c r="C931" s="10" t="s">
        <v>22</v>
      </c>
      <c r="D931" s="10" t="s">
        <v>105</v>
      </c>
    </row>
    <row r="932">
      <c r="A932" s="10">
        <v>931.0</v>
      </c>
      <c r="B932" s="11" t="s">
        <v>1034</v>
      </c>
      <c r="C932" s="10" t="s">
        <v>22</v>
      </c>
      <c r="D932" s="10" t="s">
        <v>9</v>
      </c>
    </row>
    <row r="933">
      <c r="A933" s="10">
        <v>932.0</v>
      </c>
      <c r="B933" s="11" t="s">
        <v>1035</v>
      </c>
      <c r="C933" s="10" t="s">
        <v>79</v>
      </c>
      <c r="D933" s="10" t="s">
        <v>42</v>
      </c>
    </row>
    <row r="934">
      <c r="A934" s="10">
        <v>933.0</v>
      </c>
      <c r="B934" s="11" t="s">
        <v>1036</v>
      </c>
      <c r="C934" s="10" t="s">
        <v>79</v>
      </c>
      <c r="D934" s="10" t="s">
        <v>122</v>
      </c>
    </row>
    <row r="935">
      <c r="A935" s="10">
        <v>934.0</v>
      </c>
      <c r="B935" s="11" t="s">
        <v>1037</v>
      </c>
      <c r="C935" s="10" t="s">
        <v>79</v>
      </c>
      <c r="D935" s="10" t="s">
        <v>105</v>
      </c>
    </row>
    <row r="936">
      <c r="A936" s="10">
        <v>935.0</v>
      </c>
      <c r="B936" s="11" t="s">
        <v>1038</v>
      </c>
      <c r="C936" s="10" t="s">
        <v>79</v>
      </c>
      <c r="D936" s="10" t="s">
        <v>122</v>
      </c>
    </row>
    <row r="937">
      <c r="A937" s="10">
        <v>936.0</v>
      </c>
      <c r="B937" s="11" t="s">
        <v>1039</v>
      </c>
      <c r="C937" s="10" t="s">
        <v>79</v>
      </c>
      <c r="D937" s="10" t="s">
        <v>71</v>
      </c>
    </row>
    <row r="938">
      <c r="A938" s="10">
        <v>937.0</v>
      </c>
      <c r="B938" s="11" t="s">
        <v>1040</v>
      </c>
      <c r="C938" s="10" t="s">
        <v>79</v>
      </c>
      <c r="D938" s="10" t="s">
        <v>34</v>
      </c>
    </row>
    <row r="939">
      <c r="A939" s="10">
        <v>938.0</v>
      </c>
      <c r="B939" s="11" t="s">
        <v>1041</v>
      </c>
      <c r="C939" s="10" t="s">
        <v>79</v>
      </c>
      <c r="D939" s="10" t="s">
        <v>85</v>
      </c>
    </row>
    <row r="940">
      <c r="A940" s="10">
        <v>939.0</v>
      </c>
      <c r="B940" s="11" t="s">
        <v>1042</v>
      </c>
      <c r="C940" s="10" t="s">
        <v>22</v>
      </c>
      <c r="D940" s="10" t="s">
        <v>15</v>
      </c>
    </row>
    <row r="941">
      <c r="A941" s="10">
        <v>940.0</v>
      </c>
      <c r="B941" s="11" t="s">
        <v>1043</v>
      </c>
      <c r="C941" s="10" t="s">
        <v>22</v>
      </c>
      <c r="D941" s="10" t="s">
        <v>52</v>
      </c>
    </row>
    <row r="942">
      <c r="A942" s="10">
        <v>941.0</v>
      </c>
      <c r="B942" s="11" t="s">
        <v>1044</v>
      </c>
      <c r="C942" s="10" t="s">
        <v>22</v>
      </c>
      <c r="D942" s="10" t="s">
        <v>67</v>
      </c>
    </row>
    <row r="943">
      <c r="A943" s="10">
        <v>942.0</v>
      </c>
      <c r="B943" s="11" t="s">
        <v>1045</v>
      </c>
      <c r="C943" s="10" t="s">
        <v>22</v>
      </c>
      <c r="D943" s="10" t="s">
        <v>36</v>
      </c>
    </row>
    <row r="944">
      <c r="A944" s="10">
        <v>943.0</v>
      </c>
      <c r="B944" s="11" t="s">
        <v>1046</v>
      </c>
      <c r="C944" s="10" t="s">
        <v>79</v>
      </c>
      <c r="D944" s="10" t="s">
        <v>46</v>
      </c>
    </row>
    <row r="945">
      <c r="A945" s="10">
        <v>944.0</v>
      </c>
      <c r="B945" s="11" t="s">
        <v>1047</v>
      </c>
      <c r="C945" s="10" t="s">
        <v>79</v>
      </c>
      <c r="D945" s="10" t="s">
        <v>42</v>
      </c>
    </row>
    <row r="946">
      <c r="A946" s="10">
        <v>945.0</v>
      </c>
      <c r="B946" s="11" t="s">
        <v>1048</v>
      </c>
      <c r="C946" s="10" t="s">
        <v>22</v>
      </c>
      <c r="D946" s="10" t="s">
        <v>52</v>
      </c>
    </row>
    <row r="947">
      <c r="A947" s="10">
        <v>946.0</v>
      </c>
      <c r="B947" s="11" t="s">
        <v>1049</v>
      </c>
      <c r="C947" s="10" t="s">
        <v>22</v>
      </c>
      <c r="D947" s="10" t="s">
        <v>113</v>
      </c>
    </row>
    <row r="948">
      <c r="A948" s="10">
        <v>947.0</v>
      </c>
      <c r="B948" s="11" t="s">
        <v>1050</v>
      </c>
      <c r="C948" s="10" t="s">
        <v>22</v>
      </c>
      <c r="D948" s="10" t="s">
        <v>52</v>
      </c>
    </row>
    <row r="949">
      <c r="A949" s="10">
        <v>948.0</v>
      </c>
      <c r="B949" s="11" t="s">
        <v>1051</v>
      </c>
      <c r="C949" s="10" t="s">
        <v>22</v>
      </c>
      <c r="D949" s="10" t="s">
        <v>36</v>
      </c>
    </row>
    <row r="950">
      <c r="A950" s="10">
        <v>949.0</v>
      </c>
      <c r="B950" s="11" t="s">
        <v>1052</v>
      </c>
      <c r="C950" s="10" t="s">
        <v>22</v>
      </c>
      <c r="D950" s="10" t="s">
        <v>122</v>
      </c>
    </row>
    <row r="951">
      <c r="A951" s="10">
        <v>950.0</v>
      </c>
      <c r="B951" s="11" t="s">
        <v>1053</v>
      </c>
      <c r="C951" s="10" t="s">
        <v>22</v>
      </c>
      <c r="D951" s="10" t="s">
        <v>120</v>
      </c>
    </row>
    <row r="952">
      <c r="A952" s="10">
        <v>951.0</v>
      </c>
      <c r="B952" s="11" t="s">
        <v>1054</v>
      </c>
      <c r="C952" s="10" t="s">
        <v>22</v>
      </c>
      <c r="D952" s="10" t="s">
        <v>18</v>
      </c>
    </row>
    <row r="953">
      <c r="A953" s="10">
        <v>952.0</v>
      </c>
      <c r="B953" s="11" t="s">
        <v>1055</v>
      </c>
      <c r="C953" s="10" t="s">
        <v>79</v>
      </c>
      <c r="D953" s="10" t="s">
        <v>137</v>
      </c>
    </row>
    <row r="954">
      <c r="A954" s="10">
        <v>953.0</v>
      </c>
      <c r="B954" s="11" t="s">
        <v>1056</v>
      </c>
      <c r="C954" s="10" t="s">
        <v>22</v>
      </c>
      <c r="D954" s="10" t="s">
        <v>82</v>
      </c>
    </row>
    <row r="955">
      <c r="A955" s="10">
        <v>954.0</v>
      </c>
      <c r="B955" s="11" t="s">
        <v>1057</v>
      </c>
      <c r="C955" s="10" t="s">
        <v>22</v>
      </c>
      <c r="D955" s="10" t="s">
        <v>12</v>
      </c>
    </row>
    <row r="956">
      <c r="A956" s="10">
        <v>955.0</v>
      </c>
      <c r="B956" s="11" t="s">
        <v>1058</v>
      </c>
      <c r="C956" s="10" t="s">
        <v>22</v>
      </c>
      <c r="D956" s="10" t="s">
        <v>113</v>
      </c>
    </row>
    <row r="957">
      <c r="A957" s="10">
        <v>956.0</v>
      </c>
      <c r="B957" s="11" t="s">
        <v>1059</v>
      </c>
      <c r="C957" s="10" t="s">
        <v>79</v>
      </c>
      <c r="D957" s="10" t="s">
        <v>18</v>
      </c>
    </row>
    <row r="958">
      <c r="A958" s="10">
        <v>957.0</v>
      </c>
      <c r="B958" s="11" t="s">
        <v>1060</v>
      </c>
      <c r="C958" s="10" t="s">
        <v>79</v>
      </c>
      <c r="D958" s="10" t="s">
        <v>95</v>
      </c>
    </row>
    <row r="959">
      <c r="A959" s="10">
        <v>958.0</v>
      </c>
      <c r="B959" s="11" t="s">
        <v>1061</v>
      </c>
      <c r="C959" s="10" t="s">
        <v>79</v>
      </c>
      <c r="D959" s="10" t="s">
        <v>120</v>
      </c>
    </row>
    <row r="960">
      <c r="A960" s="10">
        <v>959.0</v>
      </c>
      <c r="B960" s="11" t="s">
        <v>1062</v>
      </c>
      <c r="C960" s="10" t="s">
        <v>79</v>
      </c>
      <c r="D960" s="10" t="s">
        <v>31</v>
      </c>
    </row>
    <row r="961">
      <c r="A961" s="10">
        <v>960.0</v>
      </c>
      <c r="B961" s="11" t="s">
        <v>1063</v>
      </c>
      <c r="C961" s="10" t="s">
        <v>22</v>
      </c>
      <c r="D961" s="10" t="s">
        <v>49</v>
      </c>
    </row>
    <row r="962">
      <c r="A962" s="10">
        <v>961.0</v>
      </c>
      <c r="B962" s="11" t="s">
        <v>1064</v>
      </c>
      <c r="C962" s="10" t="s">
        <v>79</v>
      </c>
      <c r="D962" s="10" t="s">
        <v>120</v>
      </c>
    </row>
    <row r="963">
      <c r="A963" s="10">
        <v>962.0</v>
      </c>
      <c r="B963" s="11" t="s">
        <v>1065</v>
      </c>
      <c r="C963" s="10" t="s">
        <v>22</v>
      </c>
      <c r="D963" s="10" t="s">
        <v>122</v>
      </c>
    </row>
    <row r="964">
      <c r="A964" s="10">
        <v>963.0</v>
      </c>
      <c r="B964" s="11" t="s">
        <v>1066</v>
      </c>
      <c r="C964" s="10" t="s">
        <v>79</v>
      </c>
      <c r="D964" s="10" t="s">
        <v>34</v>
      </c>
    </row>
    <row r="965">
      <c r="A965" s="10">
        <v>964.0</v>
      </c>
      <c r="B965" s="11" t="s">
        <v>1067</v>
      </c>
      <c r="C965" s="10" t="s">
        <v>22</v>
      </c>
      <c r="D965" s="10" t="s">
        <v>15</v>
      </c>
    </row>
    <row r="966">
      <c r="A966" s="10">
        <v>965.0</v>
      </c>
      <c r="B966" s="11" t="s">
        <v>1068</v>
      </c>
      <c r="C966" s="10" t="s">
        <v>22</v>
      </c>
      <c r="D966" s="10" t="s">
        <v>42</v>
      </c>
    </row>
    <row r="967">
      <c r="A967" s="10">
        <v>966.0</v>
      </c>
      <c r="B967" s="11" t="s">
        <v>1069</v>
      </c>
      <c r="C967" s="10" t="s">
        <v>22</v>
      </c>
      <c r="D967" s="10" t="s">
        <v>105</v>
      </c>
    </row>
    <row r="968">
      <c r="A968" s="10">
        <v>967.0</v>
      </c>
      <c r="B968" s="11" t="s">
        <v>1070</v>
      </c>
      <c r="C968" s="10" t="s">
        <v>79</v>
      </c>
      <c r="D968" s="10" t="s">
        <v>129</v>
      </c>
    </row>
    <row r="969">
      <c r="A969" s="10">
        <v>968.0</v>
      </c>
      <c r="B969" s="11" t="s">
        <v>1071</v>
      </c>
      <c r="C969" s="10" t="s">
        <v>22</v>
      </c>
      <c r="D969" s="10" t="s">
        <v>42</v>
      </c>
    </row>
    <row r="970">
      <c r="A970" s="10">
        <v>969.0</v>
      </c>
      <c r="B970" s="11" t="s">
        <v>1072</v>
      </c>
      <c r="C970" s="10" t="s">
        <v>22</v>
      </c>
      <c r="D970" s="10" t="s">
        <v>34</v>
      </c>
    </row>
    <row r="971">
      <c r="A971" s="10">
        <v>970.0</v>
      </c>
      <c r="B971" s="11" t="s">
        <v>1073</v>
      </c>
      <c r="C971" s="10" t="s">
        <v>22</v>
      </c>
      <c r="D971" s="10" t="s">
        <v>137</v>
      </c>
    </row>
    <row r="972">
      <c r="A972" s="10">
        <v>971.0</v>
      </c>
      <c r="B972" s="11" t="s">
        <v>1074</v>
      </c>
      <c r="C972" s="10" t="s">
        <v>22</v>
      </c>
      <c r="D972" s="10" t="s">
        <v>120</v>
      </c>
    </row>
    <row r="973">
      <c r="A973" s="10">
        <v>972.0</v>
      </c>
      <c r="B973" s="11" t="s">
        <v>1075</v>
      </c>
      <c r="C973" s="10" t="s">
        <v>79</v>
      </c>
      <c r="D973" s="10" t="s">
        <v>129</v>
      </c>
    </row>
    <row r="974">
      <c r="A974" s="10">
        <v>973.0</v>
      </c>
      <c r="B974" s="11" t="s">
        <v>1076</v>
      </c>
      <c r="C974" s="10" t="s">
        <v>22</v>
      </c>
      <c r="D974" s="10" t="s">
        <v>15</v>
      </c>
    </row>
    <row r="975">
      <c r="A975" s="10">
        <v>974.0</v>
      </c>
      <c r="B975" s="11" t="s">
        <v>1077</v>
      </c>
      <c r="C975" s="10" t="s">
        <v>22</v>
      </c>
      <c r="D975" s="10" t="s">
        <v>18</v>
      </c>
    </row>
    <row r="976">
      <c r="A976" s="10">
        <v>975.0</v>
      </c>
      <c r="B976" s="11" t="s">
        <v>1078</v>
      </c>
      <c r="C976" s="10" t="s">
        <v>79</v>
      </c>
      <c r="D976" s="10" t="s">
        <v>31</v>
      </c>
    </row>
    <row r="977">
      <c r="A977" s="10">
        <v>976.0</v>
      </c>
      <c r="B977" s="11" t="s">
        <v>1079</v>
      </c>
      <c r="C977" s="10" t="s">
        <v>22</v>
      </c>
      <c r="D977" s="10" t="s">
        <v>105</v>
      </c>
    </row>
    <row r="978">
      <c r="A978" s="10">
        <v>977.0</v>
      </c>
      <c r="B978" s="11" t="s">
        <v>1080</v>
      </c>
      <c r="C978" s="10" t="s">
        <v>22</v>
      </c>
      <c r="D978" s="10" t="s">
        <v>49</v>
      </c>
    </row>
    <row r="979">
      <c r="A979" s="10">
        <v>978.0</v>
      </c>
      <c r="B979" s="11" t="s">
        <v>1081</v>
      </c>
      <c r="C979" s="10" t="s">
        <v>22</v>
      </c>
      <c r="D979" s="10" t="s">
        <v>99</v>
      </c>
    </row>
    <row r="980">
      <c r="A980" s="10">
        <v>979.0</v>
      </c>
      <c r="B980" s="11" t="s">
        <v>1082</v>
      </c>
      <c r="C980" s="10" t="s">
        <v>79</v>
      </c>
      <c r="D980" s="10" t="s">
        <v>129</v>
      </c>
    </row>
    <row r="981">
      <c r="A981" s="10">
        <v>980.0</v>
      </c>
      <c r="B981" s="11" t="s">
        <v>1083</v>
      </c>
      <c r="C981" s="10" t="s">
        <v>22</v>
      </c>
      <c r="D981" s="10" t="s">
        <v>122</v>
      </c>
    </row>
    <row r="982">
      <c r="A982" s="10">
        <v>981.0</v>
      </c>
      <c r="B982" s="11" t="s">
        <v>1084</v>
      </c>
      <c r="C982" s="10" t="s">
        <v>22</v>
      </c>
      <c r="D982" s="10" t="s">
        <v>122</v>
      </c>
    </row>
    <row r="983">
      <c r="A983" s="10">
        <v>982.0</v>
      </c>
      <c r="B983" s="11" t="s">
        <v>1085</v>
      </c>
      <c r="C983" s="10" t="s">
        <v>22</v>
      </c>
      <c r="D983" s="10" t="s">
        <v>9</v>
      </c>
    </row>
    <row r="984">
      <c r="A984" s="10">
        <v>983.0</v>
      </c>
      <c r="B984" s="11" t="s">
        <v>1086</v>
      </c>
      <c r="C984" s="10" t="s">
        <v>22</v>
      </c>
      <c r="D984" s="10" t="s">
        <v>52</v>
      </c>
    </row>
    <row r="985">
      <c r="A985" s="10">
        <v>984.0</v>
      </c>
      <c r="B985" s="11" t="s">
        <v>1087</v>
      </c>
      <c r="C985" s="10" t="s">
        <v>79</v>
      </c>
      <c r="D985" s="10" t="s">
        <v>34</v>
      </c>
    </row>
    <row r="986">
      <c r="A986" s="10">
        <v>985.0</v>
      </c>
      <c r="B986" s="11" t="s">
        <v>1088</v>
      </c>
      <c r="C986" s="10" t="s">
        <v>22</v>
      </c>
      <c r="D986" s="10" t="s">
        <v>23</v>
      </c>
    </row>
    <row r="987">
      <c r="A987" s="10">
        <v>986.0</v>
      </c>
      <c r="B987" s="11" t="s">
        <v>1089</v>
      </c>
      <c r="C987" s="10" t="s">
        <v>22</v>
      </c>
      <c r="D987" s="10" t="s">
        <v>31</v>
      </c>
    </row>
    <row r="988">
      <c r="A988" s="10">
        <v>987.0</v>
      </c>
      <c r="B988" s="11" t="s">
        <v>1090</v>
      </c>
      <c r="C988" s="10" t="s">
        <v>79</v>
      </c>
      <c r="D988" s="10" t="s">
        <v>140</v>
      </c>
    </row>
    <row r="989">
      <c r="A989" s="10">
        <v>988.0</v>
      </c>
      <c r="B989" s="11" t="s">
        <v>1091</v>
      </c>
      <c r="C989" s="10" t="s">
        <v>22</v>
      </c>
      <c r="D989" s="10" t="s">
        <v>90</v>
      </c>
    </row>
    <row r="990">
      <c r="A990" s="10">
        <v>989.0</v>
      </c>
      <c r="B990" s="11" t="s">
        <v>1092</v>
      </c>
      <c r="C990" s="10" t="s">
        <v>79</v>
      </c>
      <c r="D990" s="10" t="s">
        <v>42</v>
      </c>
    </row>
    <row r="991">
      <c r="A991" s="10">
        <v>990.0</v>
      </c>
      <c r="B991" s="11" t="s">
        <v>1093</v>
      </c>
      <c r="C991" s="10" t="s">
        <v>22</v>
      </c>
      <c r="D991" s="10" t="s">
        <v>52</v>
      </c>
    </row>
    <row r="992">
      <c r="A992" s="10">
        <v>991.0</v>
      </c>
      <c r="B992" s="11" t="s">
        <v>1094</v>
      </c>
      <c r="C992" s="10" t="s">
        <v>22</v>
      </c>
      <c r="D992" s="10" t="s">
        <v>42</v>
      </c>
    </row>
    <row r="993">
      <c r="A993" s="10">
        <v>992.0</v>
      </c>
      <c r="B993" s="11" t="s">
        <v>1095</v>
      </c>
      <c r="C993" s="10" t="s">
        <v>79</v>
      </c>
      <c r="D993" s="10" t="s">
        <v>27</v>
      </c>
    </row>
    <row r="994">
      <c r="A994" s="10">
        <v>993.0</v>
      </c>
      <c r="B994" s="11" t="s">
        <v>1096</v>
      </c>
      <c r="C994" s="10" t="s">
        <v>79</v>
      </c>
      <c r="D994" s="10" t="s">
        <v>113</v>
      </c>
    </row>
    <row r="995">
      <c r="A995" s="10">
        <v>994.0</v>
      </c>
      <c r="B995" s="11" t="s">
        <v>1097</v>
      </c>
      <c r="C995" s="10" t="s">
        <v>22</v>
      </c>
      <c r="D995" s="10" t="s">
        <v>36</v>
      </c>
    </row>
    <row r="996">
      <c r="A996" s="10">
        <v>995.0</v>
      </c>
      <c r="B996" s="11" t="s">
        <v>1098</v>
      </c>
      <c r="C996" s="10" t="s">
        <v>79</v>
      </c>
      <c r="D996" s="10" t="s">
        <v>206</v>
      </c>
    </row>
    <row r="997">
      <c r="A997" s="10">
        <v>996.0</v>
      </c>
      <c r="B997" s="11" t="s">
        <v>1099</v>
      </c>
      <c r="C997" s="10" t="s">
        <v>22</v>
      </c>
      <c r="D997" s="10" t="s">
        <v>113</v>
      </c>
    </row>
    <row r="998">
      <c r="A998" s="10">
        <v>997.0</v>
      </c>
      <c r="B998" s="11" t="s">
        <v>1100</v>
      </c>
      <c r="C998" s="10" t="s">
        <v>220</v>
      </c>
      <c r="D998" s="10" t="s">
        <v>99</v>
      </c>
    </row>
    <row r="999">
      <c r="A999" s="10">
        <v>998.0</v>
      </c>
      <c r="B999" s="11" t="s">
        <v>1101</v>
      </c>
      <c r="C999" s="10" t="s">
        <v>22</v>
      </c>
      <c r="D999" s="10" t="s">
        <v>99</v>
      </c>
    </row>
    <row r="1000">
      <c r="A1000" s="10">
        <v>999.0</v>
      </c>
      <c r="B1000" s="11" t="s">
        <v>1102</v>
      </c>
      <c r="C1000" s="10" t="s">
        <v>22</v>
      </c>
      <c r="D1000" s="10" t="s">
        <v>18</v>
      </c>
    </row>
    <row r="1001">
      <c r="A1001" s="10">
        <v>1000.0</v>
      </c>
      <c r="B1001" s="11" t="s">
        <v>1103</v>
      </c>
      <c r="C1001" s="10" t="s">
        <v>22</v>
      </c>
      <c r="D1001" s="10" t="s">
        <v>31</v>
      </c>
    </row>
    <row r="1002">
      <c r="A1002" s="10">
        <v>1001.0</v>
      </c>
      <c r="B1002" s="11" t="s">
        <v>1104</v>
      </c>
      <c r="C1002" s="10" t="s">
        <v>22</v>
      </c>
      <c r="D1002" s="10" t="s">
        <v>12</v>
      </c>
    </row>
    <row r="1003">
      <c r="A1003" s="10">
        <v>1002.0</v>
      </c>
      <c r="B1003" s="11" t="s">
        <v>1105</v>
      </c>
      <c r="C1003" s="10" t="s">
        <v>22</v>
      </c>
      <c r="D1003" s="10" t="s">
        <v>15</v>
      </c>
    </row>
    <row r="1004">
      <c r="A1004" s="10">
        <v>1003.0</v>
      </c>
      <c r="B1004" s="11" t="s">
        <v>1106</v>
      </c>
      <c r="C1004" s="10" t="s">
        <v>22</v>
      </c>
      <c r="D1004" s="10" t="s">
        <v>25</v>
      </c>
    </row>
    <row r="1005">
      <c r="A1005" s="10">
        <v>1004.0</v>
      </c>
      <c r="B1005" s="11" t="s">
        <v>1107</v>
      </c>
      <c r="C1005" s="10" t="s">
        <v>79</v>
      </c>
      <c r="D1005" s="10" t="s">
        <v>99</v>
      </c>
    </row>
    <row r="1006">
      <c r="A1006" s="10">
        <v>1005.0</v>
      </c>
      <c r="B1006" s="11" t="s">
        <v>1108</v>
      </c>
      <c r="C1006" s="10" t="s">
        <v>79</v>
      </c>
      <c r="D1006" s="10" t="s">
        <v>206</v>
      </c>
    </row>
    <row r="1007">
      <c r="A1007" s="10">
        <v>1006.0</v>
      </c>
      <c r="B1007" s="11" t="s">
        <v>1109</v>
      </c>
      <c r="C1007" s="10" t="s">
        <v>22</v>
      </c>
      <c r="D1007" s="10" t="s">
        <v>85</v>
      </c>
    </row>
    <row r="1008">
      <c r="A1008" s="10">
        <v>1007.0</v>
      </c>
      <c r="B1008" s="11" t="s">
        <v>1110</v>
      </c>
      <c r="C1008" s="10" t="s">
        <v>22</v>
      </c>
      <c r="D1008" s="10" t="s">
        <v>206</v>
      </c>
    </row>
    <row r="1009">
      <c r="A1009" s="10">
        <v>1008.0</v>
      </c>
      <c r="B1009" s="11" t="s">
        <v>1111</v>
      </c>
      <c r="C1009" s="10" t="s">
        <v>79</v>
      </c>
      <c r="D1009" s="10" t="s">
        <v>206</v>
      </c>
    </row>
    <row r="1010">
      <c r="A1010" s="10">
        <v>1009.0</v>
      </c>
      <c r="B1010" s="11" t="s">
        <v>1112</v>
      </c>
      <c r="C1010" s="10" t="s">
        <v>22</v>
      </c>
      <c r="D1010" s="10" t="s">
        <v>31</v>
      </c>
    </row>
    <row r="1011">
      <c r="A1011" s="10">
        <v>1010.0</v>
      </c>
      <c r="B1011" s="11" t="s">
        <v>1113</v>
      </c>
      <c r="C1011" s="10" t="s">
        <v>22</v>
      </c>
      <c r="D1011" s="10" t="s">
        <v>122</v>
      </c>
    </row>
    <row r="1012">
      <c r="A1012" s="10">
        <v>1011.0</v>
      </c>
      <c r="B1012" s="11" t="s">
        <v>1114</v>
      </c>
      <c r="C1012" s="10" t="s">
        <v>22</v>
      </c>
      <c r="D1012" s="10" t="s">
        <v>36</v>
      </c>
    </row>
    <row r="1013">
      <c r="A1013" s="10">
        <v>1012.0</v>
      </c>
      <c r="B1013" s="11" t="s">
        <v>1115</v>
      </c>
      <c r="C1013" s="10" t="s">
        <v>22</v>
      </c>
      <c r="D1013" s="10" t="s">
        <v>46</v>
      </c>
    </row>
    <row r="1014">
      <c r="A1014" s="10">
        <v>1013.0</v>
      </c>
      <c r="B1014" s="11" t="s">
        <v>1116</v>
      </c>
      <c r="C1014" s="10" t="s">
        <v>79</v>
      </c>
      <c r="D1014" s="10" t="s">
        <v>129</v>
      </c>
    </row>
    <row r="1015">
      <c r="A1015" s="10">
        <v>1014.0</v>
      </c>
      <c r="B1015" s="11" t="s">
        <v>1117</v>
      </c>
      <c r="C1015" s="10" t="s">
        <v>22</v>
      </c>
      <c r="D1015" s="10" t="s">
        <v>34</v>
      </c>
    </row>
    <row r="1016">
      <c r="A1016" s="10">
        <v>1015.0</v>
      </c>
      <c r="B1016" s="11" t="s">
        <v>1118</v>
      </c>
      <c r="C1016" s="10" t="s">
        <v>22</v>
      </c>
      <c r="D1016" s="10" t="s">
        <v>113</v>
      </c>
    </row>
    <row r="1017">
      <c r="A1017" s="10">
        <v>1016.0</v>
      </c>
      <c r="B1017" s="11" t="s">
        <v>1119</v>
      </c>
      <c r="C1017" s="10" t="s">
        <v>22</v>
      </c>
      <c r="D1017" s="10" t="s">
        <v>46</v>
      </c>
    </row>
    <row r="1018">
      <c r="A1018" s="10">
        <v>1017.0</v>
      </c>
      <c r="B1018" s="11" t="s">
        <v>1120</v>
      </c>
      <c r="C1018" s="10" t="s">
        <v>22</v>
      </c>
      <c r="D1018" s="10" t="s">
        <v>140</v>
      </c>
    </row>
    <row r="1019">
      <c r="A1019" s="10">
        <v>1018.0</v>
      </c>
      <c r="B1019" s="11" t="s">
        <v>1121</v>
      </c>
      <c r="C1019" s="10" t="s">
        <v>22</v>
      </c>
      <c r="D1019" s="10" t="s">
        <v>71</v>
      </c>
    </row>
    <row r="1020">
      <c r="A1020" s="10">
        <v>1019.0</v>
      </c>
      <c r="B1020" s="11" t="s">
        <v>1122</v>
      </c>
      <c r="C1020" s="10" t="s">
        <v>22</v>
      </c>
      <c r="D1020" s="10" t="s">
        <v>105</v>
      </c>
    </row>
    <row r="1021">
      <c r="A1021" s="10">
        <v>1020.0</v>
      </c>
      <c r="B1021" s="11" t="s">
        <v>1123</v>
      </c>
      <c r="C1021" s="10" t="s">
        <v>79</v>
      </c>
      <c r="D1021" s="10" t="s">
        <v>27</v>
      </c>
    </row>
    <row r="1022">
      <c r="A1022" s="10">
        <v>1021.0</v>
      </c>
      <c r="B1022" s="11" t="s">
        <v>1124</v>
      </c>
      <c r="C1022" s="10" t="s">
        <v>22</v>
      </c>
      <c r="D1022" s="10" t="s">
        <v>34</v>
      </c>
    </row>
    <row r="1023">
      <c r="A1023" s="10">
        <v>1022.0</v>
      </c>
      <c r="B1023" s="11" t="s">
        <v>1125</v>
      </c>
      <c r="C1023" s="10" t="s">
        <v>22</v>
      </c>
      <c r="D1023" s="10" t="s">
        <v>95</v>
      </c>
    </row>
    <row r="1024">
      <c r="A1024" s="10">
        <v>1023.0</v>
      </c>
      <c r="B1024" s="11" t="s">
        <v>1126</v>
      </c>
      <c r="C1024" s="10" t="s">
        <v>22</v>
      </c>
      <c r="D1024" s="10" t="s">
        <v>82</v>
      </c>
    </row>
    <row r="1025">
      <c r="A1025" s="10">
        <v>1024.0</v>
      </c>
      <c r="B1025" s="11" t="s">
        <v>1127</v>
      </c>
      <c r="C1025" s="10" t="s">
        <v>22</v>
      </c>
      <c r="D1025" s="10" t="s">
        <v>49</v>
      </c>
    </row>
    <row r="1026">
      <c r="A1026" s="10">
        <v>1025.0</v>
      </c>
      <c r="B1026" s="11" t="s">
        <v>1128</v>
      </c>
      <c r="C1026" s="10" t="s">
        <v>79</v>
      </c>
      <c r="D1026" s="10" t="s">
        <v>31</v>
      </c>
    </row>
    <row r="1027">
      <c r="A1027" s="10">
        <v>1026.0</v>
      </c>
      <c r="B1027" s="11" t="s">
        <v>1129</v>
      </c>
      <c r="C1027" s="10" t="s">
        <v>22</v>
      </c>
      <c r="D1027" s="10" t="s">
        <v>67</v>
      </c>
    </row>
    <row r="1028">
      <c r="A1028" s="10">
        <v>1027.0</v>
      </c>
      <c r="B1028" s="11" t="s">
        <v>1130</v>
      </c>
      <c r="C1028" s="10" t="s">
        <v>22</v>
      </c>
      <c r="D1028" s="10" t="s">
        <v>25</v>
      </c>
    </row>
    <row r="1029">
      <c r="A1029" s="10">
        <v>1028.0</v>
      </c>
      <c r="B1029" s="11" t="s">
        <v>1131</v>
      </c>
      <c r="C1029" s="10" t="s">
        <v>22</v>
      </c>
      <c r="D1029" s="10" t="s">
        <v>42</v>
      </c>
    </row>
    <row r="1030">
      <c r="A1030" s="10">
        <v>1029.0</v>
      </c>
      <c r="B1030" s="11" t="s">
        <v>1132</v>
      </c>
      <c r="C1030" s="10" t="s">
        <v>79</v>
      </c>
      <c r="D1030" s="10" t="s">
        <v>52</v>
      </c>
    </row>
    <row r="1031">
      <c r="A1031" s="10">
        <v>1030.0</v>
      </c>
      <c r="B1031" s="11" t="s">
        <v>1133</v>
      </c>
      <c r="C1031" s="10" t="s">
        <v>22</v>
      </c>
      <c r="D1031" s="10" t="s">
        <v>18</v>
      </c>
    </row>
    <row r="1032">
      <c r="A1032" s="10">
        <v>1031.0</v>
      </c>
      <c r="B1032" s="11" t="s">
        <v>1134</v>
      </c>
      <c r="C1032" s="10" t="s">
        <v>22</v>
      </c>
      <c r="D1032" s="10" t="s">
        <v>137</v>
      </c>
    </row>
    <row r="1033">
      <c r="A1033" s="10">
        <v>1032.0</v>
      </c>
      <c r="B1033" s="11" t="s">
        <v>1135</v>
      </c>
      <c r="C1033" s="10" t="s">
        <v>79</v>
      </c>
      <c r="D1033" s="10" t="s">
        <v>82</v>
      </c>
    </row>
    <row r="1034">
      <c r="A1034" s="10">
        <v>1033.0</v>
      </c>
      <c r="B1034" s="11" t="s">
        <v>1136</v>
      </c>
      <c r="C1034" s="10" t="s">
        <v>22</v>
      </c>
      <c r="D1034" s="10" t="s">
        <v>67</v>
      </c>
    </row>
    <row r="1035">
      <c r="A1035" s="10">
        <v>1034.0</v>
      </c>
      <c r="B1035" s="11" t="s">
        <v>1137</v>
      </c>
      <c r="C1035" s="10" t="s">
        <v>22</v>
      </c>
      <c r="D1035" s="10" t="s">
        <v>95</v>
      </c>
    </row>
    <row r="1036">
      <c r="A1036" s="10">
        <v>1035.0</v>
      </c>
      <c r="B1036" s="11" t="s">
        <v>1138</v>
      </c>
      <c r="C1036" s="10" t="s">
        <v>79</v>
      </c>
      <c r="D1036" s="10" t="s">
        <v>105</v>
      </c>
    </row>
    <row r="1037">
      <c r="A1037" s="10">
        <v>1036.0</v>
      </c>
      <c r="B1037" s="11" t="s">
        <v>1139</v>
      </c>
      <c r="C1037" s="10" t="s">
        <v>22</v>
      </c>
      <c r="D1037" s="10" t="s">
        <v>105</v>
      </c>
    </row>
    <row r="1038">
      <c r="A1038" s="10">
        <v>1037.0</v>
      </c>
      <c r="B1038" s="11" t="s">
        <v>1140</v>
      </c>
      <c r="C1038" s="10" t="s">
        <v>79</v>
      </c>
      <c r="D1038" s="10" t="s">
        <v>73</v>
      </c>
    </row>
    <row r="1039">
      <c r="A1039" s="10">
        <v>1038.0</v>
      </c>
      <c r="B1039" s="11" t="s">
        <v>1141</v>
      </c>
      <c r="C1039" s="10" t="s">
        <v>22</v>
      </c>
      <c r="D1039" s="10" t="s">
        <v>23</v>
      </c>
    </row>
    <row r="1040">
      <c r="A1040" s="10">
        <v>1039.0</v>
      </c>
      <c r="B1040" s="11" t="s">
        <v>1142</v>
      </c>
      <c r="C1040" s="10" t="s">
        <v>79</v>
      </c>
      <c r="D1040" s="10" t="s">
        <v>27</v>
      </c>
    </row>
    <row r="1041">
      <c r="A1041" s="10">
        <v>1040.0</v>
      </c>
      <c r="B1041" s="11" t="s">
        <v>1143</v>
      </c>
      <c r="C1041" s="10" t="s">
        <v>22</v>
      </c>
      <c r="D1041" s="10" t="s">
        <v>137</v>
      </c>
    </row>
    <row r="1042">
      <c r="A1042" s="10">
        <v>1041.0</v>
      </c>
      <c r="B1042" s="11" t="s">
        <v>1144</v>
      </c>
      <c r="C1042" s="10" t="s">
        <v>79</v>
      </c>
      <c r="D1042" s="10" t="s">
        <v>12</v>
      </c>
    </row>
    <row r="1043">
      <c r="A1043" s="10">
        <v>1042.0</v>
      </c>
      <c r="B1043" s="11" t="s">
        <v>1145</v>
      </c>
      <c r="C1043" s="10" t="s">
        <v>22</v>
      </c>
      <c r="D1043" s="10" t="s">
        <v>137</v>
      </c>
    </row>
    <row r="1044">
      <c r="A1044" s="10">
        <v>1043.0</v>
      </c>
      <c r="B1044" s="11" t="s">
        <v>1146</v>
      </c>
      <c r="C1044" s="10" t="s">
        <v>79</v>
      </c>
      <c r="D1044" s="10" t="s">
        <v>122</v>
      </c>
    </row>
    <row r="1045">
      <c r="A1045" s="10">
        <v>1044.0</v>
      </c>
      <c r="B1045" s="11" t="s">
        <v>1147</v>
      </c>
      <c r="C1045" s="10" t="s">
        <v>22</v>
      </c>
      <c r="D1045" s="10" t="s">
        <v>49</v>
      </c>
    </row>
    <row r="1046">
      <c r="A1046" s="10">
        <v>1045.0</v>
      </c>
      <c r="B1046" s="11" t="s">
        <v>1148</v>
      </c>
      <c r="C1046" s="10" t="s">
        <v>79</v>
      </c>
      <c r="D1046" s="10" t="s">
        <v>113</v>
      </c>
    </row>
    <row r="1047">
      <c r="A1047" s="10">
        <v>1046.0</v>
      </c>
      <c r="B1047" s="11" t="s">
        <v>1149</v>
      </c>
      <c r="C1047" s="10" t="s">
        <v>79</v>
      </c>
      <c r="D1047" s="10" t="s">
        <v>129</v>
      </c>
    </row>
    <row r="1048">
      <c r="A1048" s="10">
        <v>1047.0</v>
      </c>
      <c r="B1048" s="11" t="s">
        <v>1150</v>
      </c>
      <c r="C1048" s="10" t="s">
        <v>22</v>
      </c>
      <c r="D1048" s="10" t="s">
        <v>25</v>
      </c>
    </row>
    <row r="1049">
      <c r="A1049" s="10">
        <v>1048.0</v>
      </c>
      <c r="B1049" s="11" t="s">
        <v>1151</v>
      </c>
      <c r="C1049" s="10" t="s">
        <v>79</v>
      </c>
      <c r="D1049" s="10" t="s">
        <v>113</v>
      </c>
    </row>
    <row r="1050">
      <c r="A1050" s="10">
        <v>1049.0</v>
      </c>
      <c r="B1050" s="11" t="s">
        <v>1152</v>
      </c>
      <c r="C1050" s="10" t="s">
        <v>79</v>
      </c>
      <c r="D1050" s="10" t="s">
        <v>49</v>
      </c>
    </row>
    <row r="1051">
      <c r="A1051" s="10">
        <v>1050.0</v>
      </c>
      <c r="B1051" s="11" t="s">
        <v>1153</v>
      </c>
      <c r="C1051" s="10" t="s">
        <v>22</v>
      </c>
      <c r="D1051" s="10" t="s">
        <v>120</v>
      </c>
    </row>
    <row r="1052">
      <c r="A1052" s="10">
        <v>1051.0</v>
      </c>
      <c r="B1052" s="11" t="s">
        <v>1154</v>
      </c>
      <c r="C1052" s="10" t="s">
        <v>22</v>
      </c>
      <c r="D1052" s="10" t="s">
        <v>49</v>
      </c>
    </row>
    <row r="1053">
      <c r="A1053" s="10">
        <v>1052.0</v>
      </c>
      <c r="B1053" s="11" t="s">
        <v>1155</v>
      </c>
      <c r="C1053" s="10" t="s">
        <v>79</v>
      </c>
      <c r="D1053" s="10" t="s">
        <v>46</v>
      </c>
    </row>
    <row r="1054">
      <c r="A1054" s="10">
        <v>1053.0</v>
      </c>
      <c r="B1054" s="11" t="s">
        <v>1156</v>
      </c>
      <c r="C1054" s="10" t="s">
        <v>79</v>
      </c>
      <c r="D1054" s="10" t="s">
        <v>71</v>
      </c>
    </row>
    <row r="1055">
      <c r="A1055" s="10">
        <v>1054.0</v>
      </c>
      <c r="B1055" s="11" t="s">
        <v>1157</v>
      </c>
      <c r="C1055" s="10" t="s">
        <v>22</v>
      </c>
      <c r="D1055" s="10" t="s">
        <v>67</v>
      </c>
    </row>
    <row r="1056">
      <c r="A1056" s="10">
        <v>1055.0</v>
      </c>
      <c r="B1056" s="11" t="s">
        <v>1158</v>
      </c>
      <c r="C1056" s="10" t="s">
        <v>22</v>
      </c>
      <c r="D1056" s="10" t="s">
        <v>99</v>
      </c>
    </row>
    <row r="1057">
      <c r="A1057" s="10">
        <v>1056.0</v>
      </c>
      <c r="B1057" s="11" t="s">
        <v>1159</v>
      </c>
      <c r="C1057" s="10" t="s">
        <v>22</v>
      </c>
      <c r="D1057" s="10" t="s">
        <v>71</v>
      </c>
    </row>
    <row r="1058">
      <c r="A1058" s="10">
        <v>1057.0</v>
      </c>
      <c r="B1058" s="11" t="s">
        <v>1160</v>
      </c>
      <c r="C1058" s="10" t="s">
        <v>22</v>
      </c>
      <c r="D1058" s="10" t="s">
        <v>23</v>
      </c>
    </row>
    <row r="1059">
      <c r="A1059" s="10">
        <v>1058.0</v>
      </c>
      <c r="B1059" s="11" t="s">
        <v>1161</v>
      </c>
      <c r="C1059" s="10" t="s">
        <v>79</v>
      </c>
      <c r="D1059" s="10" t="s">
        <v>140</v>
      </c>
    </row>
    <row r="1060">
      <c r="A1060" s="10">
        <v>1059.0</v>
      </c>
      <c r="B1060" s="11" t="s">
        <v>1162</v>
      </c>
      <c r="C1060" s="10" t="s">
        <v>22</v>
      </c>
      <c r="D1060" s="10" t="s">
        <v>95</v>
      </c>
    </row>
    <row r="1061">
      <c r="A1061" s="10">
        <v>1060.0</v>
      </c>
      <c r="B1061" s="11" t="s">
        <v>1163</v>
      </c>
      <c r="C1061" s="10" t="s">
        <v>22</v>
      </c>
      <c r="D1061" s="10" t="s">
        <v>12</v>
      </c>
    </row>
    <row r="1062">
      <c r="A1062" s="10">
        <v>1061.0</v>
      </c>
      <c r="B1062" s="11" t="s">
        <v>1164</v>
      </c>
      <c r="C1062" s="10" t="s">
        <v>79</v>
      </c>
      <c r="D1062" s="10" t="s">
        <v>9</v>
      </c>
    </row>
    <row r="1063">
      <c r="A1063" s="10">
        <v>1062.0</v>
      </c>
      <c r="B1063" s="11" t="s">
        <v>1165</v>
      </c>
      <c r="C1063" s="10" t="s">
        <v>220</v>
      </c>
      <c r="D1063" s="10" t="s">
        <v>42</v>
      </c>
    </row>
    <row r="1064">
      <c r="A1064" s="10">
        <v>1063.0</v>
      </c>
      <c r="B1064" s="11" t="s">
        <v>416</v>
      </c>
      <c r="C1064" s="10" t="s">
        <v>22</v>
      </c>
      <c r="D1064" s="10" t="s">
        <v>52</v>
      </c>
    </row>
    <row r="1065">
      <c r="A1065" s="10">
        <v>1064.0</v>
      </c>
      <c r="B1065" s="11" t="s">
        <v>1166</v>
      </c>
      <c r="C1065" s="10" t="s">
        <v>79</v>
      </c>
      <c r="D1065" s="10" t="s">
        <v>67</v>
      </c>
    </row>
    <row r="1066">
      <c r="A1066" s="10">
        <v>1065.0</v>
      </c>
      <c r="B1066" s="11" t="s">
        <v>1167</v>
      </c>
      <c r="C1066" s="10" t="s">
        <v>22</v>
      </c>
      <c r="D1066" s="10" t="s">
        <v>206</v>
      </c>
    </row>
    <row r="1067">
      <c r="A1067" s="10">
        <v>1066.0</v>
      </c>
      <c r="B1067" s="11" t="s">
        <v>1168</v>
      </c>
      <c r="C1067" s="10" t="s">
        <v>22</v>
      </c>
      <c r="D1067" s="10" t="s">
        <v>113</v>
      </c>
    </row>
    <row r="1068">
      <c r="A1068" s="10">
        <v>1067.0</v>
      </c>
      <c r="B1068" s="11" t="s">
        <v>1169</v>
      </c>
      <c r="C1068" s="10" t="s">
        <v>22</v>
      </c>
      <c r="D1068" s="10" t="s">
        <v>120</v>
      </c>
    </row>
    <row r="1069">
      <c r="A1069" s="10">
        <v>1068.0</v>
      </c>
      <c r="B1069" s="11" t="s">
        <v>1170</v>
      </c>
      <c r="C1069" s="10" t="s">
        <v>79</v>
      </c>
      <c r="D1069" s="10" t="s">
        <v>18</v>
      </c>
    </row>
    <row r="1070">
      <c r="A1070" s="10">
        <v>1069.0</v>
      </c>
      <c r="B1070" s="11" t="s">
        <v>1171</v>
      </c>
      <c r="C1070" s="10" t="s">
        <v>22</v>
      </c>
      <c r="D1070" s="10" t="s">
        <v>99</v>
      </c>
    </row>
    <row r="1071">
      <c r="A1071" s="10">
        <v>1070.0</v>
      </c>
      <c r="B1071" s="11" t="s">
        <v>1172</v>
      </c>
      <c r="C1071" s="10" t="s">
        <v>22</v>
      </c>
      <c r="D1071" s="10" t="s">
        <v>122</v>
      </c>
    </row>
    <row r="1072">
      <c r="A1072" s="10">
        <v>1071.0</v>
      </c>
      <c r="B1072" s="11" t="s">
        <v>1173</v>
      </c>
      <c r="C1072" s="10" t="s">
        <v>79</v>
      </c>
      <c r="D1072" s="10" t="s">
        <v>31</v>
      </c>
    </row>
    <row r="1073">
      <c r="A1073" s="10">
        <v>1072.0</v>
      </c>
      <c r="B1073" s="11" t="s">
        <v>1174</v>
      </c>
      <c r="C1073" s="10" t="s">
        <v>79</v>
      </c>
      <c r="D1073" s="10" t="s">
        <v>140</v>
      </c>
    </row>
    <row r="1074">
      <c r="A1074" s="10">
        <v>1073.0</v>
      </c>
      <c r="B1074" s="11" t="s">
        <v>1175</v>
      </c>
      <c r="C1074" s="10" t="s">
        <v>22</v>
      </c>
      <c r="D1074" s="10" t="s">
        <v>99</v>
      </c>
    </row>
    <row r="1075">
      <c r="A1075" s="10">
        <v>1074.0</v>
      </c>
      <c r="B1075" s="11" t="s">
        <v>1176</v>
      </c>
      <c r="C1075" s="10" t="s">
        <v>79</v>
      </c>
      <c r="D1075" s="10" t="s">
        <v>122</v>
      </c>
    </row>
    <row r="1076">
      <c r="A1076" s="10">
        <v>1075.0</v>
      </c>
      <c r="B1076" s="11" t="s">
        <v>1177</v>
      </c>
      <c r="C1076" s="10" t="s">
        <v>22</v>
      </c>
      <c r="D1076" s="10" t="s">
        <v>36</v>
      </c>
    </row>
    <row r="1077">
      <c r="A1077" s="10">
        <v>1076.0</v>
      </c>
      <c r="B1077" s="11" t="s">
        <v>1178</v>
      </c>
      <c r="C1077" s="10" t="s">
        <v>22</v>
      </c>
      <c r="D1077" s="10" t="s">
        <v>90</v>
      </c>
    </row>
    <row r="1078">
      <c r="A1078" s="10">
        <v>1077.0</v>
      </c>
      <c r="B1078" s="11" t="s">
        <v>1179</v>
      </c>
      <c r="C1078" s="10" t="s">
        <v>220</v>
      </c>
      <c r="D1078" s="10" t="s">
        <v>95</v>
      </c>
    </row>
    <row r="1079">
      <c r="A1079" s="10">
        <v>1078.0</v>
      </c>
      <c r="B1079" s="11" t="s">
        <v>1180</v>
      </c>
      <c r="C1079" s="10" t="s">
        <v>79</v>
      </c>
      <c r="D1079" s="10" t="s">
        <v>31</v>
      </c>
    </row>
    <row r="1080">
      <c r="A1080" s="10">
        <v>1079.0</v>
      </c>
      <c r="B1080" s="11" t="s">
        <v>1181</v>
      </c>
      <c r="C1080" s="10" t="s">
        <v>22</v>
      </c>
      <c r="D1080" s="10" t="s">
        <v>129</v>
      </c>
    </row>
    <row r="1081">
      <c r="A1081" s="10">
        <v>1080.0</v>
      </c>
      <c r="B1081" s="11" t="s">
        <v>1182</v>
      </c>
      <c r="C1081" s="10" t="s">
        <v>22</v>
      </c>
      <c r="D1081" s="10" t="s">
        <v>67</v>
      </c>
    </row>
    <row r="1082">
      <c r="A1082" s="10">
        <v>1081.0</v>
      </c>
      <c r="B1082" s="11" t="s">
        <v>1183</v>
      </c>
      <c r="C1082" s="10" t="s">
        <v>22</v>
      </c>
      <c r="D1082" s="10" t="s">
        <v>27</v>
      </c>
    </row>
    <row r="1083">
      <c r="A1083" s="10">
        <v>1082.0</v>
      </c>
      <c r="B1083" s="11" t="s">
        <v>1184</v>
      </c>
      <c r="C1083" s="10" t="s">
        <v>79</v>
      </c>
      <c r="D1083" s="10" t="s">
        <v>18</v>
      </c>
    </row>
    <row r="1084">
      <c r="A1084" s="10">
        <v>1083.0</v>
      </c>
      <c r="B1084" s="11" t="s">
        <v>1185</v>
      </c>
      <c r="C1084" s="10" t="s">
        <v>22</v>
      </c>
      <c r="D1084" s="10" t="s">
        <v>120</v>
      </c>
    </row>
    <row r="1085">
      <c r="A1085" s="10">
        <v>1084.0</v>
      </c>
      <c r="B1085" s="11" t="s">
        <v>1186</v>
      </c>
      <c r="C1085" s="10" t="s">
        <v>22</v>
      </c>
      <c r="D1085" s="10" t="s">
        <v>206</v>
      </c>
    </row>
    <row r="1086">
      <c r="A1086" s="10">
        <v>1085.0</v>
      </c>
      <c r="B1086" s="11" t="s">
        <v>1187</v>
      </c>
      <c r="C1086" s="10" t="s">
        <v>22</v>
      </c>
      <c r="D1086" s="10" t="s">
        <v>129</v>
      </c>
    </row>
    <row r="1087">
      <c r="A1087" s="10">
        <v>1086.0</v>
      </c>
      <c r="B1087" s="11" t="s">
        <v>1188</v>
      </c>
      <c r="C1087" s="10" t="s">
        <v>22</v>
      </c>
      <c r="D1087" s="10" t="s">
        <v>95</v>
      </c>
    </row>
    <row r="1088">
      <c r="A1088" s="10">
        <v>1087.0</v>
      </c>
      <c r="B1088" s="11" t="s">
        <v>1189</v>
      </c>
      <c r="C1088" s="10" t="s">
        <v>22</v>
      </c>
      <c r="D1088" s="10" t="s">
        <v>73</v>
      </c>
    </row>
    <row r="1089">
      <c r="A1089" s="10">
        <v>1088.0</v>
      </c>
      <c r="B1089" s="11" t="s">
        <v>1190</v>
      </c>
      <c r="C1089" s="10" t="s">
        <v>22</v>
      </c>
      <c r="D1089" s="10" t="s">
        <v>105</v>
      </c>
    </row>
    <row r="1090">
      <c r="A1090" s="10">
        <v>1089.0</v>
      </c>
      <c r="B1090" s="11" t="s">
        <v>1191</v>
      </c>
      <c r="C1090" s="10" t="s">
        <v>22</v>
      </c>
      <c r="D1090" s="10" t="s">
        <v>73</v>
      </c>
    </row>
    <row r="1091">
      <c r="A1091" s="10">
        <v>1090.0</v>
      </c>
      <c r="B1091" s="11" t="s">
        <v>1192</v>
      </c>
      <c r="C1091" s="10" t="s">
        <v>22</v>
      </c>
      <c r="D1091" s="10" t="s">
        <v>42</v>
      </c>
    </row>
    <row r="1092">
      <c r="A1092" s="10">
        <v>1091.0</v>
      </c>
      <c r="B1092" s="11" t="s">
        <v>1193</v>
      </c>
      <c r="C1092" s="10" t="s">
        <v>22</v>
      </c>
      <c r="D1092" s="10" t="s">
        <v>95</v>
      </c>
    </row>
    <row r="1093">
      <c r="A1093" s="10">
        <v>1092.0</v>
      </c>
      <c r="B1093" s="11" t="s">
        <v>1194</v>
      </c>
      <c r="C1093" s="10" t="s">
        <v>22</v>
      </c>
      <c r="D1093" s="10" t="s">
        <v>27</v>
      </c>
    </row>
    <row r="1094">
      <c r="A1094" s="10">
        <v>1093.0</v>
      </c>
      <c r="B1094" s="11" t="s">
        <v>1195</v>
      </c>
      <c r="C1094" s="10" t="s">
        <v>79</v>
      </c>
      <c r="D1094" s="10" t="s">
        <v>18</v>
      </c>
    </row>
    <row r="1095">
      <c r="A1095" s="10">
        <v>1094.0</v>
      </c>
      <c r="B1095" s="11" t="s">
        <v>1196</v>
      </c>
      <c r="C1095" s="10" t="s">
        <v>22</v>
      </c>
      <c r="D1095" s="10" t="s">
        <v>42</v>
      </c>
    </row>
    <row r="1096">
      <c r="A1096" s="10">
        <v>1095.0</v>
      </c>
      <c r="B1096" s="11" t="s">
        <v>1197</v>
      </c>
      <c r="C1096" s="10" t="s">
        <v>22</v>
      </c>
      <c r="D1096" s="10" t="s">
        <v>52</v>
      </c>
    </row>
    <row r="1097">
      <c r="A1097" s="10">
        <v>1096.0</v>
      </c>
      <c r="B1097" s="11" t="s">
        <v>1198</v>
      </c>
      <c r="C1097" s="10" t="s">
        <v>22</v>
      </c>
      <c r="D1097" s="10" t="s">
        <v>129</v>
      </c>
    </row>
    <row r="1098">
      <c r="A1098" s="10">
        <v>1097.0</v>
      </c>
      <c r="B1098" s="11" t="s">
        <v>1199</v>
      </c>
      <c r="C1098" s="10" t="s">
        <v>22</v>
      </c>
      <c r="D1098" s="10" t="s">
        <v>23</v>
      </c>
    </row>
    <row r="1099">
      <c r="A1099" s="10">
        <v>1098.0</v>
      </c>
      <c r="B1099" s="11" t="s">
        <v>1200</v>
      </c>
      <c r="C1099" s="10" t="s">
        <v>79</v>
      </c>
      <c r="D1099" s="10" t="s">
        <v>23</v>
      </c>
    </row>
    <row r="1100">
      <c r="A1100" s="10">
        <v>1099.0</v>
      </c>
      <c r="B1100" s="11" t="s">
        <v>1201</v>
      </c>
      <c r="C1100" s="10" t="s">
        <v>22</v>
      </c>
      <c r="D1100" s="10" t="s">
        <v>46</v>
      </c>
    </row>
    <row r="1101">
      <c r="A1101" s="10">
        <v>1100.0</v>
      </c>
      <c r="B1101" s="11" t="s">
        <v>1202</v>
      </c>
      <c r="C1101" s="10" t="s">
        <v>79</v>
      </c>
      <c r="D1101" s="10" t="s">
        <v>90</v>
      </c>
    </row>
    <row r="1102">
      <c r="A1102" s="10">
        <v>1101.0</v>
      </c>
      <c r="B1102" s="11" t="s">
        <v>1203</v>
      </c>
      <c r="C1102" s="10" t="s">
        <v>79</v>
      </c>
      <c r="D1102" s="10" t="s">
        <v>129</v>
      </c>
    </row>
    <row r="1103">
      <c r="A1103" s="10">
        <v>1102.0</v>
      </c>
      <c r="B1103" s="11" t="s">
        <v>1204</v>
      </c>
      <c r="C1103" s="10" t="s">
        <v>22</v>
      </c>
      <c r="D1103" s="10" t="s">
        <v>120</v>
      </c>
    </row>
    <row r="1104">
      <c r="A1104" s="10">
        <v>1103.0</v>
      </c>
      <c r="B1104" s="11" t="s">
        <v>1205</v>
      </c>
      <c r="C1104" s="10" t="s">
        <v>22</v>
      </c>
      <c r="D1104" s="10" t="s">
        <v>137</v>
      </c>
    </row>
    <row r="1105">
      <c r="A1105" s="10">
        <v>1104.0</v>
      </c>
      <c r="B1105" s="11" t="s">
        <v>1206</v>
      </c>
      <c r="C1105" s="10" t="s">
        <v>22</v>
      </c>
      <c r="D1105" s="10" t="s">
        <v>120</v>
      </c>
    </row>
    <row r="1106">
      <c r="A1106" s="10">
        <v>1105.0</v>
      </c>
      <c r="B1106" s="11" t="s">
        <v>1207</v>
      </c>
      <c r="C1106" s="10" t="s">
        <v>79</v>
      </c>
      <c r="D1106" s="10" t="s">
        <v>113</v>
      </c>
    </row>
    <row r="1107">
      <c r="A1107" s="10">
        <v>1106.0</v>
      </c>
      <c r="B1107" s="11" t="s">
        <v>1208</v>
      </c>
      <c r="C1107" s="10" t="s">
        <v>22</v>
      </c>
      <c r="D1107" s="10" t="s">
        <v>67</v>
      </c>
    </row>
    <row r="1108">
      <c r="A1108" s="10">
        <v>1107.0</v>
      </c>
      <c r="B1108" s="11" t="s">
        <v>1209</v>
      </c>
      <c r="C1108" s="10" t="s">
        <v>79</v>
      </c>
      <c r="D1108" s="10" t="s">
        <v>52</v>
      </c>
    </row>
    <row r="1109">
      <c r="A1109" s="10">
        <v>1108.0</v>
      </c>
      <c r="B1109" s="11" t="s">
        <v>1210</v>
      </c>
      <c r="C1109" s="10" t="s">
        <v>22</v>
      </c>
      <c r="D1109" s="10" t="s">
        <v>73</v>
      </c>
    </row>
    <row r="1110">
      <c r="A1110" s="10">
        <v>1109.0</v>
      </c>
      <c r="B1110" s="11" t="s">
        <v>1211</v>
      </c>
      <c r="C1110" s="10" t="s">
        <v>22</v>
      </c>
      <c r="D1110" s="10" t="s">
        <v>15</v>
      </c>
    </row>
    <row r="1111">
      <c r="A1111" s="10">
        <v>1110.0</v>
      </c>
      <c r="B1111" s="11" t="s">
        <v>1212</v>
      </c>
      <c r="C1111" s="10" t="s">
        <v>22</v>
      </c>
      <c r="D1111" s="10" t="s">
        <v>71</v>
      </c>
    </row>
    <row r="1112">
      <c r="A1112" s="10">
        <v>1111.0</v>
      </c>
      <c r="B1112" s="11" t="s">
        <v>1213</v>
      </c>
      <c r="C1112" s="10" t="s">
        <v>22</v>
      </c>
      <c r="D1112" s="10" t="s">
        <v>90</v>
      </c>
    </row>
    <row r="1113">
      <c r="A1113" s="10">
        <v>1112.0</v>
      </c>
      <c r="B1113" s="11" t="s">
        <v>1214</v>
      </c>
      <c r="C1113" s="10" t="s">
        <v>22</v>
      </c>
      <c r="D1113" s="10" t="s">
        <v>52</v>
      </c>
    </row>
    <row r="1114">
      <c r="A1114" s="10">
        <v>1113.0</v>
      </c>
      <c r="B1114" s="11" t="s">
        <v>1215</v>
      </c>
      <c r="C1114" s="10" t="s">
        <v>79</v>
      </c>
      <c r="D1114" s="10" t="s">
        <v>120</v>
      </c>
    </row>
    <row r="1115">
      <c r="A1115" s="10">
        <v>1114.0</v>
      </c>
      <c r="B1115" s="11" t="s">
        <v>1216</v>
      </c>
      <c r="C1115" s="10" t="s">
        <v>22</v>
      </c>
      <c r="D1115" s="10" t="s">
        <v>73</v>
      </c>
    </row>
    <row r="1116">
      <c r="A1116" s="10">
        <v>1115.0</v>
      </c>
      <c r="B1116" s="11" t="s">
        <v>1217</v>
      </c>
      <c r="C1116" s="10" t="s">
        <v>22</v>
      </c>
      <c r="D1116" s="10" t="s">
        <v>46</v>
      </c>
    </row>
    <row r="1117">
      <c r="A1117" s="10">
        <v>1116.0</v>
      </c>
      <c r="B1117" s="11" t="s">
        <v>1218</v>
      </c>
      <c r="C1117" s="10" t="s">
        <v>22</v>
      </c>
      <c r="D1117" s="10" t="s">
        <v>34</v>
      </c>
    </row>
    <row r="1118">
      <c r="A1118" s="10">
        <v>1117.0</v>
      </c>
      <c r="B1118" s="11" t="s">
        <v>1219</v>
      </c>
      <c r="C1118" s="10" t="s">
        <v>22</v>
      </c>
      <c r="D1118" s="10" t="s">
        <v>206</v>
      </c>
    </row>
    <row r="1119">
      <c r="A1119" s="10">
        <v>1118.0</v>
      </c>
      <c r="B1119" s="11" t="s">
        <v>1220</v>
      </c>
      <c r="C1119" s="10" t="s">
        <v>22</v>
      </c>
      <c r="D1119" s="10" t="s">
        <v>15</v>
      </c>
    </row>
    <row r="1120">
      <c r="A1120" s="10">
        <v>1119.0</v>
      </c>
      <c r="B1120" s="11" t="s">
        <v>1221</v>
      </c>
      <c r="C1120" s="10" t="s">
        <v>79</v>
      </c>
      <c r="D1120" s="10" t="s">
        <v>9</v>
      </c>
    </row>
    <row r="1121">
      <c r="A1121" s="10">
        <v>1120.0</v>
      </c>
      <c r="B1121" s="11" t="s">
        <v>1222</v>
      </c>
      <c r="C1121" s="10" t="s">
        <v>79</v>
      </c>
      <c r="D1121" s="10" t="s">
        <v>9</v>
      </c>
    </row>
    <row r="1122">
      <c r="A1122" s="10">
        <v>1121.0</v>
      </c>
      <c r="B1122" s="11" t="s">
        <v>1223</v>
      </c>
      <c r="C1122" s="10" t="s">
        <v>79</v>
      </c>
      <c r="D1122" s="10" t="s">
        <v>31</v>
      </c>
    </row>
    <row r="1123">
      <c r="A1123" s="10">
        <v>1122.0</v>
      </c>
      <c r="B1123" s="11" t="s">
        <v>1224</v>
      </c>
      <c r="C1123" s="10" t="s">
        <v>22</v>
      </c>
      <c r="D1123" s="10" t="s">
        <v>34</v>
      </c>
    </row>
    <row r="1124">
      <c r="A1124" s="10">
        <v>1123.0</v>
      </c>
      <c r="B1124" s="11" t="s">
        <v>1225</v>
      </c>
      <c r="C1124" s="10" t="s">
        <v>22</v>
      </c>
      <c r="D1124" s="10" t="s">
        <v>36</v>
      </c>
    </row>
    <row r="1125">
      <c r="A1125" s="10">
        <v>1124.0</v>
      </c>
      <c r="B1125" s="11" t="s">
        <v>1226</v>
      </c>
      <c r="C1125" s="10" t="s">
        <v>79</v>
      </c>
      <c r="D1125" s="10" t="s">
        <v>129</v>
      </c>
    </row>
    <row r="1126">
      <c r="A1126" s="10">
        <v>1125.0</v>
      </c>
      <c r="B1126" s="11" t="s">
        <v>1227</v>
      </c>
      <c r="C1126" s="10" t="s">
        <v>22</v>
      </c>
      <c r="D1126" s="10" t="s">
        <v>12</v>
      </c>
    </row>
    <row r="1127">
      <c r="A1127" s="10">
        <v>1126.0</v>
      </c>
      <c r="B1127" s="11" t="s">
        <v>1228</v>
      </c>
      <c r="C1127" s="10" t="s">
        <v>22</v>
      </c>
      <c r="D1127" s="10" t="s">
        <v>122</v>
      </c>
    </row>
    <row r="1128">
      <c r="A1128" s="10">
        <v>1127.0</v>
      </c>
      <c r="B1128" s="11" t="s">
        <v>1229</v>
      </c>
      <c r="C1128" s="10" t="s">
        <v>79</v>
      </c>
      <c r="D1128" s="10" t="s">
        <v>122</v>
      </c>
    </row>
    <row r="1129">
      <c r="A1129" s="10">
        <v>1128.0</v>
      </c>
      <c r="B1129" s="11" t="s">
        <v>1230</v>
      </c>
      <c r="C1129" s="10" t="s">
        <v>22</v>
      </c>
      <c r="D1129" s="10" t="s">
        <v>27</v>
      </c>
    </row>
    <row r="1130">
      <c r="A1130" s="10">
        <v>1129.0</v>
      </c>
      <c r="B1130" s="11" t="s">
        <v>1231</v>
      </c>
      <c r="C1130" s="10" t="s">
        <v>22</v>
      </c>
      <c r="D1130" s="10" t="s">
        <v>42</v>
      </c>
    </row>
    <row r="1131">
      <c r="A1131" s="10">
        <v>1130.0</v>
      </c>
      <c r="B1131" s="11" t="s">
        <v>1232</v>
      </c>
      <c r="C1131" s="10" t="s">
        <v>79</v>
      </c>
      <c r="D1131" s="10" t="s">
        <v>42</v>
      </c>
    </row>
    <row r="1132">
      <c r="A1132" s="10">
        <v>1131.0</v>
      </c>
      <c r="B1132" s="11" t="s">
        <v>1233</v>
      </c>
      <c r="C1132" s="10" t="s">
        <v>22</v>
      </c>
      <c r="D1132" s="10" t="s">
        <v>140</v>
      </c>
    </row>
    <row r="1133">
      <c r="A1133" s="10">
        <v>1132.0</v>
      </c>
      <c r="B1133" s="11" t="s">
        <v>1234</v>
      </c>
      <c r="C1133" s="10" t="s">
        <v>22</v>
      </c>
      <c r="D1133" s="10" t="s">
        <v>23</v>
      </c>
    </row>
    <row r="1134">
      <c r="A1134" s="10">
        <v>1133.0</v>
      </c>
      <c r="B1134" s="11" t="s">
        <v>1235</v>
      </c>
      <c r="C1134" s="10" t="s">
        <v>79</v>
      </c>
      <c r="D1134" s="10" t="s">
        <v>27</v>
      </c>
    </row>
    <row r="1135">
      <c r="A1135" s="10">
        <v>1134.0</v>
      </c>
      <c r="B1135" s="11" t="s">
        <v>1236</v>
      </c>
      <c r="C1135" s="10" t="s">
        <v>22</v>
      </c>
      <c r="D1135" s="10" t="s">
        <v>73</v>
      </c>
    </row>
    <row r="1136">
      <c r="A1136" s="10">
        <v>1135.0</v>
      </c>
      <c r="B1136" s="11" t="s">
        <v>1237</v>
      </c>
      <c r="C1136" s="10" t="s">
        <v>22</v>
      </c>
      <c r="D1136" s="10" t="s">
        <v>120</v>
      </c>
    </row>
    <row r="1137">
      <c r="A1137" s="10">
        <v>1136.0</v>
      </c>
      <c r="B1137" s="11" t="s">
        <v>1238</v>
      </c>
      <c r="C1137" s="10" t="s">
        <v>79</v>
      </c>
      <c r="D1137" s="10" t="s">
        <v>36</v>
      </c>
    </row>
    <row r="1138">
      <c r="A1138" s="10">
        <v>1137.0</v>
      </c>
      <c r="B1138" s="11" t="s">
        <v>1239</v>
      </c>
      <c r="C1138" s="10" t="s">
        <v>22</v>
      </c>
      <c r="D1138" s="10" t="s">
        <v>15</v>
      </c>
    </row>
    <row r="1139">
      <c r="A1139" s="10">
        <v>1138.0</v>
      </c>
      <c r="B1139" s="11" t="s">
        <v>1240</v>
      </c>
      <c r="C1139" s="10" t="s">
        <v>22</v>
      </c>
      <c r="D1139" s="10" t="s">
        <v>129</v>
      </c>
    </row>
    <row r="1140">
      <c r="A1140" s="10">
        <v>1139.0</v>
      </c>
      <c r="B1140" s="11" t="s">
        <v>1241</v>
      </c>
      <c r="C1140" s="10" t="s">
        <v>79</v>
      </c>
      <c r="D1140" s="10" t="s">
        <v>46</v>
      </c>
    </row>
    <row r="1141">
      <c r="A1141" s="10">
        <v>1140.0</v>
      </c>
      <c r="B1141" s="11" t="s">
        <v>1242</v>
      </c>
      <c r="C1141" s="10" t="s">
        <v>22</v>
      </c>
      <c r="D1141" s="10" t="s">
        <v>71</v>
      </c>
    </row>
    <row r="1142">
      <c r="A1142" s="10">
        <v>1141.0</v>
      </c>
      <c r="B1142" s="11" t="s">
        <v>1243</v>
      </c>
      <c r="C1142" s="10" t="s">
        <v>22</v>
      </c>
      <c r="D1142" s="10" t="s">
        <v>137</v>
      </c>
    </row>
    <row r="1143">
      <c r="A1143" s="10">
        <v>1142.0</v>
      </c>
      <c r="B1143" s="11" t="s">
        <v>1244</v>
      </c>
      <c r="C1143" s="10" t="s">
        <v>79</v>
      </c>
      <c r="D1143" s="10" t="s">
        <v>49</v>
      </c>
    </row>
    <row r="1144">
      <c r="A1144" s="10">
        <v>1143.0</v>
      </c>
      <c r="B1144" s="11" t="s">
        <v>1245</v>
      </c>
      <c r="C1144" s="10" t="s">
        <v>22</v>
      </c>
      <c r="D1144" s="10" t="s">
        <v>137</v>
      </c>
    </row>
    <row r="1145">
      <c r="A1145" s="10">
        <v>1144.0</v>
      </c>
      <c r="B1145" s="11" t="s">
        <v>1246</v>
      </c>
      <c r="C1145" s="10" t="s">
        <v>79</v>
      </c>
      <c r="D1145" s="10" t="s">
        <v>120</v>
      </c>
    </row>
    <row r="1146">
      <c r="A1146" s="10">
        <v>1145.0</v>
      </c>
      <c r="B1146" s="11" t="s">
        <v>1247</v>
      </c>
      <c r="C1146" s="10" t="s">
        <v>79</v>
      </c>
      <c r="D1146" s="10" t="s">
        <v>105</v>
      </c>
    </row>
    <row r="1147">
      <c r="A1147" s="10">
        <v>1146.0</v>
      </c>
      <c r="B1147" s="11" t="s">
        <v>1248</v>
      </c>
      <c r="C1147" s="10" t="s">
        <v>79</v>
      </c>
      <c r="D1147" s="10" t="s">
        <v>52</v>
      </c>
    </row>
    <row r="1148">
      <c r="A1148" s="10">
        <v>1147.0</v>
      </c>
      <c r="B1148" s="11" t="s">
        <v>1249</v>
      </c>
      <c r="C1148" s="10" t="s">
        <v>22</v>
      </c>
      <c r="D1148" s="10" t="s">
        <v>18</v>
      </c>
    </row>
    <row r="1149">
      <c r="A1149" s="10">
        <v>1148.0</v>
      </c>
      <c r="B1149" s="11" t="s">
        <v>1250</v>
      </c>
      <c r="C1149" s="10" t="s">
        <v>79</v>
      </c>
      <c r="D1149" s="10" t="s">
        <v>122</v>
      </c>
    </row>
    <row r="1150">
      <c r="A1150" s="10">
        <v>1149.0</v>
      </c>
      <c r="B1150" s="11" t="s">
        <v>1251</v>
      </c>
      <c r="C1150" s="10" t="s">
        <v>79</v>
      </c>
      <c r="D1150" s="10" t="s">
        <v>99</v>
      </c>
    </row>
    <row r="1151">
      <c r="A1151" s="10">
        <v>1150.0</v>
      </c>
      <c r="B1151" s="11" t="s">
        <v>1252</v>
      </c>
      <c r="C1151" s="10" t="s">
        <v>79</v>
      </c>
      <c r="D1151" s="10" t="s">
        <v>122</v>
      </c>
    </row>
    <row r="1152">
      <c r="A1152" s="10">
        <v>1151.0</v>
      </c>
      <c r="B1152" s="11" t="s">
        <v>1253</v>
      </c>
      <c r="C1152" s="10" t="s">
        <v>22</v>
      </c>
      <c r="D1152" s="10" t="s">
        <v>113</v>
      </c>
    </row>
    <row r="1153">
      <c r="A1153" s="10">
        <v>1152.0</v>
      </c>
      <c r="B1153" s="11" t="s">
        <v>1254</v>
      </c>
      <c r="C1153" s="10" t="s">
        <v>22</v>
      </c>
      <c r="D1153" s="10" t="s">
        <v>95</v>
      </c>
    </row>
    <row r="1154">
      <c r="A1154" s="10">
        <v>1153.0</v>
      </c>
      <c r="B1154" s="11" t="s">
        <v>1255</v>
      </c>
      <c r="C1154" s="10" t="s">
        <v>22</v>
      </c>
      <c r="D1154" s="10" t="s">
        <v>46</v>
      </c>
    </row>
    <row r="1155">
      <c r="A1155" s="10">
        <v>1154.0</v>
      </c>
      <c r="B1155" s="11" t="s">
        <v>1256</v>
      </c>
      <c r="C1155" s="10" t="s">
        <v>79</v>
      </c>
      <c r="D1155" s="10" t="s">
        <v>23</v>
      </c>
    </row>
    <row r="1156">
      <c r="A1156" s="10">
        <v>1155.0</v>
      </c>
      <c r="B1156" s="11" t="s">
        <v>1257</v>
      </c>
      <c r="C1156" s="10" t="s">
        <v>22</v>
      </c>
      <c r="D1156" s="10" t="s">
        <v>23</v>
      </c>
    </row>
    <row r="1157">
      <c r="A1157" s="10">
        <v>1156.0</v>
      </c>
      <c r="B1157" s="11" t="s">
        <v>1258</v>
      </c>
      <c r="C1157" s="10" t="s">
        <v>79</v>
      </c>
      <c r="D1157" s="10" t="s">
        <v>34</v>
      </c>
    </row>
    <row r="1158">
      <c r="A1158" s="10">
        <v>1157.0</v>
      </c>
      <c r="B1158" s="11" t="s">
        <v>1259</v>
      </c>
      <c r="C1158" s="10" t="s">
        <v>22</v>
      </c>
      <c r="D1158" s="10" t="s">
        <v>113</v>
      </c>
    </row>
    <row r="1159">
      <c r="A1159" s="10">
        <v>1158.0</v>
      </c>
      <c r="B1159" s="11" t="s">
        <v>1260</v>
      </c>
      <c r="C1159" s="10" t="s">
        <v>79</v>
      </c>
      <c r="D1159" s="10" t="s">
        <v>140</v>
      </c>
    </row>
    <row r="1160">
      <c r="A1160" s="10">
        <v>1159.0</v>
      </c>
      <c r="B1160" s="11" t="s">
        <v>1261</v>
      </c>
      <c r="C1160" s="10" t="s">
        <v>22</v>
      </c>
      <c r="D1160" s="10" t="s">
        <v>9</v>
      </c>
    </row>
    <row r="1161">
      <c r="A1161" s="10">
        <v>1160.0</v>
      </c>
      <c r="B1161" s="11" t="s">
        <v>1262</v>
      </c>
      <c r="C1161" s="10" t="s">
        <v>22</v>
      </c>
      <c r="D1161" s="10" t="s">
        <v>206</v>
      </c>
    </row>
    <row r="1162">
      <c r="A1162" s="10">
        <v>1161.0</v>
      </c>
      <c r="B1162" s="11" t="s">
        <v>1263</v>
      </c>
      <c r="C1162" s="10" t="s">
        <v>79</v>
      </c>
      <c r="D1162" s="10" t="s">
        <v>42</v>
      </c>
    </row>
    <row r="1163">
      <c r="A1163" s="10">
        <v>1162.0</v>
      </c>
      <c r="B1163" s="11" t="s">
        <v>1264</v>
      </c>
      <c r="C1163" s="10" t="s">
        <v>22</v>
      </c>
      <c r="D1163" s="10" t="s">
        <v>12</v>
      </c>
    </row>
    <row r="1164">
      <c r="A1164" s="10">
        <v>1163.0</v>
      </c>
      <c r="B1164" s="11" t="s">
        <v>1265</v>
      </c>
      <c r="C1164" s="10" t="s">
        <v>220</v>
      </c>
      <c r="D1164" s="10" t="s">
        <v>18</v>
      </c>
    </row>
    <row r="1165">
      <c r="A1165" s="10">
        <v>1164.0</v>
      </c>
      <c r="B1165" s="11" t="s">
        <v>1266</v>
      </c>
      <c r="C1165" s="10" t="s">
        <v>79</v>
      </c>
      <c r="D1165" s="10" t="s">
        <v>95</v>
      </c>
    </row>
    <row r="1166">
      <c r="A1166" s="10">
        <v>1165.0</v>
      </c>
      <c r="B1166" s="11" t="s">
        <v>1267</v>
      </c>
      <c r="C1166" s="10" t="s">
        <v>22</v>
      </c>
      <c r="D1166" s="10" t="s">
        <v>95</v>
      </c>
    </row>
    <row r="1167">
      <c r="A1167" s="10">
        <v>1166.0</v>
      </c>
      <c r="B1167" s="11" t="s">
        <v>1268</v>
      </c>
      <c r="C1167" s="10" t="s">
        <v>220</v>
      </c>
      <c r="D1167" s="10" t="s">
        <v>129</v>
      </c>
    </row>
    <row r="1168">
      <c r="A1168" s="10">
        <v>1167.0</v>
      </c>
      <c r="B1168" s="11" t="s">
        <v>1269</v>
      </c>
      <c r="C1168" s="10" t="s">
        <v>79</v>
      </c>
      <c r="D1168" s="10" t="s">
        <v>95</v>
      </c>
    </row>
    <row r="1169">
      <c r="A1169" s="10">
        <v>1168.0</v>
      </c>
      <c r="B1169" s="11" t="s">
        <v>1270</v>
      </c>
      <c r="C1169" s="10" t="s">
        <v>79</v>
      </c>
      <c r="D1169" s="10" t="s">
        <v>113</v>
      </c>
    </row>
    <row r="1170">
      <c r="A1170" s="10">
        <v>1169.0</v>
      </c>
      <c r="B1170" s="11" t="s">
        <v>1271</v>
      </c>
      <c r="C1170" s="10" t="s">
        <v>22</v>
      </c>
      <c r="D1170" s="10" t="s">
        <v>122</v>
      </c>
    </row>
    <row r="1171">
      <c r="A1171" s="10">
        <v>1170.0</v>
      </c>
      <c r="B1171" s="11" t="s">
        <v>1272</v>
      </c>
      <c r="C1171" s="10" t="s">
        <v>79</v>
      </c>
      <c r="D1171" s="10" t="s">
        <v>15</v>
      </c>
    </row>
    <row r="1172">
      <c r="A1172" s="10">
        <v>1171.0</v>
      </c>
      <c r="B1172" s="11" t="s">
        <v>1273</v>
      </c>
      <c r="C1172" s="10" t="s">
        <v>79</v>
      </c>
      <c r="D1172" s="10" t="s">
        <v>85</v>
      </c>
    </row>
    <row r="1173">
      <c r="A1173" s="10">
        <v>1172.0</v>
      </c>
      <c r="B1173" s="11" t="s">
        <v>1274</v>
      </c>
      <c r="C1173" s="10" t="s">
        <v>22</v>
      </c>
      <c r="D1173" s="10" t="s">
        <v>36</v>
      </c>
    </row>
    <row r="1174">
      <c r="A1174" s="10">
        <v>1173.0</v>
      </c>
      <c r="B1174" s="11" t="s">
        <v>1275</v>
      </c>
      <c r="C1174" s="10" t="s">
        <v>22</v>
      </c>
      <c r="D1174" s="10" t="s">
        <v>99</v>
      </c>
    </row>
    <row r="1175">
      <c r="A1175" s="10">
        <v>1174.0</v>
      </c>
      <c r="B1175" s="11" t="s">
        <v>1276</v>
      </c>
      <c r="C1175" s="10" t="s">
        <v>79</v>
      </c>
      <c r="D1175" s="10" t="s">
        <v>49</v>
      </c>
    </row>
    <row r="1176">
      <c r="A1176" s="10">
        <v>1175.0</v>
      </c>
      <c r="B1176" s="11" t="s">
        <v>1277</v>
      </c>
      <c r="C1176" s="10" t="s">
        <v>22</v>
      </c>
      <c r="D1176" s="10" t="s">
        <v>206</v>
      </c>
    </row>
    <row r="1177">
      <c r="A1177" s="10">
        <v>1176.0</v>
      </c>
      <c r="B1177" s="11" t="s">
        <v>1278</v>
      </c>
      <c r="C1177" s="10" t="s">
        <v>79</v>
      </c>
      <c r="D1177" s="10" t="s">
        <v>52</v>
      </c>
    </row>
    <row r="1178">
      <c r="A1178" s="10">
        <v>1177.0</v>
      </c>
      <c r="B1178" s="11" t="s">
        <v>1279</v>
      </c>
      <c r="C1178" s="10" t="s">
        <v>79</v>
      </c>
      <c r="D1178" s="10" t="s">
        <v>82</v>
      </c>
    </row>
    <row r="1179">
      <c r="A1179" s="10">
        <v>1178.0</v>
      </c>
      <c r="B1179" s="11" t="s">
        <v>1280</v>
      </c>
      <c r="C1179" s="10" t="s">
        <v>22</v>
      </c>
      <c r="D1179" s="10" t="s">
        <v>34</v>
      </c>
    </row>
    <row r="1180">
      <c r="A1180" s="10">
        <v>1179.0</v>
      </c>
      <c r="B1180" s="11" t="s">
        <v>1281</v>
      </c>
      <c r="C1180" s="10" t="s">
        <v>22</v>
      </c>
      <c r="D1180" s="10" t="s">
        <v>82</v>
      </c>
    </row>
    <row r="1181">
      <c r="A1181" s="10">
        <v>1180.0</v>
      </c>
      <c r="B1181" s="11" t="s">
        <v>1282</v>
      </c>
      <c r="C1181" s="10" t="s">
        <v>22</v>
      </c>
      <c r="D1181" s="10" t="s">
        <v>52</v>
      </c>
    </row>
    <row r="1182">
      <c r="A1182" s="10">
        <v>1181.0</v>
      </c>
      <c r="B1182" s="11" t="s">
        <v>1283</v>
      </c>
      <c r="C1182" s="10" t="s">
        <v>79</v>
      </c>
      <c r="D1182" s="10" t="s">
        <v>27</v>
      </c>
    </row>
    <row r="1183">
      <c r="A1183" s="10">
        <v>1182.0</v>
      </c>
      <c r="B1183" s="11" t="s">
        <v>1284</v>
      </c>
      <c r="C1183" s="10" t="s">
        <v>22</v>
      </c>
      <c r="D1183" s="10" t="s">
        <v>206</v>
      </c>
    </row>
    <row r="1184">
      <c r="A1184" s="10">
        <v>1183.0</v>
      </c>
      <c r="B1184" s="11" t="s">
        <v>1285</v>
      </c>
      <c r="C1184" s="10" t="s">
        <v>22</v>
      </c>
      <c r="D1184" s="10" t="s">
        <v>140</v>
      </c>
    </row>
    <row r="1185">
      <c r="A1185" s="10">
        <v>1184.0</v>
      </c>
      <c r="B1185" s="11" t="s">
        <v>1286</v>
      </c>
      <c r="C1185" s="10" t="s">
        <v>79</v>
      </c>
      <c r="D1185" s="10" t="s">
        <v>46</v>
      </c>
    </row>
    <row r="1186">
      <c r="A1186" s="10">
        <v>1185.0</v>
      </c>
      <c r="B1186" s="11" t="s">
        <v>1287</v>
      </c>
      <c r="C1186" s="10" t="s">
        <v>79</v>
      </c>
      <c r="D1186" s="10" t="s">
        <v>95</v>
      </c>
    </row>
    <row r="1187">
      <c r="A1187" s="10">
        <v>1186.0</v>
      </c>
      <c r="B1187" s="11" t="s">
        <v>1288</v>
      </c>
      <c r="C1187" s="10" t="s">
        <v>22</v>
      </c>
      <c r="D1187" s="10" t="s">
        <v>140</v>
      </c>
    </row>
    <row r="1188">
      <c r="A1188" s="10">
        <v>1187.0</v>
      </c>
      <c r="B1188" s="11" t="s">
        <v>1289</v>
      </c>
      <c r="C1188" s="10" t="s">
        <v>79</v>
      </c>
      <c r="D1188" s="10" t="s">
        <v>120</v>
      </c>
    </row>
    <row r="1189">
      <c r="A1189" s="10">
        <v>1188.0</v>
      </c>
      <c r="B1189" s="11" t="s">
        <v>1290</v>
      </c>
      <c r="C1189" s="10" t="s">
        <v>22</v>
      </c>
      <c r="D1189" s="10" t="s">
        <v>206</v>
      </c>
    </row>
    <row r="1190">
      <c r="A1190" s="10">
        <v>1189.0</v>
      </c>
      <c r="B1190" s="11" t="s">
        <v>1291</v>
      </c>
      <c r="C1190" s="10" t="s">
        <v>22</v>
      </c>
      <c r="D1190" s="10" t="s">
        <v>34</v>
      </c>
    </row>
    <row r="1191">
      <c r="A1191" s="10">
        <v>1190.0</v>
      </c>
      <c r="B1191" s="11" t="s">
        <v>1292</v>
      </c>
      <c r="C1191" s="10" t="s">
        <v>22</v>
      </c>
      <c r="D1191" s="10" t="s">
        <v>12</v>
      </c>
    </row>
    <row r="1192">
      <c r="A1192" s="10">
        <v>1191.0</v>
      </c>
      <c r="B1192" s="11" t="s">
        <v>1293</v>
      </c>
      <c r="C1192" s="10" t="s">
        <v>79</v>
      </c>
      <c r="D1192" s="10" t="s">
        <v>9</v>
      </c>
    </row>
    <row r="1193">
      <c r="A1193" s="10">
        <v>1192.0</v>
      </c>
      <c r="B1193" s="11" t="s">
        <v>1294</v>
      </c>
      <c r="C1193" s="10" t="s">
        <v>79</v>
      </c>
      <c r="D1193" s="10" t="s">
        <v>27</v>
      </c>
    </row>
    <row r="1194">
      <c r="A1194" s="10">
        <v>1193.0</v>
      </c>
      <c r="B1194" s="11" t="s">
        <v>1295</v>
      </c>
      <c r="C1194" s="10" t="s">
        <v>79</v>
      </c>
      <c r="D1194" s="10" t="s">
        <v>85</v>
      </c>
    </row>
    <row r="1195">
      <c r="A1195" s="10">
        <v>1194.0</v>
      </c>
      <c r="B1195" s="11" t="s">
        <v>1296</v>
      </c>
      <c r="C1195" s="10" t="s">
        <v>22</v>
      </c>
      <c r="D1195" s="10" t="s">
        <v>12</v>
      </c>
    </row>
    <row r="1196">
      <c r="A1196" s="10">
        <v>1195.0</v>
      </c>
      <c r="B1196" s="11" t="s">
        <v>1297</v>
      </c>
      <c r="C1196" s="10" t="s">
        <v>79</v>
      </c>
      <c r="D1196" s="10" t="s">
        <v>82</v>
      </c>
    </row>
    <row r="1197">
      <c r="A1197" s="10">
        <v>1196.0</v>
      </c>
      <c r="B1197" s="11" t="s">
        <v>1298</v>
      </c>
      <c r="C1197" s="10" t="s">
        <v>22</v>
      </c>
      <c r="D1197" s="10" t="s">
        <v>18</v>
      </c>
    </row>
    <row r="1198">
      <c r="A1198" s="10">
        <v>1197.0</v>
      </c>
      <c r="B1198" s="11" t="s">
        <v>1299</v>
      </c>
      <c r="C1198" s="10" t="s">
        <v>22</v>
      </c>
      <c r="D1198" s="10" t="s">
        <v>34</v>
      </c>
    </row>
    <row r="1199">
      <c r="A1199" s="10">
        <v>1198.0</v>
      </c>
      <c r="B1199" s="11" t="s">
        <v>1300</v>
      </c>
      <c r="C1199" s="10" t="s">
        <v>79</v>
      </c>
      <c r="D1199" s="10" t="s">
        <v>42</v>
      </c>
    </row>
    <row r="1200">
      <c r="A1200" s="10">
        <v>1199.0</v>
      </c>
      <c r="B1200" s="11" t="s">
        <v>1301</v>
      </c>
      <c r="C1200" s="10" t="s">
        <v>22</v>
      </c>
      <c r="D1200" s="10" t="s">
        <v>25</v>
      </c>
    </row>
    <row r="1201">
      <c r="A1201" s="10">
        <v>1200.0</v>
      </c>
      <c r="B1201" s="11" t="s">
        <v>1302</v>
      </c>
      <c r="C1201" s="10" t="s">
        <v>22</v>
      </c>
      <c r="D1201" s="10" t="s">
        <v>95</v>
      </c>
    </row>
    <row r="1202">
      <c r="A1202" s="10">
        <v>1201.0</v>
      </c>
      <c r="B1202" s="11" t="s">
        <v>1303</v>
      </c>
      <c r="C1202" s="10" t="s">
        <v>22</v>
      </c>
      <c r="D1202" s="10" t="s">
        <v>105</v>
      </c>
    </row>
    <row r="1203">
      <c r="A1203" s="10">
        <v>1202.0</v>
      </c>
      <c r="B1203" s="11" t="s">
        <v>1304</v>
      </c>
      <c r="C1203" s="10" t="s">
        <v>79</v>
      </c>
      <c r="D1203" s="10" t="s">
        <v>120</v>
      </c>
    </row>
    <row r="1204">
      <c r="A1204" s="10">
        <v>1203.0</v>
      </c>
      <c r="B1204" s="11" t="s">
        <v>1305</v>
      </c>
      <c r="C1204" s="10" t="s">
        <v>79</v>
      </c>
      <c r="D1204" s="10" t="s">
        <v>31</v>
      </c>
    </row>
    <row r="1205">
      <c r="A1205" s="10">
        <v>1204.0</v>
      </c>
      <c r="B1205" s="11" t="s">
        <v>1306</v>
      </c>
      <c r="C1205" s="10" t="s">
        <v>79</v>
      </c>
      <c r="D1205" s="10" t="s">
        <v>31</v>
      </c>
    </row>
    <row r="1206">
      <c r="A1206" s="10">
        <v>1205.0</v>
      </c>
      <c r="B1206" s="11" t="s">
        <v>1307</v>
      </c>
      <c r="C1206" s="10" t="s">
        <v>79</v>
      </c>
      <c r="D1206" s="10" t="s">
        <v>34</v>
      </c>
    </row>
    <row r="1207">
      <c r="A1207" s="10">
        <v>1206.0</v>
      </c>
      <c r="B1207" s="11" t="s">
        <v>1308</v>
      </c>
      <c r="C1207" s="10" t="s">
        <v>79</v>
      </c>
      <c r="D1207" s="10" t="s">
        <v>34</v>
      </c>
    </row>
    <row r="1208">
      <c r="A1208" s="10">
        <v>1207.0</v>
      </c>
      <c r="B1208" s="11" t="s">
        <v>1309</v>
      </c>
      <c r="C1208" s="10" t="s">
        <v>79</v>
      </c>
      <c r="D1208" s="10" t="s">
        <v>73</v>
      </c>
    </row>
    <row r="1209">
      <c r="A1209" s="10">
        <v>1208.0</v>
      </c>
      <c r="B1209" s="11" t="s">
        <v>1310</v>
      </c>
      <c r="C1209" s="10" t="s">
        <v>22</v>
      </c>
      <c r="D1209" s="10" t="s">
        <v>90</v>
      </c>
    </row>
    <row r="1210">
      <c r="A1210" s="10">
        <v>1209.0</v>
      </c>
      <c r="B1210" s="11" t="s">
        <v>1311</v>
      </c>
      <c r="C1210" s="10" t="s">
        <v>48</v>
      </c>
      <c r="D1210" s="10" t="s">
        <v>120</v>
      </c>
    </row>
    <row r="1211">
      <c r="A1211" s="10">
        <v>1210.0</v>
      </c>
      <c r="B1211" s="11" t="s">
        <v>1312</v>
      </c>
      <c r="C1211" s="10" t="s">
        <v>79</v>
      </c>
      <c r="D1211" s="10" t="s">
        <v>23</v>
      </c>
    </row>
    <row r="1212">
      <c r="A1212" s="10">
        <v>1211.0</v>
      </c>
      <c r="B1212" s="11" t="s">
        <v>1313</v>
      </c>
      <c r="C1212" s="10" t="s">
        <v>79</v>
      </c>
      <c r="D1212" s="10" t="s">
        <v>42</v>
      </c>
    </row>
    <row r="1213">
      <c r="A1213" s="10">
        <v>1212.0</v>
      </c>
      <c r="B1213" s="11" t="s">
        <v>1314</v>
      </c>
      <c r="C1213" s="10" t="s">
        <v>79</v>
      </c>
      <c r="D1213" s="10" t="s">
        <v>206</v>
      </c>
    </row>
    <row r="1214">
      <c r="A1214" s="10">
        <v>1213.0</v>
      </c>
      <c r="B1214" s="11" t="s">
        <v>1315</v>
      </c>
      <c r="C1214" s="10" t="s">
        <v>79</v>
      </c>
      <c r="D1214" s="10" t="s">
        <v>129</v>
      </c>
    </row>
    <row r="1215">
      <c r="A1215" s="10">
        <v>1214.0</v>
      </c>
      <c r="B1215" s="11" t="s">
        <v>1316</v>
      </c>
      <c r="C1215" s="10" t="s">
        <v>79</v>
      </c>
      <c r="D1215" s="10" t="s">
        <v>27</v>
      </c>
    </row>
    <row r="1216">
      <c r="A1216" s="10">
        <v>1215.0</v>
      </c>
      <c r="B1216" s="11" t="s">
        <v>1317</v>
      </c>
      <c r="C1216" s="10" t="s">
        <v>79</v>
      </c>
      <c r="D1216" s="10" t="s">
        <v>18</v>
      </c>
    </row>
    <row r="1217">
      <c r="A1217" s="10">
        <v>1216.0</v>
      </c>
      <c r="B1217" s="11" t="s">
        <v>1318</v>
      </c>
      <c r="C1217" s="10" t="s">
        <v>79</v>
      </c>
      <c r="D1217" s="10" t="s">
        <v>25</v>
      </c>
    </row>
    <row r="1218">
      <c r="A1218" s="10">
        <v>1217.0</v>
      </c>
      <c r="B1218" s="11" t="s">
        <v>1319</v>
      </c>
      <c r="C1218" s="10" t="s">
        <v>79</v>
      </c>
      <c r="D1218" s="10" t="s">
        <v>90</v>
      </c>
    </row>
    <row r="1219">
      <c r="A1219" s="10">
        <v>1218.0</v>
      </c>
      <c r="B1219" s="11" t="s">
        <v>1320</v>
      </c>
      <c r="C1219" s="10" t="s">
        <v>79</v>
      </c>
      <c r="D1219" s="10" t="s">
        <v>137</v>
      </c>
    </row>
    <row r="1220">
      <c r="A1220" s="10">
        <v>1219.0</v>
      </c>
      <c r="B1220" s="11" t="s">
        <v>1321</v>
      </c>
      <c r="C1220" s="10" t="s">
        <v>79</v>
      </c>
      <c r="D1220" s="10" t="s">
        <v>27</v>
      </c>
    </row>
    <row r="1221">
      <c r="A1221" s="10">
        <v>1220.0</v>
      </c>
      <c r="B1221" s="11" t="s">
        <v>1322</v>
      </c>
      <c r="C1221" s="10" t="s">
        <v>79</v>
      </c>
      <c r="D1221" s="10" t="s">
        <v>73</v>
      </c>
    </row>
    <row r="1222">
      <c r="A1222" s="10">
        <v>1221.0</v>
      </c>
      <c r="B1222" s="11" t="s">
        <v>1323</v>
      </c>
      <c r="C1222" s="10" t="s">
        <v>22</v>
      </c>
      <c r="D1222" s="10" t="s">
        <v>52</v>
      </c>
    </row>
    <row r="1223">
      <c r="A1223" s="10">
        <v>1222.0</v>
      </c>
      <c r="B1223" s="11" t="s">
        <v>1324</v>
      </c>
      <c r="C1223" s="10" t="s">
        <v>79</v>
      </c>
      <c r="D1223" s="10" t="s">
        <v>95</v>
      </c>
    </row>
    <row r="1224">
      <c r="A1224" s="10">
        <v>1223.0</v>
      </c>
      <c r="B1224" s="11" t="s">
        <v>1325</v>
      </c>
      <c r="C1224" s="10" t="s">
        <v>79</v>
      </c>
      <c r="D1224" s="10" t="s">
        <v>12</v>
      </c>
    </row>
    <row r="1225">
      <c r="A1225" s="10">
        <v>1224.0</v>
      </c>
      <c r="B1225" s="11" t="s">
        <v>1326</v>
      </c>
      <c r="C1225" s="10" t="s">
        <v>79</v>
      </c>
      <c r="D1225" s="10" t="s">
        <v>105</v>
      </c>
    </row>
    <row r="1226">
      <c r="A1226" s="10">
        <v>1225.0</v>
      </c>
      <c r="B1226" s="11" t="s">
        <v>1327</v>
      </c>
      <c r="C1226" s="10" t="s">
        <v>79</v>
      </c>
      <c r="D1226" s="10" t="s">
        <v>18</v>
      </c>
    </row>
    <row r="1227">
      <c r="A1227" s="10">
        <v>1226.0</v>
      </c>
      <c r="B1227" s="11" t="s">
        <v>1328</v>
      </c>
      <c r="C1227" s="10" t="s">
        <v>79</v>
      </c>
      <c r="D1227" s="10" t="s">
        <v>31</v>
      </c>
    </row>
    <row r="1228">
      <c r="A1228" s="10">
        <v>1227.0</v>
      </c>
      <c r="B1228" s="11" t="s">
        <v>1329</v>
      </c>
      <c r="C1228" s="10" t="s">
        <v>55</v>
      </c>
      <c r="D1228" s="10" t="s">
        <v>49</v>
      </c>
    </row>
    <row r="1229">
      <c r="A1229" s="10">
        <v>1228.0</v>
      </c>
      <c r="B1229" s="11" t="s">
        <v>1330</v>
      </c>
      <c r="C1229" s="10" t="s">
        <v>79</v>
      </c>
      <c r="D1229" s="10" t="s">
        <v>73</v>
      </c>
    </row>
    <row r="1230">
      <c r="A1230" s="10">
        <v>1229.0</v>
      </c>
      <c r="B1230" s="11" t="s">
        <v>1331</v>
      </c>
      <c r="C1230" s="10" t="s">
        <v>79</v>
      </c>
      <c r="D1230" s="10" t="s">
        <v>42</v>
      </c>
    </row>
    <row r="1231">
      <c r="A1231" s="10">
        <v>1230.0</v>
      </c>
      <c r="B1231" s="11" t="s">
        <v>1332</v>
      </c>
      <c r="C1231" s="10" t="s">
        <v>22</v>
      </c>
      <c r="D1231" s="10" t="s">
        <v>67</v>
      </c>
    </row>
    <row r="1232">
      <c r="A1232" s="10">
        <v>1231.0</v>
      </c>
      <c r="B1232" s="11" t="s">
        <v>1333</v>
      </c>
      <c r="C1232" s="10" t="s">
        <v>20</v>
      </c>
      <c r="D1232" s="10" t="s">
        <v>129</v>
      </c>
    </row>
    <row r="1233">
      <c r="A1233" s="10">
        <v>1232.0</v>
      </c>
      <c r="B1233" s="11" t="s">
        <v>1334</v>
      </c>
      <c r="C1233" s="10" t="s">
        <v>22</v>
      </c>
      <c r="D1233" s="10" t="s">
        <v>71</v>
      </c>
    </row>
    <row r="1234">
      <c r="A1234" s="10">
        <v>1233.0</v>
      </c>
      <c r="B1234" s="11" t="s">
        <v>1335</v>
      </c>
      <c r="C1234" s="10" t="s">
        <v>79</v>
      </c>
      <c r="D1234" s="10" t="s">
        <v>206</v>
      </c>
    </row>
    <row r="1235">
      <c r="A1235" s="10">
        <v>1234.0</v>
      </c>
      <c r="B1235" s="11" t="s">
        <v>1336</v>
      </c>
      <c r="C1235" s="10" t="s">
        <v>79</v>
      </c>
      <c r="D1235" s="10" t="s">
        <v>49</v>
      </c>
    </row>
    <row r="1236">
      <c r="A1236" s="10">
        <v>1235.0</v>
      </c>
      <c r="B1236" s="11" t="s">
        <v>1337</v>
      </c>
      <c r="C1236" s="10" t="s">
        <v>22</v>
      </c>
      <c r="D1236" s="10" t="s">
        <v>18</v>
      </c>
    </row>
    <row r="1237">
      <c r="A1237" s="10">
        <v>1236.0</v>
      </c>
      <c r="B1237" s="11" t="s">
        <v>1338</v>
      </c>
      <c r="C1237" s="10" t="s">
        <v>22</v>
      </c>
      <c r="D1237" s="10" t="s">
        <v>85</v>
      </c>
    </row>
    <row r="1238">
      <c r="A1238" s="10">
        <v>1237.0</v>
      </c>
      <c r="B1238" s="11" t="s">
        <v>1339</v>
      </c>
      <c r="C1238" s="10" t="s">
        <v>22</v>
      </c>
      <c r="D1238" s="10" t="s">
        <v>90</v>
      </c>
    </row>
    <row r="1239">
      <c r="A1239" s="10">
        <v>1238.0</v>
      </c>
      <c r="B1239" s="11" t="s">
        <v>1340</v>
      </c>
      <c r="C1239" s="10" t="s">
        <v>79</v>
      </c>
      <c r="D1239" s="10" t="s">
        <v>85</v>
      </c>
    </row>
    <row r="1240">
      <c r="A1240" s="10">
        <v>1239.0</v>
      </c>
      <c r="B1240" s="11" t="s">
        <v>1341</v>
      </c>
      <c r="C1240" s="10" t="s">
        <v>79</v>
      </c>
      <c r="D1240" s="10" t="s">
        <v>67</v>
      </c>
    </row>
    <row r="1241">
      <c r="A1241" s="10">
        <v>1240.0</v>
      </c>
      <c r="B1241" s="11" t="s">
        <v>1342</v>
      </c>
      <c r="C1241" s="10" t="s">
        <v>220</v>
      </c>
      <c r="D1241" s="10" t="s">
        <v>71</v>
      </c>
    </row>
    <row r="1242">
      <c r="A1242" s="10">
        <v>1241.0</v>
      </c>
      <c r="B1242" s="11" t="s">
        <v>1343</v>
      </c>
      <c r="C1242" s="10" t="s">
        <v>79</v>
      </c>
      <c r="D1242" s="10" t="s">
        <v>120</v>
      </c>
    </row>
    <row r="1243">
      <c r="A1243" s="10">
        <v>1242.0</v>
      </c>
      <c r="B1243" s="11" t="s">
        <v>1344</v>
      </c>
      <c r="C1243" s="10" t="s">
        <v>79</v>
      </c>
      <c r="D1243" s="10" t="s">
        <v>36</v>
      </c>
    </row>
    <row r="1244">
      <c r="A1244" s="10">
        <v>1243.0</v>
      </c>
      <c r="B1244" s="11" t="s">
        <v>1345</v>
      </c>
      <c r="C1244" s="10" t="s">
        <v>22</v>
      </c>
      <c r="D1244" s="10" t="s">
        <v>206</v>
      </c>
    </row>
    <row r="1245">
      <c r="A1245" s="10">
        <v>1244.0</v>
      </c>
      <c r="B1245" s="11" t="s">
        <v>1346</v>
      </c>
      <c r="C1245" s="10" t="s">
        <v>79</v>
      </c>
      <c r="D1245" s="10" t="s">
        <v>129</v>
      </c>
    </row>
    <row r="1246">
      <c r="A1246" s="10">
        <v>1245.0</v>
      </c>
      <c r="B1246" s="11" t="s">
        <v>1347</v>
      </c>
      <c r="C1246" s="10" t="s">
        <v>79</v>
      </c>
      <c r="D1246" s="10" t="s">
        <v>85</v>
      </c>
    </row>
    <row r="1247">
      <c r="A1247" s="10">
        <v>1246.0</v>
      </c>
      <c r="B1247" s="11" t="s">
        <v>1348</v>
      </c>
      <c r="C1247" s="10" t="s">
        <v>218</v>
      </c>
      <c r="D1247" s="10" t="s">
        <v>27</v>
      </c>
    </row>
    <row r="1248">
      <c r="A1248" s="10">
        <v>1247.0</v>
      </c>
      <c r="B1248" s="11" t="s">
        <v>1349</v>
      </c>
      <c r="C1248" s="10" t="s">
        <v>22</v>
      </c>
      <c r="D1248" s="10" t="s">
        <v>49</v>
      </c>
    </row>
    <row r="1249">
      <c r="A1249" s="10">
        <v>1248.0</v>
      </c>
      <c r="B1249" s="11" t="s">
        <v>1350</v>
      </c>
      <c r="C1249" s="10" t="s">
        <v>79</v>
      </c>
      <c r="D1249" s="10" t="s">
        <v>18</v>
      </c>
    </row>
    <row r="1250">
      <c r="A1250" s="10">
        <v>1249.0</v>
      </c>
      <c r="B1250" s="11" t="s">
        <v>1351</v>
      </c>
      <c r="C1250" s="10" t="s">
        <v>79</v>
      </c>
      <c r="D1250" s="10" t="s">
        <v>31</v>
      </c>
    </row>
    <row r="1251">
      <c r="A1251" s="10">
        <v>1250.0</v>
      </c>
      <c r="B1251" s="11" t="s">
        <v>1352</v>
      </c>
      <c r="C1251" s="10" t="s">
        <v>79</v>
      </c>
      <c r="D1251" s="10" t="s">
        <v>140</v>
      </c>
    </row>
    <row r="1252">
      <c r="A1252" s="10">
        <v>1251.0</v>
      </c>
      <c r="B1252" s="11" t="s">
        <v>1353</v>
      </c>
      <c r="C1252" s="10" t="s">
        <v>79</v>
      </c>
      <c r="D1252" s="10" t="s">
        <v>85</v>
      </c>
    </row>
    <row r="1253">
      <c r="A1253" s="10">
        <v>1252.0</v>
      </c>
      <c r="B1253" s="11" t="s">
        <v>1354</v>
      </c>
      <c r="C1253" s="10" t="s">
        <v>79</v>
      </c>
      <c r="D1253" s="10" t="s">
        <v>49</v>
      </c>
    </row>
    <row r="1254">
      <c r="A1254" s="10">
        <v>1253.0</v>
      </c>
      <c r="B1254" s="11" t="s">
        <v>1355</v>
      </c>
      <c r="C1254" s="10" t="s">
        <v>79</v>
      </c>
      <c r="D1254" s="10" t="s">
        <v>42</v>
      </c>
    </row>
    <row r="1255">
      <c r="A1255" s="10">
        <v>1254.0</v>
      </c>
      <c r="B1255" s="11" t="s">
        <v>1356</v>
      </c>
      <c r="C1255" s="10" t="s">
        <v>79</v>
      </c>
      <c r="D1255" s="10" t="s">
        <v>129</v>
      </c>
    </row>
    <row r="1256">
      <c r="A1256" s="10">
        <v>1255.0</v>
      </c>
      <c r="B1256" s="11" t="s">
        <v>1357</v>
      </c>
      <c r="C1256" s="10" t="s">
        <v>79</v>
      </c>
      <c r="D1256" s="10" t="s">
        <v>49</v>
      </c>
    </row>
    <row r="1257">
      <c r="A1257" s="10">
        <v>1256.0</v>
      </c>
      <c r="B1257" s="11" t="s">
        <v>1358</v>
      </c>
      <c r="C1257" s="10" t="s">
        <v>79</v>
      </c>
      <c r="D1257" s="10" t="s">
        <v>15</v>
      </c>
    </row>
    <row r="1258">
      <c r="A1258" s="10">
        <v>1257.0</v>
      </c>
      <c r="B1258" s="11" t="s">
        <v>1359</v>
      </c>
      <c r="C1258" s="10" t="s">
        <v>79</v>
      </c>
      <c r="D1258" s="10" t="s">
        <v>34</v>
      </c>
    </row>
    <row r="1259">
      <c r="A1259" s="10">
        <v>1258.0</v>
      </c>
      <c r="B1259" s="11" t="s">
        <v>1360</v>
      </c>
      <c r="C1259" s="10" t="s">
        <v>79</v>
      </c>
      <c r="D1259" s="10" t="s">
        <v>34</v>
      </c>
    </row>
    <row r="1260">
      <c r="A1260" s="10">
        <v>1259.0</v>
      </c>
      <c r="B1260" s="11" t="s">
        <v>1361</v>
      </c>
      <c r="C1260" s="10" t="s">
        <v>22</v>
      </c>
      <c r="D1260" s="10" t="s">
        <v>9</v>
      </c>
    </row>
    <row r="1261">
      <c r="A1261" s="10">
        <v>1260.0</v>
      </c>
      <c r="B1261" s="11" t="s">
        <v>1362</v>
      </c>
      <c r="C1261" s="10" t="s">
        <v>22</v>
      </c>
      <c r="D1261" s="10" t="s">
        <v>137</v>
      </c>
    </row>
    <row r="1262">
      <c r="A1262" s="10">
        <v>1261.0</v>
      </c>
      <c r="B1262" s="11" t="s">
        <v>1363</v>
      </c>
      <c r="C1262" s="10" t="s">
        <v>79</v>
      </c>
      <c r="D1262" s="10" t="s">
        <v>46</v>
      </c>
    </row>
    <row r="1263">
      <c r="A1263" s="10">
        <v>1262.0</v>
      </c>
      <c r="B1263" s="11" t="s">
        <v>1364</v>
      </c>
      <c r="C1263" s="10" t="s">
        <v>79</v>
      </c>
      <c r="D1263" s="10" t="s">
        <v>140</v>
      </c>
    </row>
    <row r="1264">
      <c r="A1264" s="10">
        <v>1263.0</v>
      </c>
      <c r="B1264" s="11" t="s">
        <v>1365</v>
      </c>
      <c r="C1264" s="10" t="s">
        <v>79</v>
      </c>
      <c r="D1264" s="10" t="s">
        <v>120</v>
      </c>
    </row>
    <row r="1265">
      <c r="A1265" s="10">
        <v>1264.0</v>
      </c>
      <c r="B1265" s="11" t="s">
        <v>1366</v>
      </c>
      <c r="C1265" s="10" t="s">
        <v>79</v>
      </c>
      <c r="D1265" s="10" t="s">
        <v>42</v>
      </c>
    </row>
    <row r="1266">
      <c r="A1266" s="10">
        <v>1265.0</v>
      </c>
      <c r="B1266" s="11" t="s">
        <v>1367</v>
      </c>
      <c r="C1266" s="10" t="s">
        <v>79</v>
      </c>
      <c r="D1266" s="10" t="s">
        <v>71</v>
      </c>
    </row>
    <row r="1267">
      <c r="A1267" s="10">
        <v>1266.0</v>
      </c>
      <c r="B1267" s="11" t="s">
        <v>1368</v>
      </c>
      <c r="C1267" s="10" t="s">
        <v>79</v>
      </c>
      <c r="D1267" s="10" t="s">
        <v>122</v>
      </c>
    </row>
    <row r="1268">
      <c r="A1268" s="10">
        <v>1267.0</v>
      </c>
      <c r="B1268" s="11" t="s">
        <v>1369</v>
      </c>
      <c r="C1268" s="10" t="s">
        <v>585</v>
      </c>
      <c r="D1268" s="10" t="s">
        <v>15</v>
      </c>
    </row>
    <row r="1269">
      <c r="A1269" s="10">
        <v>1268.0</v>
      </c>
      <c r="B1269" s="11" t="s">
        <v>1370</v>
      </c>
      <c r="C1269" s="10" t="s">
        <v>79</v>
      </c>
      <c r="D1269" s="10" t="s">
        <v>105</v>
      </c>
    </row>
    <row r="1270">
      <c r="A1270" s="10">
        <v>1269.0</v>
      </c>
      <c r="B1270" s="11" t="s">
        <v>1371</v>
      </c>
      <c r="C1270" s="10" t="s">
        <v>22</v>
      </c>
      <c r="D1270" s="10" t="s">
        <v>49</v>
      </c>
    </row>
    <row r="1271">
      <c r="A1271" s="10">
        <v>1270.0</v>
      </c>
      <c r="B1271" s="11" t="s">
        <v>1372</v>
      </c>
      <c r="C1271" s="10" t="s">
        <v>79</v>
      </c>
      <c r="D1271" s="10" t="s">
        <v>49</v>
      </c>
    </row>
    <row r="1272">
      <c r="A1272" s="10">
        <v>1271.0</v>
      </c>
      <c r="B1272" s="11" t="s">
        <v>1373</v>
      </c>
      <c r="C1272" s="10" t="s">
        <v>220</v>
      </c>
      <c r="D1272" s="10" t="s">
        <v>129</v>
      </c>
    </row>
    <row r="1273">
      <c r="A1273" s="10">
        <v>1272.0</v>
      </c>
      <c r="B1273" s="11" t="s">
        <v>1374</v>
      </c>
      <c r="C1273" s="10" t="s">
        <v>79</v>
      </c>
      <c r="D1273" s="10" t="s">
        <v>18</v>
      </c>
    </row>
    <row r="1274">
      <c r="A1274" s="10">
        <v>1273.0</v>
      </c>
      <c r="B1274" s="11" t="s">
        <v>1375</v>
      </c>
      <c r="C1274" s="10" t="s">
        <v>79</v>
      </c>
      <c r="D1274" s="10" t="s">
        <v>140</v>
      </c>
    </row>
    <row r="1275">
      <c r="A1275" s="10">
        <v>1274.0</v>
      </c>
      <c r="B1275" s="11" t="s">
        <v>1376</v>
      </c>
      <c r="C1275" s="10" t="s">
        <v>79</v>
      </c>
      <c r="D1275" s="10" t="s">
        <v>82</v>
      </c>
    </row>
    <row r="1276">
      <c r="A1276" s="10">
        <v>1275.0</v>
      </c>
      <c r="B1276" s="11" t="s">
        <v>1377</v>
      </c>
      <c r="C1276" s="10" t="s">
        <v>79</v>
      </c>
      <c r="D1276" s="10" t="s">
        <v>31</v>
      </c>
    </row>
    <row r="1277">
      <c r="A1277" s="10">
        <v>1276.0</v>
      </c>
      <c r="B1277" s="11" t="s">
        <v>1378</v>
      </c>
      <c r="C1277" s="10" t="s">
        <v>79</v>
      </c>
      <c r="D1277" s="10" t="s">
        <v>90</v>
      </c>
    </row>
    <row r="1278">
      <c r="A1278" s="10">
        <v>1277.0</v>
      </c>
      <c r="B1278" s="11" t="s">
        <v>1379</v>
      </c>
      <c r="C1278" s="10" t="s">
        <v>79</v>
      </c>
      <c r="D1278" s="10" t="s">
        <v>85</v>
      </c>
    </row>
    <row r="1279">
      <c r="A1279" s="10">
        <v>1278.0</v>
      </c>
      <c r="B1279" s="11" t="s">
        <v>1380</v>
      </c>
      <c r="C1279" s="10" t="s">
        <v>79</v>
      </c>
      <c r="D1279" s="10" t="s">
        <v>67</v>
      </c>
    </row>
    <row r="1280">
      <c r="A1280" s="10">
        <v>1279.0</v>
      </c>
      <c r="B1280" s="11" t="s">
        <v>1381</v>
      </c>
      <c r="C1280" s="10" t="s">
        <v>79</v>
      </c>
      <c r="D1280" s="10" t="s">
        <v>99</v>
      </c>
    </row>
    <row r="1281">
      <c r="A1281" s="10">
        <v>1280.0</v>
      </c>
      <c r="B1281" s="11" t="s">
        <v>1382</v>
      </c>
      <c r="C1281" s="10" t="s">
        <v>79</v>
      </c>
      <c r="D1281" s="10" t="s">
        <v>122</v>
      </c>
    </row>
    <row r="1282">
      <c r="A1282" s="10">
        <v>1281.0</v>
      </c>
      <c r="B1282" s="11" t="s">
        <v>1383</v>
      </c>
      <c r="C1282" s="10" t="s">
        <v>79</v>
      </c>
      <c r="D1282" s="10" t="s">
        <v>9</v>
      </c>
    </row>
    <row r="1283">
      <c r="A1283" s="10">
        <v>1282.0</v>
      </c>
      <c r="B1283" s="11" t="s">
        <v>1384</v>
      </c>
      <c r="C1283" s="10" t="s">
        <v>79</v>
      </c>
      <c r="D1283" s="10" t="s">
        <v>206</v>
      </c>
    </row>
    <row r="1284">
      <c r="A1284" s="10">
        <v>1283.0</v>
      </c>
      <c r="B1284" s="11" t="s">
        <v>1385</v>
      </c>
      <c r="C1284" s="10" t="s">
        <v>79</v>
      </c>
      <c r="D1284" s="10" t="s">
        <v>206</v>
      </c>
    </row>
    <row r="1285">
      <c r="A1285" s="10">
        <v>1284.0</v>
      </c>
      <c r="B1285" s="11" t="s">
        <v>1386</v>
      </c>
      <c r="C1285" s="10" t="s">
        <v>79</v>
      </c>
      <c r="D1285" s="10" t="s">
        <v>95</v>
      </c>
    </row>
    <row r="1286">
      <c r="A1286" s="10">
        <v>1285.0</v>
      </c>
      <c r="B1286" s="11" t="s">
        <v>1387</v>
      </c>
      <c r="C1286" s="10" t="s">
        <v>79</v>
      </c>
      <c r="D1286" s="10" t="s">
        <v>82</v>
      </c>
    </row>
    <row r="1287">
      <c r="A1287" s="10">
        <v>1286.0</v>
      </c>
      <c r="B1287" s="11" t="s">
        <v>1388</v>
      </c>
      <c r="C1287" s="10" t="s">
        <v>79</v>
      </c>
      <c r="D1287" s="10" t="s">
        <v>71</v>
      </c>
    </row>
    <row r="1288">
      <c r="A1288" s="10">
        <v>1287.0</v>
      </c>
      <c r="B1288" s="11" t="s">
        <v>1389</v>
      </c>
      <c r="C1288" s="10" t="s">
        <v>79</v>
      </c>
      <c r="D1288" s="10" t="s">
        <v>122</v>
      </c>
    </row>
    <row r="1289">
      <c r="A1289" s="10">
        <v>1288.0</v>
      </c>
      <c r="B1289" s="11" t="s">
        <v>1390</v>
      </c>
      <c r="C1289" s="10" t="s">
        <v>79</v>
      </c>
      <c r="D1289" s="10" t="s">
        <v>31</v>
      </c>
    </row>
    <row r="1290">
      <c r="A1290" s="10">
        <v>1289.0</v>
      </c>
      <c r="B1290" s="11" t="s">
        <v>1391</v>
      </c>
      <c r="C1290" s="10" t="s">
        <v>79</v>
      </c>
      <c r="D1290" s="10" t="s">
        <v>67</v>
      </c>
    </row>
    <row r="1291">
      <c r="A1291" s="10">
        <v>1290.0</v>
      </c>
      <c r="B1291" s="11" t="s">
        <v>1392</v>
      </c>
      <c r="C1291" s="10" t="s">
        <v>79</v>
      </c>
      <c r="D1291" s="10" t="s">
        <v>67</v>
      </c>
    </row>
    <row r="1292">
      <c r="A1292" s="10">
        <v>1291.0</v>
      </c>
      <c r="B1292" s="11" t="s">
        <v>1393</v>
      </c>
      <c r="C1292" s="10" t="s">
        <v>79</v>
      </c>
      <c r="D1292" s="10" t="s">
        <v>122</v>
      </c>
    </row>
    <row r="1293">
      <c r="A1293" s="10">
        <v>1292.0</v>
      </c>
      <c r="B1293" s="11" t="s">
        <v>1394</v>
      </c>
      <c r="C1293" s="10" t="s">
        <v>220</v>
      </c>
      <c r="D1293" s="10" t="s">
        <v>82</v>
      </c>
    </row>
    <row r="1294">
      <c r="A1294" s="10">
        <v>1293.0</v>
      </c>
      <c r="B1294" s="11" t="s">
        <v>1395</v>
      </c>
      <c r="C1294" s="10" t="s">
        <v>79</v>
      </c>
      <c r="D1294" s="10" t="s">
        <v>46</v>
      </c>
    </row>
    <row r="1295">
      <c r="A1295" s="10">
        <v>1294.0</v>
      </c>
      <c r="B1295" s="11" t="s">
        <v>1396</v>
      </c>
      <c r="C1295" s="10" t="s">
        <v>79</v>
      </c>
      <c r="D1295" s="10" t="s">
        <v>52</v>
      </c>
    </row>
    <row r="1296">
      <c r="A1296" s="10">
        <v>1295.0</v>
      </c>
      <c r="B1296" s="11" t="s">
        <v>1397</v>
      </c>
      <c r="C1296" s="10" t="s">
        <v>79</v>
      </c>
      <c r="D1296" s="10" t="s">
        <v>25</v>
      </c>
    </row>
    <row r="1297">
      <c r="A1297" s="10">
        <v>1296.0</v>
      </c>
      <c r="B1297" s="11" t="s">
        <v>1398</v>
      </c>
      <c r="C1297" s="10" t="s">
        <v>22</v>
      </c>
      <c r="D1297" s="10" t="s">
        <v>42</v>
      </c>
    </row>
    <row r="1298">
      <c r="A1298" s="10">
        <v>1297.0</v>
      </c>
      <c r="B1298" s="11" t="s">
        <v>1399</v>
      </c>
      <c r="C1298" s="10" t="s">
        <v>22</v>
      </c>
      <c r="D1298" s="10" t="s">
        <v>36</v>
      </c>
    </row>
    <row r="1299">
      <c r="A1299" s="10">
        <v>1298.0</v>
      </c>
      <c r="B1299" s="11" t="s">
        <v>1400</v>
      </c>
      <c r="C1299" s="10" t="s">
        <v>79</v>
      </c>
      <c r="D1299" s="10" t="s">
        <v>36</v>
      </c>
    </row>
    <row r="1300">
      <c r="A1300" s="10">
        <v>1299.0</v>
      </c>
      <c r="B1300" s="11" t="s">
        <v>1401</v>
      </c>
      <c r="C1300" s="10" t="s">
        <v>79</v>
      </c>
      <c r="D1300" s="10" t="s">
        <v>129</v>
      </c>
    </row>
    <row r="1301">
      <c r="A1301" s="10">
        <v>1300.0</v>
      </c>
      <c r="B1301" s="11" t="s">
        <v>1402</v>
      </c>
      <c r="C1301" s="10" t="s">
        <v>22</v>
      </c>
      <c r="D1301" s="10" t="s">
        <v>34</v>
      </c>
    </row>
    <row r="1302">
      <c r="A1302" s="10">
        <v>1301.0</v>
      </c>
      <c r="B1302" s="11" t="s">
        <v>1403</v>
      </c>
      <c r="C1302" s="10" t="s">
        <v>22</v>
      </c>
      <c r="D1302" s="10" t="s">
        <v>23</v>
      </c>
    </row>
    <row r="1303">
      <c r="A1303" s="10">
        <v>1302.0</v>
      </c>
      <c r="B1303" s="11" t="s">
        <v>1404</v>
      </c>
      <c r="C1303" s="10" t="s">
        <v>79</v>
      </c>
      <c r="D1303" s="10" t="s">
        <v>34</v>
      </c>
    </row>
    <row r="1304">
      <c r="A1304" s="10">
        <v>1303.0</v>
      </c>
      <c r="B1304" s="11" t="s">
        <v>1405</v>
      </c>
      <c r="C1304" s="10" t="s">
        <v>79</v>
      </c>
      <c r="D1304" s="10" t="s">
        <v>95</v>
      </c>
    </row>
    <row r="1305">
      <c r="A1305" s="10">
        <v>1304.0</v>
      </c>
      <c r="B1305" s="11" t="s">
        <v>1406</v>
      </c>
      <c r="C1305" s="10" t="s">
        <v>79</v>
      </c>
      <c r="D1305" s="10" t="s">
        <v>206</v>
      </c>
    </row>
    <row r="1306">
      <c r="A1306" s="10">
        <v>1305.0</v>
      </c>
      <c r="B1306" s="11" t="s">
        <v>1407</v>
      </c>
      <c r="C1306" s="10" t="s">
        <v>79</v>
      </c>
      <c r="D1306" s="10" t="s">
        <v>73</v>
      </c>
    </row>
    <row r="1307">
      <c r="A1307" s="10">
        <v>1306.0</v>
      </c>
      <c r="B1307" s="11" t="s">
        <v>1408</v>
      </c>
      <c r="C1307" s="10" t="s">
        <v>22</v>
      </c>
      <c r="D1307" s="10" t="s">
        <v>82</v>
      </c>
    </row>
    <row r="1308">
      <c r="A1308" s="10">
        <v>1307.0</v>
      </c>
      <c r="B1308" s="11" t="s">
        <v>1409</v>
      </c>
      <c r="C1308" s="10" t="s">
        <v>79</v>
      </c>
      <c r="D1308" s="10" t="s">
        <v>34</v>
      </c>
    </row>
    <row r="1309">
      <c r="A1309" s="10">
        <v>1308.0</v>
      </c>
      <c r="B1309" s="11" t="s">
        <v>1410</v>
      </c>
      <c r="C1309" s="10" t="s">
        <v>79</v>
      </c>
      <c r="D1309" s="10" t="s">
        <v>52</v>
      </c>
    </row>
    <row r="1310">
      <c r="A1310" s="10">
        <v>1309.0</v>
      </c>
      <c r="B1310" s="11" t="s">
        <v>1411</v>
      </c>
      <c r="C1310" s="10" t="s">
        <v>79</v>
      </c>
      <c r="D1310" s="10" t="s">
        <v>9</v>
      </c>
    </row>
    <row r="1311">
      <c r="A1311" s="10">
        <v>1310.0</v>
      </c>
      <c r="B1311" s="11" t="s">
        <v>1412</v>
      </c>
      <c r="C1311" s="10" t="s">
        <v>79</v>
      </c>
      <c r="D1311" s="10" t="s">
        <v>113</v>
      </c>
    </row>
    <row r="1312">
      <c r="A1312" s="10">
        <v>1311.0</v>
      </c>
      <c r="B1312" s="11" t="s">
        <v>360</v>
      </c>
      <c r="C1312" s="10" t="s">
        <v>77</v>
      </c>
      <c r="D1312" s="10" t="s">
        <v>105</v>
      </c>
    </row>
    <row r="1313">
      <c r="A1313" s="10">
        <v>1312.0</v>
      </c>
      <c r="B1313" s="11" t="s">
        <v>1413</v>
      </c>
      <c r="C1313" s="10" t="s">
        <v>79</v>
      </c>
      <c r="D1313" s="10" t="s">
        <v>85</v>
      </c>
    </row>
    <row r="1314">
      <c r="A1314" s="10">
        <v>1313.0</v>
      </c>
      <c r="B1314" s="11" t="s">
        <v>1414</v>
      </c>
      <c r="C1314" s="10" t="s">
        <v>79</v>
      </c>
      <c r="D1314" s="10" t="s">
        <v>49</v>
      </c>
    </row>
    <row r="1315">
      <c r="A1315" s="10">
        <v>1314.0</v>
      </c>
      <c r="B1315" s="11" t="s">
        <v>1415</v>
      </c>
      <c r="C1315" s="10" t="s">
        <v>79</v>
      </c>
      <c r="D1315" s="10" t="s">
        <v>137</v>
      </c>
    </row>
    <row r="1316">
      <c r="A1316" s="10">
        <v>1315.0</v>
      </c>
      <c r="B1316" s="11" t="s">
        <v>1416</v>
      </c>
      <c r="C1316" s="10" t="s">
        <v>220</v>
      </c>
      <c r="D1316" s="10" t="s">
        <v>23</v>
      </c>
    </row>
    <row r="1317">
      <c r="A1317" s="10">
        <v>1316.0</v>
      </c>
      <c r="B1317" s="11" t="s">
        <v>1417</v>
      </c>
      <c r="C1317" s="10" t="s">
        <v>79</v>
      </c>
      <c r="D1317" s="10" t="s">
        <v>105</v>
      </c>
    </row>
    <row r="1318">
      <c r="A1318" s="10">
        <v>1317.0</v>
      </c>
      <c r="B1318" s="11" t="s">
        <v>1418</v>
      </c>
      <c r="C1318" s="10" t="s">
        <v>79</v>
      </c>
      <c r="D1318" s="10" t="s">
        <v>23</v>
      </c>
    </row>
    <row r="1319">
      <c r="A1319" s="10">
        <v>1318.0</v>
      </c>
      <c r="B1319" s="11" t="s">
        <v>1419</v>
      </c>
      <c r="C1319" s="10" t="s">
        <v>79</v>
      </c>
      <c r="D1319" s="10" t="s">
        <v>23</v>
      </c>
    </row>
    <row r="1320">
      <c r="A1320" s="10">
        <v>1319.0</v>
      </c>
      <c r="B1320" s="11" t="s">
        <v>1420</v>
      </c>
      <c r="C1320" s="10" t="s">
        <v>79</v>
      </c>
      <c r="D1320" s="10" t="s">
        <v>49</v>
      </c>
    </row>
    <row r="1321">
      <c r="A1321" s="10">
        <v>1320.0</v>
      </c>
      <c r="B1321" s="11" t="s">
        <v>1421</v>
      </c>
      <c r="C1321" s="10" t="s">
        <v>79</v>
      </c>
      <c r="D1321" s="10" t="s">
        <v>34</v>
      </c>
    </row>
    <row r="1322">
      <c r="A1322" s="10">
        <v>1321.0</v>
      </c>
      <c r="B1322" s="11" t="s">
        <v>1422</v>
      </c>
      <c r="C1322" s="10" t="s">
        <v>79</v>
      </c>
      <c r="D1322" s="10" t="s">
        <v>23</v>
      </c>
    </row>
    <row r="1323">
      <c r="A1323" s="10">
        <v>1322.0</v>
      </c>
      <c r="B1323" s="11" t="s">
        <v>1423</v>
      </c>
      <c r="C1323" s="10" t="s">
        <v>79</v>
      </c>
      <c r="D1323" s="10" t="s">
        <v>113</v>
      </c>
    </row>
    <row r="1324">
      <c r="A1324" s="10">
        <v>1323.0</v>
      </c>
      <c r="B1324" s="11" t="s">
        <v>1424</v>
      </c>
      <c r="C1324" s="10" t="s">
        <v>79</v>
      </c>
      <c r="D1324" s="10" t="s">
        <v>23</v>
      </c>
    </row>
    <row r="1325">
      <c r="A1325" s="10">
        <v>1324.0</v>
      </c>
      <c r="B1325" s="11" t="s">
        <v>1425</v>
      </c>
      <c r="C1325" s="10" t="s">
        <v>585</v>
      </c>
      <c r="D1325" s="10" t="s">
        <v>137</v>
      </c>
    </row>
    <row r="1326">
      <c r="A1326" s="10">
        <v>1325.0</v>
      </c>
      <c r="B1326" s="11" t="s">
        <v>1426</v>
      </c>
      <c r="C1326" s="10" t="s">
        <v>79</v>
      </c>
      <c r="D1326" s="10" t="s">
        <v>129</v>
      </c>
    </row>
    <row r="1327">
      <c r="A1327" s="10">
        <v>1326.0</v>
      </c>
      <c r="B1327" s="11" t="s">
        <v>1427</v>
      </c>
      <c r="C1327" s="10" t="s">
        <v>22</v>
      </c>
      <c r="D1327" s="10" t="s">
        <v>25</v>
      </c>
    </row>
    <row r="1328">
      <c r="A1328" s="10">
        <v>1327.0</v>
      </c>
      <c r="B1328" s="11" t="s">
        <v>1428</v>
      </c>
      <c r="C1328" s="10" t="s">
        <v>79</v>
      </c>
      <c r="D1328" s="10" t="s">
        <v>122</v>
      </c>
    </row>
    <row r="1329">
      <c r="A1329" s="10">
        <v>1328.0</v>
      </c>
      <c r="B1329" s="11" t="s">
        <v>1429</v>
      </c>
      <c r="C1329" s="10" t="s">
        <v>79</v>
      </c>
      <c r="D1329" s="10" t="s">
        <v>25</v>
      </c>
    </row>
    <row r="1330">
      <c r="A1330" s="10">
        <v>1329.0</v>
      </c>
      <c r="B1330" s="11" t="s">
        <v>1430</v>
      </c>
      <c r="C1330" s="10" t="s">
        <v>79</v>
      </c>
      <c r="D1330" s="10" t="s">
        <v>18</v>
      </c>
    </row>
    <row r="1331">
      <c r="A1331" s="10">
        <v>1330.0</v>
      </c>
      <c r="B1331" s="11" t="s">
        <v>1431</v>
      </c>
      <c r="C1331" s="10" t="s">
        <v>79</v>
      </c>
      <c r="D1331" s="10" t="s">
        <v>34</v>
      </c>
    </row>
    <row r="1332">
      <c r="A1332" s="10">
        <v>1331.0</v>
      </c>
      <c r="B1332" s="11" t="s">
        <v>1432</v>
      </c>
      <c r="C1332" s="10" t="s">
        <v>22</v>
      </c>
      <c r="D1332" s="10" t="s">
        <v>27</v>
      </c>
    </row>
    <row r="1333">
      <c r="A1333" s="10">
        <v>1332.0</v>
      </c>
      <c r="B1333" s="11" t="s">
        <v>1433</v>
      </c>
      <c r="C1333" s="10" t="s">
        <v>79</v>
      </c>
      <c r="D1333" s="10" t="s">
        <v>90</v>
      </c>
    </row>
    <row r="1334">
      <c r="A1334" s="10">
        <v>1333.0</v>
      </c>
      <c r="B1334" s="11" t="s">
        <v>393</v>
      </c>
      <c r="C1334" s="10" t="s">
        <v>39</v>
      </c>
      <c r="D1334" s="10" t="s">
        <v>25</v>
      </c>
    </row>
    <row r="1335">
      <c r="A1335" s="10">
        <v>1334.0</v>
      </c>
      <c r="B1335" s="11" t="s">
        <v>1434</v>
      </c>
      <c r="C1335" s="10" t="s">
        <v>79</v>
      </c>
      <c r="D1335" s="10" t="s">
        <v>9</v>
      </c>
    </row>
    <row r="1336">
      <c r="A1336" s="10">
        <v>1335.0</v>
      </c>
      <c r="B1336" s="11" t="s">
        <v>1435</v>
      </c>
      <c r="C1336" s="10" t="s">
        <v>79</v>
      </c>
      <c r="D1336" s="10" t="s">
        <v>15</v>
      </c>
    </row>
    <row r="1337">
      <c r="A1337" s="10">
        <v>1336.0</v>
      </c>
      <c r="B1337" s="11" t="s">
        <v>1436</v>
      </c>
      <c r="C1337" s="10" t="s">
        <v>79</v>
      </c>
      <c r="D1337" s="10" t="s">
        <v>49</v>
      </c>
    </row>
    <row r="1338">
      <c r="A1338" s="10">
        <v>1337.0</v>
      </c>
      <c r="B1338" s="11" t="s">
        <v>1437</v>
      </c>
      <c r="C1338" s="10" t="s">
        <v>79</v>
      </c>
      <c r="D1338" s="10" t="s">
        <v>25</v>
      </c>
    </row>
    <row r="1339">
      <c r="A1339" s="10">
        <v>1338.0</v>
      </c>
      <c r="B1339" s="11" t="s">
        <v>1438</v>
      </c>
      <c r="C1339" s="10" t="s">
        <v>220</v>
      </c>
      <c r="D1339" s="10" t="s">
        <v>90</v>
      </c>
    </row>
    <row r="1340">
      <c r="A1340" s="10">
        <v>1339.0</v>
      </c>
      <c r="B1340" s="11" t="s">
        <v>1439</v>
      </c>
      <c r="C1340" s="10" t="s">
        <v>22</v>
      </c>
      <c r="D1340" s="10" t="s">
        <v>31</v>
      </c>
    </row>
    <row r="1341">
      <c r="A1341" s="10">
        <v>1340.0</v>
      </c>
      <c r="B1341" s="11" t="s">
        <v>1440</v>
      </c>
      <c r="C1341" s="10" t="s">
        <v>79</v>
      </c>
      <c r="D1341" s="10" t="s">
        <v>15</v>
      </c>
    </row>
    <row r="1342">
      <c r="A1342" s="10">
        <v>1341.0</v>
      </c>
      <c r="B1342" s="11" t="s">
        <v>1441</v>
      </c>
      <c r="C1342" s="10" t="s">
        <v>79</v>
      </c>
      <c r="D1342" s="10" t="s">
        <v>42</v>
      </c>
    </row>
    <row r="1343">
      <c r="A1343" s="10">
        <v>1342.0</v>
      </c>
      <c r="B1343" s="11" t="s">
        <v>1442</v>
      </c>
      <c r="C1343" s="10" t="s">
        <v>79</v>
      </c>
      <c r="D1343" s="10" t="s">
        <v>82</v>
      </c>
    </row>
    <row r="1344">
      <c r="A1344" s="10">
        <v>1343.0</v>
      </c>
      <c r="B1344" s="11" t="s">
        <v>1443</v>
      </c>
      <c r="C1344" s="10" t="s">
        <v>79</v>
      </c>
      <c r="D1344" s="10" t="s">
        <v>25</v>
      </c>
    </row>
    <row r="1345">
      <c r="A1345" s="10">
        <v>1344.0</v>
      </c>
      <c r="B1345" s="11" t="s">
        <v>1444</v>
      </c>
      <c r="C1345" s="10" t="s">
        <v>79</v>
      </c>
      <c r="D1345" s="10" t="s">
        <v>49</v>
      </c>
    </row>
    <row r="1346">
      <c r="A1346" s="10">
        <v>1345.0</v>
      </c>
      <c r="B1346" s="11" t="s">
        <v>1445</v>
      </c>
      <c r="C1346" s="10" t="s">
        <v>79</v>
      </c>
      <c r="D1346" s="10" t="s">
        <v>36</v>
      </c>
    </row>
    <row r="1347">
      <c r="A1347" s="10">
        <v>1346.0</v>
      </c>
      <c r="B1347" s="11" t="s">
        <v>1446</v>
      </c>
      <c r="C1347" s="10" t="s">
        <v>22</v>
      </c>
      <c r="D1347" s="10" t="s">
        <v>42</v>
      </c>
    </row>
    <row r="1348">
      <c r="A1348" s="10">
        <v>1347.0</v>
      </c>
      <c r="B1348" s="11" t="s">
        <v>1447</v>
      </c>
      <c r="C1348" s="10" t="s">
        <v>79</v>
      </c>
      <c r="D1348" s="10" t="s">
        <v>34</v>
      </c>
    </row>
    <row r="1349">
      <c r="A1349" s="10">
        <v>1348.0</v>
      </c>
      <c r="B1349" s="11" t="s">
        <v>1448</v>
      </c>
      <c r="C1349" s="10" t="s">
        <v>22</v>
      </c>
      <c r="D1349" s="10" t="s">
        <v>71</v>
      </c>
    </row>
    <row r="1350">
      <c r="A1350" s="10">
        <v>1349.0</v>
      </c>
      <c r="B1350" s="11" t="s">
        <v>1449</v>
      </c>
      <c r="C1350" s="10" t="s">
        <v>22</v>
      </c>
      <c r="D1350" s="10" t="s">
        <v>129</v>
      </c>
    </row>
    <row r="1351">
      <c r="A1351" s="10">
        <v>1350.0</v>
      </c>
      <c r="B1351" s="11" t="s">
        <v>1450</v>
      </c>
      <c r="C1351" s="10" t="s">
        <v>79</v>
      </c>
      <c r="D1351" s="10" t="s">
        <v>25</v>
      </c>
    </row>
    <row r="1352">
      <c r="A1352" s="10">
        <v>1351.0</v>
      </c>
      <c r="B1352" s="11" t="s">
        <v>1451</v>
      </c>
      <c r="C1352" s="10" t="s">
        <v>79</v>
      </c>
      <c r="D1352" s="10" t="s">
        <v>25</v>
      </c>
    </row>
    <row r="1353">
      <c r="A1353" s="10">
        <v>1352.0</v>
      </c>
      <c r="B1353" s="11" t="s">
        <v>1452</v>
      </c>
      <c r="C1353" s="10" t="s">
        <v>79</v>
      </c>
      <c r="D1353" s="10" t="s">
        <v>90</v>
      </c>
    </row>
    <row r="1354">
      <c r="A1354" s="10">
        <v>1353.0</v>
      </c>
      <c r="B1354" s="11" t="s">
        <v>1453</v>
      </c>
      <c r="C1354" s="10" t="s">
        <v>22</v>
      </c>
      <c r="D1354" s="10" t="s">
        <v>9</v>
      </c>
    </row>
    <row r="1355">
      <c r="A1355" s="10">
        <v>1354.0</v>
      </c>
      <c r="B1355" s="11" t="s">
        <v>1454</v>
      </c>
      <c r="C1355" s="10" t="s">
        <v>79</v>
      </c>
      <c r="D1355" s="10" t="s">
        <v>34</v>
      </c>
    </row>
    <row r="1356">
      <c r="A1356" s="10">
        <v>1355.0</v>
      </c>
      <c r="B1356" s="11" t="s">
        <v>1455</v>
      </c>
      <c r="C1356" s="10" t="s">
        <v>79</v>
      </c>
      <c r="D1356" s="10" t="s">
        <v>137</v>
      </c>
    </row>
    <row r="1357">
      <c r="A1357" s="10">
        <v>1356.0</v>
      </c>
      <c r="B1357" s="11" t="s">
        <v>1456</v>
      </c>
      <c r="C1357" s="10" t="s">
        <v>79</v>
      </c>
      <c r="D1357" s="10" t="s">
        <v>99</v>
      </c>
    </row>
    <row r="1358">
      <c r="A1358" s="10">
        <v>1357.0</v>
      </c>
      <c r="B1358" s="11" t="s">
        <v>1457</v>
      </c>
      <c r="C1358" s="10" t="s">
        <v>79</v>
      </c>
      <c r="D1358" s="10" t="s">
        <v>71</v>
      </c>
    </row>
    <row r="1359">
      <c r="A1359" s="10">
        <v>1358.0</v>
      </c>
      <c r="B1359" s="11" t="s">
        <v>1458</v>
      </c>
      <c r="C1359" s="10" t="s">
        <v>79</v>
      </c>
      <c r="D1359" s="10" t="s">
        <v>113</v>
      </c>
    </row>
    <row r="1360">
      <c r="A1360" s="10">
        <v>1359.0</v>
      </c>
      <c r="B1360" s="11" t="s">
        <v>1459</v>
      </c>
      <c r="C1360" s="10" t="s">
        <v>79</v>
      </c>
      <c r="D1360" s="10" t="s">
        <v>31</v>
      </c>
    </row>
    <row r="1361">
      <c r="A1361" s="10">
        <v>1360.0</v>
      </c>
      <c r="B1361" s="11" t="s">
        <v>1460</v>
      </c>
      <c r="C1361" s="10" t="s">
        <v>79</v>
      </c>
      <c r="D1361" s="10" t="s">
        <v>12</v>
      </c>
    </row>
    <row r="1362">
      <c r="A1362" s="10">
        <v>1361.0</v>
      </c>
      <c r="B1362" s="11" t="s">
        <v>1461</v>
      </c>
      <c r="C1362" s="10" t="s">
        <v>79</v>
      </c>
      <c r="D1362" s="10" t="s">
        <v>95</v>
      </c>
    </row>
    <row r="1363">
      <c r="A1363" s="10">
        <v>1362.0</v>
      </c>
      <c r="B1363" s="11" t="s">
        <v>1462</v>
      </c>
      <c r="C1363" s="10" t="s">
        <v>79</v>
      </c>
      <c r="D1363" s="10" t="s">
        <v>46</v>
      </c>
    </row>
    <row r="1364">
      <c r="A1364" s="10">
        <v>1363.0</v>
      </c>
      <c r="B1364" s="11" t="s">
        <v>1463</v>
      </c>
      <c r="C1364" s="10" t="s">
        <v>585</v>
      </c>
      <c r="D1364" s="10" t="s">
        <v>120</v>
      </c>
    </row>
    <row r="1365">
      <c r="A1365" s="10">
        <v>1364.0</v>
      </c>
      <c r="B1365" s="11" t="s">
        <v>1464</v>
      </c>
      <c r="C1365" s="10" t="s">
        <v>79</v>
      </c>
      <c r="D1365" s="10" t="s">
        <v>206</v>
      </c>
    </row>
    <row r="1366">
      <c r="A1366" s="10">
        <v>1365.0</v>
      </c>
      <c r="B1366" s="11" t="s">
        <v>1465</v>
      </c>
      <c r="C1366" s="10" t="s">
        <v>79</v>
      </c>
      <c r="D1366" s="10" t="s">
        <v>82</v>
      </c>
    </row>
    <row r="1367">
      <c r="A1367" s="10">
        <v>1366.0</v>
      </c>
      <c r="B1367" s="11" t="s">
        <v>1466</v>
      </c>
      <c r="C1367" s="10" t="s">
        <v>79</v>
      </c>
      <c r="D1367" s="10" t="s">
        <v>73</v>
      </c>
    </row>
    <row r="1368">
      <c r="A1368" s="10">
        <v>1367.0</v>
      </c>
      <c r="B1368" s="11" t="s">
        <v>1467</v>
      </c>
      <c r="C1368" s="10" t="s">
        <v>22</v>
      </c>
      <c r="D1368" s="10" t="s">
        <v>206</v>
      </c>
    </row>
    <row r="1369">
      <c r="A1369" s="10">
        <v>1368.0</v>
      </c>
      <c r="B1369" s="11" t="s">
        <v>1468</v>
      </c>
      <c r="C1369" s="10" t="s">
        <v>79</v>
      </c>
      <c r="D1369" s="10" t="s">
        <v>25</v>
      </c>
    </row>
    <row r="1370">
      <c r="A1370" s="10">
        <v>1369.0</v>
      </c>
      <c r="B1370" s="11" t="s">
        <v>1469</v>
      </c>
      <c r="C1370" s="10" t="s">
        <v>419</v>
      </c>
      <c r="D1370" s="10" t="s">
        <v>34</v>
      </c>
    </row>
    <row r="1371">
      <c r="A1371" s="10">
        <v>1370.0</v>
      </c>
      <c r="B1371" s="11" t="s">
        <v>1470</v>
      </c>
      <c r="C1371" s="10" t="s">
        <v>55</v>
      </c>
      <c r="D1371" s="10" t="s">
        <v>34</v>
      </c>
    </row>
    <row r="1372">
      <c r="A1372" s="10">
        <v>1371.0</v>
      </c>
      <c r="B1372" s="11" t="s">
        <v>1471</v>
      </c>
      <c r="C1372" s="10" t="s">
        <v>220</v>
      </c>
      <c r="D1372" s="10" t="s">
        <v>122</v>
      </c>
    </row>
    <row r="1373">
      <c r="A1373" s="10">
        <v>1372.0</v>
      </c>
      <c r="B1373" s="11" t="s">
        <v>1472</v>
      </c>
      <c r="C1373" s="10" t="s">
        <v>79</v>
      </c>
      <c r="D1373" s="10" t="s">
        <v>120</v>
      </c>
    </row>
    <row r="1374">
      <c r="A1374" s="10">
        <v>1373.0</v>
      </c>
      <c r="B1374" s="11" t="s">
        <v>1473</v>
      </c>
      <c r="C1374" s="10" t="s">
        <v>79</v>
      </c>
      <c r="D1374" s="10" t="s">
        <v>82</v>
      </c>
    </row>
    <row r="1375">
      <c r="A1375" s="10">
        <v>1374.0</v>
      </c>
      <c r="B1375" s="11" t="s">
        <v>1474</v>
      </c>
      <c r="C1375" s="10" t="s">
        <v>79</v>
      </c>
      <c r="D1375" s="10" t="s">
        <v>105</v>
      </c>
    </row>
    <row r="1376">
      <c r="A1376" s="10">
        <v>1375.0</v>
      </c>
      <c r="B1376" s="11" t="s">
        <v>1475</v>
      </c>
      <c r="C1376" s="10" t="s">
        <v>22</v>
      </c>
      <c r="D1376" s="10" t="s">
        <v>18</v>
      </c>
    </row>
    <row r="1377">
      <c r="A1377" s="10">
        <v>1376.0</v>
      </c>
      <c r="B1377" s="11" t="s">
        <v>1476</v>
      </c>
      <c r="C1377" s="10" t="s">
        <v>79</v>
      </c>
      <c r="D1377" s="10" t="s">
        <v>99</v>
      </c>
    </row>
    <row r="1378">
      <c r="A1378" s="10">
        <v>1377.0</v>
      </c>
      <c r="B1378" s="11" t="s">
        <v>1477</v>
      </c>
      <c r="C1378" s="10" t="s">
        <v>79</v>
      </c>
      <c r="D1378" s="10" t="s">
        <v>42</v>
      </c>
    </row>
    <row r="1379">
      <c r="A1379" s="10">
        <v>1378.0</v>
      </c>
      <c r="B1379" s="11" t="s">
        <v>1478</v>
      </c>
      <c r="C1379" s="10" t="s">
        <v>79</v>
      </c>
      <c r="D1379" s="10" t="s">
        <v>140</v>
      </c>
    </row>
    <row r="1380">
      <c r="A1380" s="10">
        <v>1379.0</v>
      </c>
      <c r="B1380" s="11" t="s">
        <v>1479</v>
      </c>
      <c r="C1380" s="10" t="s">
        <v>79</v>
      </c>
      <c r="D1380" s="10" t="s">
        <v>99</v>
      </c>
    </row>
    <row r="1381">
      <c r="A1381" s="10">
        <v>1380.0</v>
      </c>
      <c r="B1381" s="11" t="s">
        <v>1480</v>
      </c>
      <c r="C1381" s="10" t="s">
        <v>20</v>
      </c>
      <c r="D1381" s="10" t="s">
        <v>9</v>
      </c>
    </row>
    <row r="1382">
      <c r="A1382" s="10">
        <v>1381.0</v>
      </c>
      <c r="B1382" s="11" t="s">
        <v>1481</v>
      </c>
      <c r="C1382" s="10" t="s">
        <v>79</v>
      </c>
      <c r="D1382" s="10" t="s">
        <v>105</v>
      </c>
    </row>
    <row r="1383">
      <c r="A1383" s="10">
        <v>1382.0</v>
      </c>
      <c r="B1383" s="11" t="s">
        <v>1482</v>
      </c>
      <c r="C1383" s="10" t="s">
        <v>22</v>
      </c>
      <c r="D1383" s="10" t="s">
        <v>12</v>
      </c>
    </row>
    <row r="1384">
      <c r="A1384" s="10">
        <v>1383.0</v>
      </c>
      <c r="B1384" s="11" t="s">
        <v>1483</v>
      </c>
      <c r="C1384" s="10" t="s">
        <v>79</v>
      </c>
      <c r="D1384" s="10" t="s">
        <v>85</v>
      </c>
    </row>
    <row r="1385">
      <c r="A1385" s="10">
        <v>1384.0</v>
      </c>
      <c r="B1385" s="11" t="s">
        <v>1484</v>
      </c>
      <c r="C1385" s="10" t="s">
        <v>79</v>
      </c>
      <c r="D1385" s="10" t="s">
        <v>73</v>
      </c>
    </row>
    <row r="1386">
      <c r="A1386" s="10">
        <v>1385.0</v>
      </c>
      <c r="B1386" s="11" t="s">
        <v>1485</v>
      </c>
      <c r="C1386" s="10" t="s">
        <v>79</v>
      </c>
      <c r="D1386" s="10" t="s">
        <v>23</v>
      </c>
    </row>
    <row r="1387">
      <c r="A1387" s="10">
        <v>1386.0</v>
      </c>
      <c r="B1387" s="11" t="s">
        <v>1486</v>
      </c>
      <c r="C1387" s="10" t="s">
        <v>79</v>
      </c>
      <c r="D1387" s="10" t="s">
        <v>73</v>
      </c>
    </row>
    <row r="1388">
      <c r="A1388" s="10">
        <v>1387.0</v>
      </c>
      <c r="B1388" s="11" t="s">
        <v>1487</v>
      </c>
      <c r="C1388" s="10" t="s">
        <v>79</v>
      </c>
      <c r="D1388" s="10" t="s">
        <v>113</v>
      </c>
    </row>
    <row r="1389">
      <c r="A1389" s="10">
        <v>1388.0</v>
      </c>
      <c r="B1389" s="11" t="s">
        <v>1488</v>
      </c>
      <c r="C1389" s="10" t="s">
        <v>79</v>
      </c>
      <c r="D1389" s="10" t="s">
        <v>18</v>
      </c>
    </row>
    <row r="1390">
      <c r="A1390" s="10">
        <v>1389.0</v>
      </c>
      <c r="B1390" s="11" t="s">
        <v>1489</v>
      </c>
      <c r="C1390" s="10" t="s">
        <v>79</v>
      </c>
      <c r="D1390" s="10" t="s">
        <v>49</v>
      </c>
    </row>
    <row r="1391">
      <c r="A1391" s="10">
        <v>1390.0</v>
      </c>
      <c r="B1391" s="11" t="s">
        <v>1490</v>
      </c>
      <c r="C1391" s="10" t="s">
        <v>22</v>
      </c>
      <c r="D1391" s="10" t="s">
        <v>46</v>
      </c>
    </row>
    <row r="1392">
      <c r="A1392" s="10">
        <v>1391.0</v>
      </c>
      <c r="B1392" s="11" t="s">
        <v>1491</v>
      </c>
      <c r="C1392" s="10" t="s">
        <v>158</v>
      </c>
      <c r="D1392" s="10" t="s">
        <v>85</v>
      </c>
    </row>
    <row r="1393">
      <c r="A1393" s="10">
        <v>1392.0</v>
      </c>
      <c r="B1393" s="11" t="s">
        <v>1492</v>
      </c>
      <c r="C1393" s="10" t="s">
        <v>79</v>
      </c>
      <c r="D1393" s="10" t="s">
        <v>120</v>
      </c>
    </row>
    <row r="1394">
      <c r="A1394" s="10">
        <v>1393.0</v>
      </c>
      <c r="B1394" s="11" t="s">
        <v>1493</v>
      </c>
      <c r="C1394" s="10" t="s">
        <v>79</v>
      </c>
      <c r="D1394" s="10" t="s">
        <v>67</v>
      </c>
    </row>
    <row r="1395">
      <c r="A1395" s="10">
        <v>1394.0</v>
      </c>
      <c r="B1395" s="11" t="s">
        <v>1494</v>
      </c>
      <c r="C1395" s="10" t="s">
        <v>14</v>
      </c>
      <c r="D1395" s="10" t="s">
        <v>120</v>
      </c>
    </row>
    <row r="1396">
      <c r="A1396" s="10">
        <v>1395.0</v>
      </c>
      <c r="B1396" s="11" t="s">
        <v>1495</v>
      </c>
      <c r="C1396" s="10" t="s">
        <v>79</v>
      </c>
      <c r="D1396" s="10" t="s">
        <v>31</v>
      </c>
    </row>
    <row r="1397">
      <c r="A1397" s="10">
        <v>1396.0</v>
      </c>
      <c r="B1397" s="11" t="s">
        <v>1496</v>
      </c>
      <c r="C1397" s="10" t="s">
        <v>79</v>
      </c>
      <c r="D1397" s="10" t="s">
        <v>122</v>
      </c>
    </row>
    <row r="1398">
      <c r="A1398" s="10">
        <v>1397.0</v>
      </c>
      <c r="B1398" s="11" t="s">
        <v>1497</v>
      </c>
      <c r="C1398" s="10" t="s">
        <v>79</v>
      </c>
      <c r="D1398" s="10" t="s">
        <v>31</v>
      </c>
    </row>
    <row r="1399">
      <c r="A1399" s="10">
        <v>1398.0</v>
      </c>
      <c r="B1399" s="11" t="s">
        <v>1498</v>
      </c>
      <c r="C1399" s="10" t="s">
        <v>79</v>
      </c>
      <c r="D1399" s="10" t="s">
        <v>105</v>
      </c>
    </row>
    <row r="1400">
      <c r="A1400" s="10">
        <v>1399.0</v>
      </c>
      <c r="B1400" s="11" t="s">
        <v>1499</v>
      </c>
      <c r="C1400" s="10" t="s">
        <v>79</v>
      </c>
      <c r="D1400" s="10" t="s">
        <v>140</v>
      </c>
    </row>
    <row r="1401">
      <c r="A1401" s="10">
        <v>1400.0</v>
      </c>
      <c r="B1401" s="11" t="s">
        <v>1500</v>
      </c>
      <c r="C1401" s="10" t="s">
        <v>79</v>
      </c>
      <c r="D1401" s="10" t="s">
        <v>105</v>
      </c>
    </row>
    <row r="1402">
      <c r="A1402" s="10">
        <v>1401.0</v>
      </c>
      <c r="B1402" s="11" t="s">
        <v>1501</v>
      </c>
      <c r="C1402" s="10" t="s">
        <v>79</v>
      </c>
      <c r="D1402" s="10" t="s">
        <v>82</v>
      </c>
    </row>
    <row r="1403">
      <c r="A1403" s="10">
        <v>1402.0</v>
      </c>
      <c r="B1403" s="11" t="s">
        <v>1502</v>
      </c>
      <c r="C1403" s="10" t="s">
        <v>22</v>
      </c>
      <c r="D1403" s="10" t="s">
        <v>105</v>
      </c>
    </row>
    <row r="1404">
      <c r="A1404" s="10">
        <v>1403.0</v>
      </c>
      <c r="B1404" s="11" t="s">
        <v>1503</v>
      </c>
      <c r="C1404" s="10" t="s">
        <v>22</v>
      </c>
      <c r="D1404" s="10" t="s">
        <v>25</v>
      </c>
    </row>
    <row r="1405">
      <c r="A1405" s="10">
        <v>1404.0</v>
      </c>
      <c r="B1405" s="11" t="s">
        <v>1504</v>
      </c>
      <c r="C1405" s="10" t="s">
        <v>79</v>
      </c>
      <c r="D1405" s="10" t="s">
        <v>9</v>
      </c>
    </row>
    <row r="1406">
      <c r="A1406" s="10">
        <v>1405.0</v>
      </c>
      <c r="B1406" s="11" t="s">
        <v>1505</v>
      </c>
      <c r="C1406" s="10" t="s">
        <v>79</v>
      </c>
      <c r="D1406" s="10" t="s">
        <v>82</v>
      </c>
    </row>
    <row r="1407">
      <c r="A1407" s="10">
        <v>1406.0</v>
      </c>
      <c r="B1407" s="11" t="s">
        <v>1506</v>
      </c>
      <c r="C1407" s="10" t="s">
        <v>22</v>
      </c>
      <c r="D1407" s="10" t="s">
        <v>122</v>
      </c>
    </row>
    <row r="1408">
      <c r="A1408" s="10">
        <v>1407.0</v>
      </c>
      <c r="B1408" s="11" t="s">
        <v>1507</v>
      </c>
      <c r="C1408" s="10" t="s">
        <v>79</v>
      </c>
      <c r="D1408" s="10" t="s">
        <v>42</v>
      </c>
    </row>
    <row r="1409">
      <c r="A1409" s="10">
        <v>1408.0</v>
      </c>
      <c r="B1409" s="11" t="s">
        <v>1508</v>
      </c>
      <c r="C1409" s="10" t="s">
        <v>79</v>
      </c>
      <c r="D1409" s="10" t="s">
        <v>129</v>
      </c>
    </row>
    <row r="1410">
      <c r="A1410" s="10">
        <v>1409.0</v>
      </c>
      <c r="B1410" s="11" t="s">
        <v>1509</v>
      </c>
      <c r="C1410" s="10" t="s">
        <v>22</v>
      </c>
      <c r="D1410" s="10" t="s">
        <v>34</v>
      </c>
    </row>
    <row r="1411">
      <c r="A1411" s="10">
        <v>1410.0</v>
      </c>
      <c r="B1411" s="11" t="s">
        <v>1510</v>
      </c>
      <c r="C1411" s="10" t="s">
        <v>22</v>
      </c>
      <c r="D1411" s="10" t="s">
        <v>129</v>
      </c>
    </row>
    <row r="1412">
      <c r="A1412" s="10">
        <v>1411.0</v>
      </c>
      <c r="B1412" s="11" t="s">
        <v>1511</v>
      </c>
      <c r="C1412" s="10" t="s">
        <v>79</v>
      </c>
      <c r="D1412" s="10" t="s">
        <v>23</v>
      </c>
    </row>
    <row r="1413">
      <c r="A1413" s="10">
        <v>1412.0</v>
      </c>
      <c r="B1413" s="11" t="s">
        <v>1512</v>
      </c>
      <c r="C1413" s="10" t="s">
        <v>77</v>
      </c>
      <c r="D1413" s="10" t="s">
        <v>34</v>
      </c>
    </row>
    <row r="1414">
      <c r="A1414" s="10">
        <v>1413.0</v>
      </c>
      <c r="B1414" s="11" t="s">
        <v>1513</v>
      </c>
      <c r="C1414" s="10" t="s">
        <v>79</v>
      </c>
      <c r="D1414" s="10" t="s">
        <v>18</v>
      </c>
    </row>
    <row r="1415">
      <c r="A1415" s="10">
        <v>1414.0</v>
      </c>
      <c r="B1415" s="11" t="s">
        <v>1514</v>
      </c>
      <c r="C1415" s="10" t="s">
        <v>79</v>
      </c>
      <c r="D1415" s="10" t="s">
        <v>27</v>
      </c>
    </row>
    <row r="1416">
      <c r="A1416" s="10">
        <v>1415.0</v>
      </c>
      <c r="B1416" s="11" t="s">
        <v>1515</v>
      </c>
      <c r="C1416" s="10" t="s">
        <v>585</v>
      </c>
      <c r="D1416" s="10" t="s">
        <v>95</v>
      </c>
    </row>
    <row r="1417">
      <c r="A1417" s="10">
        <v>1416.0</v>
      </c>
      <c r="B1417" s="11" t="s">
        <v>1516</v>
      </c>
      <c r="C1417" s="10" t="s">
        <v>79</v>
      </c>
      <c r="D1417" s="10" t="s">
        <v>18</v>
      </c>
    </row>
    <row r="1418">
      <c r="A1418" s="10">
        <v>1417.0</v>
      </c>
      <c r="B1418" s="11" t="s">
        <v>1517</v>
      </c>
      <c r="C1418" s="10" t="s">
        <v>22</v>
      </c>
      <c r="D1418" s="10" t="s">
        <v>36</v>
      </c>
    </row>
    <row r="1419">
      <c r="A1419" s="10">
        <v>1418.0</v>
      </c>
      <c r="B1419" s="11" t="s">
        <v>1518</v>
      </c>
      <c r="C1419" s="10" t="s">
        <v>79</v>
      </c>
      <c r="D1419" s="10" t="s">
        <v>27</v>
      </c>
    </row>
    <row r="1420">
      <c r="A1420" s="10">
        <v>1419.0</v>
      </c>
      <c r="B1420" s="11" t="s">
        <v>1519</v>
      </c>
      <c r="C1420" s="10" t="s">
        <v>79</v>
      </c>
      <c r="D1420" s="10" t="s">
        <v>31</v>
      </c>
    </row>
    <row r="1421">
      <c r="A1421" s="10">
        <v>1420.0</v>
      </c>
      <c r="B1421" s="11" t="s">
        <v>1520</v>
      </c>
      <c r="C1421" s="10" t="s">
        <v>79</v>
      </c>
      <c r="D1421" s="10" t="s">
        <v>52</v>
      </c>
    </row>
    <row r="1422">
      <c r="A1422" s="10">
        <v>1421.0</v>
      </c>
      <c r="B1422" s="11" t="s">
        <v>1521</v>
      </c>
      <c r="C1422" s="10" t="s">
        <v>79</v>
      </c>
      <c r="D1422" s="10" t="s">
        <v>71</v>
      </c>
    </row>
    <row r="1423">
      <c r="A1423" s="10">
        <v>1422.0</v>
      </c>
      <c r="B1423" s="11" t="s">
        <v>1522</v>
      </c>
      <c r="C1423" s="10" t="s">
        <v>240</v>
      </c>
      <c r="D1423" s="10" t="s">
        <v>34</v>
      </c>
    </row>
    <row r="1424">
      <c r="A1424" s="10">
        <v>1423.0</v>
      </c>
      <c r="B1424" s="11" t="s">
        <v>1523</v>
      </c>
      <c r="C1424" s="10" t="s">
        <v>79</v>
      </c>
      <c r="D1424" s="10" t="s">
        <v>23</v>
      </c>
    </row>
    <row r="1425">
      <c r="A1425" s="10">
        <v>1424.0</v>
      </c>
      <c r="B1425" s="11" t="s">
        <v>1524</v>
      </c>
      <c r="C1425" s="10" t="s">
        <v>79</v>
      </c>
      <c r="D1425" s="10" t="s">
        <v>85</v>
      </c>
    </row>
    <row r="1426">
      <c r="A1426" s="10">
        <v>1425.0</v>
      </c>
      <c r="B1426" s="11" t="s">
        <v>1525</v>
      </c>
      <c r="C1426" s="10" t="s">
        <v>79</v>
      </c>
      <c r="D1426" s="10" t="s">
        <v>27</v>
      </c>
    </row>
    <row r="1427">
      <c r="A1427" s="10">
        <v>1426.0</v>
      </c>
      <c r="B1427" s="11" t="s">
        <v>1526</v>
      </c>
      <c r="C1427" s="10" t="s">
        <v>79</v>
      </c>
      <c r="D1427" s="10" t="s">
        <v>71</v>
      </c>
    </row>
    <row r="1428">
      <c r="A1428" s="10">
        <v>1427.0</v>
      </c>
      <c r="B1428" s="11" t="s">
        <v>1527</v>
      </c>
      <c r="C1428" s="10" t="s">
        <v>700</v>
      </c>
      <c r="D1428" s="10" t="s">
        <v>27</v>
      </c>
    </row>
    <row r="1429">
      <c r="A1429" s="10">
        <v>1428.0</v>
      </c>
      <c r="B1429" s="11" t="s">
        <v>1528</v>
      </c>
      <c r="C1429" s="10" t="s">
        <v>79</v>
      </c>
      <c r="D1429" s="10" t="s">
        <v>137</v>
      </c>
    </row>
    <row r="1430">
      <c r="A1430" s="10">
        <v>1429.0</v>
      </c>
      <c r="B1430" s="11" t="s">
        <v>1529</v>
      </c>
      <c r="C1430" s="10" t="s">
        <v>79</v>
      </c>
      <c r="D1430" s="10" t="s">
        <v>18</v>
      </c>
    </row>
    <row r="1431">
      <c r="A1431" s="10">
        <v>1430.0</v>
      </c>
      <c r="B1431" s="11" t="s">
        <v>1530</v>
      </c>
      <c r="C1431" s="10" t="s">
        <v>79</v>
      </c>
      <c r="D1431" s="10" t="s">
        <v>113</v>
      </c>
    </row>
    <row r="1432">
      <c r="A1432" s="10">
        <v>1431.0</v>
      </c>
      <c r="B1432" s="11" t="s">
        <v>1531</v>
      </c>
      <c r="C1432" s="10" t="s">
        <v>79</v>
      </c>
      <c r="D1432" s="10" t="s">
        <v>27</v>
      </c>
    </row>
    <row r="1433">
      <c r="A1433" s="10">
        <v>1432.0</v>
      </c>
      <c r="B1433" s="11" t="s">
        <v>1532</v>
      </c>
      <c r="C1433" s="10" t="s">
        <v>79</v>
      </c>
      <c r="D1433" s="10" t="s">
        <v>137</v>
      </c>
    </row>
    <row r="1434">
      <c r="A1434" s="10">
        <v>1433.0</v>
      </c>
      <c r="B1434" s="11" t="s">
        <v>1533</v>
      </c>
      <c r="C1434" s="10" t="s">
        <v>79</v>
      </c>
      <c r="D1434" s="10" t="s">
        <v>36</v>
      </c>
    </row>
    <row r="1435">
      <c r="A1435" s="10">
        <v>1434.0</v>
      </c>
      <c r="B1435" s="11" t="s">
        <v>1534</v>
      </c>
      <c r="C1435" s="10" t="s">
        <v>79</v>
      </c>
      <c r="D1435" s="10" t="s">
        <v>15</v>
      </c>
    </row>
    <row r="1436">
      <c r="A1436" s="10">
        <v>1435.0</v>
      </c>
      <c r="B1436" s="11" t="s">
        <v>1535</v>
      </c>
      <c r="C1436" s="10" t="s">
        <v>79</v>
      </c>
      <c r="D1436" s="10" t="s">
        <v>90</v>
      </c>
    </row>
    <row r="1437">
      <c r="A1437" s="10">
        <v>1436.0</v>
      </c>
      <c r="B1437" s="11" t="s">
        <v>1536</v>
      </c>
      <c r="C1437" s="10" t="s">
        <v>79</v>
      </c>
      <c r="D1437" s="10" t="s">
        <v>67</v>
      </c>
    </row>
    <row r="1438">
      <c r="A1438" s="10">
        <v>1437.0</v>
      </c>
      <c r="B1438" s="11" t="s">
        <v>1537</v>
      </c>
      <c r="C1438" s="10" t="s">
        <v>79</v>
      </c>
      <c r="D1438" s="10" t="s">
        <v>137</v>
      </c>
    </row>
    <row r="1439">
      <c r="A1439" s="10">
        <v>1438.0</v>
      </c>
      <c r="B1439" s="11" t="s">
        <v>5608</v>
      </c>
      <c r="C1439" s="10" t="s">
        <v>79</v>
      </c>
      <c r="D1439" s="10" t="s">
        <v>18</v>
      </c>
    </row>
    <row r="1440">
      <c r="A1440" s="10">
        <v>1439.0</v>
      </c>
      <c r="B1440" s="11" t="s">
        <v>1539</v>
      </c>
      <c r="C1440" s="10" t="s">
        <v>79</v>
      </c>
      <c r="D1440" s="10" t="s">
        <v>122</v>
      </c>
    </row>
    <row r="1441">
      <c r="A1441" s="10">
        <v>1440.0</v>
      </c>
      <c r="B1441" s="11" t="s">
        <v>1540</v>
      </c>
      <c r="C1441" s="10" t="s">
        <v>79</v>
      </c>
      <c r="D1441" s="10" t="s">
        <v>113</v>
      </c>
    </row>
    <row r="1442">
      <c r="A1442" s="10">
        <v>1441.0</v>
      </c>
      <c r="B1442" s="11" t="s">
        <v>1541</v>
      </c>
      <c r="C1442" s="10" t="s">
        <v>220</v>
      </c>
      <c r="D1442" s="10" t="s">
        <v>52</v>
      </c>
    </row>
    <row r="1443">
      <c r="A1443" s="10">
        <v>1442.0</v>
      </c>
      <c r="B1443" s="11" t="s">
        <v>1542</v>
      </c>
      <c r="C1443" s="10" t="s">
        <v>22</v>
      </c>
      <c r="D1443" s="10" t="s">
        <v>120</v>
      </c>
    </row>
    <row r="1444">
      <c r="A1444" s="10">
        <v>1443.0</v>
      </c>
      <c r="B1444" s="11" t="s">
        <v>1543</v>
      </c>
      <c r="C1444" s="10" t="s">
        <v>79</v>
      </c>
      <c r="D1444" s="10" t="s">
        <v>52</v>
      </c>
    </row>
    <row r="1445">
      <c r="A1445" s="10">
        <v>1444.0</v>
      </c>
      <c r="B1445" s="11" t="s">
        <v>1544</v>
      </c>
      <c r="C1445" s="10" t="s">
        <v>22</v>
      </c>
      <c r="D1445" s="10" t="s">
        <v>42</v>
      </c>
    </row>
    <row r="1446">
      <c r="A1446" s="10">
        <v>1445.0</v>
      </c>
      <c r="B1446" s="11" t="s">
        <v>1545</v>
      </c>
      <c r="C1446" s="10" t="s">
        <v>22</v>
      </c>
      <c r="D1446" s="10" t="s">
        <v>140</v>
      </c>
    </row>
    <row r="1447">
      <c r="A1447" s="10">
        <v>1446.0</v>
      </c>
      <c r="B1447" s="11" t="s">
        <v>1546</v>
      </c>
      <c r="C1447" s="10" t="s">
        <v>11</v>
      </c>
      <c r="D1447" s="10" t="s">
        <v>85</v>
      </c>
    </row>
    <row r="1448">
      <c r="A1448" s="10">
        <v>1447.0</v>
      </c>
      <c r="B1448" s="11" t="s">
        <v>1547</v>
      </c>
      <c r="C1448" s="10" t="s">
        <v>79</v>
      </c>
      <c r="D1448" s="10" t="s">
        <v>99</v>
      </c>
    </row>
    <row r="1449">
      <c r="A1449" s="10">
        <v>1448.0</v>
      </c>
      <c r="B1449" s="11" t="s">
        <v>1548</v>
      </c>
      <c r="C1449" s="10" t="s">
        <v>79</v>
      </c>
      <c r="D1449" s="10" t="s">
        <v>18</v>
      </c>
    </row>
    <row r="1450">
      <c r="A1450" s="10">
        <v>1449.0</v>
      </c>
      <c r="B1450" s="11" t="s">
        <v>1549</v>
      </c>
      <c r="C1450" s="10" t="s">
        <v>79</v>
      </c>
      <c r="D1450" s="10" t="s">
        <v>71</v>
      </c>
    </row>
    <row r="1451">
      <c r="A1451" s="10">
        <v>1450.0</v>
      </c>
      <c r="B1451" s="11" t="s">
        <v>1550</v>
      </c>
      <c r="C1451" s="10" t="s">
        <v>79</v>
      </c>
      <c r="D1451" s="10" t="s">
        <v>18</v>
      </c>
    </row>
    <row r="1452">
      <c r="A1452" s="10">
        <v>1451.0</v>
      </c>
      <c r="B1452" s="11" t="s">
        <v>1551</v>
      </c>
      <c r="C1452" s="10" t="s">
        <v>22</v>
      </c>
      <c r="D1452" s="10" t="s">
        <v>85</v>
      </c>
    </row>
    <row r="1453">
      <c r="A1453" s="10">
        <v>1452.0</v>
      </c>
      <c r="B1453" s="11" t="s">
        <v>1552</v>
      </c>
      <c r="C1453" s="10" t="s">
        <v>22</v>
      </c>
      <c r="D1453" s="10" t="s">
        <v>36</v>
      </c>
    </row>
    <row r="1454">
      <c r="A1454" s="10">
        <v>1453.0</v>
      </c>
      <c r="B1454" s="11" t="s">
        <v>1553</v>
      </c>
      <c r="C1454" s="10" t="s">
        <v>79</v>
      </c>
      <c r="D1454" s="10" t="s">
        <v>85</v>
      </c>
    </row>
    <row r="1455">
      <c r="A1455" s="10">
        <v>1454.0</v>
      </c>
      <c r="B1455" s="11" t="s">
        <v>1554</v>
      </c>
      <c r="C1455" s="10" t="s">
        <v>79</v>
      </c>
      <c r="D1455" s="10" t="s">
        <v>67</v>
      </c>
    </row>
    <row r="1456">
      <c r="A1456" s="10">
        <v>1455.0</v>
      </c>
      <c r="B1456" s="11" t="s">
        <v>1555</v>
      </c>
      <c r="C1456" s="10" t="s">
        <v>79</v>
      </c>
      <c r="D1456" s="10" t="s">
        <v>9</v>
      </c>
    </row>
    <row r="1457">
      <c r="A1457" s="10">
        <v>1456.0</v>
      </c>
      <c r="B1457" s="11" t="s">
        <v>1556</v>
      </c>
      <c r="C1457" s="10" t="s">
        <v>79</v>
      </c>
      <c r="D1457" s="10" t="s">
        <v>122</v>
      </c>
    </row>
    <row r="1458">
      <c r="A1458" s="10">
        <v>1457.0</v>
      </c>
      <c r="B1458" s="11" t="s">
        <v>1557</v>
      </c>
      <c r="C1458" s="10" t="s">
        <v>22</v>
      </c>
      <c r="D1458" s="10" t="s">
        <v>129</v>
      </c>
    </row>
    <row r="1459">
      <c r="A1459" s="10">
        <v>1458.0</v>
      </c>
      <c r="B1459" s="11" t="s">
        <v>1558</v>
      </c>
      <c r="C1459" s="10" t="s">
        <v>14</v>
      </c>
      <c r="D1459" s="10" t="s">
        <v>140</v>
      </c>
    </row>
    <row r="1460">
      <c r="A1460" s="10">
        <v>1459.0</v>
      </c>
      <c r="B1460" s="11" t="s">
        <v>1559</v>
      </c>
      <c r="C1460" s="10" t="s">
        <v>79</v>
      </c>
      <c r="D1460" s="10" t="s">
        <v>140</v>
      </c>
    </row>
    <row r="1461">
      <c r="A1461" s="10">
        <v>1460.0</v>
      </c>
      <c r="B1461" s="11" t="s">
        <v>1560</v>
      </c>
      <c r="C1461" s="10" t="s">
        <v>79</v>
      </c>
      <c r="D1461" s="10" t="s">
        <v>120</v>
      </c>
    </row>
    <row r="1462">
      <c r="A1462" s="10">
        <v>1461.0</v>
      </c>
      <c r="B1462" s="11" t="s">
        <v>1561</v>
      </c>
      <c r="C1462" s="10" t="s">
        <v>79</v>
      </c>
      <c r="D1462" s="10" t="s">
        <v>18</v>
      </c>
    </row>
    <row r="1463">
      <c r="A1463" s="10">
        <v>1462.0</v>
      </c>
      <c r="B1463" s="11" t="s">
        <v>1562</v>
      </c>
      <c r="C1463" s="10" t="s">
        <v>79</v>
      </c>
      <c r="D1463" s="10" t="s">
        <v>42</v>
      </c>
    </row>
    <row r="1464">
      <c r="A1464" s="10">
        <v>1463.0</v>
      </c>
      <c r="B1464" s="11" t="s">
        <v>1563</v>
      </c>
      <c r="C1464" s="10" t="s">
        <v>22</v>
      </c>
      <c r="D1464" s="10" t="s">
        <v>122</v>
      </c>
    </row>
    <row r="1465">
      <c r="A1465" s="10">
        <v>1464.0</v>
      </c>
      <c r="B1465" s="11" t="s">
        <v>1564</v>
      </c>
      <c r="C1465" s="10" t="s">
        <v>22</v>
      </c>
      <c r="D1465" s="10" t="s">
        <v>85</v>
      </c>
    </row>
    <row r="1466">
      <c r="A1466" s="10">
        <v>1465.0</v>
      </c>
      <c r="B1466" s="11" t="s">
        <v>1565</v>
      </c>
      <c r="C1466" s="10" t="s">
        <v>79</v>
      </c>
      <c r="D1466" s="10" t="s">
        <v>36</v>
      </c>
    </row>
    <row r="1467">
      <c r="A1467" s="10">
        <v>1466.0</v>
      </c>
      <c r="B1467" s="11" t="s">
        <v>1566</v>
      </c>
      <c r="C1467" s="10" t="s">
        <v>79</v>
      </c>
      <c r="D1467" s="10" t="s">
        <v>122</v>
      </c>
    </row>
    <row r="1468">
      <c r="A1468" s="10">
        <v>1467.0</v>
      </c>
      <c r="B1468" s="11" t="s">
        <v>1567</v>
      </c>
      <c r="C1468" s="10" t="s">
        <v>79</v>
      </c>
      <c r="D1468" s="10" t="s">
        <v>36</v>
      </c>
    </row>
    <row r="1469">
      <c r="A1469" s="10">
        <v>1468.0</v>
      </c>
      <c r="B1469" s="11" t="s">
        <v>1568</v>
      </c>
      <c r="C1469" s="10" t="s">
        <v>79</v>
      </c>
      <c r="D1469" s="10" t="s">
        <v>140</v>
      </c>
    </row>
    <row r="1470">
      <c r="A1470" s="10">
        <v>1469.0</v>
      </c>
      <c r="B1470" s="11" t="s">
        <v>1569</v>
      </c>
      <c r="C1470" s="10" t="s">
        <v>63</v>
      </c>
      <c r="D1470" s="10" t="s">
        <v>12</v>
      </c>
    </row>
    <row r="1471">
      <c r="A1471" s="10">
        <v>1470.0</v>
      </c>
      <c r="B1471" s="11" t="s">
        <v>1570</v>
      </c>
      <c r="C1471" s="10" t="s">
        <v>79</v>
      </c>
      <c r="D1471" s="10" t="s">
        <v>9</v>
      </c>
    </row>
    <row r="1472">
      <c r="A1472" s="10">
        <v>1471.0</v>
      </c>
      <c r="B1472" s="11" t="s">
        <v>1571</v>
      </c>
      <c r="C1472" s="10" t="s">
        <v>220</v>
      </c>
      <c r="D1472" s="10" t="s">
        <v>105</v>
      </c>
    </row>
    <row r="1473">
      <c r="A1473" s="10">
        <v>1472.0</v>
      </c>
      <c r="B1473" s="11" t="s">
        <v>1572</v>
      </c>
      <c r="C1473" s="10" t="s">
        <v>79</v>
      </c>
      <c r="D1473" s="10" t="s">
        <v>105</v>
      </c>
    </row>
    <row r="1474">
      <c r="A1474" s="10">
        <v>1473.0</v>
      </c>
      <c r="B1474" s="11" t="s">
        <v>1573</v>
      </c>
      <c r="C1474" s="10" t="s">
        <v>218</v>
      </c>
      <c r="D1474" s="10" t="s">
        <v>25</v>
      </c>
    </row>
    <row r="1475">
      <c r="A1475" s="10">
        <v>1474.0</v>
      </c>
      <c r="B1475" s="11" t="s">
        <v>479</v>
      </c>
      <c r="C1475" s="10" t="s">
        <v>79</v>
      </c>
      <c r="D1475" s="10" t="s">
        <v>18</v>
      </c>
    </row>
    <row r="1476">
      <c r="A1476" s="10">
        <v>1475.0</v>
      </c>
      <c r="B1476" s="11" t="s">
        <v>1574</v>
      </c>
      <c r="C1476" s="10" t="s">
        <v>22</v>
      </c>
      <c r="D1476" s="10" t="s">
        <v>122</v>
      </c>
    </row>
    <row r="1477">
      <c r="A1477" s="10">
        <v>1476.0</v>
      </c>
      <c r="B1477" s="11" t="s">
        <v>1575</v>
      </c>
      <c r="C1477" s="10" t="s">
        <v>79</v>
      </c>
      <c r="D1477" s="10" t="s">
        <v>90</v>
      </c>
    </row>
    <row r="1478">
      <c r="A1478" s="10">
        <v>1477.0</v>
      </c>
      <c r="B1478" s="11" t="s">
        <v>1576</v>
      </c>
      <c r="C1478" s="10" t="s">
        <v>79</v>
      </c>
      <c r="D1478" s="10" t="s">
        <v>137</v>
      </c>
    </row>
    <row r="1479">
      <c r="A1479" s="10">
        <v>1478.0</v>
      </c>
      <c r="B1479" s="11" t="s">
        <v>1577</v>
      </c>
      <c r="C1479" s="10" t="s">
        <v>79</v>
      </c>
      <c r="D1479" s="10" t="s">
        <v>140</v>
      </c>
    </row>
    <row r="1480">
      <c r="A1480" s="10">
        <v>1479.0</v>
      </c>
      <c r="B1480" s="11" t="s">
        <v>1578</v>
      </c>
      <c r="C1480" s="10" t="s">
        <v>79</v>
      </c>
      <c r="D1480" s="10" t="s">
        <v>27</v>
      </c>
    </row>
    <row r="1481">
      <c r="A1481" s="10">
        <v>1480.0</v>
      </c>
      <c r="B1481" s="11" t="s">
        <v>1579</v>
      </c>
      <c r="C1481" s="10" t="s">
        <v>220</v>
      </c>
      <c r="D1481" s="10" t="s">
        <v>15</v>
      </c>
    </row>
    <row r="1482">
      <c r="A1482" s="10">
        <v>1481.0</v>
      </c>
      <c r="B1482" s="11" t="s">
        <v>1580</v>
      </c>
      <c r="C1482" s="10" t="s">
        <v>79</v>
      </c>
      <c r="D1482" s="10" t="s">
        <v>85</v>
      </c>
    </row>
    <row r="1483">
      <c r="A1483" s="10">
        <v>1482.0</v>
      </c>
      <c r="B1483" s="11" t="s">
        <v>1581</v>
      </c>
      <c r="C1483" s="10" t="s">
        <v>22</v>
      </c>
      <c r="D1483" s="10" t="s">
        <v>122</v>
      </c>
    </row>
    <row r="1484">
      <c r="A1484" s="10">
        <v>1483.0</v>
      </c>
      <c r="B1484" s="11" t="s">
        <v>1582</v>
      </c>
      <c r="C1484" s="10" t="s">
        <v>79</v>
      </c>
      <c r="D1484" s="10" t="s">
        <v>105</v>
      </c>
    </row>
    <row r="1485">
      <c r="A1485" s="10">
        <v>1484.0</v>
      </c>
      <c r="B1485" s="11" t="s">
        <v>1583</v>
      </c>
      <c r="C1485" s="10" t="s">
        <v>79</v>
      </c>
      <c r="D1485" s="10" t="s">
        <v>42</v>
      </c>
    </row>
    <row r="1486">
      <c r="A1486" s="10">
        <v>1485.0</v>
      </c>
      <c r="B1486" s="11" t="s">
        <v>1584</v>
      </c>
      <c r="C1486" s="10" t="s">
        <v>79</v>
      </c>
      <c r="D1486" s="10" t="s">
        <v>18</v>
      </c>
    </row>
    <row r="1487">
      <c r="A1487" s="10">
        <v>1486.0</v>
      </c>
      <c r="B1487" s="11" t="s">
        <v>1585</v>
      </c>
      <c r="C1487" s="10" t="s">
        <v>79</v>
      </c>
      <c r="D1487" s="10" t="s">
        <v>36</v>
      </c>
    </row>
    <row r="1488">
      <c r="A1488" s="10">
        <v>1487.0</v>
      </c>
      <c r="B1488" s="11" t="s">
        <v>1586</v>
      </c>
      <c r="C1488" s="10" t="s">
        <v>79</v>
      </c>
      <c r="D1488" s="10" t="s">
        <v>18</v>
      </c>
    </row>
    <row r="1489">
      <c r="A1489" s="10">
        <v>1488.0</v>
      </c>
      <c r="B1489" s="11" t="s">
        <v>1587</v>
      </c>
      <c r="C1489" s="10" t="s">
        <v>79</v>
      </c>
      <c r="D1489" s="10" t="s">
        <v>113</v>
      </c>
    </row>
    <row r="1490">
      <c r="A1490" s="10">
        <v>1489.0</v>
      </c>
      <c r="B1490" s="11" t="s">
        <v>1588</v>
      </c>
      <c r="C1490" s="10" t="s">
        <v>79</v>
      </c>
      <c r="D1490" s="10" t="s">
        <v>113</v>
      </c>
    </row>
    <row r="1491">
      <c r="A1491" s="10">
        <v>1490.0</v>
      </c>
      <c r="B1491" s="11" t="s">
        <v>1589</v>
      </c>
      <c r="C1491" s="10" t="s">
        <v>8</v>
      </c>
      <c r="D1491" s="10" t="s">
        <v>18</v>
      </c>
    </row>
    <row r="1492">
      <c r="A1492" s="10">
        <v>1491.0</v>
      </c>
      <c r="B1492" s="11" t="s">
        <v>1590</v>
      </c>
      <c r="C1492" s="10" t="s">
        <v>79</v>
      </c>
      <c r="D1492" s="10" t="s">
        <v>122</v>
      </c>
    </row>
    <row r="1493">
      <c r="A1493" s="10">
        <v>1492.0</v>
      </c>
      <c r="B1493" s="11" t="s">
        <v>1591</v>
      </c>
      <c r="C1493" s="10" t="s">
        <v>79</v>
      </c>
      <c r="D1493" s="10" t="s">
        <v>99</v>
      </c>
    </row>
    <row r="1494">
      <c r="A1494" s="10">
        <v>1493.0</v>
      </c>
      <c r="B1494" s="11" t="s">
        <v>1592</v>
      </c>
      <c r="C1494" s="10" t="s">
        <v>79</v>
      </c>
      <c r="D1494" s="10" t="s">
        <v>18</v>
      </c>
    </row>
    <row r="1495">
      <c r="A1495" s="10">
        <v>1494.0</v>
      </c>
      <c r="B1495" s="11" t="s">
        <v>1593</v>
      </c>
      <c r="C1495" s="10" t="s">
        <v>220</v>
      </c>
      <c r="D1495" s="10" t="s">
        <v>140</v>
      </c>
    </row>
    <row r="1496">
      <c r="A1496" s="10">
        <v>1495.0</v>
      </c>
      <c r="B1496" s="11" t="s">
        <v>1594</v>
      </c>
      <c r="C1496" s="10" t="s">
        <v>39</v>
      </c>
      <c r="D1496" s="10" t="s">
        <v>122</v>
      </c>
    </row>
    <row r="1497">
      <c r="A1497" s="10">
        <v>1496.0</v>
      </c>
      <c r="B1497" s="11" t="s">
        <v>1595</v>
      </c>
      <c r="C1497" s="10" t="s">
        <v>79</v>
      </c>
      <c r="D1497" s="10" t="s">
        <v>140</v>
      </c>
    </row>
    <row r="1498">
      <c r="A1498" s="10">
        <v>1497.0</v>
      </c>
      <c r="B1498" s="11" t="s">
        <v>1596</v>
      </c>
      <c r="C1498" s="10" t="s">
        <v>79</v>
      </c>
      <c r="D1498" s="10" t="s">
        <v>9</v>
      </c>
    </row>
    <row r="1499">
      <c r="A1499" s="10">
        <v>1498.0</v>
      </c>
      <c r="B1499" s="11" t="s">
        <v>1597</v>
      </c>
      <c r="C1499" s="10" t="s">
        <v>79</v>
      </c>
      <c r="D1499" s="10" t="s">
        <v>140</v>
      </c>
    </row>
    <row r="1500">
      <c r="A1500" s="10">
        <v>1499.0</v>
      </c>
      <c r="B1500" s="11" t="s">
        <v>1598</v>
      </c>
      <c r="C1500" s="10" t="s">
        <v>220</v>
      </c>
      <c r="D1500" s="10" t="s">
        <v>140</v>
      </c>
    </row>
    <row r="1501">
      <c r="A1501" s="10">
        <v>1500.0</v>
      </c>
      <c r="B1501" s="11" t="s">
        <v>1599</v>
      </c>
      <c r="C1501" s="10" t="s">
        <v>69</v>
      </c>
      <c r="D1501" s="10" t="s">
        <v>120</v>
      </c>
    </row>
    <row r="1502">
      <c r="A1502" s="10">
        <v>1501.0</v>
      </c>
      <c r="B1502" s="11" t="s">
        <v>1600</v>
      </c>
      <c r="C1502" s="10" t="s">
        <v>585</v>
      </c>
      <c r="D1502" s="10" t="s">
        <v>23</v>
      </c>
    </row>
    <row r="1503">
      <c r="A1503" s="10">
        <v>1502.0</v>
      </c>
      <c r="B1503" s="11" t="s">
        <v>1601</v>
      </c>
      <c r="C1503" s="10" t="s">
        <v>79</v>
      </c>
      <c r="D1503" s="10" t="s">
        <v>140</v>
      </c>
    </row>
    <row r="1504">
      <c r="A1504" s="10">
        <v>1503.0</v>
      </c>
      <c r="B1504" s="11" t="s">
        <v>1602</v>
      </c>
      <c r="C1504" s="10" t="s">
        <v>79</v>
      </c>
      <c r="D1504" s="10" t="s">
        <v>99</v>
      </c>
    </row>
    <row r="1505">
      <c r="A1505" s="10">
        <v>1504.0</v>
      </c>
      <c r="B1505" s="11" t="s">
        <v>1603</v>
      </c>
      <c r="C1505" s="10" t="s">
        <v>79</v>
      </c>
      <c r="D1505" s="10" t="s">
        <v>82</v>
      </c>
    </row>
    <row r="1506">
      <c r="A1506" s="10">
        <v>1505.0</v>
      </c>
      <c r="B1506" s="11" t="s">
        <v>1604</v>
      </c>
      <c r="C1506" s="10" t="s">
        <v>22</v>
      </c>
      <c r="D1506" s="10" t="s">
        <v>105</v>
      </c>
    </row>
    <row r="1507">
      <c r="A1507" s="10">
        <v>1506.0</v>
      </c>
      <c r="B1507" s="11" t="s">
        <v>1605</v>
      </c>
      <c r="C1507" s="10" t="s">
        <v>79</v>
      </c>
      <c r="D1507" s="10" t="s">
        <v>120</v>
      </c>
    </row>
    <row r="1508">
      <c r="A1508" s="10">
        <v>1507.0</v>
      </c>
      <c r="B1508" s="11" t="s">
        <v>1606</v>
      </c>
      <c r="C1508" s="10" t="s">
        <v>79</v>
      </c>
      <c r="D1508" s="10" t="s">
        <v>140</v>
      </c>
    </row>
    <row r="1509">
      <c r="A1509" s="10">
        <v>1508.0</v>
      </c>
      <c r="B1509" s="11" t="s">
        <v>1607</v>
      </c>
      <c r="C1509" s="10" t="s">
        <v>79</v>
      </c>
      <c r="D1509" s="10" t="s">
        <v>73</v>
      </c>
    </row>
    <row r="1510">
      <c r="A1510" s="10">
        <v>1509.0</v>
      </c>
      <c r="B1510" s="11" t="s">
        <v>1608</v>
      </c>
      <c r="C1510" s="10" t="s">
        <v>79</v>
      </c>
      <c r="D1510" s="10" t="s">
        <v>140</v>
      </c>
    </row>
    <row r="1511">
      <c r="A1511" s="10">
        <v>1510.0</v>
      </c>
      <c r="B1511" s="11" t="s">
        <v>1609</v>
      </c>
      <c r="C1511" s="10" t="s">
        <v>22</v>
      </c>
      <c r="D1511" s="10" t="s">
        <v>105</v>
      </c>
    </row>
    <row r="1512">
      <c r="A1512" s="10">
        <v>1511.0</v>
      </c>
      <c r="B1512" s="11" t="s">
        <v>1610</v>
      </c>
      <c r="C1512" s="10" t="s">
        <v>79</v>
      </c>
      <c r="D1512" s="10" t="s">
        <v>42</v>
      </c>
    </row>
    <row r="1513">
      <c r="A1513" s="10">
        <v>1512.0</v>
      </c>
      <c r="B1513" s="11" t="s">
        <v>1611</v>
      </c>
      <c r="C1513" s="10" t="s">
        <v>585</v>
      </c>
      <c r="D1513" s="10" t="s">
        <v>67</v>
      </c>
    </row>
    <row r="1514">
      <c r="A1514" s="10">
        <v>1513.0</v>
      </c>
      <c r="B1514" s="11" t="s">
        <v>1612</v>
      </c>
      <c r="C1514" s="10" t="s">
        <v>79</v>
      </c>
      <c r="D1514" s="10" t="s">
        <v>25</v>
      </c>
    </row>
    <row r="1515">
      <c r="A1515" s="10">
        <v>1514.0</v>
      </c>
      <c r="B1515" s="11" t="s">
        <v>1613</v>
      </c>
      <c r="C1515" s="10" t="s">
        <v>79</v>
      </c>
      <c r="D1515" s="10" t="s">
        <v>42</v>
      </c>
    </row>
    <row r="1516">
      <c r="A1516" s="10">
        <v>1515.0</v>
      </c>
      <c r="B1516" s="11" t="s">
        <v>1614</v>
      </c>
      <c r="C1516" s="10" t="s">
        <v>79</v>
      </c>
      <c r="D1516" s="10" t="s">
        <v>31</v>
      </c>
    </row>
    <row r="1517">
      <c r="A1517" s="10">
        <v>1516.0</v>
      </c>
      <c r="B1517" s="11" t="s">
        <v>1615</v>
      </c>
      <c r="C1517" s="10" t="s">
        <v>79</v>
      </c>
      <c r="D1517" s="10" t="s">
        <v>206</v>
      </c>
    </row>
    <row r="1518">
      <c r="A1518" s="10">
        <v>1517.0</v>
      </c>
      <c r="B1518" s="11" t="s">
        <v>1616</v>
      </c>
      <c r="C1518" s="10" t="s">
        <v>79</v>
      </c>
      <c r="D1518" s="10" t="s">
        <v>36</v>
      </c>
    </row>
    <row r="1519">
      <c r="A1519" s="10">
        <v>1518.0</v>
      </c>
      <c r="B1519" s="11" t="s">
        <v>1617</v>
      </c>
      <c r="C1519" s="10" t="s">
        <v>22</v>
      </c>
      <c r="D1519" s="10" t="s">
        <v>120</v>
      </c>
    </row>
    <row r="1520">
      <c r="A1520" s="10">
        <v>1519.0</v>
      </c>
      <c r="B1520" s="11" t="s">
        <v>1618</v>
      </c>
      <c r="C1520" s="10" t="s">
        <v>22</v>
      </c>
      <c r="D1520" s="10" t="s">
        <v>95</v>
      </c>
    </row>
    <row r="1521">
      <c r="A1521" s="10">
        <v>1520.0</v>
      </c>
      <c r="B1521" s="11" t="s">
        <v>1619</v>
      </c>
      <c r="C1521" s="10" t="s">
        <v>79</v>
      </c>
      <c r="D1521" s="10" t="s">
        <v>18</v>
      </c>
    </row>
    <row r="1522">
      <c r="A1522" s="10">
        <v>1521.0</v>
      </c>
      <c r="B1522" s="11" t="s">
        <v>1620</v>
      </c>
      <c r="C1522" s="10" t="s">
        <v>79</v>
      </c>
      <c r="D1522" s="10" t="s">
        <v>73</v>
      </c>
    </row>
    <row r="1523">
      <c r="A1523" s="10">
        <v>1522.0</v>
      </c>
      <c r="B1523" s="11" t="s">
        <v>1621</v>
      </c>
      <c r="C1523" s="10" t="s">
        <v>79</v>
      </c>
      <c r="D1523" s="10" t="s">
        <v>82</v>
      </c>
    </row>
    <row r="1524">
      <c r="A1524" s="10">
        <v>1523.0</v>
      </c>
      <c r="B1524" s="11" t="s">
        <v>1622</v>
      </c>
      <c r="C1524" s="10" t="s">
        <v>22</v>
      </c>
      <c r="D1524" s="10" t="s">
        <v>49</v>
      </c>
    </row>
    <row r="1525">
      <c r="A1525" s="10">
        <v>1524.0</v>
      </c>
      <c r="B1525" s="11" t="s">
        <v>1623</v>
      </c>
      <c r="C1525" s="10" t="s">
        <v>79</v>
      </c>
      <c r="D1525" s="10" t="s">
        <v>73</v>
      </c>
    </row>
    <row r="1526">
      <c r="A1526" s="10">
        <v>1525.0</v>
      </c>
      <c r="B1526" s="11" t="s">
        <v>1624</v>
      </c>
      <c r="C1526" s="10" t="s">
        <v>77</v>
      </c>
      <c r="D1526" s="10" t="s">
        <v>25</v>
      </c>
    </row>
    <row r="1527">
      <c r="A1527" s="10">
        <v>1526.0</v>
      </c>
      <c r="B1527" s="11" t="s">
        <v>1625</v>
      </c>
      <c r="C1527" s="10" t="s">
        <v>79</v>
      </c>
      <c r="D1527" s="10" t="s">
        <v>137</v>
      </c>
    </row>
    <row r="1528">
      <c r="A1528" s="10">
        <v>1527.0</v>
      </c>
      <c r="B1528" s="11" t="s">
        <v>1626</v>
      </c>
      <c r="C1528" s="10" t="s">
        <v>220</v>
      </c>
      <c r="D1528" s="10" t="s">
        <v>99</v>
      </c>
    </row>
    <row r="1529">
      <c r="A1529" s="10">
        <v>1528.0</v>
      </c>
      <c r="B1529" s="11" t="s">
        <v>1627</v>
      </c>
      <c r="C1529" s="10" t="s">
        <v>79</v>
      </c>
      <c r="D1529" s="10" t="s">
        <v>52</v>
      </c>
    </row>
    <row r="1530">
      <c r="A1530" s="10">
        <v>1529.0</v>
      </c>
      <c r="B1530" s="11" t="s">
        <v>1628</v>
      </c>
      <c r="C1530" s="10" t="s">
        <v>79</v>
      </c>
      <c r="D1530" s="10" t="s">
        <v>206</v>
      </c>
    </row>
    <row r="1531">
      <c r="A1531" s="10">
        <v>1530.0</v>
      </c>
      <c r="B1531" s="11" t="s">
        <v>1629</v>
      </c>
      <c r="C1531" s="10" t="s">
        <v>220</v>
      </c>
      <c r="D1531" s="10" t="s">
        <v>18</v>
      </c>
    </row>
    <row r="1532">
      <c r="A1532" s="10">
        <v>1531.0</v>
      </c>
      <c r="B1532" s="11" t="s">
        <v>1630</v>
      </c>
      <c r="C1532" s="10" t="s">
        <v>63</v>
      </c>
      <c r="D1532" s="10" t="s">
        <v>113</v>
      </c>
    </row>
    <row r="1533">
      <c r="A1533" s="10">
        <v>1532.0</v>
      </c>
      <c r="B1533" s="11" t="s">
        <v>1631</v>
      </c>
      <c r="C1533" s="10" t="s">
        <v>79</v>
      </c>
      <c r="D1533" s="10" t="s">
        <v>140</v>
      </c>
    </row>
    <row r="1534">
      <c r="A1534" s="10">
        <v>1533.0</v>
      </c>
      <c r="B1534" s="11" t="s">
        <v>1632</v>
      </c>
      <c r="C1534" s="10" t="s">
        <v>79</v>
      </c>
      <c r="D1534" s="10" t="s">
        <v>206</v>
      </c>
    </row>
    <row r="1535">
      <c r="A1535" s="10">
        <v>1534.0</v>
      </c>
      <c r="B1535" s="11" t="s">
        <v>1633</v>
      </c>
      <c r="C1535" s="10" t="s">
        <v>79</v>
      </c>
      <c r="D1535" s="10" t="s">
        <v>67</v>
      </c>
    </row>
    <row r="1536">
      <c r="A1536" s="10">
        <v>1535.0</v>
      </c>
      <c r="B1536" s="11" t="s">
        <v>1634</v>
      </c>
      <c r="C1536" s="10" t="s">
        <v>77</v>
      </c>
      <c r="D1536" s="10" t="s">
        <v>85</v>
      </c>
    </row>
    <row r="1537">
      <c r="A1537" s="10">
        <v>1536.0</v>
      </c>
      <c r="B1537" s="11" t="s">
        <v>1635</v>
      </c>
      <c r="C1537" s="10" t="s">
        <v>22</v>
      </c>
      <c r="D1537" s="10" t="s">
        <v>137</v>
      </c>
    </row>
    <row r="1538">
      <c r="A1538" s="10">
        <v>1537.0</v>
      </c>
      <c r="B1538" s="11" t="s">
        <v>1636</v>
      </c>
      <c r="C1538" s="10" t="s">
        <v>220</v>
      </c>
      <c r="D1538" s="10" t="s">
        <v>140</v>
      </c>
    </row>
    <row r="1539">
      <c r="A1539" s="10">
        <v>1538.0</v>
      </c>
      <c r="B1539" s="11" t="s">
        <v>1637</v>
      </c>
      <c r="C1539" s="10" t="s">
        <v>79</v>
      </c>
      <c r="D1539" s="10" t="s">
        <v>31</v>
      </c>
    </row>
    <row r="1540">
      <c r="A1540" s="10">
        <v>1539.0</v>
      </c>
      <c r="B1540" s="11" t="s">
        <v>1638</v>
      </c>
      <c r="C1540" s="10" t="s">
        <v>79</v>
      </c>
      <c r="D1540" s="10" t="s">
        <v>82</v>
      </c>
    </row>
    <row r="1541">
      <c r="A1541" s="10">
        <v>1540.0</v>
      </c>
      <c r="B1541" s="11" t="s">
        <v>1639</v>
      </c>
      <c r="C1541" s="10" t="s">
        <v>22</v>
      </c>
      <c r="D1541" s="10" t="s">
        <v>85</v>
      </c>
    </row>
    <row r="1542">
      <c r="A1542" s="10">
        <v>1541.0</v>
      </c>
      <c r="B1542" s="11" t="s">
        <v>1640</v>
      </c>
      <c r="C1542" s="10" t="s">
        <v>79</v>
      </c>
      <c r="D1542" s="10" t="s">
        <v>71</v>
      </c>
    </row>
    <row r="1543">
      <c r="A1543" s="10">
        <v>1542.0</v>
      </c>
      <c r="B1543" s="11" t="s">
        <v>1641</v>
      </c>
      <c r="C1543" s="10" t="s">
        <v>79</v>
      </c>
      <c r="D1543" s="10" t="s">
        <v>25</v>
      </c>
    </row>
    <row r="1544">
      <c r="A1544" s="10">
        <v>1543.0</v>
      </c>
      <c r="B1544" s="11" t="s">
        <v>1642</v>
      </c>
      <c r="C1544" s="10" t="s">
        <v>79</v>
      </c>
      <c r="D1544" s="10" t="s">
        <v>34</v>
      </c>
    </row>
    <row r="1545">
      <c r="A1545" s="10">
        <v>1544.0</v>
      </c>
      <c r="B1545" s="11" t="s">
        <v>1643</v>
      </c>
      <c r="C1545" s="10" t="s">
        <v>79</v>
      </c>
      <c r="D1545" s="10" t="s">
        <v>9</v>
      </c>
    </row>
    <row r="1546">
      <c r="A1546" s="10">
        <v>1545.0</v>
      </c>
      <c r="B1546" s="11" t="s">
        <v>1644</v>
      </c>
      <c r="C1546" s="10" t="s">
        <v>22</v>
      </c>
      <c r="D1546" s="10" t="s">
        <v>82</v>
      </c>
    </row>
    <row r="1547">
      <c r="A1547" s="10">
        <v>1546.0</v>
      </c>
      <c r="B1547" s="11" t="s">
        <v>1645</v>
      </c>
      <c r="C1547" s="10" t="s">
        <v>22</v>
      </c>
      <c r="D1547" s="10" t="s">
        <v>34</v>
      </c>
    </row>
    <row r="1548">
      <c r="A1548" s="10">
        <v>1547.0</v>
      </c>
      <c r="B1548" s="11" t="s">
        <v>1646</v>
      </c>
      <c r="C1548" s="10" t="s">
        <v>79</v>
      </c>
      <c r="D1548" s="10" t="s">
        <v>137</v>
      </c>
    </row>
    <row r="1549">
      <c r="A1549" s="10">
        <v>1548.0</v>
      </c>
      <c r="B1549" s="11" t="s">
        <v>1647</v>
      </c>
      <c r="C1549" s="10" t="s">
        <v>79</v>
      </c>
      <c r="D1549" s="10" t="s">
        <v>34</v>
      </c>
    </row>
    <row r="1550">
      <c r="A1550" s="10">
        <v>1549.0</v>
      </c>
      <c r="B1550" s="11" t="s">
        <v>1648</v>
      </c>
      <c r="C1550" s="10" t="s">
        <v>79</v>
      </c>
      <c r="D1550" s="10" t="s">
        <v>73</v>
      </c>
    </row>
    <row r="1551">
      <c r="A1551" s="10">
        <v>1550.0</v>
      </c>
      <c r="B1551" s="11" t="s">
        <v>1649</v>
      </c>
      <c r="C1551" s="10" t="s">
        <v>79</v>
      </c>
      <c r="D1551" s="10" t="s">
        <v>36</v>
      </c>
    </row>
    <row r="1552">
      <c r="A1552" s="10">
        <v>1551.0</v>
      </c>
      <c r="B1552" s="11" t="s">
        <v>1650</v>
      </c>
      <c r="C1552" s="10" t="s">
        <v>79</v>
      </c>
      <c r="D1552" s="10" t="s">
        <v>31</v>
      </c>
    </row>
    <row r="1553">
      <c r="A1553" s="10">
        <v>1552.0</v>
      </c>
      <c r="B1553" s="11" t="s">
        <v>1651</v>
      </c>
      <c r="C1553" s="10" t="s">
        <v>22</v>
      </c>
      <c r="D1553" s="10" t="s">
        <v>99</v>
      </c>
    </row>
    <row r="1554">
      <c r="A1554" s="10">
        <v>1553.0</v>
      </c>
      <c r="B1554" s="11" t="s">
        <v>1652</v>
      </c>
      <c r="C1554" s="10" t="s">
        <v>79</v>
      </c>
      <c r="D1554" s="10" t="s">
        <v>52</v>
      </c>
    </row>
    <row r="1555">
      <c r="A1555" s="10">
        <v>1554.0</v>
      </c>
      <c r="B1555" s="11" t="s">
        <v>1653</v>
      </c>
      <c r="C1555" s="10" t="s">
        <v>79</v>
      </c>
      <c r="D1555" s="10" t="s">
        <v>137</v>
      </c>
    </row>
    <row r="1556">
      <c r="A1556" s="10">
        <v>1555.0</v>
      </c>
      <c r="B1556" s="11" t="s">
        <v>1654</v>
      </c>
      <c r="C1556" s="10" t="s">
        <v>17</v>
      </c>
      <c r="D1556" s="10" t="s">
        <v>15</v>
      </c>
    </row>
    <row r="1557">
      <c r="A1557" s="10">
        <v>1556.0</v>
      </c>
      <c r="B1557" s="11" t="s">
        <v>1655</v>
      </c>
      <c r="C1557" s="10" t="s">
        <v>136</v>
      </c>
      <c r="D1557" s="10" t="s">
        <v>23</v>
      </c>
    </row>
    <row r="1558">
      <c r="A1558" s="10">
        <v>1557.0</v>
      </c>
      <c r="B1558" s="11" t="s">
        <v>1656</v>
      </c>
      <c r="C1558" s="10" t="s">
        <v>79</v>
      </c>
      <c r="D1558" s="10" t="s">
        <v>9</v>
      </c>
    </row>
    <row r="1559">
      <c r="A1559" s="10">
        <v>1558.0</v>
      </c>
      <c r="B1559" s="11" t="s">
        <v>1657</v>
      </c>
      <c r="C1559" s="10" t="s">
        <v>79</v>
      </c>
      <c r="D1559" s="10" t="s">
        <v>18</v>
      </c>
    </row>
    <row r="1560">
      <c r="A1560" s="10">
        <v>1559.0</v>
      </c>
      <c r="B1560" s="11" t="s">
        <v>1658</v>
      </c>
      <c r="C1560" s="10" t="s">
        <v>148</v>
      </c>
      <c r="D1560" s="10" t="s">
        <v>95</v>
      </c>
    </row>
    <row r="1561">
      <c r="A1561" s="10">
        <v>1560.0</v>
      </c>
      <c r="B1561" s="11" t="s">
        <v>1659</v>
      </c>
      <c r="C1561" s="10" t="s">
        <v>79</v>
      </c>
      <c r="D1561" s="10" t="s">
        <v>85</v>
      </c>
    </row>
    <row r="1562">
      <c r="A1562" s="10">
        <v>1561.0</v>
      </c>
      <c r="B1562" s="11" t="s">
        <v>1660</v>
      </c>
      <c r="C1562" s="10" t="s">
        <v>22</v>
      </c>
      <c r="D1562" s="10" t="s">
        <v>36</v>
      </c>
    </row>
    <row r="1563">
      <c r="A1563" s="10">
        <v>1562.0</v>
      </c>
      <c r="B1563" s="11" t="s">
        <v>1661</v>
      </c>
      <c r="C1563" s="10" t="s">
        <v>79</v>
      </c>
      <c r="D1563" s="10" t="s">
        <v>18</v>
      </c>
    </row>
    <row r="1564">
      <c r="A1564" s="10">
        <v>1563.0</v>
      </c>
      <c r="B1564" s="11" t="s">
        <v>1662</v>
      </c>
      <c r="C1564" s="10" t="s">
        <v>22</v>
      </c>
      <c r="D1564" s="10" t="s">
        <v>99</v>
      </c>
    </row>
    <row r="1565">
      <c r="A1565" s="10">
        <v>1564.0</v>
      </c>
      <c r="B1565" s="11" t="s">
        <v>1663</v>
      </c>
      <c r="C1565" s="10" t="s">
        <v>79</v>
      </c>
      <c r="D1565" s="10" t="s">
        <v>67</v>
      </c>
    </row>
    <row r="1566">
      <c r="A1566" s="10">
        <v>1565.0</v>
      </c>
      <c r="B1566" s="11" t="s">
        <v>421</v>
      </c>
      <c r="C1566" s="10" t="s">
        <v>22</v>
      </c>
      <c r="D1566" s="10" t="s">
        <v>85</v>
      </c>
    </row>
    <row r="1567">
      <c r="A1567" s="10">
        <v>1566.0</v>
      </c>
      <c r="B1567" s="11" t="s">
        <v>1664</v>
      </c>
      <c r="C1567" s="10" t="s">
        <v>22</v>
      </c>
      <c r="D1567" s="10" t="s">
        <v>95</v>
      </c>
    </row>
    <row r="1568">
      <c r="A1568" s="10">
        <v>1567.0</v>
      </c>
      <c r="B1568" s="11" t="s">
        <v>1665</v>
      </c>
      <c r="C1568" s="10" t="s">
        <v>79</v>
      </c>
      <c r="D1568" s="10" t="s">
        <v>85</v>
      </c>
    </row>
    <row r="1569">
      <c r="A1569" s="10">
        <v>1568.0</v>
      </c>
      <c r="B1569" s="11" t="s">
        <v>1666</v>
      </c>
      <c r="C1569" s="10" t="s">
        <v>79</v>
      </c>
      <c r="D1569" s="10" t="s">
        <v>206</v>
      </c>
    </row>
    <row r="1570">
      <c r="A1570" s="10">
        <v>1569.0</v>
      </c>
      <c r="B1570" s="11" t="s">
        <v>1667</v>
      </c>
      <c r="C1570" s="10" t="s">
        <v>283</v>
      </c>
      <c r="D1570" s="10" t="s">
        <v>67</v>
      </c>
    </row>
    <row r="1571">
      <c r="A1571" s="10">
        <v>1570.0</v>
      </c>
      <c r="B1571" s="11" t="s">
        <v>1668</v>
      </c>
      <c r="C1571" s="10" t="s">
        <v>22</v>
      </c>
      <c r="D1571" s="10" t="s">
        <v>105</v>
      </c>
    </row>
    <row r="1572">
      <c r="A1572" s="10">
        <v>1571.0</v>
      </c>
      <c r="B1572" s="11" t="s">
        <v>1669</v>
      </c>
      <c r="C1572" s="10" t="s">
        <v>220</v>
      </c>
      <c r="D1572" s="10" t="s">
        <v>67</v>
      </c>
    </row>
    <row r="1573">
      <c r="A1573" s="10">
        <v>1572.0</v>
      </c>
      <c r="B1573" s="11" t="s">
        <v>1670</v>
      </c>
      <c r="C1573" s="10" t="s">
        <v>22</v>
      </c>
      <c r="D1573" s="10" t="s">
        <v>137</v>
      </c>
    </row>
    <row r="1574">
      <c r="A1574" s="10">
        <v>1573.0</v>
      </c>
      <c r="B1574" s="11" t="s">
        <v>1671</v>
      </c>
      <c r="C1574" s="10" t="s">
        <v>22</v>
      </c>
      <c r="D1574" s="10" t="s">
        <v>73</v>
      </c>
    </row>
    <row r="1575">
      <c r="A1575" s="10">
        <v>1574.0</v>
      </c>
      <c r="B1575" s="11" t="s">
        <v>1672</v>
      </c>
      <c r="C1575" s="10" t="s">
        <v>87</v>
      </c>
      <c r="D1575" s="10" t="s">
        <v>129</v>
      </c>
    </row>
    <row r="1576">
      <c r="A1576" s="10">
        <v>1575.0</v>
      </c>
      <c r="B1576" s="11" t="s">
        <v>1673</v>
      </c>
      <c r="C1576" s="10" t="s">
        <v>79</v>
      </c>
      <c r="D1576" s="10" t="s">
        <v>206</v>
      </c>
    </row>
    <row r="1577">
      <c r="A1577" s="10">
        <v>1576.0</v>
      </c>
      <c r="B1577" s="11" t="s">
        <v>1674</v>
      </c>
      <c r="C1577" s="10" t="s">
        <v>79</v>
      </c>
      <c r="D1577" s="10" t="s">
        <v>23</v>
      </c>
    </row>
    <row r="1578">
      <c r="A1578" s="10">
        <v>1577.0</v>
      </c>
      <c r="B1578" s="11" t="s">
        <v>1675</v>
      </c>
      <c r="C1578" s="10" t="s">
        <v>79</v>
      </c>
      <c r="D1578" s="10" t="s">
        <v>73</v>
      </c>
    </row>
    <row r="1579">
      <c r="A1579" s="10">
        <v>1578.0</v>
      </c>
      <c r="B1579" s="11" t="s">
        <v>483</v>
      </c>
      <c r="C1579" s="10" t="s">
        <v>218</v>
      </c>
      <c r="D1579" s="10" t="s">
        <v>105</v>
      </c>
    </row>
    <row r="1580">
      <c r="A1580" s="10">
        <v>1579.0</v>
      </c>
      <c r="B1580" s="11" t="s">
        <v>1676</v>
      </c>
      <c r="C1580" s="10" t="s">
        <v>22</v>
      </c>
      <c r="D1580" s="10" t="s">
        <v>99</v>
      </c>
    </row>
    <row r="1581">
      <c r="A1581" s="10">
        <v>1580.0</v>
      </c>
      <c r="B1581" s="11" t="s">
        <v>1677</v>
      </c>
      <c r="C1581" s="10" t="s">
        <v>262</v>
      </c>
      <c r="D1581" s="10" t="s">
        <v>9</v>
      </c>
    </row>
    <row r="1582">
      <c r="A1582" s="10">
        <v>1581.0</v>
      </c>
      <c r="B1582" s="11" t="s">
        <v>1678</v>
      </c>
      <c r="C1582" s="10" t="s">
        <v>22</v>
      </c>
      <c r="D1582" s="10" t="s">
        <v>18</v>
      </c>
    </row>
    <row r="1583">
      <c r="A1583" s="10">
        <v>1582.0</v>
      </c>
      <c r="B1583" s="11" t="s">
        <v>1679</v>
      </c>
      <c r="C1583" s="10" t="s">
        <v>22</v>
      </c>
      <c r="D1583" s="10" t="s">
        <v>49</v>
      </c>
    </row>
    <row r="1584">
      <c r="A1584" s="10">
        <v>1583.0</v>
      </c>
      <c r="B1584" s="11" t="s">
        <v>1680</v>
      </c>
      <c r="C1584" s="10" t="s">
        <v>220</v>
      </c>
      <c r="D1584" s="10" t="s">
        <v>122</v>
      </c>
    </row>
    <row r="1585">
      <c r="A1585" s="10">
        <v>1584.0</v>
      </c>
      <c r="B1585" s="11" t="s">
        <v>1681</v>
      </c>
      <c r="C1585" s="10" t="s">
        <v>22</v>
      </c>
      <c r="D1585" s="10" t="s">
        <v>34</v>
      </c>
    </row>
    <row r="1586">
      <c r="A1586" s="10">
        <v>1585.0</v>
      </c>
      <c r="B1586" s="11" t="s">
        <v>1682</v>
      </c>
      <c r="C1586" s="10" t="s">
        <v>22</v>
      </c>
      <c r="D1586" s="10" t="s">
        <v>105</v>
      </c>
    </row>
    <row r="1587">
      <c r="A1587" s="10">
        <v>1586.0</v>
      </c>
      <c r="B1587" s="11" t="s">
        <v>1683</v>
      </c>
      <c r="C1587" s="10" t="s">
        <v>79</v>
      </c>
      <c r="D1587" s="10" t="s">
        <v>140</v>
      </c>
    </row>
    <row r="1588">
      <c r="A1588" s="10">
        <v>1587.0</v>
      </c>
      <c r="B1588" s="11" t="s">
        <v>1684</v>
      </c>
      <c r="C1588" s="10" t="s">
        <v>22</v>
      </c>
      <c r="D1588" s="10" t="s">
        <v>137</v>
      </c>
    </row>
    <row r="1589">
      <c r="A1589" s="10">
        <v>1588.0</v>
      </c>
      <c r="B1589" s="11" t="s">
        <v>1685</v>
      </c>
      <c r="C1589" s="10" t="s">
        <v>22</v>
      </c>
      <c r="D1589" s="10" t="s">
        <v>120</v>
      </c>
    </row>
    <row r="1590">
      <c r="A1590" s="10">
        <v>1589.0</v>
      </c>
      <c r="B1590" s="11" t="s">
        <v>1686</v>
      </c>
      <c r="C1590" s="10" t="s">
        <v>22</v>
      </c>
      <c r="D1590" s="10" t="s">
        <v>34</v>
      </c>
    </row>
    <row r="1591">
      <c r="A1591" s="10">
        <v>1590.0</v>
      </c>
      <c r="B1591" s="11" t="s">
        <v>1687</v>
      </c>
      <c r="C1591" s="10" t="s">
        <v>79</v>
      </c>
      <c r="D1591" s="10" t="s">
        <v>9</v>
      </c>
    </row>
    <row r="1592">
      <c r="A1592" s="10">
        <v>1591.0</v>
      </c>
      <c r="B1592" s="11" t="s">
        <v>1688</v>
      </c>
      <c r="C1592" s="10" t="s">
        <v>220</v>
      </c>
      <c r="D1592" s="10" t="s">
        <v>99</v>
      </c>
    </row>
    <row r="1593">
      <c r="A1593" s="10">
        <v>1592.0</v>
      </c>
      <c r="B1593" s="11" t="s">
        <v>1689</v>
      </c>
      <c r="C1593" s="10" t="s">
        <v>1690</v>
      </c>
      <c r="D1593" s="10" t="s">
        <v>25</v>
      </c>
    </row>
    <row r="1594">
      <c r="A1594" s="10">
        <v>1593.0</v>
      </c>
      <c r="B1594" s="11" t="s">
        <v>1691</v>
      </c>
      <c r="C1594" s="10" t="s">
        <v>11</v>
      </c>
      <c r="D1594" s="10" t="s">
        <v>18</v>
      </c>
    </row>
    <row r="1595">
      <c r="A1595" s="10">
        <v>1594.0</v>
      </c>
      <c r="B1595" s="11" t="s">
        <v>1692</v>
      </c>
      <c r="C1595" s="10" t="s">
        <v>79</v>
      </c>
      <c r="D1595" s="10" t="s">
        <v>12</v>
      </c>
    </row>
    <row r="1596">
      <c r="A1596" s="10">
        <v>1595.0</v>
      </c>
      <c r="B1596" s="11" t="s">
        <v>463</v>
      </c>
      <c r="C1596" s="10" t="s">
        <v>148</v>
      </c>
      <c r="D1596" s="10" t="s">
        <v>36</v>
      </c>
    </row>
    <row r="1597">
      <c r="A1597" s="10">
        <v>1596.0</v>
      </c>
      <c r="B1597" s="11" t="s">
        <v>1693</v>
      </c>
      <c r="C1597" s="10" t="s">
        <v>79</v>
      </c>
      <c r="D1597" s="10" t="s">
        <v>129</v>
      </c>
    </row>
    <row r="1598">
      <c r="A1598" s="10">
        <v>1597.0</v>
      </c>
      <c r="B1598" s="11" t="s">
        <v>1694</v>
      </c>
      <c r="C1598" s="10" t="s">
        <v>79</v>
      </c>
      <c r="D1598" s="10" t="s">
        <v>206</v>
      </c>
    </row>
    <row r="1599">
      <c r="A1599" s="10">
        <v>1598.0</v>
      </c>
      <c r="B1599" s="11" t="s">
        <v>1695</v>
      </c>
      <c r="C1599" s="10" t="s">
        <v>79</v>
      </c>
      <c r="D1599" s="10" t="s">
        <v>129</v>
      </c>
    </row>
    <row r="1600">
      <c r="A1600" s="10">
        <v>1599.0</v>
      </c>
      <c r="B1600" s="11" t="s">
        <v>1696</v>
      </c>
      <c r="C1600" s="10" t="s">
        <v>79</v>
      </c>
      <c r="D1600" s="10" t="s">
        <v>18</v>
      </c>
    </row>
    <row r="1601">
      <c r="A1601" s="10">
        <v>1600.0</v>
      </c>
      <c r="B1601" s="11" t="s">
        <v>1697</v>
      </c>
      <c r="C1601" s="10" t="s">
        <v>79</v>
      </c>
      <c r="D1601" s="10" t="s">
        <v>25</v>
      </c>
    </row>
    <row r="1602">
      <c r="A1602" s="10">
        <v>1601.0</v>
      </c>
      <c r="B1602" s="11" t="s">
        <v>1698</v>
      </c>
      <c r="C1602" s="10" t="s">
        <v>79</v>
      </c>
      <c r="D1602" s="10" t="s">
        <v>12</v>
      </c>
    </row>
    <row r="1603">
      <c r="A1603" s="10">
        <v>1602.0</v>
      </c>
      <c r="B1603" s="11" t="s">
        <v>1699</v>
      </c>
      <c r="C1603" s="10" t="s">
        <v>20</v>
      </c>
      <c r="D1603" s="10" t="s">
        <v>90</v>
      </c>
    </row>
    <row r="1604">
      <c r="A1604" s="10">
        <v>1603.0</v>
      </c>
      <c r="B1604" s="11" t="s">
        <v>1700</v>
      </c>
      <c r="C1604" s="10" t="s">
        <v>283</v>
      </c>
      <c r="D1604" s="10" t="s">
        <v>73</v>
      </c>
    </row>
    <row r="1605">
      <c r="A1605" s="10">
        <v>1604.0</v>
      </c>
      <c r="B1605" s="11" t="s">
        <v>1701</v>
      </c>
      <c r="C1605" s="10" t="s">
        <v>79</v>
      </c>
      <c r="D1605" s="10" t="s">
        <v>31</v>
      </c>
    </row>
    <row r="1606">
      <c r="A1606" s="10">
        <v>1605.0</v>
      </c>
      <c r="B1606" s="11" t="s">
        <v>1702</v>
      </c>
      <c r="C1606" s="10" t="s">
        <v>220</v>
      </c>
      <c r="D1606" s="10" t="s">
        <v>15</v>
      </c>
    </row>
    <row r="1607">
      <c r="A1607" s="10">
        <v>1606.0</v>
      </c>
      <c r="B1607" s="11" t="s">
        <v>1703</v>
      </c>
      <c r="C1607" s="10" t="s">
        <v>240</v>
      </c>
      <c r="D1607" s="10" t="s">
        <v>122</v>
      </c>
    </row>
    <row r="1608">
      <c r="A1608" s="10">
        <v>1607.0</v>
      </c>
      <c r="B1608" s="11" t="s">
        <v>1704</v>
      </c>
      <c r="C1608" s="10" t="s">
        <v>79</v>
      </c>
      <c r="D1608" s="10" t="s">
        <v>85</v>
      </c>
    </row>
    <row r="1609">
      <c r="A1609" s="10">
        <v>1608.0</v>
      </c>
      <c r="B1609" s="11" t="s">
        <v>1705</v>
      </c>
      <c r="C1609" s="10" t="s">
        <v>20</v>
      </c>
      <c r="D1609" s="10" t="s">
        <v>120</v>
      </c>
    </row>
    <row r="1610">
      <c r="A1610" s="10">
        <v>1609.0</v>
      </c>
      <c r="B1610" s="11" t="s">
        <v>1706</v>
      </c>
      <c r="C1610" s="10" t="s">
        <v>22</v>
      </c>
      <c r="D1610" s="10" t="s">
        <v>73</v>
      </c>
    </row>
    <row r="1611">
      <c r="A1611" s="10">
        <v>1610.0</v>
      </c>
      <c r="B1611" s="11" t="s">
        <v>1707</v>
      </c>
      <c r="C1611" s="10" t="s">
        <v>22</v>
      </c>
      <c r="D1611" s="10" t="s">
        <v>42</v>
      </c>
    </row>
    <row r="1612">
      <c r="A1612" s="10">
        <v>1611.0</v>
      </c>
      <c r="B1612" s="11" t="s">
        <v>1708</v>
      </c>
      <c r="C1612" s="10" t="s">
        <v>79</v>
      </c>
      <c r="D1612" s="10" t="s">
        <v>67</v>
      </c>
    </row>
    <row r="1613">
      <c r="A1613" s="10">
        <v>1612.0</v>
      </c>
      <c r="B1613" s="11" t="s">
        <v>1709</v>
      </c>
      <c r="C1613" s="10" t="s">
        <v>1710</v>
      </c>
      <c r="D1613" s="10" t="s">
        <v>34</v>
      </c>
    </row>
    <row r="1614">
      <c r="A1614" s="10">
        <v>1613.0</v>
      </c>
      <c r="B1614" s="11" t="s">
        <v>1711</v>
      </c>
      <c r="C1614" s="10" t="s">
        <v>1712</v>
      </c>
      <c r="D1614" s="10" t="s">
        <v>113</v>
      </c>
    </row>
    <row r="1615">
      <c r="A1615" s="10">
        <v>1614.0</v>
      </c>
      <c r="B1615" s="11" t="s">
        <v>1713</v>
      </c>
      <c r="C1615" s="10" t="s">
        <v>11</v>
      </c>
      <c r="D1615" s="10" t="s">
        <v>15</v>
      </c>
    </row>
    <row r="1616">
      <c r="A1616" s="10">
        <v>1615.0</v>
      </c>
      <c r="B1616" s="11" t="s">
        <v>1714</v>
      </c>
      <c r="C1616" s="10" t="s">
        <v>79</v>
      </c>
      <c r="D1616" s="10" t="s">
        <v>49</v>
      </c>
    </row>
    <row r="1617">
      <c r="A1617" s="10">
        <v>1616.0</v>
      </c>
      <c r="B1617" s="11" t="s">
        <v>1715</v>
      </c>
      <c r="C1617" s="10" t="s">
        <v>79</v>
      </c>
      <c r="D1617" s="10" t="s">
        <v>73</v>
      </c>
    </row>
    <row r="1618">
      <c r="A1618" s="10">
        <v>1617.0</v>
      </c>
      <c r="B1618" s="11" t="s">
        <v>1716</v>
      </c>
      <c r="C1618" s="10" t="s">
        <v>220</v>
      </c>
      <c r="D1618" s="10" t="s">
        <v>15</v>
      </c>
    </row>
    <row r="1619">
      <c r="A1619" s="10">
        <v>1618.0</v>
      </c>
      <c r="B1619" s="11" t="s">
        <v>1717</v>
      </c>
      <c r="C1619" s="10" t="s">
        <v>69</v>
      </c>
      <c r="D1619" s="10" t="s">
        <v>18</v>
      </c>
    </row>
    <row r="1620">
      <c r="A1620" s="10">
        <v>1619.0</v>
      </c>
      <c r="B1620" s="11" t="s">
        <v>1718</v>
      </c>
      <c r="C1620" s="10" t="s">
        <v>79</v>
      </c>
      <c r="D1620" s="10" t="s">
        <v>67</v>
      </c>
    </row>
    <row r="1621">
      <c r="A1621" s="10">
        <v>1620.0</v>
      </c>
      <c r="B1621" s="11" t="s">
        <v>1719</v>
      </c>
      <c r="C1621" s="10" t="s">
        <v>79</v>
      </c>
      <c r="D1621" s="10" t="s">
        <v>42</v>
      </c>
    </row>
    <row r="1622">
      <c r="A1622" s="10">
        <v>1621.0</v>
      </c>
      <c r="B1622" s="11" t="s">
        <v>1720</v>
      </c>
      <c r="C1622" s="10" t="s">
        <v>79</v>
      </c>
      <c r="D1622" s="10" t="s">
        <v>34</v>
      </c>
    </row>
    <row r="1623">
      <c r="A1623" s="10">
        <v>1622.0</v>
      </c>
      <c r="B1623" s="11" t="s">
        <v>1721</v>
      </c>
      <c r="C1623" s="10" t="s">
        <v>22</v>
      </c>
      <c r="D1623" s="10" t="s">
        <v>71</v>
      </c>
    </row>
    <row r="1624">
      <c r="A1624" s="10">
        <v>1623.0</v>
      </c>
      <c r="B1624" s="11" t="s">
        <v>1722</v>
      </c>
      <c r="C1624" s="10" t="s">
        <v>79</v>
      </c>
      <c r="D1624" s="10" t="s">
        <v>49</v>
      </c>
    </row>
    <row r="1625">
      <c r="A1625" s="10">
        <v>1624.0</v>
      </c>
      <c r="B1625" s="11" t="s">
        <v>1723</v>
      </c>
      <c r="C1625" s="10" t="s">
        <v>79</v>
      </c>
      <c r="D1625" s="10" t="s">
        <v>90</v>
      </c>
    </row>
    <row r="1626">
      <c r="A1626" s="10">
        <v>1625.0</v>
      </c>
      <c r="B1626" s="11" t="s">
        <v>1724</v>
      </c>
      <c r="C1626" s="10" t="s">
        <v>79</v>
      </c>
      <c r="D1626" s="10" t="s">
        <v>95</v>
      </c>
    </row>
    <row r="1627">
      <c r="A1627" s="10">
        <v>1626.0</v>
      </c>
      <c r="B1627" s="11" t="s">
        <v>1725</v>
      </c>
      <c r="C1627" s="10" t="s">
        <v>79</v>
      </c>
      <c r="D1627" s="10" t="s">
        <v>105</v>
      </c>
    </row>
    <row r="1628">
      <c r="A1628" s="10">
        <v>1627.0</v>
      </c>
      <c r="B1628" s="11" t="s">
        <v>1726</v>
      </c>
      <c r="C1628" s="10" t="s">
        <v>79</v>
      </c>
      <c r="D1628" s="10" t="s">
        <v>137</v>
      </c>
    </row>
    <row r="1629">
      <c r="A1629" s="10">
        <v>1628.0</v>
      </c>
      <c r="B1629" s="11" t="s">
        <v>1727</v>
      </c>
      <c r="C1629" s="10" t="s">
        <v>79</v>
      </c>
      <c r="D1629" s="10" t="s">
        <v>42</v>
      </c>
    </row>
    <row r="1630">
      <c r="A1630" s="10">
        <v>1629.0</v>
      </c>
      <c r="B1630" s="11" t="s">
        <v>1728</v>
      </c>
      <c r="C1630" s="10" t="s">
        <v>22</v>
      </c>
      <c r="D1630" s="10" t="s">
        <v>85</v>
      </c>
    </row>
    <row r="1631">
      <c r="A1631" s="10">
        <v>1630.0</v>
      </c>
      <c r="B1631" s="11" t="s">
        <v>1729</v>
      </c>
      <c r="C1631" s="10" t="s">
        <v>79</v>
      </c>
      <c r="D1631" s="10" t="s">
        <v>113</v>
      </c>
    </row>
    <row r="1632">
      <c r="A1632" s="10">
        <v>1631.0</v>
      </c>
      <c r="B1632" s="11" t="s">
        <v>1730</v>
      </c>
      <c r="C1632" s="10" t="s">
        <v>22</v>
      </c>
      <c r="D1632" s="10" t="s">
        <v>113</v>
      </c>
    </row>
    <row r="1633">
      <c r="A1633" s="10">
        <v>1632.0</v>
      </c>
      <c r="B1633" s="11" t="s">
        <v>1731</v>
      </c>
      <c r="C1633" s="10" t="s">
        <v>79</v>
      </c>
      <c r="D1633" s="10" t="s">
        <v>82</v>
      </c>
    </row>
    <row r="1634">
      <c r="A1634" s="10">
        <v>1633.0</v>
      </c>
      <c r="B1634" s="11" t="s">
        <v>467</v>
      </c>
      <c r="C1634" s="10" t="s">
        <v>22</v>
      </c>
      <c r="D1634" s="10" t="s">
        <v>137</v>
      </c>
    </row>
    <row r="1635">
      <c r="A1635" s="10">
        <v>1634.0</v>
      </c>
      <c r="B1635" s="11" t="s">
        <v>1732</v>
      </c>
      <c r="C1635" s="10" t="s">
        <v>79</v>
      </c>
      <c r="D1635" s="10" t="s">
        <v>129</v>
      </c>
    </row>
    <row r="1636">
      <c r="A1636" s="10">
        <v>1635.0</v>
      </c>
      <c r="B1636" s="11" t="s">
        <v>1733</v>
      </c>
      <c r="C1636" s="10" t="s">
        <v>22</v>
      </c>
      <c r="D1636" s="10" t="s">
        <v>34</v>
      </c>
    </row>
    <row r="1637">
      <c r="A1637" s="10">
        <v>1636.0</v>
      </c>
      <c r="B1637" s="11" t="s">
        <v>1627</v>
      </c>
      <c r="C1637" s="10" t="s">
        <v>79</v>
      </c>
      <c r="D1637" s="10" t="s">
        <v>18</v>
      </c>
    </row>
    <row r="1638">
      <c r="A1638" s="10">
        <v>1637.0</v>
      </c>
      <c r="B1638" s="11" t="s">
        <v>1734</v>
      </c>
      <c r="C1638" s="10" t="s">
        <v>220</v>
      </c>
      <c r="D1638" s="10" t="s">
        <v>52</v>
      </c>
    </row>
    <row r="1639">
      <c r="A1639" s="10">
        <v>1638.0</v>
      </c>
      <c r="B1639" s="11" t="s">
        <v>1735</v>
      </c>
      <c r="C1639" s="10" t="s">
        <v>240</v>
      </c>
      <c r="D1639" s="10" t="s">
        <v>73</v>
      </c>
    </row>
    <row r="1640">
      <c r="A1640" s="10">
        <v>1639.0</v>
      </c>
      <c r="B1640" s="11" t="s">
        <v>1736</v>
      </c>
      <c r="C1640" s="10" t="s">
        <v>218</v>
      </c>
      <c r="D1640" s="10" t="s">
        <v>34</v>
      </c>
    </row>
    <row r="1641">
      <c r="A1641" s="10">
        <v>1640.0</v>
      </c>
      <c r="B1641" s="11" t="s">
        <v>1737</v>
      </c>
      <c r="C1641" s="10" t="s">
        <v>1738</v>
      </c>
      <c r="D1641" s="10" t="s">
        <v>27</v>
      </c>
    </row>
    <row r="1642">
      <c r="A1642" s="10">
        <v>1641.0</v>
      </c>
      <c r="B1642" s="11" t="s">
        <v>1739</v>
      </c>
      <c r="C1642" s="10" t="s">
        <v>218</v>
      </c>
      <c r="D1642" s="10" t="s">
        <v>137</v>
      </c>
    </row>
    <row r="1643">
      <c r="A1643" s="10">
        <v>1642.0</v>
      </c>
      <c r="B1643" s="11" t="s">
        <v>1740</v>
      </c>
      <c r="C1643" s="10" t="s">
        <v>585</v>
      </c>
      <c r="D1643" s="10" t="s">
        <v>25</v>
      </c>
    </row>
    <row r="1644">
      <c r="A1644" s="10">
        <v>1643.0</v>
      </c>
      <c r="B1644" s="11" t="s">
        <v>1741</v>
      </c>
      <c r="C1644" s="10" t="s">
        <v>585</v>
      </c>
      <c r="D1644" s="10" t="s">
        <v>36</v>
      </c>
    </row>
    <row r="1645">
      <c r="A1645" s="10">
        <v>1644.0</v>
      </c>
      <c r="B1645" s="11" t="s">
        <v>1742</v>
      </c>
      <c r="C1645" s="10" t="s">
        <v>79</v>
      </c>
      <c r="D1645" s="10" t="s">
        <v>31</v>
      </c>
    </row>
    <row r="1646">
      <c r="A1646" s="10">
        <v>1645.0</v>
      </c>
      <c r="B1646" s="11" t="s">
        <v>1743</v>
      </c>
      <c r="C1646" s="10" t="s">
        <v>220</v>
      </c>
      <c r="D1646" s="10" t="s">
        <v>206</v>
      </c>
    </row>
    <row r="1647">
      <c r="A1647" s="10">
        <v>1646.0</v>
      </c>
      <c r="B1647" s="11" t="s">
        <v>1744</v>
      </c>
      <c r="C1647" s="10" t="s">
        <v>17</v>
      </c>
      <c r="D1647" s="10" t="s">
        <v>206</v>
      </c>
    </row>
    <row r="1648">
      <c r="A1648" s="10">
        <v>1647.0</v>
      </c>
      <c r="B1648" s="11" t="s">
        <v>1745</v>
      </c>
      <c r="C1648" s="10" t="s">
        <v>22</v>
      </c>
      <c r="D1648" s="10" t="s">
        <v>73</v>
      </c>
    </row>
    <row r="1649">
      <c r="A1649" s="10">
        <v>1648.0</v>
      </c>
      <c r="B1649" s="11" t="s">
        <v>1746</v>
      </c>
      <c r="C1649" s="10" t="s">
        <v>79</v>
      </c>
      <c r="D1649" s="10" t="s">
        <v>113</v>
      </c>
    </row>
    <row r="1650">
      <c r="A1650" s="10">
        <v>1649.0</v>
      </c>
      <c r="B1650" s="11" t="s">
        <v>1747</v>
      </c>
      <c r="C1650" s="10" t="s">
        <v>79</v>
      </c>
      <c r="D1650" s="10" t="s">
        <v>95</v>
      </c>
    </row>
    <row r="1651">
      <c r="A1651" s="10">
        <v>1650.0</v>
      </c>
      <c r="B1651" s="11" t="s">
        <v>406</v>
      </c>
      <c r="C1651" s="10" t="s">
        <v>8</v>
      </c>
      <c r="D1651" s="10" t="s">
        <v>12</v>
      </c>
    </row>
    <row r="1652">
      <c r="A1652" s="10">
        <v>1651.0</v>
      </c>
      <c r="B1652" s="11" t="s">
        <v>1748</v>
      </c>
      <c r="C1652" s="10" t="s">
        <v>585</v>
      </c>
      <c r="D1652" s="10" t="s">
        <v>49</v>
      </c>
    </row>
    <row r="1653">
      <c r="A1653" s="10">
        <v>1652.0</v>
      </c>
      <c r="B1653" s="11" t="s">
        <v>1749</v>
      </c>
      <c r="C1653" s="10" t="s">
        <v>79</v>
      </c>
      <c r="D1653" s="10" t="s">
        <v>99</v>
      </c>
    </row>
    <row r="1654">
      <c r="A1654" s="10">
        <v>1653.0</v>
      </c>
      <c r="B1654" s="11" t="s">
        <v>1750</v>
      </c>
      <c r="C1654" s="10" t="s">
        <v>8</v>
      </c>
      <c r="D1654" s="10" t="s">
        <v>82</v>
      </c>
    </row>
    <row r="1655">
      <c r="A1655" s="10">
        <v>1654.0</v>
      </c>
      <c r="B1655" s="11" t="s">
        <v>1751</v>
      </c>
      <c r="C1655" s="10" t="s">
        <v>79</v>
      </c>
      <c r="D1655" s="10" t="s">
        <v>42</v>
      </c>
    </row>
    <row r="1656">
      <c r="A1656" s="10">
        <v>1655.0</v>
      </c>
      <c r="B1656" s="11" t="s">
        <v>1752</v>
      </c>
      <c r="C1656" s="10" t="s">
        <v>79</v>
      </c>
      <c r="D1656" s="10" t="s">
        <v>73</v>
      </c>
    </row>
    <row r="1657">
      <c r="A1657" s="10">
        <v>1656.0</v>
      </c>
      <c r="B1657" s="11" t="s">
        <v>1753</v>
      </c>
      <c r="C1657" s="10" t="s">
        <v>22</v>
      </c>
      <c r="D1657" s="10" t="s">
        <v>137</v>
      </c>
    </row>
    <row r="1658">
      <c r="A1658" s="10">
        <v>1657.0</v>
      </c>
      <c r="B1658" s="11" t="s">
        <v>1755</v>
      </c>
      <c r="C1658" s="10" t="s">
        <v>240</v>
      </c>
      <c r="D1658" s="10" t="s">
        <v>85</v>
      </c>
    </row>
    <row r="1659">
      <c r="A1659" s="10">
        <v>1658.0</v>
      </c>
      <c r="B1659" s="11" t="s">
        <v>1756</v>
      </c>
      <c r="C1659" s="10" t="s">
        <v>79</v>
      </c>
      <c r="D1659" s="10" t="s">
        <v>18</v>
      </c>
    </row>
    <row r="1660">
      <c r="A1660" s="10">
        <v>1659.0</v>
      </c>
      <c r="B1660" s="11" t="s">
        <v>1757</v>
      </c>
      <c r="C1660" s="10" t="s">
        <v>79</v>
      </c>
      <c r="D1660" s="10" t="s">
        <v>105</v>
      </c>
    </row>
    <row r="1661">
      <c r="A1661" s="10">
        <v>1660.0</v>
      </c>
      <c r="B1661" s="11" t="s">
        <v>1758</v>
      </c>
      <c r="C1661" s="10" t="s">
        <v>79</v>
      </c>
      <c r="D1661" s="10" t="s">
        <v>73</v>
      </c>
    </row>
    <row r="1662">
      <c r="A1662" s="10">
        <v>1661.0</v>
      </c>
      <c r="B1662" s="11" t="s">
        <v>1759</v>
      </c>
      <c r="C1662" s="10" t="s">
        <v>20</v>
      </c>
      <c r="D1662" s="10" t="s">
        <v>18</v>
      </c>
    </row>
    <row r="1663">
      <c r="A1663" s="10">
        <v>1662.0</v>
      </c>
      <c r="B1663" s="11" t="s">
        <v>1760</v>
      </c>
      <c r="C1663" s="10" t="s">
        <v>220</v>
      </c>
      <c r="D1663" s="10" t="s">
        <v>71</v>
      </c>
    </row>
    <row r="1664">
      <c r="A1664" s="10">
        <v>1663.0</v>
      </c>
      <c r="B1664" s="11" t="s">
        <v>1761</v>
      </c>
      <c r="C1664" s="10" t="s">
        <v>63</v>
      </c>
      <c r="D1664" s="10" t="s">
        <v>46</v>
      </c>
    </row>
    <row r="1665">
      <c r="A1665" s="10">
        <v>1664.0</v>
      </c>
      <c r="B1665" s="11" t="s">
        <v>1762</v>
      </c>
      <c r="C1665" s="10" t="s">
        <v>11</v>
      </c>
      <c r="D1665" s="10" t="s">
        <v>36</v>
      </c>
    </row>
    <row r="1666">
      <c r="A1666" s="10">
        <v>1665.0</v>
      </c>
      <c r="B1666" s="11" t="s">
        <v>1763</v>
      </c>
      <c r="C1666" s="10" t="s">
        <v>79</v>
      </c>
      <c r="D1666" s="10" t="s">
        <v>71</v>
      </c>
    </row>
    <row r="1667">
      <c r="A1667" s="10">
        <v>1666.0</v>
      </c>
      <c r="B1667" s="11" t="s">
        <v>1764</v>
      </c>
      <c r="C1667" s="10" t="s">
        <v>11</v>
      </c>
      <c r="D1667" s="10" t="s">
        <v>18</v>
      </c>
    </row>
    <row r="1668">
      <c r="A1668" s="10">
        <v>1667.0</v>
      </c>
      <c r="B1668" s="11" t="s">
        <v>1765</v>
      </c>
      <c r="C1668" s="10" t="s">
        <v>63</v>
      </c>
      <c r="D1668" s="10" t="s">
        <v>46</v>
      </c>
    </row>
    <row r="1669">
      <c r="A1669" s="10">
        <v>1668.0</v>
      </c>
      <c r="B1669" s="11" t="s">
        <v>1766</v>
      </c>
      <c r="C1669" s="10" t="s">
        <v>79</v>
      </c>
      <c r="D1669" s="10" t="s">
        <v>129</v>
      </c>
    </row>
    <row r="1670">
      <c r="A1670" s="10">
        <v>1669.0</v>
      </c>
      <c r="B1670" s="11" t="s">
        <v>1767</v>
      </c>
      <c r="C1670" s="10" t="s">
        <v>79</v>
      </c>
      <c r="D1670" s="10" t="s">
        <v>140</v>
      </c>
    </row>
    <row r="1671">
      <c r="A1671" s="10">
        <v>1670.0</v>
      </c>
      <c r="B1671" s="11" t="s">
        <v>458</v>
      </c>
      <c r="C1671" s="10" t="s">
        <v>77</v>
      </c>
      <c r="D1671" s="10" t="s">
        <v>52</v>
      </c>
    </row>
    <row r="1672">
      <c r="A1672" s="10">
        <v>1671.0</v>
      </c>
      <c r="B1672" s="11" t="s">
        <v>1768</v>
      </c>
      <c r="C1672" s="10" t="s">
        <v>22</v>
      </c>
      <c r="D1672" s="10" t="s">
        <v>140</v>
      </c>
    </row>
    <row r="1673">
      <c r="A1673" s="10">
        <v>1672.0</v>
      </c>
      <c r="B1673" s="11" t="s">
        <v>1769</v>
      </c>
      <c r="C1673" s="10" t="s">
        <v>22</v>
      </c>
      <c r="D1673" s="10" t="s">
        <v>71</v>
      </c>
    </row>
    <row r="1674">
      <c r="A1674" s="10">
        <v>1673.0</v>
      </c>
      <c r="B1674" s="11" t="s">
        <v>1770</v>
      </c>
      <c r="C1674" s="10" t="s">
        <v>79</v>
      </c>
      <c r="D1674" s="10" t="s">
        <v>25</v>
      </c>
    </row>
    <row r="1675">
      <c r="A1675" s="10">
        <v>1674.0</v>
      </c>
      <c r="B1675" s="11" t="s">
        <v>1771</v>
      </c>
      <c r="C1675" s="10" t="s">
        <v>22</v>
      </c>
      <c r="D1675" s="10" t="s">
        <v>137</v>
      </c>
    </row>
    <row r="1676">
      <c r="A1676" s="10">
        <v>1675.0</v>
      </c>
      <c r="B1676" s="11" t="s">
        <v>1772</v>
      </c>
      <c r="C1676" s="10" t="s">
        <v>77</v>
      </c>
      <c r="D1676" s="10" t="s">
        <v>15</v>
      </c>
    </row>
    <row r="1677">
      <c r="A1677" s="10">
        <v>1676.0</v>
      </c>
      <c r="B1677" s="11" t="s">
        <v>1773</v>
      </c>
      <c r="C1677" s="10" t="s">
        <v>22</v>
      </c>
      <c r="D1677" s="10" t="s">
        <v>140</v>
      </c>
    </row>
    <row r="1678">
      <c r="A1678" s="10">
        <v>1677.0</v>
      </c>
      <c r="B1678" s="11" t="s">
        <v>1774</v>
      </c>
      <c r="C1678" s="10" t="s">
        <v>22</v>
      </c>
      <c r="D1678" s="10" t="s">
        <v>9</v>
      </c>
    </row>
    <row r="1679">
      <c r="A1679" s="10">
        <v>1678.0</v>
      </c>
      <c r="B1679" s="11" t="s">
        <v>1775</v>
      </c>
      <c r="C1679" s="10" t="s">
        <v>22</v>
      </c>
      <c r="D1679" s="10" t="s">
        <v>12</v>
      </c>
    </row>
    <row r="1680">
      <c r="A1680" s="10">
        <v>1679.0</v>
      </c>
      <c r="B1680" s="11" t="s">
        <v>1776</v>
      </c>
      <c r="C1680" s="10" t="s">
        <v>22</v>
      </c>
      <c r="D1680" s="10" t="s">
        <v>99</v>
      </c>
    </row>
    <row r="1681">
      <c r="A1681" s="10">
        <v>1680.0</v>
      </c>
      <c r="B1681" s="11" t="s">
        <v>1777</v>
      </c>
      <c r="C1681" s="10" t="s">
        <v>218</v>
      </c>
      <c r="D1681" s="10" t="s">
        <v>129</v>
      </c>
    </row>
    <row r="1682">
      <c r="A1682" s="10">
        <v>1681.0</v>
      </c>
      <c r="B1682" s="11" t="s">
        <v>1778</v>
      </c>
      <c r="C1682" s="10" t="s">
        <v>470</v>
      </c>
      <c r="D1682" s="10" t="s">
        <v>52</v>
      </c>
    </row>
    <row r="1683">
      <c r="A1683" s="10">
        <v>1682.0</v>
      </c>
      <c r="B1683" s="11" t="s">
        <v>1779</v>
      </c>
      <c r="C1683" s="10" t="s">
        <v>220</v>
      </c>
      <c r="D1683" s="10" t="s">
        <v>140</v>
      </c>
    </row>
    <row r="1684">
      <c r="A1684" s="10">
        <v>1683.0</v>
      </c>
      <c r="B1684" s="11" t="s">
        <v>1780</v>
      </c>
      <c r="C1684" s="10" t="s">
        <v>79</v>
      </c>
      <c r="D1684" s="10" t="s">
        <v>9</v>
      </c>
    </row>
    <row r="1685">
      <c r="A1685" s="10">
        <v>1684.0</v>
      </c>
      <c r="B1685" s="11" t="s">
        <v>1781</v>
      </c>
      <c r="C1685" s="10" t="s">
        <v>79</v>
      </c>
      <c r="D1685" s="10" t="s">
        <v>15</v>
      </c>
    </row>
    <row r="1686">
      <c r="A1686" s="10">
        <v>1685.0</v>
      </c>
      <c r="B1686" s="11" t="s">
        <v>1782</v>
      </c>
      <c r="C1686" s="10" t="s">
        <v>22</v>
      </c>
      <c r="D1686" s="10" t="s">
        <v>99</v>
      </c>
    </row>
    <row r="1687">
      <c r="A1687" s="10">
        <v>1686.0</v>
      </c>
      <c r="B1687" s="11" t="s">
        <v>1783</v>
      </c>
      <c r="C1687" s="10" t="s">
        <v>22</v>
      </c>
      <c r="D1687" s="10" t="s">
        <v>137</v>
      </c>
    </row>
    <row r="1688">
      <c r="A1688" s="10">
        <v>1687.0</v>
      </c>
      <c r="B1688" s="11" t="s">
        <v>1784</v>
      </c>
      <c r="C1688" s="10" t="s">
        <v>79</v>
      </c>
      <c r="D1688" s="10" t="s">
        <v>99</v>
      </c>
    </row>
    <row r="1689">
      <c r="A1689" s="10">
        <v>1688.0</v>
      </c>
      <c r="B1689" s="11" t="s">
        <v>1785</v>
      </c>
      <c r="C1689" s="10" t="s">
        <v>22</v>
      </c>
      <c r="D1689" s="10" t="s">
        <v>73</v>
      </c>
    </row>
    <row r="1690">
      <c r="A1690" s="10">
        <v>1689.0</v>
      </c>
      <c r="B1690" s="11" t="s">
        <v>1786</v>
      </c>
      <c r="C1690" s="10" t="s">
        <v>220</v>
      </c>
      <c r="D1690" s="10" t="s">
        <v>82</v>
      </c>
    </row>
    <row r="1691">
      <c r="A1691" s="10">
        <v>1690.0</v>
      </c>
      <c r="B1691" s="11" t="s">
        <v>1787</v>
      </c>
      <c r="C1691" s="10" t="s">
        <v>220</v>
      </c>
      <c r="D1691" s="10" t="s">
        <v>129</v>
      </c>
    </row>
    <row r="1692">
      <c r="A1692" s="10">
        <v>1691.0</v>
      </c>
      <c r="B1692" s="11" t="s">
        <v>1788</v>
      </c>
      <c r="C1692" s="10" t="s">
        <v>79</v>
      </c>
      <c r="D1692" s="10" t="s">
        <v>9</v>
      </c>
    </row>
    <row r="1693">
      <c r="A1693" s="10">
        <v>1692.0</v>
      </c>
      <c r="B1693" s="11" t="s">
        <v>1789</v>
      </c>
      <c r="C1693" s="10" t="s">
        <v>22</v>
      </c>
      <c r="D1693" s="10" t="s">
        <v>120</v>
      </c>
    </row>
    <row r="1694">
      <c r="A1694" s="10">
        <v>1693.0</v>
      </c>
      <c r="B1694" s="11" t="s">
        <v>1790</v>
      </c>
      <c r="C1694" s="10" t="s">
        <v>585</v>
      </c>
      <c r="D1694" s="10" t="s">
        <v>129</v>
      </c>
    </row>
    <row r="1695">
      <c r="A1695" s="10">
        <v>1694.0</v>
      </c>
      <c r="B1695" s="11" t="s">
        <v>1791</v>
      </c>
      <c r="C1695" s="10" t="s">
        <v>220</v>
      </c>
      <c r="D1695" s="10" t="s">
        <v>36</v>
      </c>
    </row>
    <row r="1696">
      <c r="A1696" s="10">
        <v>1695.0</v>
      </c>
      <c r="B1696" s="11" t="s">
        <v>1792</v>
      </c>
      <c r="C1696" s="10" t="s">
        <v>69</v>
      </c>
      <c r="D1696" s="10" t="s">
        <v>73</v>
      </c>
    </row>
    <row r="1697">
      <c r="A1697" s="10">
        <v>1696.0</v>
      </c>
      <c r="B1697" s="11" t="s">
        <v>411</v>
      </c>
      <c r="C1697" s="10" t="s">
        <v>150</v>
      </c>
      <c r="D1697" s="10" t="s">
        <v>105</v>
      </c>
    </row>
    <row r="1698">
      <c r="A1698" s="10">
        <v>1697.0</v>
      </c>
      <c r="B1698" s="11" t="s">
        <v>401</v>
      </c>
      <c r="C1698" s="10" t="s">
        <v>262</v>
      </c>
      <c r="D1698" s="10" t="s">
        <v>137</v>
      </c>
    </row>
    <row r="1699">
      <c r="A1699" s="10">
        <v>1698.0</v>
      </c>
      <c r="B1699" s="11" t="s">
        <v>1793</v>
      </c>
      <c r="C1699" s="10" t="s">
        <v>22</v>
      </c>
      <c r="D1699" s="10" t="s">
        <v>67</v>
      </c>
    </row>
    <row r="1700">
      <c r="A1700" s="10">
        <v>1699.0</v>
      </c>
      <c r="B1700" s="11" t="s">
        <v>1794</v>
      </c>
      <c r="C1700" s="10" t="s">
        <v>17</v>
      </c>
      <c r="D1700" s="10" t="s">
        <v>34</v>
      </c>
    </row>
    <row r="1701">
      <c r="A1701" s="10">
        <v>1700.0</v>
      </c>
      <c r="B1701" s="11" t="s">
        <v>1795</v>
      </c>
      <c r="C1701" s="10" t="s">
        <v>220</v>
      </c>
      <c r="D1701" s="10" t="s">
        <v>140</v>
      </c>
    </row>
    <row r="1702">
      <c r="A1702" s="10">
        <v>1701.0</v>
      </c>
      <c r="B1702" s="11" t="s">
        <v>1796</v>
      </c>
      <c r="C1702" s="10" t="s">
        <v>220</v>
      </c>
      <c r="D1702" s="10" t="s">
        <v>42</v>
      </c>
    </row>
    <row r="1703">
      <c r="A1703" s="10">
        <v>1702.0</v>
      </c>
      <c r="B1703" s="11" t="s">
        <v>1797</v>
      </c>
      <c r="C1703" s="10" t="s">
        <v>8</v>
      </c>
      <c r="D1703" s="10" t="s">
        <v>137</v>
      </c>
    </row>
    <row r="1704">
      <c r="A1704" s="10">
        <v>1703.0</v>
      </c>
      <c r="B1704" s="11" t="s">
        <v>415</v>
      </c>
      <c r="C1704" s="10" t="s">
        <v>218</v>
      </c>
      <c r="D1704" s="10" t="s">
        <v>18</v>
      </c>
    </row>
    <row r="1705">
      <c r="A1705" s="10">
        <v>1704.0</v>
      </c>
      <c r="B1705" s="11" t="s">
        <v>1798</v>
      </c>
      <c r="C1705" s="10" t="s">
        <v>79</v>
      </c>
      <c r="D1705" s="10" t="s">
        <v>85</v>
      </c>
    </row>
    <row r="1706">
      <c r="A1706" s="10">
        <v>1705.0</v>
      </c>
      <c r="B1706" s="11" t="s">
        <v>1799</v>
      </c>
      <c r="C1706" s="10" t="s">
        <v>79</v>
      </c>
      <c r="D1706" s="10" t="s">
        <v>90</v>
      </c>
    </row>
    <row r="1707">
      <c r="A1707" s="10">
        <v>1706.0</v>
      </c>
      <c r="B1707" s="11" t="s">
        <v>1800</v>
      </c>
      <c r="C1707" s="10" t="s">
        <v>22</v>
      </c>
      <c r="D1707" s="10" t="s">
        <v>137</v>
      </c>
    </row>
    <row r="1708">
      <c r="A1708" s="10">
        <v>1707.0</v>
      </c>
      <c r="B1708" s="11" t="s">
        <v>1801</v>
      </c>
      <c r="C1708" s="10" t="s">
        <v>87</v>
      </c>
      <c r="D1708" s="10" t="s">
        <v>105</v>
      </c>
    </row>
    <row r="1709">
      <c r="A1709" s="10">
        <v>1708.0</v>
      </c>
      <c r="B1709" s="11" t="s">
        <v>1802</v>
      </c>
      <c r="C1709" s="10" t="s">
        <v>33</v>
      </c>
      <c r="D1709" s="10" t="s">
        <v>46</v>
      </c>
    </row>
    <row r="1710">
      <c r="A1710" s="10">
        <v>1709.0</v>
      </c>
      <c r="B1710" s="11" t="s">
        <v>1803</v>
      </c>
      <c r="C1710" s="10" t="s">
        <v>22</v>
      </c>
      <c r="D1710" s="10" t="s">
        <v>140</v>
      </c>
    </row>
    <row r="1711">
      <c r="A1711" s="10">
        <v>1710.0</v>
      </c>
      <c r="B1711" s="11" t="s">
        <v>1804</v>
      </c>
      <c r="C1711" s="10" t="s">
        <v>77</v>
      </c>
      <c r="D1711" s="10" t="s">
        <v>52</v>
      </c>
    </row>
    <row r="1712">
      <c r="A1712" s="10">
        <v>1711.0</v>
      </c>
      <c r="B1712" s="11" t="s">
        <v>1805</v>
      </c>
      <c r="C1712" s="10" t="s">
        <v>1710</v>
      </c>
      <c r="D1712" s="10" t="s">
        <v>122</v>
      </c>
    </row>
    <row r="1713">
      <c r="A1713" s="10">
        <v>1712.0</v>
      </c>
      <c r="B1713" s="11" t="s">
        <v>1806</v>
      </c>
      <c r="C1713" s="10" t="s">
        <v>79</v>
      </c>
      <c r="D1713" s="10" t="s">
        <v>18</v>
      </c>
    </row>
    <row r="1714">
      <c r="A1714" s="10">
        <v>1713.0</v>
      </c>
      <c r="B1714" s="11" t="s">
        <v>1807</v>
      </c>
      <c r="C1714" s="10" t="s">
        <v>79</v>
      </c>
      <c r="D1714" s="10" t="s">
        <v>34</v>
      </c>
    </row>
    <row r="1715">
      <c r="A1715" s="10">
        <v>1714.0</v>
      </c>
      <c r="B1715" s="11" t="s">
        <v>1808</v>
      </c>
      <c r="C1715" s="10" t="s">
        <v>283</v>
      </c>
      <c r="D1715" s="10" t="s">
        <v>34</v>
      </c>
    </row>
    <row r="1716">
      <c r="A1716" s="10">
        <v>1715.0</v>
      </c>
      <c r="B1716" s="11" t="s">
        <v>1809</v>
      </c>
      <c r="C1716" s="10" t="s">
        <v>79</v>
      </c>
      <c r="D1716" s="10" t="s">
        <v>137</v>
      </c>
    </row>
    <row r="1717">
      <c r="A1717" s="10">
        <v>1716.0</v>
      </c>
      <c r="B1717" s="11" t="s">
        <v>1810</v>
      </c>
      <c r="C1717" s="10" t="s">
        <v>189</v>
      </c>
      <c r="D1717" s="10" t="s">
        <v>71</v>
      </c>
    </row>
    <row r="1718">
      <c r="A1718" s="10">
        <v>1717.0</v>
      </c>
      <c r="B1718" s="11" t="s">
        <v>1811</v>
      </c>
      <c r="C1718" s="10" t="s">
        <v>8</v>
      </c>
      <c r="D1718" s="10" t="s">
        <v>18</v>
      </c>
    </row>
    <row r="1719">
      <c r="A1719" s="10">
        <v>1718.0</v>
      </c>
      <c r="B1719" s="11" t="s">
        <v>1812</v>
      </c>
      <c r="C1719" s="10" t="s">
        <v>136</v>
      </c>
      <c r="D1719" s="10" t="s">
        <v>27</v>
      </c>
    </row>
    <row r="1720">
      <c r="A1720" s="10">
        <v>1719.0</v>
      </c>
      <c r="B1720" s="11" t="s">
        <v>1813</v>
      </c>
      <c r="C1720" s="10" t="s">
        <v>1814</v>
      </c>
      <c r="D1720" s="10" t="s">
        <v>12</v>
      </c>
    </row>
    <row r="1721">
      <c r="A1721" s="10">
        <v>1720.0</v>
      </c>
      <c r="B1721" s="11" t="s">
        <v>1815</v>
      </c>
      <c r="C1721" s="10" t="s">
        <v>158</v>
      </c>
      <c r="D1721" s="10" t="s">
        <v>46</v>
      </c>
    </row>
    <row r="1722">
      <c r="A1722" s="10">
        <v>1721.0</v>
      </c>
      <c r="B1722" s="11" t="s">
        <v>1816</v>
      </c>
      <c r="C1722" s="10" t="s">
        <v>79</v>
      </c>
      <c r="D1722" s="10" t="s">
        <v>15</v>
      </c>
    </row>
    <row r="1723">
      <c r="A1723" s="10">
        <v>1722.0</v>
      </c>
      <c r="B1723" s="11" t="s">
        <v>1817</v>
      </c>
      <c r="C1723" s="10" t="s">
        <v>218</v>
      </c>
      <c r="D1723" s="10" t="s">
        <v>105</v>
      </c>
    </row>
    <row r="1724">
      <c r="A1724" s="10">
        <v>1723.0</v>
      </c>
      <c r="B1724" s="11" t="s">
        <v>1818</v>
      </c>
      <c r="C1724" s="10" t="s">
        <v>283</v>
      </c>
      <c r="D1724" s="10" t="s">
        <v>31</v>
      </c>
    </row>
    <row r="1725">
      <c r="A1725" s="10">
        <v>1724.0</v>
      </c>
      <c r="B1725" s="11" t="s">
        <v>1819</v>
      </c>
      <c r="C1725" s="10" t="s">
        <v>218</v>
      </c>
      <c r="D1725" s="10" t="s">
        <v>34</v>
      </c>
    </row>
    <row r="1726">
      <c r="A1726" s="10">
        <v>1725.0</v>
      </c>
      <c r="B1726" s="11" t="s">
        <v>1820</v>
      </c>
      <c r="C1726" s="10" t="s">
        <v>77</v>
      </c>
      <c r="D1726" s="10" t="s">
        <v>90</v>
      </c>
    </row>
    <row r="1727">
      <c r="A1727" s="10">
        <v>1726.0</v>
      </c>
      <c r="B1727" s="11" t="s">
        <v>1821</v>
      </c>
      <c r="C1727" s="10" t="s">
        <v>79</v>
      </c>
      <c r="D1727" s="10" t="s">
        <v>46</v>
      </c>
    </row>
    <row r="1728">
      <c r="A1728" s="10">
        <v>1727.0</v>
      </c>
      <c r="B1728" s="11" t="s">
        <v>1822</v>
      </c>
      <c r="C1728" s="10" t="s">
        <v>79</v>
      </c>
      <c r="D1728" s="10" t="s">
        <v>82</v>
      </c>
    </row>
    <row r="1729">
      <c r="A1729" s="10">
        <v>1728.0</v>
      </c>
      <c r="B1729" s="11" t="s">
        <v>1823</v>
      </c>
      <c r="C1729" s="10" t="s">
        <v>126</v>
      </c>
      <c r="D1729" s="10" t="s">
        <v>120</v>
      </c>
    </row>
    <row r="1730">
      <c r="A1730" s="10">
        <v>1729.0</v>
      </c>
      <c r="B1730" s="11" t="s">
        <v>1824</v>
      </c>
      <c r="C1730" s="10" t="s">
        <v>240</v>
      </c>
      <c r="D1730" s="10" t="s">
        <v>206</v>
      </c>
    </row>
    <row r="1731">
      <c r="A1731" s="10">
        <v>1730.0</v>
      </c>
      <c r="B1731" s="11" t="s">
        <v>1825</v>
      </c>
      <c r="C1731" s="10" t="s">
        <v>20</v>
      </c>
      <c r="D1731" s="10" t="s">
        <v>137</v>
      </c>
    </row>
    <row r="1732">
      <c r="A1732" s="10">
        <v>1731.0</v>
      </c>
      <c r="B1732" s="11" t="s">
        <v>1826</v>
      </c>
      <c r="C1732" s="10" t="s">
        <v>158</v>
      </c>
      <c r="D1732" s="10" t="s">
        <v>12</v>
      </c>
    </row>
    <row r="1733">
      <c r="A1733" s="10">
        <v>1732.0</v>
      </c>
      <c r="B1733" s="11" t="s">
        <v>1827</v>
      </c>
      <c r="C1733" s="10" t="s">
        <v>22</v>
      </c>
      <c r="D1733" s="10" t="s">
        <v>82</v>
      </c>
    </row>
    <row r="1734">
      <c r="A1734" s="10">
        <v>1733.0</v>
      </c>
      <c r="B1734" s="11" t="s">
        <v>1828</v>
      </c>
      <c r="C1734" s="10" t="s">
        <v>48</v>
      </c>
      <c r="D1734" s="10" t="s">
        <v>42</v>
      </c>
    </row>
    <row r="1735">
      <c r="A1735" s="10">
        <v>1734.0</v>
      </c>
      <c r="B1735" s="11" t="s">
        <v>1829</v>
      </c>
      <c r="C1735" s="10" t="s">
        <v>22</v>
      </c>
      <c r="D1735" s="10" t="s">
        <v>113</v>
      </c>
    </row>
    <row r="1736">
      <c r="A1736" s="10">
        <v>1735.0</v>
      </c>
      <c r="B1736" s="11" t="s">
        <v>1830</v>
      </c>
      <c r="C1736" s="10" t="s">
        <v>79</v>
      </c>
      <c r="D1736" s="10" t="s">
        <v>137</v>
      </c>
    </row>
    <row r="1737">
      <c r="A1737" s="10">
        <v>1736.0</v>
      </c>
      <c r="B1737" s="11" t="s">
        <v>1831</v>
      </c>
      <c r="C1737" s="10" t="s">
        <v>87</v>
      </c>
      <c r="D1737" s="10" t="s">
        <v>42</v>
      </c>
    </row>
    <row r="1738">
      <c r="A1738" s="10">
        <v>1737.0</v>
      </c>
      <c r="B1738" s="11" t="s">
        <v>1832</v>
      </c>
      <c r="C1738" s="10" t="s">
        <v>39</v>
      </c>
      <c r="D1738" s="10" t="s">
        <v>27</v>
      </c>
    </row>
    <row r="1739">
      <c r="A1739" s="10">
        <v>1738.0</v>
      </c>
      <c r="B1739" s="11" t="s">
        <v>1833</v>
      </c>
      <c r="C1739" s="10" t="s">
        <v>22</v>
      </c>
      <c r="D1739" s="10" t="s">
        <v>18</v>
      </c>
    </row>
    <row r="1740">
      <c r="A1740" s="10">
        <v>1739.0</v>
      </c>
      <c r="B1740" s="11" t="s">
        <v>1834</v>
      </c>
      <c r="C1740" s="10" t="s">
        <v>218</v>
      </c>
      <c r="D1740" s="10" t="s">
        <v>71</v>
      </c>
    </row>
    <row r="1741">
      <c r="A1741" s="10">
        <v>1740.0</v>
      </c>
      <c r="B1741" s="11" t="s">
        <v>1835</v>
      </c>
      <c r="C1741" s="10" t="s">
        <v>220</v>
      </c>
      <c r="D1741" s="10" t="s">
        <v>99</v>
      </c>
    </row>
    <row r="1742">
      <c r="A1742" s="10">
        <v>1741.0</v>
      </c>
      <c r="B1742" s="11" t="s">
        <v>1836</v>
      </c>
      <c r="C1742" s="10" t="s">
        <v>22</v>
      </c>
      <c r="D1742" s="10" t="s">
        <v>67</v>
      </c>
    </row>
    <row r="1743">
      <c r="A1743" s="10">
        <v>1742.0</v>
      </c>
      <c r="B1743" s="11" t="s">
        <v>1837</v>
      </c>
      <c r="C1743" s="10" t="s">
        <v>218</v>
      </c>
      <c r="D1743" s="10" t="s">
        <v>42</v>
      </c>
    </row>
    <row r="1744">
      <c r="A1744" s="10">
        <v>1743.0</v>
      </c>
      <c r="B1744" s="11" t="s">
        <v>1838</v>
      </c>
      <c r="C1744" s="10" t="s">
        <v>1839</v>
      </c>
      <c r="D1744" s="10" t="s">
        <v>18</v>
      </c>
    </row>
    <row r="1745">
      <c r="A1745" s="10">
        <v>1744.0</v>
      </c>
      <c r="B1745" s="11" t="s">
        <v>1840</v>
      </c>
      <c r="C1745" s="10" t="s">
        <v>22</v>
      </c>
      <c r="D1745" s="10" t="s">
        <v>46</v>
      </c>
    </row>
    <row r="1746">
      <c r="A1746" s="10">
        <v>1745.0</v>
      </c>
      <c r="B1746" s="11" t="s">
        <v>1841</v>
      </c>
      <c r="C1746" s="10" t="s">
        <v>77</v>
      </c>
      <c r="D1746" s="10" t="s">
        <v>99</v>
      </c>
    </row>
    <row r="1747">
      <c r="A1747" s="10">
        <v>1746.0</v>
      </c>
      <c r="B1747" s="11" t="s">
        <v>1842</v>
      </c>
      <c r="C1747" s="10" t="s">
        <v>218</v>
      </c>
      <c r="D1747" s="10" t="s">
        <v>18</v>
      </c>
    </row>
    <row r="1748">
      <c r="A1748" s="10">
        <v>1747.0</v>
      </c>
      <c r="B1748" s="11" t="s">
        <v>1843</v>
      </c>
      <c r="C1748" s="10" t="s">
        <v>77</v>
      </c>
      <c r="D1748" s="10" t="s">
        <v>49</v>
      </c>
    </row>
    <row r="1749">
      <c r="A1749" s="10">
        <v>1748.0</v>
      </c>
      <c r="B1749" s="11" t="s">
        <v>1844</v>
      </c>
      <c r="C1749" s="10" t="s">
        <v>327</v>
      </c>
      <c r="D1749" s="10" t="s">
        <v>99</v>
      </c>
    </row>
    <row r="1750">
      <c r="A1750" s="10">
        <v>1749.0</v>
      </c>
      <c r="B1750" s="11" t="s">
        <v>1845</v>
      </c>
      <c r="C1750" s="10" t="s">
        <v>220</v>
      </c>
      <c r="D1750" s="10" t="s">
        <v>42</v>
      </c>
    </row>
    <row r="1751">
      <c r="A1751" s="10">
        <v>1750.0</v>
      </c>
      <c r="B1751" s="11" t="s">
        <v>1846</v>
      </c>
      <c r="C1751" s="10" t="s">
        <v>136</v>
      </c>
      <c r="D1751" s="10" t="s">
        <v>49</v>
      </c>
    </row>
    <row r="1752">
      <c r="A1752" s="10">
        <v>1751.0</v>
      </c>
      <c r="B1752" s="11" t="s">
        <v>1847</v>
      </c>
      <c r="C1752" s="10" t="s">
        <v>8</v>
      </c>
      <c r="D1752" s="10" t="s">
        <v>122</v>
      </c>
    </row>
    <row r="1753">
      <c r="A1753" s="10">
        <v>1752.0</v>
      </c>
      <c r="B1753" s="11" t="s">
        <v>1848</v>
      </c>
      <c r="C1753" s="10" t="s">
        <v>220</v>
      </c>
      <c r="D1753" s="10" t="s">
        <v>113</v>
      </c>
    </row>
    <row r="1754">
      <c r="A1754" s="10">
        <v>1753.0</v>
      </c>
      <c r="B1754" s="11" t="s">
        <v>1849</v>
      </c>
      <c r="C1754" s="10" t="s">
        <v>77</v>
      </c>
      <c r="D1754" s="10" t="s">
        <v>42</v>
      </c>
    </row>
    <row r="1755">
      <c r="A1755" s="10">
        <v>1754.0</v>
      </c>
      <c r="B1755" s="11" t="s">
        <v>1850</v>
      </c>
      <c r="C1755" s="10" t="s">
        <v>17</v>
      </c>
      <c r="D1755" s="10" t="s">
        <v>36</v>
      </c>
    </row>
    <row r="1756">
      <c r="A1756" s="10">
        <v>1755.0</v>
      </c>
      <c r="B1756" s="11" t="s">
        <v>1851</v>
      </c>
      <c r="C1756" s="10" t="s">
        <v>220</v>
      </c>
      <c r="D1756" s="10" t="s">
        <v>95</v>
      </c>
    </row>
    <row r="1757">
      <c r="A1757" s="10">
        <v>1756.0</v>
      </c>
      <c r="B1757" s="11" t="s">
        <v>1852</v>
      </c>
      <c r="C1757" s="10" t="s">
        <v>14</v>
      </c>
      <c r="D1757" s="10" t="s">
        <v>206</v>
      </c>
    </row>
    <row r="1758">
      <c r="A1758" s="10">
        <v>1757.0</v>
      </c>
      <c r="B1758" s="11" t="s">
        <v>1853</v>
      </c>
      <c r="C1758" s="10" t="s">
        <v>136</v>
      </c>
      <c r="D1758" s="10" t="s">
        <v>46</v>
      </c>
    </row>
    <row r="1759">
      <c r="A1759" s="10">
        <v>1758.0</v>
      </c>
      <c r="B1759" s="11" t="s">
        <v>1854</v>
      </c>
      <c r="C1759" s="10" t="s">
        <v>69</v>
      </c>
      <c r="D1759" s="10" t="s">
        <v>206</v>
      </c>
    </row>
    <row r="1760">
      <c r="A1760" s="10">
        <v>1759.0</v>
      </c>
      <c r="B1760" s="11" t="s">
        <v>1855</v>
      </c>
      <c r="C1760" s="10" t="s">
        <v>79</v>
      </c>
      <c r="D1760" s="10" t="s">
        <v>140</v>
      </c>
    </row>
    <row r="1761">
      <c r="A1761" s="10">
        <v>1760.0</v>
      </c>
      <c r="B1761" s="11" t="s">
        <v>1856</v>
      </c>
      <c r="C1761" s="10" t="s">
        <v>1857</v>
      </c>
      <c r="D1761" s="10" t="s">
        <v>71</v>
      </c>
    </row>
    <row r="1762">
      <c r="A1762" s="10">
        <v>1761.0</v>
      </c>
      <c r="B1762" s="11" t="s">
        <v>1858</v>
      </c>
      <c r="C1762" s="10" t="s">
        <v>77</v>
      </c>
      <c r="D1762" s="10" t="s">
        <v>9</v>
      </c>
    </row>
    <row r="1763">
      <c r="A1763" s="10">
        <v>1762.0</v>
      </c>
      <c r="B1763" s="11" t="s">
        <v>1859</v>
      </c>
      <c r="C1763" s="10" t="s">
        <v>22</v>
      </c>
      <c r="D1763" s="10" t="s">
        <v>82</v>
      </c>
    </row>
    <row r="1764">
      <c r="A1764" s="10">
        <v>1763.0</v>
      </c>
      <c r="B1764" s="11" t="s">
        <v>457</v>
      </c>
      <c r="C1764" s="10" t="s">
        <v>87</v>
      </c>
      <c r="D1764" s="10" t="s">
        <v>129</v>
      </c>
    </row>
    <row r="1765">
      <c r="A1765" s="10">
        <v>1764.0</v>
      </c>
      <c r="B1765" s="11" t="s">
        <v>1860</v>
      </c>
      <c r="C1765" s="10" t="s">
        <v>1861</v>
      </c>
      <c r="D1765" s="10" t="s">
        <v>73</v>
      </c>
    </row>
    <row r="1766">
      <c r="A1766" s="10">
        <v>1765.0</v>
      </c>
      <c r="B1766" s="11" t="s">
        <v>1862</v>
      </c>
      <c r="C1766" s="10" t="s">
        <v>77</v>
      </c>
      <c r="D1766" s="10" t="s">
        <v>71</v>
      </c>
    </row>
    <row r="1767">
      <c r="A1767" s="10">
        <v>1766.0</v>
      </c>
      <c r="B1767" s="11" t="s">
        <v>1863</v>
      </c>
      <c r="C1767" s="10" t="s">
        <v>439</v>
      </c>
      <c r="D1767" s="10" t="s">
        <v>140</v>
      </c>
    </row>
    <row r="1768">
      <c r="A1768" s="10">
        <v>1767.0</v>
      </c>
      <c r="B1768" s="11" t="s">
        <v>1864</v>
      </c>
      <c r="C1768" s="10" t="s">
        <v>218</v>
      </c>
      <c r="D1768" s="10" t="s">
        <v>85</v>
      </c>
    </row>
    <row r="1769">
      <c r="A1769" s="10">
        <v>1768.0</v>
      </c>
      <c r="B1769" s="11" t="s">
        <v>1865</v>
      </c>
      <c r="C1769" s="10" t="s">
        <v>39</v>
      </c>
      <c r="D1769" s="10" t="s">
        <v>34</v>
      </c>
    </row>
    <row r="1770">
      <c r="A1770" s="10">
        <v>1769.0</v>
      </c>
      <c r="B1770" s="11" t="s">
        <v>1866</v>
      </c>
      <c r="C1770" s="10" t="s">
        <v>22</v>
      </c>
      <c r="D1770" s="10" t="s">
        <v>71</v>
      </c>
    </row>
    <row r="1771">
      <c r="A1771" s="10">
        <v>1770.0</v>
      </c>
      <c r="B1771" s="11" t="s">
        <v>1867</v>
      </c>
      <c r="C1771" s="10" t="s">
        <v>1868</v>
      </c>
      <c r="D1771" s="10" t="s">
        <v>140</v>
      </c>
    </row>
    <row r="1772">
      <c r="A1772" s="10">
        <v>1771.0</v>
      </c>
      <c r="B1772" s="11" t="s">
        <v>1869</v>
      </c>
      <c r="C1772" s="10" t="s">
        <v>220</v>
      </c>
      <c r="D1772" s="10" t="s">
        <v>71</v>
      </c>
    </row>
    <row r="1773">
      <c r="A1773" s="10">
        <v>1772.0</v>
      </c>
      <c r="B1773" s="11" t="s">
        <v>1870</v>
      </c>
      <c r="C1773" s="10" t="s">
        <v>136</v>
      </c>
      <c r="D1773" s="10" t="s">
        <v>34</v>
      </c>
    </row>
    <row r="1774">
      <c r="A1774" s="10">
        <v>1773.0</v>
      </c>
      <c r="B1774" s="11" t="s">
        <v>1871</v>
      </c>
      <c r="C1774" s="10" t="s">
        <v>218</v>
      </c>
      <c r="D1774" s="10" t="s">
        <v>12</v>
      </c>
    </row>
    <row r="1775">
      <c r="A1775" s="10">
        <v>1774.0</v>
      </c>
      <c r="B1775" s="11" t="s">
        <v>1872</v>
      </c>
      <c r="C1775" s="10" t="s">
        <v>20</v>
      </c>
      <c r="D1775" s="10" t="s">
        <v>25</v>
      </c>
    </row>
    <row r="1776">
      <c r="A1776" s="10">
        <v>1775.0</v>
      </c>
      <c r="B1776" s="11" t="s">
        <v>1873</v>
      </c>
      <c r="C1776" s="10" t="s">
        <v>158</v>
      </c>
      <c r="D1776" s="10" t="s">
        <v>67</v>
      </c>
    </row>
    <row r="1777">
      <c r="A1777" s="10">
        <v>1776.0</v>
      </c>
      <c r="B1777" s="11" t="s">
        <v>1874</v>
      </c>
      <c r="C1777" s="10" t="s">
        <v>283</v>
      </c>
      <c r="D1777" s="10" t="s">
        <v>52</v>
      </c>
    </row>
    <row r="1778">
      <c r="A1778" s="10">
        <v>1777.0</v>
      </c>
      <c r="B1778" s="11" t="s">
        <v>1875</v>
      </c>
      <c r="C1778" s="10" t="s">
        <v>220</v>
      </c>
      <c r="D1778" s="10" t="s">
        <v>71</v>
      </c>
    </row>
    <row r="1779">
      <c r="A1779" s="10">
        <v>1778.0</v>
      </c>
      <c r="B1779" s="11" t="s">
        <v>1876</v>
      </c>
      <c r="C1779" s="10" t="s">
        <v>136</v>
      </c>
      <c r="D1779" s="10" t="s">
        <v>71</v>
      </c>
    </row>
    <row r="1780">
      <c r="A1780" s="10">
        <v>1779.0</v>
      </c>
      <c r="B1780" s="11" t="s">
        <v>1877</v>
      </c>
      <c r="C1780" s="10" t="s">
        <v>17</v>
      </c>
      <c r="D1780" s="10" t="s">
        <v>120</v>
      </c>
    </row>
    <row r="1781">
      <c r="A1781" s="10">
        <v>1780.0</v>
      </c>
      <c r="B1781" s="11" t="s">
        <v>1878</v>
      </c>
      <c r="C1781" s="10" t="s">
        <v>77</v>
      </c>
      <c r="D1781" s="10" t="s">
        <v>95</v>
      </c>
    </row>
    <row r="1782">
      <c r="A1782" s="10">
        <v>1781.0</v>
      </c>
      <c r="B1782" s="11" t="s">
        <v>1879</v>
      </c>
      <c r="C1782" s="10" t="s">
        <v>77</v>
      </c>
      <c r="D1782" s="10" t="s">
        <v>27</v>
      </c>
    </row>
    <row r="1783">
      <c r="A1783" s="10">
        <v>1782.0</v>
      </c>
      <c r="B1783" s="11" t="s">
        <v>1880</v>
      </c>
      <c r="C1783" s="10" t="s">
        <v>77</v>
      </c>
      <c r="D1783" s="10" t="s">
        <v>27</v>
      </c>
    </row>
    <row r="1784">
      <c r="A1784" s="10">
        <v>1783.0</v>
      </c>
      <c r="B1784" s="11" t="s">
        <v>1881</v>
      </c>
      <c r="C1784" s="10" t="s">
        <v>189</v>
      </c>
      <c r="D1784" s="10" t="s">
        <v>25</v>
      </c>
    </row>
    <row r="1785">
      <c r="A1785" s="10">
        <v>1784.0</v>
      </c>
      <c r="B1785" s="11" t="s">
        <v>1882</v>
      </c>
      <c r="C1785" s="10" t="s">
        <v>1738</v>
      </c>
      <c r="D1785" s="10" t="s">
        <v>27</v>
      </c>
    </row>
    <row r="1786">
      <c r="A1786" s="10">
        <v>1785.0</v>
      </c>
      <c r="B1786" s="11" t="s">
        <v>1883</v>
      </c>
      <c r="C1786" s="10" t="s">
        <v>218</v>
      </c>
      <c r="D1786" s="10" t="s">
        <v>129</v>
      </c>
    </row>
    <row r="1787">
      <c r="A1787" s="10">
        <v>1786.0</v>
      </c>
      <c r="B1787" s="11" t="s">
        <v>1884</v>
      </c>
      <c r="C1787" s="10" t="s">
        <v>22</v>
      </c>
      <c r="D1787" s="10" t="s">
        <v>82</v>
      </c>
    </row>
    <row r="1788">
      <c r="A1788" s="10">
        <v>1787.0</v>
      </c>
      <c r="B1788" s="11" t="s">
        <v>1885</v>
      </c>
      <c r="C1788" s="10" t="s">
        <v>240</v>
      </c>
      <c r="D1788" s="10" t="s">
        <v>140</v>
      </c>
    </row>
    <row r="1789">
      <c r="A1789" s="10">
        <v>1788.0</v>
      </c>
      <c r="B1789" s="11" t="s">
        <v>1886</v>
      </c>
      <c r="C1789" s="10" t="s">
        <v>220</v>
      </c>
      <c r="D1789" s="10" t="s">
        <v>137</v>
      </c>
    </row>
    <row r="1790">
      <c r="A1790" s="10">
        <v>1789.0</v>
      </c>
      <c r="B1790" s="11" t="s">
        <v>1887</v>
      </c>
      <c r="C1790" s="10" t="s">
        <v>176</v>
      </c>
      <c r="D1790" s="10" t="s">
        <v>137</v>
      </c>
    </row>
    <row r="1791">
      <c r="A1791" s="10">
        <v>1790.0</v>
      </c>
      <c r="B1791" s="11" t="s">
        <v>1888</v>
      </c>
      <c r="C1791" s="10" t="s">
        <v>8</v>
      </c>
      <c r="D1791" s="10" t="s">
        <v>49</v>
      </c>
    </row>
    <row r="1792">
      <c r="A1792" s="10">
        <v>1791.0</v>
      </c>
      <c r="B1792" s="11" t="s">
        <v>1889</v>
      </c>
      <c r="C1792" s="10" t="s">
        <v>39</v>
      </c>
      <c r="D1792" s="10" t="s">
        <v>113</v>
      </c>
    </row>
    <row r="1793">
      <c r="A1793" s="10">
        <v>1792.0</v>
      </c>
      <c r="B1793" s="11" t="s">
        <v>1890</v>
      </c>
      <c r="C1793" s="10" t="s">
        <v>39</v>
      </c>
      <c r="D1793" s="10" t="s">
        <v>23</v>
      </c>
    </row>
    <row r="1794">
      <c r="A1794" s="10">
        <v>1793.0</v>
      </c>
      <c r="B1794" s="11" t="s">
        <v>1891</v>
      </c>
      <c r="C1794" s="10" t="s">
        <v>69</v>
      </c>
      <c r="D1794" s="10" t="s">
        <v>99</v>
      </c>
    </row>
    <row r="1795">
      <c r="A1795" s="10">
        <v>1794.0</v>
      </c>
      <c r="B1795" s="11" t="s">
        <v>1892</v>
      </c>
      <c r="C1795" s="10" t="s">
        <v>79</v>
      </c>
      <c r="D1795" s="10" t="s">
        <v>12</v>
      </c>
    </row>
    <row r="1796">
      <c r="A1796" s="10">
        <v>1795.0</v>
      </c>
      <c r="B1796" s="11" t="s">
        <v>1893</v>
      </c>
      <c r="C1796" s="10" t="s">
        <v>136</v>
      </c>
      <c r="D1796" s="10" t="s">
        <v>137</v>
      </c>
    </row>
    <row r="1797">
      <c r="A1797" s="10">
        <v>1796.0</v>
      </c>
      <c r="B1797" s="11" t="s">
        <v>1894</v>
      </c>
      <c r="C1797" s="10" t="s">
        <v>77</v>
      </c>
      <c r="D1797" s="10" t="s">
        <v>12</v>
      </c>
    </row>
    <row r="1798">
      <c r="A1798" s="10">
        <v>1797.0</v>
      </c>
      <c r="B1798" s="11" t="s">
        <v>1895</v>
      </c>
      <c r="C1798" s="10" t="s">
        <v>77</v>
      </c>
      <c r="D1798" s="10" t="s">
        <v>105</v>
      </c>
    </row>
    <row r="1799">
      <c r="A1799" s="10">
        <v>1798.0</v>
      </c>
      <c r="B1799" s="11" t="s">
        <v>1896</v>
      </c>
      <c r="C1799" s="10" t="s">
        <v>77</v>
      </c>
      <c r="D1799" s="10" t="s">
        <v>23</v>
      </c>
    </row>
    <row r="1800">
      <c r="A1800" s="10">
        <v>1799.0</v>
      </c>
      <c r="B1800" s="11" t="s">
        <v>1897</v>
      </c>
      <c r="C1800" s="10" t="s">
        <v>220</v>
      </c>
      <c r="D1800" s="10" t="s">
        <v>25</v>
      </c>
    </row>
    <row r="1801">
      <c r="A1801" s="10">
        <v>1800.0</v>
      </c>
      <c r="B1801" s="11" t="s">
        <v>1898</v>
      </c>
      <c r="C1801" s="10" t="s">
        <v>22</v>
      </c>
      <c r="D1801" s="10" t="s">
        <v>122</v>
      </c>
    </row>
    <row r="1802">
      <c r="A1802" s="10">
        <v>1801.0</v>
      </c>
      <c r="B1802" s="11" t="s">
        <v>1899</v>
      </c>
      <c r="C1802" s="10" t="s">
        <v>619</v>
      </c>
      <c r="D1802" s="10" t="s">
        <v>9</v>
      </c>
    </row>
    <row r="1803">
      <c r="A1803" s="10">
        <v>1802.0</v>
      </c>
      <c r="B1803" s="11" t="s">
        <v>1900</v>
      </c>
      <c r="C1803" s="10" t="s">
        <v>1814</v>
      </c>
      <c r="D1803" s="10" t="s">
        <v>85</v>
      </c>
    </row>
    <row r="1804">
      <c r="A1804" s="10">
        <v>1803.0</v>
      </c>
      <c r="B1804" s="11" t="s">
        <v>1901</v>
      </c>
      <c r="C1804" s="10" t="s">
        <v>22</v>
      </c>
      <c r="D1804" s="10" t="s">
        <v>71</v>
      </c>
    </row>
    <row r="1805">
      <c r="A1805" s="10">
        <v>1804.0</v>
      </c>
      <c r="B1805" s="11" t="s">
        <v>1902</v>
      </c>
      <c r="C1805" s="10" t="s">
        <v>77</v>
      </c>
      <c r="D1805" s="10" t="s">
        <v>122</v>
      </c>
    </row>
    <row r="1806">
      <c r="A1806" s="10">
        <v>1805.0</v>
      </c>
      <c r="B1806" s="11" t="s">
        <v>1903</v>
      </c>
      <c r="C1806" s="10" t="s">
        <v>55</v>
      </c>
      <c r="D1806" s="10" t="s">
        <v>49</v>
      </c>
    </row>
    <row r="1807">
      <c r="A1807" s="10">
        <v>1806.0</v>
      </c>
      <c r="B1807" s="11" t="s">
        <v>1904</v>
      </c>
      <c r="C1807" s="10" t="s">
        <v>346</v>
      </c>
      <c r="D1807" s="10" t="s">
        <v>129</v>
      </c>
    </row>
    <row r="1808">
      <c r="A1808" s="10">
        <v>1807.0</v>
      </c>
      <c r="B1808" s="11" t="s">
        <v>1905</v>
      </c>
      <c r="C1808" s="10" t="s">
        <v>22</v>
      </c>
      <c r="D1808" s="10" t="s">
        <v>46</v>
      </c>
    </row>
    <row r="1809">
      <c r="A1809" s="10">
        <v>1808.0</v>
      </c>
      <c r="B1809" s="11" t="s">
        <v>1906</v>
      </c>
      <c r="C1809" s="10" t="s">
        <v>48</v>
      </c>
      <c r="D1809" s="10" t="s">
        <v>36</v>
      </c>
    </row>
    <row r="1810">
      <c r="A1810" s="10">
        <v>1809.0</v>
      </c>
      <c r="B1810" s="11" t="s">
        <v>1907</v>
      </c>
      <c r="C1810" s="10" t="s">
        <v>240</v>
      </c>
      <c r="D1810" s="10" t="s">
        <v>23</v>
      </c>
    </row>
    <row r="1811">
      <c r="A1811" s="10">
        <v>1810.0</v>
      </c>
      <c r="B1811" s="11" t="s">
        <v>1908</v>
      </c>
      <c r="C1811" s="10" t="s">
        <v>39</v>
      </c>
      <c r="D1811" s="10" t="s">
        <v>36</v>
      </c>
    </row>
    <row r="1812">
      <c r="A1812" s="10">
        <v>1811.0</v>
      </c>
      <c r="B1812" s="11" t="s">
        <v>1909</v>
      </c>
      <c r="C1812" s="10" t="s">
        <v>218</v>
      </c>
      <c r="D1812" s="10" t="s">
        <v>15</v>
      </c>
    </row>
    <row r="1813">
      <c r="A1813" s="10">
        <v>1812.0</v>
      </c>
      <c r="B1813" s="11" t="s">
        <v>1910</v>
      </c>
      <c r="C1813" s="10" t="s">
        <v>77</v>
      </c>
      <c r="D1813" s="10" t="s">
        <v>34</v>
      </c>
    </row>
    <row r="1814">
      <c r="A1814" s="10">
        <v>1813.0</v>
      </c>
      <c r="B1814" s="11" t="s">
        <v>1911</v>
      </c>
      <c r="C1814" s="10" t="s">
        <v>77</v>
      </c>
      <c r="D1814" s="10" t="s">
        <v>71</v>
      </c>
    </row>
    <row r="1815">
      <c r="A1815" s="10">
        <v>1814.0</v>
      </c>
      <c r="B1815" s="11" t="s">
        <v>1912</v>
      </c>
      <c r="C1815" s="10" t="s">
        <v>69</v>
      </c>
      <c r="D1815" s="10" t="s">
        <v>67</v>
      </c>
    </row>
    <row r="1816">
      <c r="A1816" s="10">
        <v>1815.0</v>
      </c>
      <c r="B1816" s="11" t="s">
        <v>1913</v>
      </c>
      <c r="C1816" s="10" t="s">
        <v>22</v>
      </c>
      <c r="D1816" s="10" t="s">
        <v>73</v>
      </c>
    </row>
    <row r="1817">
      <c r="A1817" s="10">
        <v>1816.0</v>
      </c>
      <c r="B1817" s="11" t="s">
        <v>1914</v>
      </c>
      <c r="C1817" s="10" t="s">
        <v>262</v>
      </c>
      <c r="D1817" s="10" t="s">
        <v>120</v>
      </c>
    </row>
    <row r="1818">
      <c r="A1818" s="10">
        <v>1817.0</v>
      </c>
      <c r="B1818" s="11" t="s">
        <v>1915</v>
      </c>
      <c r="C1818" s="10" t="s">
        <v>1839</v>
      </c>
      <c r="D1818" s="10" t="s">
        <v>9</v>
      </c>
    </row>
    <row r="1819">
      <c r="A1819" s="10">
        <v>1818.0</v>
      </c>
      <c r="B1819" s="11" t="s">
        <v>1916</v>
      </c>
      <c r="C1819" s="10" t="s">
        <v>55</v>
      </c>
      <c r="D1819" s="10" t="s">
        <v>23</v>
      </c>
    </row>
    <row r="1820">
      <c r="A1820" s="10">
        <v>1819.0</v>
      </c>
      <c r="B1820" s="11" t="s">
        <v>1917</v>
      </c>
      <c r="C1820" s="10" t="s">
        <v>1918</v>
      </c>
      <c r="D1820" s="10" t="s">
        <v>85</v>
      </c>
    </row>
    <row r="1821">
      <c r="A1821" s="10">
        <v>1820.0</v>
      </c>
      <c r="B1821" s="11" t="s">
        <v>1919</v>
      </c>
      <c r="C1821" s="10" t="s">
        <v>39</v>
      </c>
      <c r="D1821" s="10" t="s">
        <v>71</v>
      </c>
    </row>
    <row r="1822">
      <c r="A1822" s="10">
        <v>1821.0</v>
      </c>
      <c r="B1822" s="11" t="s">
        <v>1920</v>
      </c>
      <c r="C1822" s="10" t="s">
        <v>77</v>
      </c>
      <c r="D1822" s="10" t="s">
        <v>49</v>
      </c>
    </row>
    <row r="1823">
      <c r="A1823" s="10">
        <v>1822.0</v>
      </c>
      <c r="B1823" s="11" t="s">
        <v>1921</v>
      </c>
      <c r="C1823" s="10" t="s">
        <v>77</v>
      </c>
      <c r="D1823" s="10" t="s">
        <v>113</v>
      </c>
    </row>
    <row r="1824">
      <c r="A1824" s="10">
        <v>1823.0</v>
      </c>
      <c r="B1824" s="11" t="s">
        <v>1922</v>
      </c>
      <c r="C1824" s="10" t="s">
        <v>69</v>
      </c>
      <c r="D1824" s="10" t="s">
        <v>99</v>
      </c>
    </row>
    <row r="1825">
      <c r="A1825" s="10">
        <v>1824.0</v>
      </c>
      <c r="B1825" s="11" t="s">
        <v>1923</v>
      </c>
      <c r="C1825" s="10" t="s">
        <v>220</v>
      </c>
      <c r="D1825" s="10" t="s">
        <v>95</v>
      </c>
    </row>
    <row r="1826">
      <c r="A1826" s="10">
        <v>1825.0</v>
      </c>
      <c r="B1826" s="11" t="s">
        <v>1924</v>
      </c>
      <c r="C1826" s="10" t="s">
        <v>220</v>
      </c>
      <c r="D1826" s="10" t="s">
        <v>73</v>
      </c>
    </row>
    <row r="1827">
      <c r="A1827" s="10">
        <v>1826.0</v>
      </c>
      <c r="B1827" s="11" t="s">
        <v>1925</v>
      </c>
      <c r="C1827" s="10" t="s">
        <v>22</v>
      </c>
      <c r="D1827" s="10" t="s">
        <v>206</v>
      </c>
    </row>
    <row r="1828">
      <c r="A1828" s="10">
        <v>1827.0</v>
      </c>
      <c r="B1828" s="11" t="s">
        <v>1926</v>
      </c>
      <c r="C1828" s="10" t="s">
        <v>11</v>
      </c>
      <c r="D1828" s="10" t="s">
        <v>18</v>
      </c>
    </row>
    <row r="1829">
      <c r="A1829" s="10">
        <v>1828.0</v>
      </c>
      <c r="B1829" s="11" t="s">
        <v>1927</v>
      </c>
      <c r="C1829" s="10" t="s">
        <v>77</v>
      </c>
      <c r="D1829" s="10" t="s">
        <v>12</v>
      </c>
    </row>
    <row r="1830">
      <c r="A1830" s="10">
        <v>1829.0</v>
      </c>
      <c r="B1830" s="11" t="s">
        <v>1928</v>
      </c>
      <c r="C1830" s="10" t="s">
        <v>1868</v>
      </c>
      <c r="D1830" s="10" t="s">
        <v>34</v>
      </c>
    </row>
    <row r="1831">
      <c r="A1831" s="10">
        <v>1830.0</v>
      </c>
      <c r="B1831" s="11" t="s">
        <v>1929</v>
      </c>
      <c r="C1831" s="10" t="s">
        <v>17</v>
      </c>
      <c r="D1831" s="10" t="s">
        <v>82</v>
      </c>
    </row>
    <row r="1832">
      <c r="A1832" s="10">
        <v>1831.0</v>
      </c>
      <c r="B1832" s="11" t="s">
        <v>1930</v>
      </c>
      <c r="C1832" s="10" t="s">
        <v>8</v>
      </c>
      <c r="D1832" s="10" t="s">
        <v>206</v>
      </c>
    </row>
    <row r="1833">
      <c r="A1833" s="10">
        <v>1832.0</v>
      </c>
      <c r="B1833" s="11" t="s">
        <v>1931</v>
      </c>
      <c r="C1833" s="10" t="s">
        <v>11</v>
      </c>
      <c r="D1833" s="10" t="s">
        <v>71</v>
      </c>
    </row>
    <row r="1834">
      <c r="A1834" s="10">
        <v>1833.0</v>
      </c>
      <c r="B1834" s="11" t="s">
        <v>1932</v>
      </c>
      <c r="C1834" s="10" t="s">
        <v>63</v>
      </c>
      <c r="D1834" s="10" t="s">
        <v>113</v>
      </c>
    </row>
    <row r="1835">
      <c r="A1835" s="10">
        <v>1834.0</v>
      </c>
      <c r="B1835" s="11" t="s">
        <v>1933</v>
      </c>
      <c r="C1835" s="10" t="s">
        <v>753</v>
      </c>
      <c r="D1835" s="10" t="s">
        <v>23</v>
      </c>
    </row>
    <row r="1836">
      <c r="A1836" s="10">
        <v>1835.0</v>
      </c>
      <c r="B1836" s="11" t="s">
        <v>1934</v>
      </c>
      <c r="C1836" s="10" t="s">
        <v>39</v>
      </c>
      <c r="D1836" s="10" t="s">
        <v>27</v>
      </c>
    </row>
    <row r="1837">
      <c r="A1837" s="10">
        <v>1836.0</v>
      </c>
      <c r="B1837" s="11" t="s">
        <v>1935</v>
      </c>
      <c r="C1837" s="10" t="s">
        <v>33</v>
      </c>
      <c r="D1837" s="10" t="s">
        <v>73</v>
      </c>
    </row>
    <row r="1838">
      <c r="A1838" s="10">
        <v>1837.0</v>
      </c>
      <c r="B1838" s="11" t="s">
        <v>1936</v>
      </c>
      <c r="C1838" s="10" t="s">
        <v>220</v>
      </c>
      <c r="D1838" s="10" t="s">
        <v>122</v>
      </c>
    </row>
    <row r="1839">
      <c r="A1839" s="10">
        <v>1838.0</v>
      </c>
      <c r="B1839" s="11" t="s">
        <v>1937</v>
      </c>
      <c r="C1839" s="10" t="s">
        <v>1938</v>
      </c>
      <c r="D1839" s="10" t="s">
        <v>137</v>
      </c>
    </row>
    <row r="1840">
      <c r="A1840" s="10">
        <v>1839.0</v>
      </c>
      <c r="B1840" s="11" t="s">
        <v>1939</v>
      </c>
      <c r="C1840" s="10" t="s">
        <v>77</v>
      </c>
      <c r="D1840" s="10" t="s">
        <v>46</v>
      </c>
    </row>
    <row r="1841">
      <c r="A1841" s="10">
        <v>1840.0</v>
      </c>
      <c r="B1841" s="11" t="s">
        <v>1940</v>
      </c>
      <c r="C1841" s="10" t="s">
        <v>240</v>
      </c>
      <c r="D1841" s="10" t="s">
        <v>206</v>
      </c>
    </row>
    <row r="1842">
      <c r="A1842" s="10">
        <v>1841.0</v>
      </c>
      <c r="B1842" s="11" t="s">
        <v>1941</v>
      </c>
      <c r="C1842" s="10" t="s">
        <v>262</v>
      </c>
      <c r="D1842" s="10" t="s">
        <v>129</v>
      </c>
    </row>
    <row r="1843">
      <c r="A1843" s="10">
        <v>1842.0</v>
      </c>
      <c r="B1843" s="11" t="s">
        <v>1942</v>
      </c>
      <c r="C1843" s="10" t="s">
        <v>55</v>
      </c>
      <c r="D1843" s="10" t="s">
        <v>95</v>
      </c>
    </row>
    <row r="1844">
      <c r="A1844" s="10">
        <v>1843.0</v>
      </c>
      <c r="B1844" s="11" t="s">
        <v>1943</v>
      </c>
      <c r="C1844" s="10" t="s">
        <v>22</v>
      </c>
      <c r="D1844" s="10" t="s">
        <v>67</v>
      </c>
    </row>
    <row r="1845">
      <c r="A1845" s="10">
        <v>1844.0</v>
      </c>
      <c r="B1845" s="11" t="s">
        <v>1944</v>
      </c>
      <c r="C1845" s="10" t="s">
        <v>8</v>
      </c>
      <c r="D1845" s="10" t="s">
        <v>31</v>
      </c>
    </row>
    <row r="1846">
      <c r="A1846" s="10">
        <v>1845.0</v>
      </c>
      <c r="B1846" s="11" t="s">
        <v>1945</v>
      </c>
      <c r="C1846" s="10" t="s">
        <v>136</v>
      </c>
      <c r="D1846" s="10" t="s">
        <v>23</v>
      </c>
    </row>
    <row r="1847">
      <c r="A1847" s="10">
        <v>1846.0</v>
      </c>
      <c r="B1847" s="11" t="s">
        <v>1946</v>
      </c>
      <c r="C1847" s="10" t="s">
        <v>1947</v>
      </c>
      <c r="D1847" s="10" t="s">
        <v>34</v>
      </c>
    </row>
    <row r="1848">
      <c r="A1848" s="10">
        <v>1847.0</v>
      </c>
      <c r="B1848" s="11" t="s">
        <v>1948</v>
      </c>
      <c r="C1848" s="10" t="s">
        <v>55</v>
      </c>
      <c r="D1848" s="10" t="s">
        <v>25</v>
      </c>
    </row>
    <row r="1849">
      <c r="A1849" s="10">
        <v>1848.0</v>
      </c>
      <c r="B1849" s="11" t="s">
        <v>1949</v>
      </c>
      <c r="C1849" s="10" t="s">
        <v>39</v>
      </c>
      <c r="D1849" s="10" t="s">
        <v>85</v>
      </c>
    </row>
    <row r="1850">
      <c r="A1850" s="10">
        <v>1849.0</v>
      </c>
      <c r="B1850" s="11" t="s">
        <v>1950</v>
      </c>
      <c r="C1850" s="10" t="s">
        <v>218</v>
      </c>
      <c r="D1850" s="10" t="s">
        <v>42</v>
      </c>
    </row>
    <row r="1851">
      <c r="A1851" s="10">
        <v>1850.0</v>
      </c>
      <c r="B1851" s="11" t="s">
        <v>1951</v>
      </c>
      <c r="C1851" s="10" t="s">
        <v>240</v>
      </c>
      <c r="D1851" s="10" t="s">
        <v>71</v>
      </c>
    </row>
    <row r="1852">
      <c r="A1852" s="10">
        <v>1851.0</v>
      </c>
      <c r="B1852" s="11" t="s">
        <v>1952</v>
      </c>
      <c r="C1852" s="10" t="s">
        <v>77</v>
      </c>
      <c r="D1852" s="10" t="s">
        <v>49</v>
      </c>
    </row>
    <row r="1853">
      <c r="A1853" s="10">
        <v>1852.0</v>
      </c>
      <c r="B1853" s="11" t="s">
        <v>1953</v>
      </c>
      <c r="C1853" s="10" t="s">
        <v>1954</v>
      </c>
      <c r="D1853" s="10" t="s">
        <v>31</v>
      </c>
    </row>
    <row r="1854">
      <c r="A1854" s="10">
        <v>1853.0</v>
      </c>
      <c r="B1854" s="11" t="s">
        <v>1955</v>
      </c>
      <c r="C1854" s="10" t="s">
        <v>22</v>
      </c>
      <c r="D1854" s="10" t="s">
        <v>73</v>
      </c>
    </row>
    <row r="1855">
      <c r="A1855" s="10">
        <v>1854.0</v>
      </c>
      <c r="B1855" s="11" t="s">
        <v>1956</v>
      </c>
      <c r="C1855" s="10" t="s">
        <v>1954</v>
      </c>
      <c r="D1855" s="10" t="s">
        <v>42</v>
      </c>
    </row>
    <row r="1856">
      <c r="A1856" s="10">
        <v>1855.0</v>
      </c>
      <c r="B1856" s="11" t="s">
        <v>1957</v>
      </c>
      <c r="C1856" s="10" t="s">
        <v>220</v>
      </c>
      <c r="D1856" s="10" t="s">
        <v>12</v>
      </c>
    </row>
    <row r="1857">
      <c r="A1857" s="10">
        <v>1856.0</v>
      </c>
      <c r="B1857" s="11" t="s">
        <v>1958</v>
      </c>
      <c r="C1857" s="10" t="s">
        <v>346</v>
      </c>
      <c r="D1857" s="10" t="s">
        <v>73</v>
      </c>
    </row>
    <row r="1858">
      <c r="A1858" s="10">
        <v>1857.0</v>
      </c>
      <c r="B1858" s="11" t="s">
        <v>1959</v>
      </c>
      <c r="C1858" s="10" t="s">
        <v>283</v>
      </c>
      <c r="D1858" s="10" t="s">
        <v>36</v>
      </c>
    </row>
    <row r="1859">
      <c r="A1859" s="10">
        <v>1858.0</v>
      </c>
      <c r="B1859" s="11" t="s">
        <v>1960</v>
      </c>
      <c r="C1859" s="10" t="s">
        <v>39</v>
      </c>
      <c r="D1859" s="10" t="s">
        <v>67</v>
      </c>
    </row>
    <row r="1860">
      <c r="A1860" s="10">
        <v>1859.0</v>
      </c>
      <c r="B1860" s="11" t="s">
        <v>1961</v>
      </c>
      <c r="C1860" s="10" t="s">
        <v>17</v>
      </c>
      <c r="D1860" s="10" t="s">
        <v>82</v>
      </c>
    </row>
    <row r="1861">
      <c r="A1861" s="10">
        <v>1860.0</v>
      </c>
      <c r="B1861" s="11" t="s">
        <v>1962</v>
      </c>
      <c r="C1861" s="10" t="s">
        <v>48</v>
      </c>
      <c r="D1861" s="10" t="s">
        <v>18</v>
      </c>
    </row>
    <row r="1862">
      <c r="A1862" s="10">
        <v>1861.0</v>
      </c>
      <c r="B1862" s="11" t="s">
        <v>1963</v>
      </c>
      <c r="C1862" s="10" t="s">
        <v>39</v>
      </c>
      <c r="D1862" s="10" t="s">
        <v>23</v>
      </c>
    </row>
    <row r="1863">
      <c r="A1863" s="10">
        <v>1862.0</v>
      </c>
      <c r="B1863" s="11" t="s">
        <v>1964</v>
      </c>
      <c r="C1863" s="10" t="s">
        <v>55</v>
      </c>
      <c r="D1863" s="10" t="s">
        <v>9</v>
      </c>
    </row>
    <row r="1864">
      <c r="A1864" s="10">
        <v>1863.0</v>
      </c>
      <c r="B1864" s="11" t="s">
        <v>1965</v>
      </c>
      <c r="C1864" s="10" t="s">
        <v>39</v>
      </c>
      <c r="D1864" s="10" t="s">
        <v>129</v>
      </c>
    </row>
    <row r="1865">
      <c r="A1865" s="10">
        <v>1864.0</v>
      </c>
      <c r="B1865" s="11" t="s">
        <v>1966</v>
      </c>
      <c r="C1865" s="10" t="s">
        <v>1938</v>
      </c>
      <c r="D1865" s="10" t="s">
        <v>46</v>
      </c>
    </row>
    <row r="1866">
      <c r="A1866" s="10">
        <v>1865.0</v>
      </c>
      <c r="B1866" s="11" t="s">
        <v>1967</v>
      </c>
      <c r="C1866" s="10" t="s">
        <v>77</v>
      </c>
      <c r="D1866" s="10" t="s">
        <v>36</v>
      </c>
    </row>
    <row r="1867">
      <c r="A1867" s="10">
        <v>1866.0</v>
      </c>
      <c r="B1867" s="11" t="s">
        <v>1968</v>
      </c>
      <c r="C1867" s="10" t="s">
        <v>63</v>
      </c>
      <c r="D1867" s="10" t="s">
        <v>67</v>
      </c>
    </row>
    <row r="1868">
      <c r="A1868" s="10">
        <v>1867.0</v>
      </c>
      <c r="B1868" s="11" t="s">
        <v>1969</v>
      </c>
      <c r="C1868" s="10" t="s">
        <v>69</v>
      </c>
      <c r="D1868" s="10" t="s">
        <v>99</v>
      </c>
    </row>
    <row r="1869">
      <c r="A1869" s="10">
        <v>1868.0</v>
      </c>
      <c r="B1869" s="11" t="s">
        <v>1970</v>
      </c>
      <c r="C1869" s="10" t="s">
        <v>218</v>
      </c>
      <c r="D1869" s="10" t="s">
        <v>71</v>
      </c>
    </row>
    <row r="1870">
      <c r="A1870" s="10">
        <v>1869.0</v>
      </c>
      <c r="B1870" s="11" t="s">
        <v>1971</v>
      </c>
      <c r="C1870" s="10" t="s">
        <v>14</v>
      </c>
      <c r="D1870" s="10" t="s">
        <v>34</v>
      </c>
    </row>
    <row r="1871">
      <c r="A1871" s="10">
        <v>1870.0</v>
      </c>
      <c r="B1871" s="11" t="s">
        <v>1972</v>
      </c>
      <c r="C1871" s="10" t="s">
        <v>69</v>
      </c>
      <c r="D1871" s="10" t="s">
        <v>25</v>
      </c>
    </row>
    <row r="1872">
      <c r="A1872" s="10">
        <v>1871.0</v>
      </c>
      <c r="B1872" s="11" t="s">
        <v>1973</v>
      </c>
      <c r="C1872" s="10" t="s">
        <v>77</v>
      </c>
      <c r="D1872" s="10" t="s">
        <v>73</v>
      </c>
    </row>
    <row r="1873">
      <c r="A1873" s="10">
        <v>1872.0</v>
      </c>
      <c r="B1873" s="11" t="s">
        <v>1974</v>
      </c>
      <c r="C1873" s="10" t="s">
        <v>17</v>
      </c>
      <c r="D1873" s="10" t="s">
        <v>137</v>
      </c>
    </row>
    <row r="1874">
      <c r="A1874" s="10">
        <v>1873.0</v>
      </c>
      <c r="B1874" s="11" t="s">
        <v>1975</v>
      </c>
      <c r="C1874" s="10" t="s">
        <v>22</v>
      </c>
      <c r="D1874" s="10" t="s">
        <v>137</v>
      </c>
    </row>
    <row r="1875">
      <c r="A1875" s="10">
        <v>1874.0</v>
      </c>
      <c r="B1875" s="11" t="s">
        <v>1976</v>
      </c>
      <c r="C1875" s="10" t="s">
        <v>136</v>
      </c>
      <c r="D1875" s="10" t="s">
        <v>95</v>
      </c>
    </row>
    <row r="1876">
      <c r="A1876" s="10">
        <v>1875.0</v>
      </c>
      <c r="B1876" s="11" t="s">
        <v>1977</v>
      </c>
      <c r="C1876" s="10" t="s">
        <v>17</v>
      </c>
      <c r="D1876" s="10" t="s">
        <v>52</v>
      </c>
    </row>
    <row r="1877">
      <c r="A1877" s="10">
        <v>1876.0</v>
      </c>
      <c r="B1877" s="11" t="s">
        <v>1978</v>
      </c>
      <c r="C1877" s="10" t="s">
        <v>150</v>
      </c>
      <c r="D1877" s="10" t="s">
        <v>27</v>
      </c>
    </row>
    <row r="1878">
      <c r="A1878" s="10">
        <v>1877.0</v>
      </c>
      <c r="B1878" s="11" t="s">
        <v>1979</v>
      </c>
      <c r="C1878" s="10" t="s">
        <v>20</v>
      </c>
      <c r="D1878" s="10" t="s">
        <v>85</v>
      </c>
    </row>
    <row r="1879">
      <c r="A1879" s="10">
        <v>1878.0</v>
      </c>
      <c r="B1879" s="11" t="s">
        <v>1980</v>
      </c>
      <c r="C1879" s="10" t="s">
        <v>176</v>
      </c>
      <c r="D1879" s="10" t="s">
        <v>71</v>
      </c>
    </row>
    <row r="1880">
      <c r="A1880" s="10">
        <v>1879.0</v>
      </c>
      <c r="B1880" s="11" t="s">
        <v>1981</v>
      </c>
      <c r="C1880" s="10" t="s">
        <v>11</v>
      </c>
      <c r="D1880" s="10" t="s">
        <v>73</v>
      </c>
    </row>
    <row r="1881">
      <c r="A1881" s="10">
        <v>1880.0</v>
      </c>
      <c r="B1881" s="11" t="s">
        <v>1982</v>
      </c>
      <c r="C1881" s="10" t="s">
        <v>189</v>
      </c>
      <c r="D1881" s="10" t="s">
        <v>85</v>
      </c>
    </row>
    <row r="1882">
      <c r="A1882" s="10">
        <v>1881.0</v>
      </c>
      <c r="B1882" s="11" t="s">
        <v>1983</v>
      </c>
      <c r="C1882" s="10" t="s">
        <v>218</v>
      </c>
      <c r="D1882" s="10" t="s">
        <v>99</v>
      </c>
    </row>
    <row r="1883">
      <c r="A1883" s="10">
        <v>1882.0</v>
      </c>
      <c r="B1883" s="11" t="s">
        <v>1984</v>
      </c>
      <c r="C1883" s="10" t="s">
        <v>39</v>
      </c>
      <c r="D1883" s="10" t="s">
        <v>85</v>
      </c>
    </row>
    <row r="1884">
      <c r="A1884" s="10">
        <v>1883.0</v>
      </c>
      <c r="B1884" s="11" t="s">
        <v>1985</v>
      </c>
      <c r="C1884" s="10" t="s">
        <v>17</v>
      </c>
      <c r="D1884" s="10" t="s">
        <v>52</v>
      </c>
    </row>
    <row r="1885">
      <c r="A1885" s="10">
        <v>1884.0</v>
      </c>
      <c r="B1885" s="11" t="s">
        <v>1986</v>
      </c>
      <c r="C1885" s="10" t="s">
        <v>355</v>
      </c>
      <c r="D1885" s="10" t="s">
        <v>36</v>
      </c>
    </row>
    <row r="1886">
      <c r="A1886" s="10">
        <v>1885.0</v>
      </c>
      <c r="B1886" s="11" t="s">
        <v>1987</v>
      </c>
      <c r="C1886" s="10" t="s">
        <v>240</v>
      </c>
      <c r="D1886" s="10" t="s">
        <v>15</v>
      </c>
    </row>
    <row r="1887">
      <c r="A1887" s="10">
        <v>1886.0</v>
      </c>
      <c r="B1887" s="11" t="s">
        <v>1988</v>
      </c>
      <c r="C1887" s="10" t="s">
        <v>77</v>
      </c>
      <c r="D1887" s="10" t="s">
        <v>113</v>
      </c>
    </row>
    <row r="1888">
      <c r="A1888" s="10">
        <v>1887.0</v>
      </c>
      <c r="B1888" s="11" t="s">
        <v>1989</v>
      </c>
      <c r="C1888" s="10" t="s">
        <v>220</v>
      </c>
      <c r="D1888" s="10" t="s">
        <v>113</v>
      </c>
    </row>
    <row r="1889">
      <c r="A1889" s="10">
        <v>1888.0</v>
      </c>
      <c r="B1889" s="11" t="s">
        <v>1990</v>
      </c>
      <c r="C1889" s="10" t="s">
        <v>63</v>
      </c>
      <c r="D1889" s="10" t="s">
        <v>105</v>
      </c>
    </row>
    <row r="1890">
      <c r="A1890" s="10">
        <v>1889.0</v>
      </c>
      <c r="B1890" s="11" t="s">
        <v>1991</v>
      </c>
      <c r="C1890" s="10" t="s">
        <v>11</v>
      </c>
      <c r="D1890" s="10" t="s">
        <v>25</v>
      </c>
    </row>
    <row r="1891">
      <c r="A1891" s="10">
        <v>1890.0</v>
      </c>
      <c r="B1891" s="11" t="s">
        <v>1992</v>
      </c>
      <c r="C1891" s="10" t="s">
        <v>14</v>
      </c>
      <c r="D1891" s="10" t="s">
        <v>90</v>
      </c>
    </row>
    <row r="1892">
      <c r="A1892" s="10">
        <v>1891.0</v>
      </c>
      <c r="B1892" s="11" t="s">
        <v>1993</v>
      </c>
      <c r="C1892" s="10" t="s">
        <v>77</v>
      </c>
      <c r="D1892" s="10" t="s">
        <v>85</v>
      </c>
    </row>
    <row r="1893">
      <c r="A1893" s="10">
        <v>1892.0</v>
      </c>
      <c r="B1893" s="11" t="s">
        <v>1994</v>
      </c>
      <c r="C1893" s="10" t="s">
        <v>17</v>
      </c>
      <c r="D1893" s="10" t="s">
        <v>34</v>
      </c>
    </row>
    <row r="1894">
      <c r="A1894" s="10">
        <v>1893.0</v>
      </c>
      <c r="B1894" s="11" t="s">
        <v>1995</v>
      </c>
      <c r="C1894" s="10" t="s">
        <v>77</v>
      </c>
      <c r="D1894" s="10" t="s">
        <v>46</v>
      </c>
    </row>
    <row r="1895">
      <c r="A1895" s="10">
        <v>1894.0</v>
      </c>
      <c r="B1895" s="11" t="s">
        <v>1996</v>
      </c>
      <c r="C1895" s="10" t="s">
        <v>77</v>
      </c>
      <c r="D1895" s="10" t="s">
        <v>15</v>
      </c>
    </row>
    <row r="1896">
      <c r="A1896" s="10">
        <v>1895.0</v>
      </c>
      <c r="B1896" s="11" t="s">
        <v>1997</v>
      </c>
      <c r="C1896" s="10" t="s">
        <v>55</v>
      </c>
      <c r="D1896" s="10" t="s">
        <v>18</v>
      </c>
    </row>
    <row r="1897">
      <c r="A1897" s="10">
        <v>1896.0</v>
      </c>
      <c r="B1897" s="11" t="s">
        <v>1998</v>
      </c>
      <c r="C1897" s="10" t="s">
        <v>176</v>
      </c>
      <c r="D1897" s="10" t="s">
        <v>12</v>
      </c>
    </row>
    <row r="1898">
      <c r="A1898" s="10">
        <v>1897.0</v>
      </c>
      <c r="B1898" s="11" t="s">
        <v>1999</v>
      </c>
      <c r="C1898" s="10" t="s">
        <v>11</v>
      </c>
      <c r="D1898" s="10" t="s">
        <v>67</v>
      </c>
    </row>
    <row r="1899">
      <c r="A1899" s="10">
        <v>1898.0</v>
      </c>
      <c r="B1899" s="11" t="s">
        <v>2000</v>
      </c>
      <c r="C1899" s="10" t="s">
        <v>77</v>
      </c>
      <c r="D1899" s="10" t="s">
        <v>67</v>
      </c>
    </row>
    <row r="1900">
      <c r="A1900" s="10">
        <v>1899.0</v>
      </c>
      <c r="B1900" s="11" t="s">
        <v>2001</v>
      </c>
      <c r="C1900" s="10" t="s">
        <v>240</v>
      </c>
      <c r="D1900" s="10" t="s">
        <v>18</v>
      </c>
    </row>
    <row r="1901">
      <c r="A1901" s="10">
        <v>1900.0</v>
      </c>
      <c r="B1901" s="11" t="s">
        <v>2002</v>
      </c>
      <c r="C1901" s="10" t="s">
        <v>240</v>
      </c>
      <c r="D1901" s="10" t="s">
        <v>12</v>
      </c>
    </row>
    <row r="1902">
      <c r="A1902" s="10">
        <v>1901.0</v>
      </c>
      <c r="B1902" s="11" t="s">
        <v>2003</v>
      </c>
      <c r="C1902" s="10" t="s">
        <v>33</v>
      </c>
      <c r="D1902" s="10" t="s">
        <v>120</v>
      </c>
    </row>
    <row r="1903">
      <c r="A1903" s="10">
        <v>1902.0</v>
      </c>
      <c r="B1903" s="11" t="s">
        <v>2004</v>
      </c>
      <c r="C1903" s="10" t="s">
        <v>220</v>
      </c>
      <c r="D1903" s="10" t="s">
        <v>73</v>
      </c>
    </row>
    <row r="1904">
      <c r="A1904" s="10">
        <v>1903.0</v>
      </c>
      <c r="B1904" s="11" t="s">
        <v>2005</v>
      </c>
      <c r="C1904" s="10" t="s">
        <v>8</v>
      </c>
      <c r="D1904" s="10" t="s">
        <v>42</v>
      </c>
    </row>
    <row r="1905">
      <c r="A1905" s="10">
        <v>1904.0</v>
      </c>
      <c r="B1905" s="11" t="s">
        <v>2006</v>
      </c>
      <c r="C1905" s="10" t="s">
        <v>63</v>
      </c>
      <c r="D1905" s="10" t="s">
        <v>140</v>
      </c>
    </row>
    <row r="1906">
      <c r="A1906" s="10">
        <v>1905.0</v>
      </c>
      <c r="B1906" s="11" t="s">
        <v>2007</v>
      </c>
      <c r="C1906" s="10" t="s">
        <v>33</v>
      </c>
      <c r="D1906" s="10" t="s">
        <v>71</v>
      </c>
    </row>
    <row r="1907">
      <c r="A1907" s="10">
        <v>1906.0</v>
      </c>
      <c r="B1907" s="11" t="s">
        <v>2008</v>
      </c>
      <c r="C1907" s="10" t="s">
        <v>77</v>
      </c>
      <c r="D1907" s="10" t="s">
        <v>18</v>
      </c>
    </row>
    <row r="1908">
      <c r="A1908" s="10">
        <v>1907.0</v>
      </c>
      <c r="B1908" s="11" t="s">
        <v>2009</v>
      </c>
      <c r="C1908" s="10" t="s">
        <v>20</v>
      </c>
      <c r="D1908" s="10" t="s">
        <v>49</v>
      </c>
    </row>
    <row r="1909">
      <c r="A1909" s="10">
        <v>1908.0</v>
      </c>
      <c r="B1909" s="11" t="s">
        <v>2010</v>
      </c>
      <c r="C1909" s="10" t="s">
        <v>39</v>
      </c>
      <c r="D1909" s="10" t="s">
        <v>25</v>
      </c>
    </row>
    <row r="1910">
      <c r="A1910" s="10">
        <v>1909.0</v>
      </c>
      <c r="B1910" s="11" t="s">
        <v>2011</v>
      </c>
      <c r="C1910" s="10" t="s">
        <v>77</v>
      </c>
      <c r="D1910" s="10" t="s">
        <v>206</v>
      </c>
    </row>
    <row r="1911">
      <c r="A1911" s="10">
        <v>1910.0</v>
      </c>
      <c r="B1911" s="11" t="s">
        <v>2012</v>
      </c>
      <c r="C1911" s="10" t="s">
        <v>283</v>
      </c>
      <c r="D1911" s="10" t="s">
        <v>137</v>
      </c>
    </row>
    <row r="1912">
      <c r="A1912" s="10">
        <v>1911.0</v>
      </c>
      <c r="B1912" s="11" t="s">
        <v>2013</v>
      </c>
      <c r="C1912" s="10" t="s">
        <v>33</v>
      </c>
      <c r="D1912" s="10" t="s">
        <v>73</v>
      </c>
    </row>
    <row r="1913">
      <c r="A1913" s="10">
        <v>1912.0</v>
      </c>
      <c r="B1913" s="11" t="s">
        <v>2014</v>
      </c>
      <c r="C1913" s="10" t="s">
        <v>22</v>
      </c>
      <c r="D1913" s="10" t="s">
        <v>137</v>
      </c>
    </row>
    <row r="1914">
      <c r="A1914" s="10">
        <v>1913.0</v>
      </c>
      <c r="B1914" s="11" t="s">
        <v>2015</v>
      </c>
      <c r="C1914" s="10" t="s">
        <v>77</v>
      </c>
      <c r="D1914" s="10" t="s">
        <v>34</v>
      </c>
    </row>
    <row r="1915">
      <c r="A1915" s="10">
        <v>1914.0</v>
      </c>
      <c r="B1915" s="11" t="s">
        <v>2016</v>
      </c>
      <c r="C1915" s="10" t="s">
        <v>33</v>
      </c>
      <c r="D1915" s="10" t="s">
        <v>12</v>
      </c>
    </row>
    <row r="1916">
      <c r="A1916" s="10">
        <v>1915.0</v>
      </c>
      <c r="B1916" s="11" t="s">
        <v>2017</v>
      </c>
      <c r="C1916" s="10" t="s">
        <v>11</v>
      </c>
      <c r="D1916" s="10" t="s">
        <v>122</v>
      </c>
    </row>
    <row r="1917">
      <c r="A1917" s="10">
        <v>1916.0</v>
      </c>
      <c r="B1917" s="11" t="s">
        <v>2018</v>
      </c>
      <c r="C1917" s="10" t="s">
        <v>48</v>
      </c>
      <c r="D1917" s="10" t="s">
        <v>105</v>
      </c>
    </row>
    <row r="1918">
      <c r="A1918" s="10">
        <v>1917.0</v>
      </c>
      <c r="B1918" s="11" t="s">
        <v>2019</v>
      </c>
      <c r="C1918" s="10" t="s">
        <v>14</v>
      </c>
      <c r="D1918" s="10" t="s">
        <v>113</v>
      </c>
    </row>
    <row r="1919">
      <c r="A1919" s="10">
        <v>1918.0</v>
      </c>
      <c r="B1919" s="11" t="s">
        <v>2020</v>
      </c>
      <c r="C1919" s="10" t="s">
        <v>240</v>
      </c>
      <c r="D1919" s="10" t="s">
        <v>85</v>
      </c>
    </row>
    <row r="1920">
      <c r="A1920" s="10">
        <v>1919.0</v>
      </c>
      <c r="B1920" s="11" t="s">
        <v>2021</v>
      </c>
      <c r="C1920" s="10" t="s">
        <v>77</v>
      </c>
      <c r="D1920" s="10" t="s">
        <v>18</v>
      </c>
    </row>
    <row r="1921">
      <c r="A1921" s="10">
        <v>1920.0</v>
      </c>
      <c r="B1921" s="11" t="s">
        <v>2022</v>
      </c>
      <c r="C1921" s="10" t="s">
        <v>48</v>
      </c>
      <c r="D1921" s="10" t="s">
        <v>49</v>
      </c>
    </row>
    <row r="1922">
      <c r="A1922" s="10">
        <v>1921.0</v>
      </c>
      <c r="B1922" s="11" t="s">
        <v>2023</v>
      </c>
      <c r="C1922" s="10" t="s">
        <v>20</v>
      </c>
      <c r="D1922" s="10" t="s">
        <v>95</v>
      </c>
    </row>
    <row r="1923">
      <c r="A1923" s="10">
        <v>1922.0</v>
      </c>
      <c r="B1923" s="11" t="s">
        <v>2024</v>
      </c>
      <c r="C1923" s="10" t="s">
        <v>77</v>
      </c>
      <c r="D1923" s="10" t="s">
        <v>140</v>
      </c>
    </row>
    <row r="1924">
      <c r="A1924" s="10">
        <v>1923.0</v>
      </c>
      <c r="B1924" s="11" t="s">
        <v>2025</v>
      </c>
      <c r="C1924" s="10" t="s">
        <v>17</v>
      </c>
      <c r="D1924" s="10" t="s">
        <v>206</v>
      </c>
    </row>
    <row r="1925">
      <c r="A1925" s="10">
        <v>1924.0</v>
      </c>
      <c r="B1925" s="11" t="s">
        <v>2026</v>
      </c>
      <c r="C1925" s="10" t="s">
        <v>139</v>
      </c>
      <c r="D1925" s="10" t="s">
        <v>31</v>
      </c>
    </row>
    <row r="1926">
      <c r="A1926" s="10">
        <v>1925.0</v>
      </c>
      <c r="B1926" s="11" t="s">
        <v>2027</v>
      </c>
      <c r="C1926" s="10" t="s">
        <v>77</v>
      </c>
      <c r="D1926" s="10" t="s">
        <v>49</v>
      </c>
    </row>
    <row r="1927">
      <c r="A1927" s="10">
        <v>1926.0</v>
      </c>
      <c r="B1927" s="11" t="s">
        <v>2028</v>
      </c>
      <c r="C1927" s="10" t="s">
        <v>20</v>
      </c>
      <c r="D1927" s="10" t="s">
        <v>46</v>
      </c>
    </row>
    <row r="1928">
      <c r="A1928" s="10">
        <v>1927.0</v>
      </c>
      <c r="B1928" s="11" t="s">
        <v>2029</v>
      </c>
      <c r="C1928" s="10" t="s">
        <v>77</v>
      </c>
      <c r="D1928" s="10" t="s">
        <v>18</v>
      </c>
    </row>
    <row r="1929">
      <c r="A1929" s="10">
        <v>1928.0</v>
      </c>
      <c r="B1929" s="11" t="s">
        <v>2030</v>
      </c>
      <c r="C1929" s="10" t="s">
        <v>17</v>
      </c>
      <c r="D1929" s="10" t="s">
        <v>31</v>
      </c>
    </row>
    <row r="1930">
      <c r="A1930" s="10">
        <v>1929.0</v>
      </c>
      <c r="B1930" s="11" t="s">
        <v>2031</v>
      </c>
      <c r="C1930" s="10" t="s">
        <v>77</v>
      </c>
      <c r="D1930" s="10" t="s">
        <v>31</v>
      </c>
    </row>
    <row r="1931">
      <c r="A1931" s="10">
        <v>1930.0</v>
      </c>
      <c r="B1931" s="11" t="s">
        <v>2032</v>
      </c>
      <c r="C1931" s="10" t="s">
        <v>69</v>
      </c>
      <c r="D1931" s="10" t="s">
        <v>12</v>
      </c>
    </row>
    <row r="1932">
      <c r="A1932" s="10">
        <v>1931.0</v>
      </c>
      <c r="B1932" s="11" t="s">
        <v>2033</v>
      </c>
      <c r="C1932" s="10" t="s">
        <v>150</v>
      </c>
      <c r="D1932" s="10" t="s">
        <v>42</v>
      </c>
    </row>
    <row r="1933">
      <c r="A1933" s="10">
        <v>1932.0</v>
      </c>
      <c r="B1933" s="11" t="s">
        <v>2034</v>
      </c>
      <c r="C1933" s="10" t="s">
        <v>48</v>
      </c>
      <c r="D1933" s="10" t="s">
        <v>137</v>
      </c>
    </row>
    <row r="1934">
      <c r="A1934" s="10">
        <v>1933.0</v>
      </c>
      <c r="B1934" s="11" t="s">
        <v>2035</v>
      </c>
      <c r="C1934" s="10" t="s">
        <v>39</v>
      </c>
      <c r="D1934" s="10" t="s">
        <v>129</v>
      </c>
    </row>
    <row r="1935">
      <c r="A1935" s="10">
        <v>1934.0</v>
      </c>
      <c r="B1935" s="11" t="s">
        <v>2036</v>
      </c>
      <c r="C1935" s="10" t="s">
        <v>33</v>
      </c>
      <c r="D1935" s="10" t="s">
        <v>206</v>
      </c>
    </row>
    <row r="1936">
      <c r="A1936" s="10">
        <v>1935.0</v>
      </c>
      <c r="B1936" s="11" t="s">
        <v>2037</v>
      </c>
      <c r="C1936" s="10" t="s">
        <v>11</v>
      </c>
      <c r="D1936" s="10" t="s">
        <v>9</v>
      </c>
    </row>
    <row r="1937">
      <c r="A1937" s="10">
        <v>1936.0</v>
      </c>
      <c r="B1937" s="11" t="s">
        <v>2038</v>
      </c>
      <c r="C1937" s="10" t="s">
        <v>11</v>
      </c>
      <c r="D1937" s="10" t="s">
        <v>82</v>
      </c>
    </row>
    <row r="1938">
      <c r="A1938" s="10">
        <v>1937.0</v>
      </c>
      <c r="B1938" s="11" t="s">
        <v>2039</v>
      </c>
      <c r="C1938" s="10" t="s">
        <v>218</v>
      </c>
      <c r="D1938" s="10" t="s">
        <v>73</v>
      </c>
    </row>
    <row r="1939">
      <c r="A1939" s="10">
        <v>1938.0</v>
      </c>
      <c r="B1939" s="11" t="s">
        <v>2040</v>
      </c>
      <c r="C1939" s="10" t="s">
        <v>14</v>
      </c>
      <c r="D1939" s="10" t="s">
        <v>73</v>
      </c>
    </row>
    <row r="1940">
      <c r="A1940" s="10">
        <v>1939.0</v>
      </c>
      <c r="B1940" s="11" t="s">
        <v>2041</v>
      </c>
      <c r="C1940" s="10" t="s">
        <v>87</v>
      </c>
      <c r="D1940" s="10" t="s">
        <v>9</v>
      </c>
    </row>
    <row r="1941">
      <c r="A1941" s="10">
        <v>1940.0</v>
      </c>
      <c r="B1941" s="11" t="s">
        <v>2042</v>
      </c>
      <c r="C1941" s="10" t="s">
        <v>346</v>
      </c>
      <c r="D1941" s="10" t="s">
        <v>23</v>
      </c>
    </row>
    <row r="1942">
      <c r="A1942" s="10">
        <v>1941.0</v>
      </c>
      <c r="B1942" s="11" t="s">
        <v>2043</v>
      </c>
      <c r="C1942" s="10" t="s">
        <v>33</v>
      </c>
      <c r="D1942" s="10" t="s">
        <v>122</v>
      </c>
    </row>
    <row r="1943">
      <c r="A1943" s="10">
        <v>1942.0</v>
      </c>
      <c r="B1943" s="11" t="s">
        <v>2044</v>
      </c>
      <c r="C1943" s="10" t="s">
        <v>20</v>
      </c>
      <c r="D1943" s="10" t="s">
        <v>23</v>
      </c>
    </row>
    <row r="1944">
      <c r="A1944" s="10">
        <v>1943.0</v>
      </c>
      <c r="B1944" s="11" t="s">
        <v>2045</v>
      </c>
      <c r="C1944" s="10" t="s">
        <v>48</v>
      </c>
      <c r="D1944" s="10" t="s">
        <v>95</v>
      </c>
    </row>
    <row r="1945">
      <c r="A1945" s="10">
        <v>1944.0</v>
      </c>
      <c r="B1945" s="11" t="s">
        <v>2046</v>
      </c>
      <c r="C1945" s="10" t="s">
        <v>20</v>
      </c>
      <c r="D1945" s="10" t="s">
        <v>122</v>
      </c>
    </row>
    <row r="1946">
      <c r="A1946" s="10">
        <v>1945.0</v>
      </c>
      <c r="B1946" s="11" t="s">
        <v>2047</v>
      </c>
      <c r="C1946" s="10" t="s">
        <v>77</v>
      </c>
      <c r="D1946" s="10" t="s">
        <v>122</v>
      </c>
    </row>
    <row r="1947">
      <c r="A1947" s="10">
        <v>1946.0</v>
      </c>
      <c r="B1947" s="11" t="s">
        <v>2048</v>
      </c>
      <c r="C1947" s="10" t="s">
        <v>77</v>
      </c>
      <c r="D1947" s="10" t="s">
        <v>12</v>
      </c>
    </row>
    <row r="1948">
      <c r="A1948" s="10">
        <v>1947.0</v>
      </c>
      <c r="B1948" s="11" t="s">
        <v>2049</v>
      </c>
      <c r="C1948" s="10" t="s">
        <v>77</v>
      </c>
      <c r="D1948" s="10" t="s">
        <v>137</v>
      </c>
    </row>
    <row r="1949">
      <c r="A1949" s="10">
        <v>1948.0</v>
      </c>
      <c r="B1949" s="11" t="s">
        <v>2050</v>
      </c>
      <c r="C1949" s="10" t="s">
        <v>39</v>
      </c>
      <c r="D1949" s="10" t="s">
        <v>23</v>
      </c>
    </row>
    <row r="1950">
      <c r="A1950" s="10">
        <v>1949.0</v>
      </c>
      <c r="B1950" s="11" t="s">
        <v>2051</v>
      </c>
      <c r="C1950" s="10" t="s">
        <v>77</v>
      </c>
      <c r="D1950" s="10" t="s">
        <v>71</v>
      </c>
    </row>
    <row r="1951">
      <c r="A1951" s="10">
        <v>1950.0</v>
      </c>
      <c r="B1951" s="11" t="s">
        <v>2052</v>
      </c>
      <c r="C1951" s="10" t="s">
        <v>77</v>
      </c>
      <c r="D1951" s="10" t="s">
        <v>129</v>
      </c>
    </row>
    <row r="1952">
      <c r="A1952" s="10">
        <v>1951.0</v>
      </c>
      <c r="B1952" s="11" t="s">
        <v>2053</v>
      </c>
      <c r="C1952" s="10" t="s">
        <v>48</v>
      </c>
      <c r="D1952" s="10" t="s">
        <v>85</v>
      </c>
    </row>
    <row r="1953">
      <c r="A1953" s="10">
        <v>1952.0</v>
      </c>
      <c r="B1953" s="11" t="s">
        <v>2054</v>
      </c>
      <c r="C1953" s="10" t="s">
        <v>33</v>
      </c>
      <c r="D1953" s="10" t="s">
        <v>23</v>
      </c>
    </row>
    <row r="1954">
      <c r="A1954" s="10">
        <v>1953.0</v>
      </c>
      <c r="B1954" s="11" t="s">
        <v>2055</v>
      </c>
      <c r="C1954" s="10" t="s">
        <v>77</v>
      </c>
      <c r="D1954" s="10" t="s">
        <v>73</v>
      </c>
    </row>
    <row r="1955">
      <c r="A1955" s="10">
        <v>1954.0</v>
      </c>
      <c r="B1955" s="11" t="s">
        <v>2056</v>
      </c>
      <c r="C1955" s="10" t="s">
        <v>77</v>
      </c>
      <c r="D1955" s="10" t="s">
        <v>129</v>
      </c>
    </row>
    <row r="1956">
      <c r="A1956" s="10">
        <v>1955.0</v>
      </c>
      <c r="B1956" s="11" t="s">
        <v>2057</v>
      </c>
      <c r="C1956" s="10" t="s">
        <v>39</v>
      </c>
      <c r="D1956" s="10" t="s">
        <v>31</v>
      </c>
    </row>
    <row r="1957">
      <c r="A1957" s="10">
        <v>1956.0</v>
      </c>
      <c r="B1957" s="11" t="s">
        <v>2058</v>
      </c>
      <c r="C1957" s="10" t="s">
        <v>77</v>
      </c>
      <c r="D1957" s="10" t="s">
        <v>52</v>
      </c>
    </row>
    <row r="1958">
      <c r="A1958" s="10">
        <v>1957.0</v>
      </c>
      <c r="B1958" s="11" t="s">
        <v>2059</v>
      </c>
      <c r="C1958" s="10" t="s">
        <v>33</v>
      </c>
      <c r="D1958" s="10" t="s">
        <v>31</v>
      </c>
    </row>
    <row r="1959">
      <c r="A1959" s="10">
        <v>1958.0</v>
      </c>
      <c r="B1959" s="11" t="s">
        <v>2060</v>
      </c>
      <c r="C1959" s="10" t="s">
        <v>11</v>
      </c>
      <c r="D1959" s="10" t="s">
        <v>46</v>
      </c>
    </row>
    <row r="1960">
      <c r="A1960" s="10">
        <v>1959.0</v>
      </c>
      <c r="B1960" s="11" t="s">
        <v>2061</v>
      </c>
      <c r="C1960" s="10" t="s">
        <v>33</v>
      </c>
      <c r="D1960" s="10" t="s">
        <v>85</v>
      </c>
    </row>
    <row r="1961">
      <c r="A1961" s="10">
        <v>1960.0</v>
      </c>
      <c r="B1961" s="11" t="s">
        <v>2062</v>
      </c>
      <c r="C1961" s="10" t="s">
        <v>39</v>
      </c>
      <c r="D1961" s="10" t="s">
        <v>36</v>
      </c>
    </row>
    <row r="1962">
      <c r="A1962" s="10">
        <v>1961.0</v>
      </c>
      <c r="B1962" s="11" t="s">
        <v>2063</v>
      </c>
      <c r="C1962" s="10" t="s">
        <v>158</v>
      </c>
      <c r="D1962" s="10" t="s">
        <v>120</v>
      </c>
    </row>
    <row r="1963">
      <c r="A1963" s="10">
        <v>1962.0</v>
      </c>
      <c r="B1963" s="11" t="s">
        <v>2064</v>
      </c>
      <c r="C1963" s="10" t="s">
        <v>240</v>
      </c>
      <c r="D1963" s="10" t="s">
        <v>113</v>
      </c>
    </row>
    <row r="1964">
      <c r="A1964" s="10">
        <v>1963.0</v>
      </c>
      <c r="B1964" s="11" t="s">
        <v>2065</v>
      </c>
      <c r="C1964" s="10" t="s">
        <v>55</v>
      </c>
      <c r="D1964" s="10" t="s">
        <v>73</v>
      </c>
    </row>
    <row r="1965">
      <c r="A1965" s="10">
        <v>1964.0</v>
      </c>
      <c r="B1965" s="11" t="s">
        <v>2066</v>
      </c>
      <c r="C1965" s="10" t="s">
        <v>33</v>
      </c>
      <c r="D1965" s="10" t="s">
        <v>99</v>
      </c>
    </row>
    <row r="1966">
      <c r="A1966" s="10">
        <v>1965.0</v>
      </c>
      <c r="B1966" s="11" t="s">
        <v>362</v>
      </c>
      <c r="C1966" s="10" t="s">
        <v>14</v>
      </c>
      <c r="D1966" s="10" t="s">
        <v>137</v>
      </c>
    </row>
    <row r="1967">
      <c r="A1967" s="10">
        <v>1966.0</v>
      </c>
      <c r="B1967" s="11" t="s">
        <v>2067</v>
      </c>
      <c r="C1967" s="10" t="s">
        <v>89</v>
      </c>
      <c r="D1967" s="10" t="s">
        <v>99</v>
      </c>
    </row>
    <row r="1968">
      <c r="A1968" s="10">
        <v>1967.0</v>
      </c>
      <c r="B1968" s="11" t="s">
        <v>2068</v>
      </c>
      <c r="C1968" s="10" t="s">
        <v>48</v>
      </c>
      <c r="D1968" s="10" t="s">
        <v>31</v>
      </c>
    </row>
    <row r="1969">
      <c r="A1969" s="10">
        <v>1968.0</v>
      </c>
      <c r="B1969" s="11" t="s">
        <v>2069</v>
      </c>
      <c r="C1969" s="10" t="s">
        <v>48</v>
      </c>
      <c r="D1969" s="10" t="s">
        <v>105</v>
      </c>
    </row>
    <row r="1970">
      <c r="A1970" s="10">
        <v>1969.0</v>
      </c>
      <c r="B1970" s="11" t="s">
        <v>2070</v>
      </c>
      <c r="C1970" s="10" t="s">
        <v>346</v>
      </c>
      <c r="D1970" s="10" t="s">
        <v>18</v>
      </c>
    </row>
    <row r="1971">
      <c r="A1971" s="10">
        <v>1970.0</v>
      </c>
      <c r="B1971" s="11" t="s">
        <v>2071</v>
      </c>
      <c r="C1971" s="10" t="s">
        <v>20</v>
      </c>
      <c r="D1971" s="10" t="s">
        <v>122</v>
      </c>
    </row>
    <row r="1972">
      <c r="A1972" s="10">
        <v>1971.0</v>
      </c>
      <c r="B1972" s="11" t="s">
        <v>2072</v>
      </c>
      <c r="C1972" s="10" t="s">
        <v>220</v>
      </c>
      <c r="D1972" s="10" t="s">
        <v>99</v>
      </c>
    </row>
    <row r="1973">
      <c r="A1973" s="10">
        <v>1972.0</v>
      </c>
      <c r="B1973" s="11" t="s">
        <v>2073</v>
      </c>
      <c r="C1973" s="10" t="s">
        <v>33</v>
      </c>
      <c r="D1973" s="10" t="s">
        <v>85</v>
      </c>
    </row>
    <row r="1974">
      <c r="A1974" s="10">
        <v>1973.0</v>
      </c>
      <c r="B1974" s="11" t="s">
        <v>2075</v>
      </c>
      <c r="C1974" s="10" t="s">
        <v>20</v>
      </c>
      <c r="D1974" s="10" t="s">
        <v>122</v>
      </c>
    </row>
    <row r="1975">
      <c r="A1975" s="10">
        <v>1974.0</v>
      </c>
      <c r="B1975" s="11" t="s">
        <v>2076</v>
      </c>
      <c r="C1975" s="10" t="s">
        <v>87</v>
      </c>
      <c r="D1975" s="10" t="s">
        <v>9</v>
      </c>
    </row>
    <row r="1976">
      <c r="A1976" s="10">
        <v>1975.0</v>
      </c>
      <c r="B1976" s="11" t="s">
        <v>2077</v>
      </c>
      <c r="C1976" s="10" t="s">
        <v>77</v>
      </c>
      <c r="D1976" s="10" t="s">
        <v>49</v>
      </c>
    </row>
    <row r="1977">
      <c r="A1977" s="10">
        <v>1976.0</v>
      </c>
      <c r="B1977" s="11" t="s">
        <v>2078</v>
      </c>
      <c r="C1977" s="10" t="s">
        <v>17</v>
      </c>
      <c r="D1977" s="10" t="s">
        <v>15</v>
      </c>
    </row>
    <row r="1978">
      <c r="A1978" s="10">
        <v>1977.0</v>
      </c>
      <c r="B1978" s="11" t="s">
        <v>2079</v>
      </c>
      <c r="C1978" s="10" t="s">
        <v>8</v>
      </c>
      <c r="D1978" s="10" t="s">
        <v>113</v>
      </c>
    </row>
    <row r="1979">
      <c r="A1979" s="10">
        <v>1978.0</v>
      </c>
      <c r="B1979" s="11" t="s">
        <v>2080</v>
      </c>
      <c r="C1979" s="10" t="s">
        <v>55</v>
      </c>
      <c r="D1979" s="10" t="s">
        <v>34</v>
      </c>
    </row>
    <row r="1980">
      <c r="A1980" s="10">
        <v>1979.0</v>
      </c>
      <c r="B1980" s="11" t="s">
        <v>2081</v>
      </c>
      <c r="C1980" s="10" t="s">
        <v>240</v>
      </c>
      <c r="D1980" s="10" t="s">
        <v>42</v>
      </c>
    </row>
    <row r="1981">
      <c r="A1981" s="10">
        <v>1980.0</v>
      </c>
      <c r="B1981" s="11" t="s">
        <v>2082</v>
      </c>
      <c r="C1981" s="10" t="s">
        <v>77</v>
      </c>
      <c r="D1981" s="10" t="s">
        <v>137</v>
      </c>
    </row>
    <row r="1982">
      <c r="A1982" s="10">
        <v>1981.0</v>
      </c>
      <c r="B1982" s="11" t="s">
        <v>2083</v>
      </c>
      <c r="C1982" s="10" t="s">
        <v>150</v>
      </c>
      <c r="D1982" s="10" t="s">
        <v>36</v>
      </c>
    </row>
    <row r="1983">
      <c r="A1983" s="10">
        <v>1982.0</v>
      </c>
      <c r="B1983" s="11" t="s">
        <v>2084</v>
      </c>
      <c r="C1983" s="10" t="s">
        <v>48</v>
      </c>
      <c r="D1983" s="10" t="s">
        <v>120</v>
      </c>
    </row>
    <row r="1984">
      <c r="A1984" s="10">
        <v>1983.0</v>
      </c>
      <c r="B1984" s="11" t="s">
        <v>2085</v>
      </c>
      <c r="C1984" s="10" t="s">
        <v>77</v>
      </c>
      <c r="D1984" s="10" t="s">
        <v>120</v>
      </c>
    </row>
    <row r="1985">
      <c r="A1985" s="10">
        <v>1984.0</v>
      </c>
      <c r="B1985" s="11" t="s">
        <v>2086</v>
      </c>
      <c r="C1985" s="10" t="s">
        <v>14</v>
      </c>
      <c r="D1985" s="10" t="s">
        <v>140</v>
      </c>
    </row>
    <row r="1986">
      <c r="A1986" s="10">
        <v>1985.0</v>
      </c>
      <c r="B1986" s="11" t="s">
        <v>2087</v>
      </c>
      <c r="C1986" s="10" t="s">
        <v>48</v>
      </c>
      <c r="D1986" s="10" t="s">
        <v>18</v>
      </c>
    </row>
    <row r="1987">
      <c r="A1987" s="10">
        <v>1986.0</v>
      </c>
      <c r="B1987" s="11" t="s">
        <v>2088</v>
      </c>
      <c r="C1987" s="10" t="s">
        <v>14</v>
      </c>
      <c r="D1987" s="10" t="s">
        <v>129</v>
      </c>
    </row>
    <row r="1988">
      <c r="A1988" s="10">
        <v>1987.0</v>
      </c>
      <c r="B1988" s="11" t="s">
        <v>2089</v>
      </c>
      <c r="C1988" s="10" t="s">
        <v>77</v>
      </c>
      <c r="D1988" s="10" t="s">
        <v>42</v>
      </c>
    </row>
    <row r="1989">
      <c r="A1989" s="10">
        <v>1988.0</v>
      </c>
      <c r="B1989" s="11" t="s">
        <v>2090</v>
      </c>
      <c r="C1989" s="10" t="s">
        <v>17</v>
      </c>
      <c r="D1989" s="10" t="s">
        <v>46</v>
      </c>
    </row>
    <row r="1990">
      <c r="A1990" s="10">
        <v>1989.0</v>
      </c>
      <c r="B1990" s="11" t="s">
        <v>2091</v>
      </c>
      <c r="C1990" s="10" t="s">
        <v>33</v>
      </c>
      <c r="D1990" s="10" t="s">
        <v>46</v>
      </c>
    </row>
    <row r="1991">
      <c r="A1991" s="10">
        <v>1990.0</v>
      </c>
      <c r="B1991" s="11" t="s">
        <v>2092</v>
      </c>
      <c r="C1991" s="10" t="s">
        <v>48</v>
      </c>
      <c r="D1991" s="10" t="s">
        <v>36</v>
      </c>
    </row>
    <row r="1992">
      <c r="A1992" s="10">
        <v>1991.0</v>
      </c>
      <c r="B1992" s="11" t="s">
        <v>2093</v>
      </c>
      <c r="C1992" s="10" t="s">
        <v>48</v>
      </c>
      <c r="D1992" s="10" t="s">
        <v>25</v>
      </c>
    </row>
    <row r="1993">
      <c r="A1993" s="10">
        <v>1992.0</v>
      </c>
      <c r="B1993" s="11" t="s">
        <v>2094</v>
      </c>
      <c r="C1993" s="10" t="s">
        <v>39</v>
      </c>
      <c r="D1993" s="10" t="s">
        <v>46</v>
      </c>
    </row>
    <row r="1994">
      <c r="A1994" s="10">
        <v>1993.0</v>
      </c>
      <c r="B1994" s="11" t="s">
        <v>2095</v>
      </c>
      <c r="C1994" s="10" t="s">
        <v>77</v>
      </c>
      <c r="D1994" s="10" t="s">
        <v>34</v>
      </c>
    </row>
    <row r="1995">
      <c r="A1995" s="10">
        <v>1994.0</v>
      </c>
      <c r="B1995" s="11" t="s">
        <v>2096</v>
      </c>
      <c r="C1995" s="10" t="s">
        <v>17</v>
      </c>
      <c r="D1995" s="10" t="s">
        <v>137</v>
      </c>
    </row>
    <row r="1996">
      <c r="A1996" s="10">
        <v>1995.0</v>
      </c>
      <c r="B1996" s="11" t="s">
        <v>2097</v>
      </c>
      <c r="C1996" s="10" t="s">
        <v>48</v>
      </c>
      <c r="D1996" s="10" t="s">
        <v>27</v>
      </c>
    </row>
    <row r="1997">
      <c r="A1997" s="10">
        <v>1996.0</v>
      </c>
      <c r="B1997" s="11" t="s">
        <v>2098</v>
      </c>
      <c r="C1997" s="10" t="s">
        <v>55</v>
      </c>
      <c r="D1997" s="10" t="s">
        <v>52</v>
      </c>
    </row>
    <row r="1998">
      <c r="A1998" s="10">
        <v>1997.0</v>
      </c>
      <c r="B1998" s="11" t="s">
        <v>2099</v>
      </c>
      <c r="C1998" s="10" t="s">
        <v>77</v>
      </c>
      <c r="D1998" s="10" t="s">
        <v>23</v>
      </c>
    </row>
    <row r="1999">
      <c r="A1999" s="10">
        <v>1998.0</v>
      </c>
      <c r="B1999" s="11" t="s">
        <v>2100</v>
      </c>
      <c r="C1999" s="10" t="s">
        <v>11</v>
      </c>
      <c r="D1999" s="10" t="s">
        <v>105</v>
      </c>
    </row>
    <row r="2000">
      <c r="A2000" s="10">
        <v>1999.0</v>
      </c>
      <c r="B2000" s="11" t="s">
        <v>2101</v>
      </c>
      <c r="C2000" s="10" t="s">
        <v>33</v>
      </c>
      <c r="D2000" s="10" t="s">
        <v>31</v>
      </c>
    </row>
    <row r="2001">
      <c r="A2001" s="10">
        <v>2000.0</v>
      </c>
      <c r="B2001" s="11" t="s">
        <v>2102</v>
      </c>
      <c r="C2001" s="10" t="s">
        <v>20</v>
      </c>
      <c r="D2001" s="10" t="s">
        <v>105</v>
      </c>
    </row>
    <row r="2002">
      <c r="A2002" s="10">
        <v>2001.0</v>
      </c>
      <c r="B2002" s="11" t="s">
        <v>2103</v>
      </c>
      <c r="C2002" s="10" t="s">
        <v>69</v>
      </c>
      <c r="D2002" s="10" t="s">
        <v>31</v>
      </c>
    </row>
    <row r="2003">
      <c r="A2003" s="10">
        <v>2002.0</v>
      </c>
      <c r="B2003" s="11" t="s">
        <v>2104</v>
      </c>
      <c r="C2003" s="10" t="s">
        <v>17</v>
      </c>
      <c r="D2003" s="10" t="s">
        <v>95</v>
      </c>
    </row>
    <row r="2004">
      <c r="A2004" s="10">
        <v>2003.0</v>
      </c>
      <c r="B2004" s="11" t="s">
        <v>2105</v>
      </c>
      <c r="C2004" s="10" t="s">
        <v>33</v>
      </c>
      <c r="D2004" s="10" t="s">
        <v>36</v>
      </c>
    </row>
    <row r="2005">
      <c r="A2005" s="10">
        <v>2004.0</v>
      </c>
      <c r="B2005" s="11" t="s">
        <v>2106</v>
      </c>
      <c r="C2005" s="10" t="s">
        <v>136</v>
      </c>
      <c r="D2005" s="10" t="s">
        <v>36</v>
      </c>
    </row>
    <row r="2006">
      <c r="A2006" s="10">
        <v>2005.0</v>
      </c>
      <c r="B2006" s="11" t="s">
        <v>2107</v>
      </c>
      <c r="C2006" s="10" t="s">
        <v>55</v>
      </c>
      <c r="D2006" s="10" t="s">
        <v>113</v>
      </c>
    </row>
    <row r="2007">
      <c r="A2007" s="10">
        <v>2006.0</v>
      </c>
      <c r="B2007" s="11" t="s">
        <v>2108</v>
      </c>
      <c r="C2007" s="10" t="s">
        <v>20</v>
      </c>
      <c r="D2007" s="10" t="s">
        <v>95</v>
      </c>
    </row>
    <row r="2008">
      <c r="A2008" s="10">
        <v>2007.0</v>
      </c>
      <c r="B2008" s="11" t="s">
        <v>2109</v>
      </c>
      <c r="C2008" s="10" t="s">
        <v>48</v>
      </c>
      <c r="D2008" s="10" t="s">
        <v>137</v>
      </c>
    </row>
    <row r="2009">
      <c r="A2009" s="10">
        <v>2008.0</v>
      </c>
      <c r="B2009" s="11" t="s">
        <v>2110</v>
      </c>
      <c r="C2009" s="10" t="s">
        <v>33</v>
      </c>
      <c r="D2009" s="10" t="s">
        <v>129</v>
      </c>
    </row>
    <row r="2010">
      <c r="A2010" s="10">
        <v>2009.0</v>
      </c>
      <c r="B2010" s="11" t="s">
        <v>2111</v>
      </c>
      <c r="C2010" s="10" t="s">
        <v>77</v>
      </c>
      <c r="D2010" s="10" t="s">
        <v>95</v>
      </c>
    </row>
    <row r="2011">
      <c r="A2011" s="10">
        <v>2010.0</v>
      </c>
      <c r="B2011" s="11" t="s">
        <v>2112</v>
      </c>
      <c r="C2011" s="10" t="s">
        <v>286</v>
      </c>
      <c r="D2011" s="10" t="s">
        <v>129</v>
      </c>
    </row>
    <row r="2012">
      <c r="A2012" s="10">
        <v>2011.0</v>
      </c>
      <c r="B2012" s="11" t="s">
        <v>2113</v>
      </c>
      <c r="C2012" s="10" t="s">
        <v>55</v>
      </c>
      <c r="D2012" s="10" t="s">
        <v>140</v>
      </c>
    </row>
    <row r="2013">
      <c r="A2013" s="10">
        <v>2012.0</v>
      </c>
      <c r="B2013" s="11" t="s">
        <v>2114</v>
      </c>
      <c r="C2013" s="10" t="s">
        <v>77</v>
      </c>
      <c r="D2013" s="10" t="s">
        <v>9</v>
      </c>
    </row>
    <row r="2014">
      <c r="A2014" s="10">
        <v>2013.0</v>
      </c>
      <c r="B2014" s="11" t="s">
        <v>2115</v>
      </c>
      <c r="C2014" s="10" t="s">
        <v>33</v>
      </c>
      <c r="D2014" s="10" t="s">
        <v>42</v>
      </c>
    </row>
    <row r="2015">
      <c r="A2015" s="10">
        <v>2014.0</v>
      </c>
      <c r="B2015" s="11" t="s">
        <v>2116</v>
      </c>
      <c r="C2015" s="10" t="s">
        <v>8</v>
      </c>
      <c r="D2015" s="10" t="s">
        <v>49</v>
      </c>
    </row>
    <row r="2016">
      <c r="A2016" s="10">
        <v>2015.0</v>
      </c>
      <c r="B2016" s="11" t="s">
        <v>2117</v>
      </c>
      <c r="C2016" s="10" t="s">
        <v>11</v>
      </c>
      <c r="D2016" s="10" t="s">
        <v>18</v>
      </c>
    </row>
    <row r="2017">
      <c r="A2017" s="10">
        <v>2016.0</v>
      </c>
      <c r="B2017" s="11" t="s">
        <v>2118</v>
      </c>
      <c r="C2017" s="10" t="s">
        <v>77</v>
      </c>
      <c r="D2017" s="10" t="s">
        <v>36</v>
      </c>
    </row>
    <row r="2018">
      <c r="A2018" s="10">
        <v>2017.0</v>
      </c>
      <c r="B2018" s="11" t="s">
        <v>2119</v>
      </c>
      <c r="C2018" s="10" t="s">
        <v>33</v>
      </c>
      <c r="D2018" s="10" t="s">
        <v>9</v>
      </c>
    </row>
    <row r="2019">
      <c r="A2019" s="10">
        <v>2018.0</v>
      </c>
      <c r="B2019" s="11" t="s">
        <v>2120</v>
      </c>
      <c r="C2019" s="10" t="s">
        <v>240</v>
      </c>
      <c r="D2019" s="10" t="s">
        <v>206</v>
      </c>
    </row>
    <row r="2020">
      <c r="A2020" s="10">
        <v>2019.0</v>
      </c>
      <c r="B2020" s="11" t="s">
        <v>2121</v>
      </c>
      <c r="C2020" s="10" t="s">
        <v>33</v>
      </c>
      <c r="D2020" s="10" t="s">
        <v>122</v>
      </c>
    </row>
    <row r="2021">
      <c r="A2021" s="10">
        <v>2020.0</v>
      </c>
      <c r="B2021" s="11" t="s">
        <v>2122</v>
      </c>
      <c r="C2021" s="10" t="s">
        <v>77</v>
      </c>
      <c r="D2021" s="10" t="s">
        <v>82</v>
      </c>
    </row>
    <row r="2022">
      <c r="A2022" s="10">
        <v>2021.0</v>
      </c>
      <c r="B2022" s="11" t="s">
        <v>2123</v>
      </c>
      <c r="C2022" s="10" t="s">
        <v>77</v>
      </c>
      <c r="D2022" s="10" t="s">
        <v>49</v>
      </c>
    </row>
    <row r="2023">
      <c r="A2023" s="10">
        <v>2022.0</v>
      </c>
      <c r="B2023" s="11" t="s">
        <v>2124</v>
      </c>
      <c r="C2023" s="10" t="s">
        <v>14</v>
      </c>
      <c r="D2023" s="10" t="s">
        <v>129</v>
      </c>
    </row>
    <row r="2024">
      <c r="A2024" s="10">
        <v>2023.0</v>
      </c>
      <c r="B2024" s="11" t="s">
        <v>2125</v>
      </c>
      <c r="C2024" s="10" t="s">
        <v>77</v>
      </c>
      <c r="D2024" s="10" t="s">
        <v>25</v>
      </c>
    </row>
    <row r="2025">
      <c r="A2025" s="10">
        <v>2024.0</v>
      </c>
      <c r="B2025" s="11" t="s">
        <v>2126</v>
      </c>
      <c r="C2025" s="10" t="s">
        <v>77</v>
      </c>
      <c r="D2025" s="10" t="s">
        <v>113</v>
      </c>
    </row>
    <row r="2026">
      <c r="A2026" s="10">
        <v>2025.0</v>
      </c>
      <c r="B2026" s="11" t="s">
        <v>2127</v>
      </c>
      <c r="C2026" s="10" t="s">
        <v>69</v>
      </c>
      <c r="D2026" s="10" t="s">
        <v>90</v>
      </c>
    </row>
    <row r="2027">
      <c r="A2027" s="10">
        <v>2026.0</v>
      </c>
      <c r="B2027" s="11" t="s">
        <v>2128</v>
      </c>
      <c r="C2027" s="10" t="s">
        <v>77</v>
      </c>
      <c r="D2027" s="10" t="s">
        <v>36</v>
      </c>
    </row>
    <row r="2028">
      <c r="A2028" s="10">
        <v>2027.0</v>
      </c>
      <c r="B2028" s="11" t="s">
        <v>2129</v>
      </c>
      <c r="C2028" s="10" t="s">
        <v>63</v>
      </c>
      <c r="D2028" s="10" t="s">
        <v>34</v>
      </c>
    </row>
    <row r="2029">
      <c r="A2029" s="10">
        <v>2028.0</v>
      </c>
      <c r="B2029" s="11" t="s">
        <v>2130</v>
      </c>
      <c r="C2029" s="10" t="s">
        <v>89</v>
      </c>
      <c r="D2029" s="10" t="s">
        <v>36</v>
      </c>
    </row>
    <row r="2030">
      <c r="A2030" s="10">
        <v>2029.0</v>
      </c>
      <c r="B2030" s="11" t="s">
        <v>2131</v>
      </c>
      <c r="C2030" s="10" t="s">
        <v>77</v>
      </c>
      <c r="D2030" s="10" t="s">
        <v>12</v>
      </c>
    </row>
    <row r="2031">
      <c r="A2031" s="10">
        <v>2030.0</v>
      </c>
      <c r="B2031" s="11" t="s">
        <v>2132</v>
      </c>
      <c r="C2031" s="10" t="s">
        <v>77</v>
      </c>
      <c r="D2031" s="10" t="s">
        <v>82</v>
      </c>
    </row>
    <row r="2032">
      <c r="A2032" s="10">
        <v>2031.0</v>
      </c>
      <c r="B2032" s="11" t="s">
        <v>2133</v>
      </c>
      <c r="C2032" s="10" t="s">
        <v>89</v>
      </c>
      <c r="D2032" s="10" t="s">
        <v>99</v>
      </c>
    </row>
    <row r="2033">
      <c r="A2033" s="10">
        <v>2032.0</v>
      </c>
      <c r="B2033" s="11" t="s">
        <v>2134</v>
      </c>
      <c r="C2033" s="10" t="s">
        <v>33</v>
      </c>
      <c r="D2033" s="10" t="s">
        <v>129</v>
      </c>
    </row>
    <row r="2034">
      <c r="A2034" s="10">
        <v>2033.0</v>
      </c>
      <c r="B2034" s="11" t="s">
        <v>2135</v>
      </c>
      <c r="C2034" s="10" t="s">
        <v>33</v>
      </c>
      <c r="D2034" s="10" t="s">
        <v>67</v>
      </c>
    </row>
    <row r="2035">
      <c r="A2035" s="10">
        <v>2034.0</v>
      </c>
      <c r="B2035" s="11" t="s">
        <v>2136</v>
      </c>
      <c r="C2035" s="10" t="s">
        <v>69</v>
      </c>
      <c r="D2035" s="10" t="s">
        <v>42</v>
      </c>
    </row>
    <row r="2036">
      <c r="A2036" s="10">
        <v>2035.0</v>
      </c>
      <c r="B2036" s="11" t="s">
        <v>2137</v>
      </c>
      <c r="C2036" s="10" t="s">
        <v>77</v>
      </c>
      <c r="D2036" s="10" t="s">
        <v>137</v>
      </c>
    </row>
    <row r="2037">
      <c r="A2037" s="10">
        <v>2036.0</v>
      </c>
      <c r="B2037" s="11" t="s">
        <v>2138</v>
      </c>
      <c r="C2037" s="10" t="s">
        <v>33</v>
      </c>
      <c r="D2037" s="10" t="s">
        <v>34</v>
      </c>
    </row>
    <row r="2038">
      <c r="A2038" s="10">
        <v>2037.0</v>
      </c>
      <c r="B2038" s="11" t="s">
        <v>2139</v>
      </c>
      <c r="C2038" s="10" t="s">
        <v>33</v>
      </c>
      <c r="D2038" s="10" t="s">
        <v>95</v>
      </c>
    </row>
    <row r="2039">
      <c r="A2039" s="10">
        <v>2038.0</v>
      </c>
      <c r="B2039" s="11" t="s">
        <v>2140</v>
      </c>
      <c r="C2039" s="10" t="s">
        <v>33</v>
      </c>
      <c r="D2039" s="10" t="s">
        <v>85</v>
      </c>
    </row>
    <row r="2040">
      <c r="A2040" s="10">
        <v>2039.0</v>
      </c>
      <c r="B2040" s="11" t="s">
        <v>2141</v>
      </c>
      <c r="C2040" s="10" t="s">
        <v>33</v>
      </c>
      <c r="D2040" s="10" t="s">
        <v>140</v>
      </c>
    </row>
    <row r="2041">
      <c r="A2041" s="10">
        <v>2040.0</v>
      </c>
      <c r="B2041" s="11" t="s">
        <v>2142</v>
      </c>
      <c r="C2041" s="10" t="s">
        <v>77</v>
      </c>
      <c r="D2041" s="10" t="s">
        <v>25</v>
      </c>
    </row>
    <row r="2042">
      <c r="A2042" s="10">
        <v>2041.0</v>
      </c>
      <c r="B2042" s="11" t="s">
        <v>2143</v>
      </c>
      <c r="C2042" s="10" t="s">
        <v>55</v>
      </c>
      <c r="D2042" s="10" t="s">
        <v>122</v>
      </c>
    </row>
    <row r="2043">
      <c r="A2043" s="10">
        <v>2042.0</v>
      </c>
      <c r="B2043" s="11" t="s">
        <v>2144</v>
      </c>
      <c r="C2043" s="10" t="s">
        <v>69</v>
      </c>
      <c r="D2043" s="10" t="s">
        <v>49</v>
      </c>
    </row>
    <row r="2044">
      <c r="A2044" s="10">
        <v>2043.0</v>
      </c>
      <c r="B2044" s="11" t="s">
        <v>2145</v>
      </c>
      <c r="C2044" s="10" t="s">
        <v>33</v>
      </c>
      <c r="D2044" s="10" t="s">
        <v>85</v>
      </c>
    </row>
    <row r="2045">
      <c r="A2045" s="10">
        <v>2044.0</v>
      </c>
      <c r="B2045" s="11" t="s">
        <v>2146</v>
      </c>
      <c r="C2045" s="10" t="s">
        <v>33</v>
      </c>
      <c r="D2045" s="10" t="s">
        <v>31</v>
      </c>
    </row>
    <row r="2046">
      <c r="A2046" s="10">
        <v>2045.0</v>
      </c>
      <c r="B2046" s="11" t="s">
        <v>2147</v>
      </c>
      <c r="C2046" s="10" t="s">
        <v>17</v>
      </c>
      <c r="D2046" s="10" t="s">
        <v>25</v>
      </c>
    </row>
    <row r="2047">
      <c r="A2047" s="10">
        <v>2046.0</v>
      </c>
      <c r="B2047" s="11" t="s">
        <v>2148</v>
      </c>
      <c r="C2047" s="10" t="s">
        <v>33</v>
      </c>
      <c r="D2047" s="10" t="s">
        <v>120</v>
      </c>
    </row>
    <row r="2048">
      <c r="A2048" s="10">
        <v>2047.0</v>
      </c>
      <c r="B2048" s="11" t="s">
        <v>2149</v>
      </c>
      <c r="C2048" s="10" t="s">
        <v>77</v>
      </c>
      <c r="D2048" s="10" t="s">
        <v>90</v>
      </c>
    </row>
    <row r="2049">
      <c r="A2049" s="10">
        <v>2048.0</v>
      </c>
      <c r="B2049" s="11" t="s">
        <v>2150</v>
      </c>
      <c r="C2049" s="10" t="s">
        <v>77</v>
      </c>
      <c r="D2049" s="10" t="s">
        <v>85</v>
      </c>
    </row>
    <row r="2050">
      <c r="A2050" s="10">
        <v>2049.0</v>
      </c>
      <c r="B2050" s="11" t="s">
        <v>2151</v>
      </c>
      <c r="C2050" s="10" t="s">
        <v>20</v>
      </c>
      <c r="D2050" s="10" t="s">
        <v>25</v>
      </c>
    </row>
    <row r="2051">
      <c r="A2051" s="10">
        <v>2050.0</v>
      </c>
      <c r="B2051" s="11" t="s">
        <v>2152</v>
      </c>
      <c r="C2051" s="10" t="s">
        <v>8</v>
      </c>
      <c r="D2051" s="10" t="s">
        <v>34</v>
      </c>
    </row>
    <row r="2052">
      <c r="A2052" s="10">
        <v>2051.0</v>
      </c>
      <c r="B2052" s="11" t="s">
        <v>2153</v>
      </c>
      <c r="C2052" s="10" t="s">
        <v>77</v>
      </c>
      <c r="D2052" s="10" t="s">
        <v>82</v>
      </c>
    </row>
    <row r="2053">
      <c r="A2053" s="10">
        <v>2052.0</v>
      </c>
      <c r="B2053" s="11" t="s">
        <v>2154</v>
      </c>
      <c r="C2053" s="10" t="s">
        <v>77</v>
      </c>
      <c r="D2053" s="10" t="s">
        <v>15</v>
      </c>
    </row>
    <row r="2054">
      <c r="A2054" s="10">
        <v>2053.0</v>
      </c>
      <c r="B2054" s="11" t="s">
        <v>2155</v>
      </c>
      <c r="C2054" s="10" t="s">
        <v>77</v>
      </c>
      <c r="D2054" s="10" t="s">
        <v>140</v>
      </c>
    </row>
    <row r="2055">
      <c r="A2055" s="10">
        <v>2054.0</v>
      </c>
      <c r="B2055" s="11" t="s">
        <v>2156</v>
      </c>
      <c r="C2055" s="10" t="s">
        <v>20</v>
      </c>
      <c r="D2055" s="10" t="s">
        <v>34</v>
      </c>
    </row>
    <row r="2056">
      <c r="A2056" s="10">
        <v>2055.0</v>
      </c>
      <c r="B2056" s="11" t="s">
        <v>2157</v>
      </c>
      <c r="C2056" s="10" t="s">
        <v>39</v>
      </c>
      <c r="D2056" s="10" t="s">
        <v>34</v>
      </c>
    </row>
    <row r="2057">
      <c r="A2057" s="10">
        <v>2056.0</v>
      </c>
      <c r="B2057" s="11" t="s">
        <v>2158</v>
      </c>
      <c r="C2057" s="10" t="s">
        <v>8</v>
      </c>
      <c r="D2057" s="10" t="s">
        <v>49</v>
      </c>
    </row>
    <row r="2058">
      <c r="A2058" s="10">
        <v>2057.0</v>
      </c>
      <c r="B2058" s="11" t="s">
        <v>2159</v>
      </c>
      <c r="C2058" s="10" t="s">
        <v>8</v>
      </c>
      <c r="D2058" s="10" t="s">
        <v>71</v>
      </c>
    </row>
    <row r="2059">
      <c r="A2059" s="10">
        <v>2058.0</v>
      </c>
      <c r="B2059" s="11" t="s">
        <v>2160</v>
      </c>
      <c r="C2059" s="10" t="s">
        <v>17</v>
      </c>
      <c r="D2059" s="10" t="s">
        <v>25</v>
      </c>
    </row>
    <row r="2060">
      <c r="A2060" s="10">
        <v>2059.0</v>
      </c>
      <c r="B2060" s="11" t="s">
        <v>2161</v>
      </c>
      <c r="C2060" s="10" t="s">
        <v>33</v>
      </c>
      <c r="D2060" s="10" t="s">
        <v>122</v>
      </c>
    </row>
    <row r="2061">
      <c r="A2061" s="10">
        <v>2060.0</v>
      </c>
      <c r="B2061" s="11" t="s">
        <v>2162</v>
      </c>
      <c r="C2061" s="10" t="s">
        <v>77</v>
      </c>
      <c r="D2061" s="10" t="s">
        <v>12</v>
      </c>
    </row>
    <row r="2062">
      <c r="A2062" s="10">
        <v>2061.0</v>
      </c>
      <c r="B2062" s="11" t="s">
        <v>2163</v>
      </c>
      <c r="C2062" s="10" t="s">
        <v>55</v>
      </c>
      <c r="D2062" s="10" t="s">
        <v>67</v>
      </c>
    </row>
    <row r="2063">
      <c r="A2063" s="10">
        <v>2062.0</v>
      </c>
      <c r="B2063" s="11" t="s">
        <v>2164</v>
      </c>
      <c r="C2063" s="10" t="s">
        <v>17</v>
      </c>
      <c r="D2063" s="10" t="s">
        <v>18</v>
      </c>
    </row>
    <row r="2064">
      <c r="A2064" s="10">
        <v>2063.0</v>
      </c>
      <c r="B2064" s="11" t="s">
        <v>2165</v>
      </c>
      <c r="C2064" s="10" t="s">
        <v>14</v>
      </c>
      <c r="D2064" s="10" t="s">
        <v>42</v>
      </c>
    </row>
    <row r="2065">
      <c r="A2065" s="10">
        <v>2064.0</v>
      </c>
      <c r="B2065" s="11" t="s">
        <v>2166</v>
      </c>
      <c r="C2065" s="10" t="s">
        <v>14</v>
      </c>
      <c r="D2065" s="10" t="s">
        <v>36</v>
      </c>
    </row>
    <row r="2066">
      <c r="A2066" s="10">
        <v>2065.0</v>
      </c>
      <c r="B2066" s="11" t="s">
        <v>2167</v>
      </c>
      <c r="C2066" s="10" t="s">
        <v>39</v>
      </c>
      <c r="D2066" s="10" t="s">
        <v>27</v>
      </c>
    </row>
    <row r="2067">
      <c r="A2067" s="10">
        <v>2066.0</v>
      </c>
      <c r="B2067" s="11" t="s">
        <v>2168</v>
      </c>
      <c r="C2067" s="10" t="s">
        <v>346</v>
      </c>
      <c r="D2067" s="10" t="s">
        <v>36</v>
      </c>
    </row>
    <row r="2068">
      <c r="A2068" s="10">
        <v>2067.0</v>
      </c>
      <c r="B2068" s="11" t="s">
        <v>2169</v>
      </c>
      <c r="C2068" s="10" t="s">
        <v>39</v>
      </c>
      <c r="D2068" s="10" t="s">
        <v>34</v>
      </c>
    </row>
    <row r="2069">
      <c r="A2069" s="10">
        <v>2068.0</v>
      </c>
      <c r="B2069" s="11" t="s">
        <v>2170</v>
      </c>
      <c r="C2069" s="10" t="s">
        <v>20</v>
      </c>
      <c r="D2069" s="10" t="s">
        <v>15</v>
      </c>
    </row>
    <row r="2070">
      <c r="A2070" s="10">
        <v>2069.0</v>
      </c>
      <c r="B2070" s="11" t="s">
        <v>2171</v>
      </c>
      <c r="C2070" s="10" t="s">
        <v>14</v>
      </c>
      <c r="D2070" s="10" t="s">
        <v>113</v>
      </c>
    </row>
    <row r="2071">
      <c r="A2071" s="10">
        <v>2070.0</v>
      </c>
      <c r="B2071" s="11" t="s">
        <v>2172</v>
      </c>
      <c r="C2071" s="10" t="s">
        <v>77</v>
      </c>
      <c r="D2071" s="10" t="s">
        <v>137</v>
      </c>
    </row>
    <row r="2072">
      <c r="A2072" s="10">
        <v>2071.0</v>
      </c>
      <c r="B2072" s="11" t="s">
        <v>2173</v>
      </c>
      <c r="C2072" s="10" t="s">
        <v>14</v>
      </c>
      <c r="D2072" s="10" t="s">
        <v>140</v>
      </c>
    </row>
    <row r="2073">
      <c r="A2073" s="10">
        <v>2072.0</v>
      </c>
      <c r="B2073" s="11" t="s">
        <v>2174</v>
      </c>
      <c r="C2073" s="10" t="s">
        <v>14</v>
      </c>
      <c r="D2073" s="10" t="s">
        <v>99</v>
      </c>
    </row>
    <row r="2074">
      <c r="A2074" s="10">
        <v>2073.0</v>
      </c>
      <c r="B2074" s="11" t="s">
        <v>2175</v>
      </c>
      <c r="C2074" s="10" t="s">
        <v>14</v>
      </c>
      <c r="D2074" s="10" t="s">
        <v>85</v>
      </c>
    </row>
    <row r="2075">
      <c r="A2075" s="10">
        <v>2074.0</v>
      </c>
      <c r="B2075" s="11" t="s">
        <v>2176</v>
      </c>
      <c r="C2075" s="10" t="s">
        <v>8</v>
      </c>
      <c r="D2075" s="10" t="s">
        <v>129</v>
      </c>
    </row>
    <row r="2076">
      <c r="A2076" s="10">
        <v>2075.0</v>
      </c>
      <c r="B2076" s="11" t="s">
        <v>2177</v>
      </c>
      <c r="C2076" s="10" t="s">
        <v>17</v>
      </c>
      <c r="D2076" s="10" t="s">
        <v>71</v>
      </c>
    </row>
    <row r="2077">
      <c r="A2077" s="10">
        <v>2076.0</v>
      </c>
      <c r="B2077" s="11" t="s">
        <v>2178</v>
      </c>
      <c r="C2077" s="10" t="s">
        <v>17</v>
      </c>
      <c r="D2077" s="10" t="s">
        <v>120</v>
      </c>
    </row>
    <row r="2078">
      <c r="A2078" s="10">
        <v>2077.0</v>
      </c>
      <c r="B2078" s="11" t="s">
        <v>2179</v>
      </c>
      <c r="C2078" s="10" t="s">
        <v>11</v>
      </c>
      <c r="D2078" s="10" t="s">
        <v>99</v>
      </c>
    </row>
    <row r="2079">
      <c r="A2079" s="10">
        <v>2078.0</v>
      </c>
      <c r="B2079" s="11" t="s">
        <v>2180</v>
      </c>
      <c r="C2079" s="10" t="s">
        <v>14</v>
      </c>
      <c r="D2079" s="10" t="s">
        <v>46</v>
      </c>
    </row>
    <row r="2080">
      <c r="A2080" s="10">
        <v>2079.0</v>
      </c>
      <c r="B2080" s="11" t="s">
        <v>2181</v>
      </c>
      <c r="C2080" s="10" t="s">
        <v>14</v>
      </c>
      <c r="D2080" s="10" t="s">
        <v>25</v>
      </c>
    </row>
    <row r="2081">
      <c r="A2081" s="10">
        <v>2080.0</v>
      </c>
      <c r="B2081" s="11" t="s">
        <v>2182</v>
      </c>
      <c r="C2081" s="10" t="s">
        <v>39</v>
      </c>
      <c r="D2081" s="10" t="s">
        <v>129</v>
      </c>
    </row>
    <row r="2082">
      <c r="A2082" s="10">
        <v>2081.0</v>
      </c>
      <c r="B2082" s="11" t="s">
        <v>2183</v>
      </c>
      <c r="C2082" s="10" t="s">
        <v>17</v>
      </c>
      <c r="D2082" s="10" t="s">
        <v>85</v>
      </c>
    </row>
    <row r="2083">
      <c r="A2083" s="10">
        <v>2082.0</v>
      </c>
      <c r="B2083" s="11" t="s">
        <v>2184</v>
      </c>
      <c r="C2083" s="10" t="s">
        <v>14</v>
      </c>
      <c r="D2083" s="10" t="s">
        <v>120</v>
      </c>
    </row>
    <row r="2084">
      <c r="A2084" s="10">
        <v>2083.0</v>
      </c>
      <c r="B2084" s="11" t="s">
        <v>2185</v>
      </c>
      <c r="C2084" s="10" t="s">
        <v>1857</v>
      </c>
      <c r="D2084" s="10" t="s">
        <v>25</v>
      </c>
    </row>
    <row r="2085">
      <c r="A2085" s="10">
        <v>2084.0</v>
      </c>
      <c r="B2085" s="11" t="s">
        <v>2186</v>
      </c>
      <c r="C2085" s="10" t="s">
        <v>14</v>
      </c>
      <c r="D2085" s="10" t="s">
        <v>46</v>
      </c>
    </row>
    <row r="2086">
      <c r="A2086" s="10">
        <v>2085.0</v>
      </c>
      <c r="B2086" s="11" t="s">
        <v>2187</v>
      </c>
      <c r="C2086" s="10" t="s">
        <v>14</v>
      </c>
      <c r="D2086" s="10" t="s">
        <v>90</v>
      </c>
    </row>
    <row r="2087">
      <c r="A2087" s="10">
        <v>2086.0</v>
      </c>
      <c r="B2087" s="11" t="s">
        <v>2188</v>
      </c>
      <c r="C2087" s="10" t="s">
        <v>14</v>
      </c>
      <c r="D2087" s="10" t="s">
        <v>122</v>
      </c>
    </row>
    <row r="2088">
      <c r="A2088" s="10">
        <v>2087.0</v>
      </c>
      <c r="B2088" s="11" t="s">
        <v>2189</v>
      </c>
      <c r="C2088" s="10" t="s">
        <v>17</v>
      </c>
      <c r="D2088" s="10" t="s">
        <v>122</v>
      </c>
    </row>
    <row r="2089">
      <c r="A2089" s="10">
        <v>2088.0</v>
      </c>
      <c r="B2089" s="11" t="s">
        <v>2190</v>
      </c>
      <c r="C2089" s="10" t="s">
        <v>48</v>
      </c>
      <c r="D2089" s="10" t="s">
        <v>206</v>
      </c>
    </row>
    <row r="2090">
      <c r="A2090" s="10">
        <v>2089.0</v>
      </c>
      <c r="B2090" s="11" t="s">
        <v>2191</v>
      </c>
      <c r="C2090" s="10" t="s">
        <v>39</v>
      </c>
      <c r="D2090" s="10" t="s">
        <v>25</v>
      </c>
    </row>
    <row r="2091">
      <c r="A2091" s="10">
        <v>2090.0</v>
      </c>
      <c r="B2091" s="11" t="s">
        <v>2192</v>
      </c>
      <c r="C2091" s="10" t="s">
        <v>39</v>
      </c>
      <c r="D2091" s="10" t="s">
        <v>71</v>
      </c>
    </row>
    <row r="2092">
      <c r="A2092" s="10">
        <v>2091.0</v>
      </c>
      <c r="B2092" s="11" t="s">
        <v>2193</v>
      </c>
      <c r="C2092" s="10" t="s">
        <v>11</v>
      </c>
      <c r="D2092" s="10" t="s">
        <v>206</v>
      </c>
    </row>
    <row r="2093">
      <c r="A2093" s="10">
        <v>2092.0</v>
      </c>
      <c r="B2093" s="11" t="s">
        <v>2194</v>
      </c>
      <c r="C2093" s="10" t="s">
        <v>39</v>
      </c>
      <c r="D2093" s="10" t="s">
        <v>129</v>
      </c>
    </row>
    <row r="2094">
      <c r="A2094" s="10">
        <v>2093.0</v>
      </c>
      <c r="B2094" s="11" t="s">
        <v>2195</v>
      </c>
      <c r="C2094" s="10" t="s">
        <v>77</v>
      </c>
      <c r="D2094" s="10" t="s">
        <v>23</v>
      </c>
    </row>
    <row r="2095">
      <c r="A2095" s="10">
        <v>2094.0</v>
      </c>
      <c r="B2095" s="11" t="s">
        <v>2196</v>
      </c>
      <c r="C2095" s="10" t="s">
        <v>77</v>
      </c>
      <c r="D2095" s="10" t="s">
        <v>67</v>
      </c>
    </row>
    <row r="2096">
      <c r="A2096" s="10">
        <v>2095.0</v>
      </c>
      <c r="B2096" s="11" t="s">
        <v>2197</v>
      </c>
      <c r="C2096" s="10" t="s">
        <v>20</v>
      </c>
      <c r="D2096" s="10" t="s">
        <v>99</v>
      </c>
    </row>
    <row r="2097">
      <c r="A2097" s="10">
        <v>2096.0</v>
      </c>
      <c r="B2097" s="11" t="s">
        <v>2198</v>
      </c>
      <c r="C2097" s="10" t="s">
        <v>20</v>
      </c>
      <c r="D2097" s="10" t="s">
        <v>90</v>
      </c>
    </row>
    <row r="2098">
      <c r="A2098" s="10">
        <v>2097.0</v>
      </c>
      <c r="B2098" s="11" t="s">
        <v>2199</v>
      </c>
      <c r="C2098" s="10" t="s">
        <v>11</v>
      </c>
      <c r="D2098" s="10" t="s">
        <v>113</v>
      </c>
    </row>
    <row r="2099">
      <c r="A2099" s="10">
        <v>2098.0</v>
      </c>
      <c r="B2099" s="11" t="s">
        <v>2200</v>
      </c>
      <c r="C2099" s="10" t="s">
        <v>150</v>
      </c>
      <c r="D2099" s="10" t="s">
        <v>105</v>
      </c>
    </row>
    <row r="2100">
      <c r="A2100" s="10">
        <v>2099.0</v>
      </c>
      <c r="B2100" s="11" t="s">
        <v>2201</v>
      </c>
      <c r="C2100" s="10" t="s">
        <v>77</v>
      </c>
      <c r="D2100" s="10" t="s">
        <v>137</v>
      </c>
    </row>
    <row r="2101">
      <c r="A2101" s="10">
        <v>2100.0</v>
      </c>
      <c r="B2101" s="11" t="s">
        <v>2202</v>
      </c>
      <c r="C2101" s="10" t="s">
        <v>14</v>
      </c>
      <c r="D2101" s="10" t="s">
        <v>12</v>
      </c>
    </row>
    <row r="2102">
      <c r="A2102" s="10">
        <v>2101.0</v>
      </c>
      <c r="B2102" s="11" t="s">
        <v>2203</v>
      </c>
      <c r="C2102" s="10" t="s">
        <v>14</v>
      </c>
      <c r="D2102" s="10" t="s">
        <v>85</v>
      </c>
    </row>
    <row r="2103">
      <c r="A2103" s="10">
        <v>2102.0</v>
      </c>
      <c r="B2103" s="11" t="s">
        <v>2204</v>
      </c>
      <c r="C2103" s="10" t="s">
        <v>240</v>
      </c>
      <c r="D2103" s="10" t="s">
        <v>90</v>
      </c>
    </row>
    <row r="2104">
      <c r="A2104" s="10">
        <v>2103.0</v>
      </c>
      <c r="B2104" s="11" t="s">
        <v>2205</v>
      </c>
      <c r="C2104" s="10" t="s">
        <v>39</v>
      </c>
      <c r="D2104" s="10" t="s">
        <v>18</v>
      </c>
    </row>
    <row r="2105">
      <c r="A2105" s="10">
        <v>2104.0</v>
      </c>
      <c r="B2105" s="11" t="s">
        <v>2206</v>
      </c>
      <c r="C2105" s="10" t="s">
        <v>14</v>
      </c>
      <c r="D2105" s="10" t="s">
        <v>23</v>
      </c>
    </row>
    <row r="2106">
      <c r="A2106" s="10">
        <v>2105.0</v>
      </c>
      <c r="B2106" s="11" t="s">
        <v>2207</v>
      </c>
      <c r="C2106" s="10" t="s">
        <v>14</v>
      </c>
      <c r="D2106" s="10" t="s">
        <v>95</v>
      </c>
    </row>
    <row r="2107">
      <c r="A2107" s="10">
        <v>2106.0</v>
      </c>
      <c r="B2107" s="11" t="s">
        <v>2208</v>
      </c>
      <c r="C2107" s="10" t="s">
        <v>11</v>
      </c>
      <c r="D2107" s="10" t="s">
        <v>95</v>
      </c>
    </row>
    <row r="2108">
      <c r="A2108" s="10">
        <v>2107.0</v>
      </c>
      <c r="B2108" s="11" t="s">
        <v>2209</v>
      </c>
      <c r="C2108" s="10" t="s">
        <v>14</v>
      </c>
      <c r="D2108" s="10" t="s">
        <v>12</v>
      </c>
    </row>
    <row r="2109">
      <c r="A2109" s="10">
        <v>2108.0</v>
      </c>
      <c r="B2109" s="11" t="s">
        <v>2210</v>
      </c>
      <c r="C2109" s="10" t="s">
        <v>77</v>
      </c>
      <c r="D2109" s="10" t="s">
        <v>105</v>
      </c>
    </row>
    <row r="2110">
      <c r="A2110" s="10">
        <v>2109.0</v>
      </c>
      <c r="B2110" s="11" t="s">
        <v>2211</v>
      </c>
      <c r="C2110" s="10" t="s">
        <v>14</v>
      </c>
      <c r="D2110" s="10" t="s">
        <v>18</v>
      </c>
    </row>
    <row r="2111">
      <c r="A2111" s="10">
        <v>2110.0</v>
      </c>
      <c r="B2111" s="11" t="s">
        <v>2212</v>
      </c>
      <c r="C2111" s="10" t="s">
        <v>14</v>
      </c>
      <c r="D2111" s="10" t="s">
        <v>23</v>
      </c>
    </row>
    <row r="2112">
      <c r="A2112" s="10">
        <v>2111.0</v>
      </c>
      <c r="B2112" s="11" t="s">
        <v>2213</v>
      </c>
      <c r="C2112" s="10" t="s">
        <v>17</v>
      </c>
      <c r="D2112" s="10" t="s">
        <v>31</v>
      </c>
    </row>
    <row r="2113">
      <c r="A2113" s="10">
        <v>2112.0</v>
      </c>
      <c r="B2113" s="11" t="s">
        <v>2214</v>
      </c>
      <c r="C2113" s="10" t="s">
        <v>77</v>
      </c>
      <c r="D2113" s="10" t="s">
        <v>140</v>
      </c>
    </row>
    <row r="2114">
      <c r="A2114" s="10">
        <v>2113.0</v>
      </c>
      <c r="B2114" s="11" t="s">
        <v>2215</v>
      </c>
      <c r="C2114" s="10" t="s">
        <v>39</v>
      </c>
      <c r="D2114" s="10" t="s">
        <v>31</v>
      </c>
    </row>
    <row r="2115">
      <c r="A2115" s="10">
        <v>2114.0</v>
      </c>
      <c r="B2115" s="11" t="s">
        <v>2216</v>
      </c>
      <c r="C2115" s="10" t="s">
        <v>11</v>
      </c>
      <c r="D2115" s="10" t="s">
        <v>25</v>
      </c>
    </row>
    <row r="2116">
      <c r="A2116" s="10">
        <v>2115.0</v>
      </c>
      <c r="B2116" s="11" t="s">
        <v>2217</v>
      </c>
      <c r="C2116" s="10" t="s">
        <v>136</v>
      </c>
      <c r="D2116" s="10" t="s">
        <v>36</v>
      </c>
    </row>
    <row r="2117">
      <c r="A2117" s="10">
        <v>2116.0</v>
      </c>
      <c r="B2117" s="11" t="s">
        <v>2218</v>
      </c>
      <c r="C2117" s="10" t="s">
        <v>14</v>
      </c>
      <c r="D2117" s="10" t="s">
        <v>206</v>
      </c>
    </row>
    <row r="2118">
      <c r="A2118" s="10">
        <v>2117.0</v>
      </c>
      <c r="B2118" s="11" t="s">
        <v>2219</v>
      </c>
      <c r="C2118" s="10" t="s">
        <v>77</v>
      </c>
      <c r="D2118" s="10" t="s">
        <v>23</v>
      </c>
    </row>
    <row r="2119">
      <c r="A2119" s="10">
        <v>2118.0</v>
      </c>
      <c r="B2119" s="11" t="s">
        <v>2220</v>
      </c>
      <c r="C2119" s="10" t="s">
        <v>39</v>
      </c>
      <c r="D2119" s="10" t="s">
        <v>105</v>
      </c>
    </row>
    <row r="2120">
      <c r="A2120" s="10">
        <v>2119.0</v>
      </c>
      <c r="B2120" s="11" t="s">
        <v>2221</v>
      </c>
      <c r="C2120" s="10" t="s">
        <v>11</v>
      </c>
      <c r="D2120" s="10" t="s">
        <v>25</v>
      </c>
    </row>
    <row r="2121">
      <c r="A2121" s="10">
        <v>2120.0</v>
      </c>
      <c r="B2121" s="11" t="s">
        <v>2222</v>
      </c>
      <c r="C2121" s="10" t="s">
        <v>20</v>
      </c>
      <c r="D2121" s="10" t="s">
        <v>122</v>
      </c>
    </row>
    <row r="2122">
      <c r="A2122" s="10">
        <v>2121.0</v>
      </c>
      <c r="B2122" s="11" t="s">
        <v>2223</v>
      </c>
      <c r="C2122" s="10" t="s">
        <v>136</v>
      </c>
      <c r="D2122" s="10" t="s">
        <v>95</v>
      </c>
    </row>
    <row r="2123">
      <c r="A2123" s="10">
        <v>2122.0</v>
      </c>
      <c r="B2123" s="11" t="s">
        <v>2224</v>
      </c>
      <c r="C2123" s="10" t="s">
        <v>14</v>
      </c>
      <c r="D2123" s="10" t="s">
        <v>34</v>
      </c>
    </row>
    <row r="2124">
      <c r="A2124" s="10">
        <v>2123.0</v>
      </c>
      <c r="B2124" s="11" t="s">
        <v>2225</v>
      </c>
      <c r="C2124" s="10" t="s">
        <v>14</v>
      </c>
      <c r="D2124" s="10" t="s">
        <v>129</v>
      </c>
    </row>
    <row r="2125">
      <c r="A2125" s="10">
        <v>2124.0</v>
      </c>
      <c r="B2125" s="11" t="s">
        <v>2226</v>
      </c>
      <c r="C2125" s="10" t="s">
        <v>17</v>
      </c>
      <c r="D2125" s="10" t="s">
        <v>9</v>
      </c>
    </row>
    <row r="2126">
      <c r="A2126" s="10">
        <v>2125.0</v>
      </c>
      <c r="B2126" s="11" t="s">
        <v>2227</v>
      </c>
      <c r="C2126" s="10" t="s">
        <v>17</v>
      </c>
      <c r="D2126" s="10" t="s">
        <v>49</v>
      </c>
    </row>
    <row r="2127">
      <c r="A2127" s="10">
        <v>2126.0</v>
      </c>
      <c r="B2127" s="11" t="s">
        <v>2228</v>
      </c>
      <c r="C2127" s="10" t="s">
        <v>11</v>
      </c>
      <c r="D2127" s="10" t="s">
        <v>34</v>
      </c>
    </row>
    <row r="2128">
      <c r="A2128" s="10">
        <v>2127.0</v>
      </c>
      <c r="B2128" s="11" t="s">
        <v>2229</v>
      </c>
      <c r="C2128" s="10" t="s">
        <v>11</v>
      </c>
      <c r="D2128" s="10" t="s">
        <v>82</v>
      </c>
    </row>
    <row r="2129">
      <c r="A2129" s="10">
        <v>2128.0</v>
      </c>
      <c r="B2129" s="11" t="s">
        <v>2230</v>
      </c>
      <c r="C2129" s="10" t="s">
        <v>89</v>
      </c>
      <c r="D2129" s="10" t="s">
        <v>95</v>
      </c>
    </row>
    <row r="2130">
      <c r="A2130" s="10">
        <v>2129.0</v>
      </c>
      <c r="B2130" s="11" t="s">
        <v>2231</v>
      </c>
      <c r="C2130" s="10" t="s">
        <v>39</v>
      </c>
      <c r="D2130" s="10" t="s">
        <v>105</v>
      </c>
    </row>
    <row r="2131">
      <c r="A2131" s="10">
        <v>2130.0</v>
      </c>
      <c r="B2131" s="11" t="s">
        <v>2232</v>
      </c>
      <c r="C2131" s="10" t="s">
        <v>77</v>
      </c>
      <c r="D2131" s="10" t="s">
        <v>27</v>
      </c>
    </row>
    <row r="2132">
      <c r="A2132" s="10">
        <v>2131.0</v>
      </c>
      <c r="B2132" s="11" t="s">
        <v>175</v>
      </c>
      <c r="C2132" s="10" t="s">
        <v>14</v>
      </c>
      <c r="D2132" s="10" t="s">
        <v>120</v>
      </c>
    </row>
    <row r="2133">
      <c r="A2133" s="10">
        <v>2132.0</v>
      </c>
      <c r="B2133" s="11" t="s">
        <v>2233</v>
      </c>
      <c r="C2133" s="10" t="s">
        <v>39</v>
      </c>
      <c r="D2133" s="10" t="s">
        <v>49</v>
      </c>
    </row>
    <row r="2134">
      <c r="A2134" s="10">
        <v>2133.0</v>
      </c>
      <c r="B2134" s="11" t="s">
        <v>2234</v>
      </c>
      <c r="C2134" s="10" t="s">
        <v>39</v>
      </c>
      <c r="D2134" s="10" t="s">
        <v>46</v>
      </c>
    </row>
    <row r="2135">
      <c r="A2135" s="10">
        <v>2134.0</v>
      </c>
      <c r="B2135" s="11" t="s">
        <v>2235</v>
      </c>
      <c r="C2135" s="10" t="s">
        <v>17</v>
      </c>
      <c r="D2135" s="10" t="s">
        <v>85</v>
      </c>
    </row>
    <row r="2136">
      <c r="A2136" s="10">
        <v>2135.0</v>
      </c>
      <c r="B2136" s="11" t="s">
        <v>2236</v>
      </c>
      <c r="C2136" s="10" t="s">
        <v>14</v>
      </c>
      <c r="D2136" s="10" t="s">
        <v>73</v>
      </c>
    </row>
    <row r="2137">
      <c r="A2137" s="10">
        <v>2136.0</v>
      </c>
      <c r="B2137" s="11" t="s">
        <v>2237</v>
      </c>
      <c r="C2137" s="10" t="s">
        <v>14</v>
      </c>
      <c r="D2137" s="10" t="s">
        <v>105</v>
      </c>
    </row>
    <row r="2138">
      <c r="A2138" s="10">
        <v>2137.0</v>
      </c>
      <c r="B2138" s="11" t="s">
        <v>2238</v>
      </c>
      <c r="C2138" s="10" t="s">
        <v>11</v>
      </c>
      <c r="D2138" s="10" t="s">
        <v>42</v>
      </c>
    </row>
    <row r="2139">
      <c r="A2139" s="10">
        <v>2138.0</v>
      </c>
      <c r="B2139" s="11" t="s">
        <v>2239</v>
      </c>
      <c r="C2139" s="10" t="s">
        <v>55</v>
      </c>
      <c r="D2139" s="10" t="s">
        <v>206</v>
      </c>
    </row>
    <row r="2140">
      <c r="A2140" s="10">
        <v>2139.0</v>
      </c>
      <c r="B2140" s="11" t="s">
        <v>2240</v>
      </c>
      <c r="C2140" s="10" t="s">
        <v>39</v>
      </c>
      <c r="D2140" s="10" t="s">
        <v>12</v>
      </c>
    </row>
    <row r="2141">
      <c r="A2141" s="10">
        <v>2140.0</v>
      </c>
      <c r="B2141" s="11" t="s">
        <v>2241</v>
      </c>
      <c r="C2141" s="10" t="s">
        <v>14</v>
      </c>
      <c r="D2141" s="10" t="s">
        <v>129</v>
      </c>
    </row>
    <row r="2142">
      <c r="A2142" s="10">
        <v>2141.0</v>
      </c>
      <c r="B2142" s="11" t="s">
        <v>2242</v>
      </c>
      <c r="C2142" s="10" t="s">
        <v>17</v>
      </c>
      <c r="D2142" s="10" t="s">
        <v>82</v>
      </c>
    </row>
    <row r="2143">
      <c r="A2143" s="10">
        <v>2142.0</v>
      </c>
      <c r="B2143" s="11" t="s">
        <v>2243</v>
      </c>
      <c r="C2143" s="10" t="s">
        <v>8</v>
      </c>
      <c r="D2143" s="10" t="s">
        <v>95</v>
      </c>
    </row>
    <row r="2144">
      <c r="A2144" s="10">
        <v>2143.0</v>
      </c>
      <c r="B2144" s="11" t="s">
        <v>2244</v>
      </c>
      <c r="C2144" s="10" t="s">
        <v>77</v>
      </c>
      <c r="D2144" s="10" t="s">
        <v>42</v>
      </c>
    </row>
    <row r="2145">
      <c r="A2145" s="10">
        <v>2144.0</v>
      </c>
      <c r="B2145" s="11" t="s">
        <v>2245</v>
      </c>
      <c r="C2145" s="10" t="s">
        <v>77</v>
      </c>
      <c r="D2145" s="10" t="s">
        <v>52</v>
      </c>
    </row>
    <row r="2146">
      <c r="A2146" s="10">
        <v>2145.0</v>
      </c>
      <c r="B2146" s="11" t="s">
        <v>2246</v>
      </c>
      <c r="C2146" s="10" t="s">
        <v>39</v>
      </c>
      <c r="D2146" s="10" t="s">
        <v>25</v>
      </c>
    </row>
    <row r="2147">
      <c r="A2147" s="10">
        <v>2146.0</v>
      </c>
      <c r="B2147" s="11" t="s">
        <v>2247</v>
      </c>
      <c r="C2147" s="10" t="s">
        <v>39</v>
      </c>
      <c r="D2147" s="10" t="s">
        <v>52</v>
      </c>
    </row>
    <row r="2148">
      <c r="A2148" s="10">
        <v>2147.0</v>
      </c>
      <c r="B2148" s="11" t="s">
        <v>2248</v>
      </c>
      <c r="C2148" s="10" t="s">
        <v>20</v>
      </c>
      <c r="D2148" s="10" t="s">
        <v>105</v>
      </c>
    </row>
    <row r="2149">
      <c r="A2149" s="10">
        <v>2148.0</v>
      </c>
      <c r="B2149" s="11" t="s">
        <v>2249</v>
      </c>
      <c r="C2149" s="10" t="s">
        <v>77</v>
      </c>
      <c r="D2149" s="10" t="s">
        <v>49</v>
      </c>
    </row>
    <row r="2150">
      <c r="A2150" s="10">
        <v>2149.0</v>
      </c>
      <c r="B2150" s="11" t="s">
        <v>2250</v>
      </c>
      <c r="C2150" s="10" t="s">
        <v>39</v>
      </c>
      <c r="D2150" s="10" t="s">
        <v>27</v>
      </c>
    </row>
    <row r="2151">
      <c r="A2151" s="10">
        <v>2150.0</v>
      </c>
      <c r="B2151" s="11" t="s">
        <v>2251</v>
      </c>
      <c r="C2151" s="10" t="s">
        <v>240</v>
      </c>
      <c r="D2151" s="10" t="s">
        <v>31</v>
      </c>
    </row>
    <row r="2152">
      <c r="A2152" s="10">
        <v>2151.0</v>
      </c>
      <c r="B2152" s="11" t="s">
        <v>2252</v>
      </c>
      <c r="C2152" s="10" t="s">
        <v>63</v>
      </c>
      <c r="D2152" s="10" t="s">
        <v>36</v>
      </c>
    </row>
    <row r="2153">
      <c r="A2153" s="10">
        <v>2152.0</v>
      </c>
      <c r="B2153" s="11" t="s">
        <v>2253</v>
      </c>
      <c r="C2153" s="10" t="s">
        <v>39</v>
      </c>
      <c r="D2153" s="10" t="s">
        <v>23</v>
      </c>
    </row>
    <row r="2154">
      <c r="A2154" s="10">
        <v>2153.0</v>
      </c>
      <c r="B2154" s="11" t="s">
        <v>2254</v>
      </c>
      <c r="C2154" s="10" t="s">
        <v>39</v>
      </c>
      <c r="D2154" s="10" t="s">
        <v>34</v>
      </c>
    </row>
    <row r="2155">
      <c r="A2155" s="10">
        <v>2154.0</v>
      </c>
      <c r="B2155" s="11" t="s">
        <v>2255</v>
      </c>
      <c r="C2155" s="10" t="s">
        <v>77</v>
      </c>
      <c r="D2155" s="10" t="s">
        <v>71</v>
      </c>
    </row>
    <row r="2156">
      <c r="A2156" s="10">
        <v>2155.0</v>
      </c>
      <c r="B2156" s="11" t="s">
        <v>2256</v>
      </c>
      <c r="C2156" s="10" t="s">
        <v>39</v>
      </c>
      <c r="D2156" s="10" t="s">
        <v>206</v>
      </c>
    </row>
    <row r="2157">
      <c r="A2157" s="10">
        <v>2156.0</v>
      </c>
      <c r="B2157" s="11" t="s">
        <v>2257</v>
      </c>
      <c r="C2157" s="10" t="s">
        <v>39</v>
      </c>
      <c r="D2157" s="10" t="s">
        <v>113</v>
      </c>
    </row>
    <row r="2158">
      <c r="A2158" s="10">
        <v>2157.0</v>
      </c>
      <c r="B2158" s="11" t="s">
        <v>2258</v>
      </c>
      <c r="C2158" s="10" t="s">
        <v>55</v>
      </c>
      <c r="D2158" s="10" t="s">
        <v>105</v>
      </c>
    </row>
    <row r="2159">
      <c r="A2159" s="10">
        <v>2158.0</v>
      </c>
      <c r="B2159" s="11" t="s">
        <v>2259</v>
      </c>
      <c r="C2159" s="10" t="s">
        <v>20</v>
      </c>
      <c r="D2159" s="10" t="s">
        <v>49</v>
      </c>
    </row>
    <row r="2160">
      <c r="A2160" s="10">
        <v>2159.0</v>
      </c>
      <c r="B2160" s="11" t="s">
        <v>2260</v>
      </c>
      <c r="C2160" s="10" t="s">
        <v>14</v>
      </c>
      <c r="D2160" s="10" t="s">
        <v>52</v>
      </c>
    </row>
    <row r="2161">
      <c r="A2161" s="10">
        <v>2160.0</v>
      </c>
      <c r="B2161" s="11" t="s">
        <v>2261</v>
      </c>
      <c r="C2161" s="10" t="s">
        <v>14</v>
      </c>
      <c r="D2161" s="10" t="s">
        <v>73</v>
      </c>
    </row>
    <row r="2162">
      <c r="A2162" s="10">
        <v>2161.0</v>
      </c>
      <c r="B2162" s="11" t="s">
        <v>2262</v>
      </c>
      <c r="C2162" s="10" t="s">
        <v>55</v>
      </c>
      <c r="D2162" s="10" t="s">
        <v>120</v>
      </c>
    </row>
    <row r="2163">
      <c r="A2163" s="10">
        <v>2162.0</v>
      </c>
      <c r="B2163" s="11" t="s">
        <v>2263</v>
      </c>
      <c r="C2163" s="10" t="s">
        <v>14</v>
      </c>
      <c r="D2163" s="10" t="s">
        <v>49</v>
      </c>
    </row>
    <row r="2164">
      <c r="A2164" s="10">
        <v>2163.0</v>
      </c>
      <c r="B2164" s="11" t="s">
        <v>2264</v>
      </c>
      <c r="C2164" s="10" t="s">
        <v>77</v>
      </c>
      <c r="D2164" s="10" t="s">
        <v>27</v>
      </c>
    </row>
    <row r="2165">
      <c r="A2165" s="10">
        <v>2164.0</v>
      </c>
      <c r="B2165" s="11" t="s">
        <v>2265</v>
      </c>
      <c r="C2165" s="10" t="s">
        <v>77</v>
      </c>
      <c r="D2165" s="10" t="s">
        <v>36</v>
      </c>
    </row>
    <row r="2166">
      <c r="A2166" s="10">
        <v>2165.0</v>
      </c>
      <c r="B2166" s="11" t="s">
        <v>2266</v>
      </c>
      <c r="C2166" s="10" t="s">
        <v>55</v>
      </c>
      <c r="D2166" s="10" t="s">
        <v>120</v>
      </c>
    </row>
    <row r="2167">
      <c r="A2167" s="10">
        <v>2166.0</v>
      </c>
      <c r="B2167" s="11" t="s">
        <v>2267</v>
      </c>
      <c r="C2167" s="10" t="s">
        <v>77</v>
      </c>
      <c r="D2167" s="10" t="s">
        <v>113</v>
      </c>
    </row>
    <row r="2168">
      <c r="A2168" s="10">
        <v>2167.0</v>
      </c>
      <c r="B2168" s="11" t="s">
        <v>2268</v>
      </c>
      <c r="C2168" s="10" t="s">
        <v>14</v>
      </c>
      <c r="D2168" s="10" t="s">
        <v>73</v>
      </c>
    </row>
    <row r="2169">
      <c r="A2169" s="10">
        <v>2168.0</v>
      </c>
      <c r="B2169" s="11" t="s">
        <v>2269</v>
      </c>
      <c r="C2169" s="10" t="s">
        <v>14</v>
      </c>
      <c r="D2169" s="10" t="s">
        <v>95</v>
      </c>
    </row>
    <row r="2170">
      <c r="A2170" s="10">
        <v>2169.0</v>
      </c>
      <c r="B2170" s="11" t="s">
        <v>2270</v>
      </c>
      <c r="C2170" s="10" t="s">
        <v>14</v>
      </c>
      <c r="D2170" s="10" t="s">
        <v>122</v>
      </c>
    </row>
    <row r="2171">
      <c r="A2171" s="10">
        <v>2170.0</v>
      </c>
      <c r="B2171" s="11" t="s">
        <v>2271</v>
      </c>
      <c r="C2171" s="10" t="s">
        <v>20</v>
      </c>
      <c r="D2171" s="10" t="s">
        <v>36</v>
      </c>
    </row>
    <row r="2172">
      <c r="A2172" s="10">
        <v>2171.0</v>
      </c>
      <c r="B2172" s="11" t="s">
        <v>2272</v>
      </c>
      <c r="C2172" s="10" t="s">
        <v>11</v>
      </c>
      <c r="D2172" s="10" t="s">
        <v>105</v>
      </c>
    </row>
    <row r="2173">
      <c r="A2173" s="10">
        <v>2172.0</v>
      </c>
      <c r="B2173" s="11" t="s">
        <v>2273</v>
      </c>
      <c r="C2173" s="10" t="s">
        <v>77</v>
      </c>
      <c r="D2173" s="10" t="s">
        <v>67</v>
      </c>
    </row>
    <row r="2174">
      <c r="A2174" s="10">
        <v>2173.0</v>
      </c>
      <c r="B2174" s="11" t="s">
        <v>2274</v>
      </c>
      <c r="C2174" s="10" t="s">
        <v>14</v>
      </c>
      <c r="D2174" s="10" t="s">
        <v>120</v>
      </c>
    </row>
    <row r="2175">
      <c r="A2175" s="10">
        <v>2174.0</v>
      </c>
      <c r="B2175" s="11" t="s">
        <v>2275</v>
      </c>
      <c r="C2175" s="10" t="s">
        <v>39</v>
      </c>
      <c r="D2175" s="10" t="s">
        <v>42</v>
      </c>
    </row>
    <row r="2176">
      <c r="A2176" s="10">
        <v>2175.0</v>
      </c>
      <c r="B2176" s="11" t="s">
        <v>2276</v>
      </c>
      <c r="C2176" s="10" t="s">
        <v>39</v>
      </c>
      <c r="D2176" s="10" t="s">
        <v>129</v>
      </c>
    </row>
    <row r="2177">
      <c r="A2177" s="10">
        <v>2176.0</v>
      </c>
      <c r="B2177" s="11" t="s">
        <v>2277</v>
      </c>
      <c r="C2177" s="10" t="s">
        <v>48</v>
      </c>
      <c r="D2177" s="10" t="s">
        <v>90</v>
      </c>
    </row>
    <row r="2178">
      <c r="A2178" s="10">
        <v>2177.0</v>
      </c>
      <c r="B2178" s="11" t="s">
        <v>2278</v>
      </c>
      <c r="C2178" s="10" t="s">
        <v>14</v>
      </c>
      <c r="D2178" s="10" t="s">
        <v>140</v>
      </c>
    </row>
    <row r="2179">
      <c r="A2179" s="10">
        <v>2178.0</v>
      </c>
      <c r="B2179" s="11" t="s">
        <v>2279</v>
      </c>
      <c r="C2179" s="10" t="s">
        <v>39</v>
      </c>
      <c r="D2179" s="10" t="s">
        <v>82</v>
      </c>
    </row>
    <row r="2180">
      <c r="A2180" s="10">
        <v>2179.0</v>
      </c>
      <c r="B2180" s="11" t="s">
        <v>2280</v>
      </c>
      <c r="C2180" s="10" t="s">
        <v>17</v>
      </c>
      <c r="D2180" s="10" t="s">
        <v>52</v>
      </c>
    </row>
    <row r="2181">
      <c r="A2181" s="10">
        <v>2180.0</v>
      </c>
      <c r="B2181" s="11" t="s">
        <v>2281</v>
      </c>
      <c r="C2181" s="10" t="s">
        <v>77</v>
      </c>
      <c r="D2181" s="10" t="s">
        <v>120</v>
      </c>
    </row>
    <row r="2182">
      <c r="A2182" s="10">
        <v>2181.0</v>
      </c>
      <c r="B2182" s="11" t="s">
        <v>2282</v>
      </c>
      <c r="C2182" s="10" t="s">
        <v>14</v>
      </c>
      <c r="D2182" s="10" t="s">
        <v>71</v>
      </c>
    </row>
    <row r="2183">
      <c r="A2183" s="10">
        <v>2182.0</v>
      </c>
      <c r="B2183" s="11" t="s">
        <v>2283</v>
      </c>
      <c r="C2183" s="10" t="s">
        <v>77</v>
      </c>
      <c r="D2183" s="10" t="s">
        <v>18</v>
      </c>
    </row>
    <row r="2184">
      <c r="A2184" s="10">
        <v>2183.0</v>
      </c>
      <c r="B2184" s="11" t="s">
        <v>2284</v>
      </c>
      <c r="C2184" s="10" t="s">
        <v>39</v>
      </c>
      <c r="D2184" s="10" t="s">
        <v>73</v>
      </c>
    </row>
    <row r="2185">
      <c r="A2185" s="10">
        <v>2184.0</v>
      </c>
      <c r="B2185" s="11" t="s">
        <v>2285</v>
      </c>
      <c r="C2185" s="10" t="s">
        <v>39</v>
      </c>
      <c r="D2185" s="10" t="s">
        <v>120</v>
      </c>
    </row>
    <row r="2186">
      <c r="A2186" s="10">
        <v>2185.0</v>
      </c>
      <c r="B2186" s="11" t="s">
        <v>2286</v>
      </c>
      <c r="C2186" s="10" t="s">
        <v>14</v>
      </c>
      <c r="D2186" s="10" t="s">
        <v>27</v>
      </c>
    </row>
    <row r="2187">
      <c r="A2187" s="10">
        <v>2186.0</v>
      </c>
      <c r="B2187" s="11" t="s">
        <v>2287</v>
      </c>
      <c r="C2187" s="10" t="s">
        <v>14</v>
      </c>
      <c r="D2187" s="10" t="s">
        <v>122</v>
      </c>
    </row>
    <row r="2188">
      <c r="A2188" s="10">
        <v>2187.0</v>
      </c>
      <c r="B2188" s="11" t="s">
        <v>2288</v>
      </c>
      <c r="C2188" s="10" t="s">
        <v>14</v>
      </c>
      <c r="D2188" s="10" t="s">
        <v>99</v>
      </c>
    </row>
    <row r="2189">
      <c r="A2189" s="10">
        <v>2188.0</v>
      </c>
      <c r="B2189" s="11" t="s">
        <v>2289</v>
      </c>
      <c r="C2189" s="10" t="s">
        <v>139</v>
      </c>
      <c r="D2189" s="10" t="s">
        <v>42</v>
      </c>
    </row>
    <row r="2190">
      <c r="A2190" s="10">
        <v>2189.0</v>
      </c>
      <c r="B2190" s="11" t="s">
        <v>2290</v>
      </c>
      <c r="C2190" s="10" t="s">
        <v>14</v>
      </c>
      <c r="D2190" s="10" t="s">
        <v>122</v>
      </c>
    </row>
    <row r="2191">
      <c r="A2191" s="10">
        <v>2190.0</v>
      </c>
      <c r="B2191" s="11" t="s">
        <v>2291</v>
      </c>
      <c r="C2191" s="10" t="s">
        <v>48</v>
      </c>
      <c r="D2191" s="10" t="s">
        <v>52</v>
      </c>
    </row>
    <row r="2192">
      <c r="A2192" s="10">
        <v>2191.0</v>
      </c>
      <c r="B2192" s="11" t="s">
        <v>2292</v>
      </c>
      <c r="C2192" s="10" t="s">
        <v>39</v>
      </c>
      <c r="D2192" s="10" t="s">
        <v>25</v>
      </c>
    </row>
    <row r="2193">
      <c r="A2193" s="10">
        <v>2192.0</v>
      </c>
      <c r="B2193" s="11" t="s">
        <v>2293</v>
      </c>
      <c r="C2193" s="10" t="s">
        <v>14</v>
      </c>
      <c r="D2193" s="10" t="s">
        <v>71</v>
      </c>
    </row>
    <row r="2194">
      <c r="A2194" s="10">
        <v>2193.0</v>
      </c>
      <c r="B2194" s="11" t="s">
        <v>2294</v>
      </c>
      <c r="C2194" s="10" t="s">
        <v>63</v>
      </c>
      <c r="D2194" s="10" t="s">
        <v>18</v>
      </c>
    </row>
    <row r="2195">
      <c r="A2195" s="10">
        <v>2194.0</v>
      </c>
      <c r="B2195" s="11" t="s">
        <v>2295</v>
      </c>
      <c r="C2195" s="10" t="s">
        <v>14</v>
      </c>
      <c r="D2195" s="10" t="s">
        <v>15</v>
      </c>
    </row>
    <row r="2196">
      <c r="A2196" s="10">
        <v>2195.0</v>
      </c>
      <c r="B2196" s="11" t="s">
        <v>2296</v>
      </c>
      <c r="C2196" s="10" t="s">
        <v>55</v>
      </c>
      <c r="D2196" s="10" t="s">
        <v>18</v>
      </c>
    </row>
    <row r="2197">
      <c r="A2197" s="10">
        <v>2196.0</v>
      </c>
      <c r="B2197" s="11" t="s">
        <v>2297</v>
      </c>
      <c r="C2197" s="10" t="s">
        <v>55</v>
      </c>
      <c r="D2197" s="10" t="s">
        <v>9</v>
      </c>
    </row>
    <row r="2198">
      <c r="A2198" s="10">
        <v>2197.0</v>
      </c>
      <c r="B2198" s="11" t="s">
        <v>2298</v>
      </c>
      <c r="C2198" s="10" t="s">
        <v>11</v>
      </c>
      <c r="D2198" s="10" t="s">
        <v>105</v>
      </c>
    </row>
    <row r="2199">
      <c r="A2199" s="10">
        <v>2198.0</v>
      </c>
      <c r="B2199" s="11" t="s">
        <v>2299</v>
      </c>
      <c r="C2199" s="10" t="s">
        <v>14</v>
      </c>
      <c r="D2199" s="10" t="s">
        <v>90</v>
      </c>
    </row>
    <row r="2200">
      <c r="A2200" s="10">
        <v>2199.0</v>
      </c>
      <c r="B2200" s="11" t="s">
        <v>1811</v>
      </c>
      <c r="C2200" s="10" t="s">
        <v>14</v>
      </c>
      <c r="D2200" s="10" t="s">
        <v>31</v>
      </c>
    </row>
    <row r="2201">
      <c r="A2201" s="10">
        <v>2200.0</v>
      </c>
      <c r="B2201" s="11" t="s">
        <v>2300</v>
      </c>
      <c r="C2201" s="10" t="s">
        <v>89</v>
      </c>
      <c r="D2201" s="10" t="s">
        <v>129</v>
      </c>
    </row>
    <row r="2202">
      <c r="A2202" s="10">
        <v>2201.0</v>
      </c>
      <c r="B2202" s="11" t="s">
        <v>2301</v>
      </c>
      <c r="C2202" s="10" t="s">
        <v>39</v>
      </c>
      <c r="D2202" s="10" t="s">
        <v>85</v>
      </c>
    </row>
    <row r="2203">
      <c r="A2203" s="10">
        <v>2202.0</v>
      </c>
      <c r="B2203" s="11" t="s">
        <v>2302</v>
      </c>
      <c r="C2203" s="10" t="s">
        <v>11</v>
      </c>
      <c r="D2203" s="10" t="s">
        <v>42</v>
      </c>
    </row>
    <row r="2204">
      <c r="A2204" s="10">
        <v>2203.0</v>
      </c>
      <c r="B2204" s="11" t="s">
        <v>2303</v>
      </c>
      <c r="C2204" s="10" t="s">
        <v>8</v>
      </c>
      <c r="D2204" s="10" t="s">
        <v>206</v>
      </c>
    </row>
    <row r="2205">
      <c r="A2205" s="10">
        <v>2204.0</v>
      </c>
      <c r="B2205" s="11" t="s">
        <v>2304</v>
      </c>
      <c r="C2205" s="10" t="s">
        <v>11</v>
      </c>
      <c r="D2205" s="10" t="s">
        <v>120</v>
      </c>
    </row>
    <row r="2206">
      <c r="A2206" s="10">
        <v>2205.0</v>
      </c>
      <c r="B2206" s="11" t="s">
        <v>2305</v>
      </c>
      <c r="C2206" s="10" t="s">
        <v>470</v>
      </c>
      <c r="D2206" s="10" t="s">
        <v>90</v>
      </c>
    </row>
    <row r="2207">
      <c r="A2207" s="10">
        <v>2206.0</v>
      </c>
      <c r="B2207" s="11" t="s">
        <v>2306</v>
      </c>
      <c r="C2207" s="10" t="s">
        <v>87</v>
      </c>
      <c r="D2207" s="10" t="s">
        <v>71</v>
      </c>
    </row>
    <row r="2208">
      <c r="A2208" s="10">
        <v>2207.0</v>
      </c>
      <c r="B2208" s="11" t="s">
        <v>2307</v>
      </c>
      <c r="C2208" s="10" t="s">
        <v>14</v>
      </c>
      <c r="D2208" s="10" t="s">
        <v>18</v>
      </c>
    </row>
    <row r="2209">
      <c r="A2209" s="10">
        <v>2208.0</v>
      </c>
      <c r="B2209" s="11" t="s">
        <v>2308</v>
      </c>
      <c r="C2209" s="10" t="s">
        <v>55</v>
      </c>
      <c r="D2209" s="10" t="s">
        <v>46</v>
      </c>
    </row>
    <row r="2210">
      <c r="A2210" s="10">
        <v>2209.0</v>
      </c>
      <c r="B2210" s="11" t="s">
        <v>2309</v>
      </c>
      <c r="C2210" s="10" t="s">
        <v>14</v>
      </c>
      <c r="D2210" s="10" t="s">
        <v>15</v>
      </c>
    </row>
    <row r="2211">
      <c r="A2211" s="10">
        <v>2210.0</v>
      </c>
      <c r="B2211" s="11" t="s">
        <v>2310</v>
      </c>
      <c r="C2211" s="10" t="s">
        <v>14</v>
      </c>
      <c r="D2211" s="10" t="s">
        <v>95</v>
      </c>
    </row>
    <row r="2212">
      <c r="A2212" s="10">
        <v>2211.0</v>
      </c>
      <c r="B2212" s="11" t="s">
        <v>2311</v>
      </c>
      <c r="C2212" s="10" t="s">
        <v>14</v>
      </c>
      <c r="D2212" s="10" t="s">
        <v>46</v>
      </c>
    </row>
    <row r="2213">
      <c r="A2213" s="10">
        <v>2212.0</v>
      </c>
      <c r="B2213" s="11" t="s">
        <v>2312</v>
      </c>
      <c r="C2213" s="10" t="s">
        <v>55</v>
      </c>
      <c r="D2213" s="10" t="s">
        <v>23</v>
      </c>
    </row>
    <row r="2214">
      <c r="A2214" s="10">
        <v>2213.0</v>
      </c>
      <c r="B2214" s="11" t="s">
        <v>2313</v>
      </c>
      <c r="C2214" s="10" t="s">
        <v>77</v>
      </c>
      <c r="D2214" s="10" t="s">
        <v>90</v>
      </c>
    </row>
    <row r="2215">
      <c r="A2215" s="10">
        <v>2214.0</v>
      </c>
      <c r="B2215" s="11" t="s">
        <v>2314</v>
      </c>
      <c r="C2215" s="10" t="s">
        <v>39</v>
      </c>
      <c r="D2215" s="10" t="s">
        <v>15</v>
      </c>
    </row>
    <row r="2216">
      <c r="A2216" s="10">
        <v>2215.0</v>
      </c>
      <c r="B2216" s="11" t="s">
        <v>2315</v>
      </c>
      <c r="C2216" s="10" t="s">
        <v>77</v>
      </c>
      <c r="D2216" s="10" t="s">
        <v>67</v>
      </c>
    </row>
    <row r="2217">
      <c r="A2217" s="10">
        <v>2216.0</v>
      </c>
      <c r="B2217" s="11" t="s">
        <v>2316</v>
      </c>
      <c r="C2217" s="10" t="s">
        <v>39</v>
      </c>
      <c r="D2217" s="10" t="s">
        <v>206</v>
      </c>
    </row>
    <row r="2218">
      <c r="A2218" s="10">
        <v>2217.0</v>
      </c>
      <c r="B2218" s="11" t="s">
        <v>2317</v>
      </c>
      <c r="C2218" s="10" t="s">
        <v>77</v>
      </c>
      <c r="D2218" s="10" t="s">
        <v>82</v>
      </c>
    </row>
    <row r="2219">
      <c r="A2219" s="10">
        <v>2218.0</v>
      </c>
      <c r="B2219" s="11" t="s">
        <v>2318</v>
      </c>
      <c r="C2219" s="10" t="s">
        <v>8</v>
      </c>
      <c r="D2219" s="10" t="s">
        <v>46</v>
      </c>
    </row>
    <row r="2220">
      <c r="A2220" s="10">
        <v>2219.0</v>
      </c>
      <c r="B2220" s="11" t="s">
        <v>2319</v>
      </c>
      <c r="C2220" s="10" t="s">
        <v>14</v>
      </c>
      <c r="D2220" s="10" t="s">
        <v>9</v>
      </c>
    </row>
    <row r="2221">
      <c r="A2221" s="10">
        <v>2220.0</v>
      </c>
      <c r="B2221" s="11" t="s">
        <v>2320</v>
      </c>
      <c r="C2221" s="10" t="s">
        <v>11</v>
      </c>
      <c r="D2221" s="10" t="s">
        <v>122</v>
      </c>
    </row>
    <row r="2222">
      <c r="A2222" s="10">
        <v>2221.0</v>
      </c>
      <c r="B2222" s="11" t="s">
        <v>2321</v>
      </c>
      <c r="C2222" s="10" t="s">
        <v>55</v>
      </c>
      <c r="D2222" s="10" t="s">
        <v>85</v>
      </c>
    </row>
    <row r="2223">
      <c r="A2223" s="10">
        <v>2222.0</v>
      </c>
      <c r="B2223" s="11" t="s">
        <v>2322</v>
      </c>
      <c r="C2223" s="10" t="s">
        <v>77</v>
      </c>
      <c r="D2223" s="10" t="s">
        <v>31</v>
      </c>
    </row>
    <row r="2224">
      <c r="A2224" s="10">
        <v>2223.0</v>
      </c>
      <c r="B2224" s="11" t="s">
        <v>2323</v>
      </c>
      <c r="C2224" s="10" t="s">
        <v>14</v>
      </c>
      <c r="D2224" s="10" t="s">
        <v>140</v>
      </c>
    </row>
    <row r="2225">
      <c r="A2225" s="10">
        <v>2224.0</v>
      </c>
      <c r="B2225" s="11" t="s">
        <v>2324</v>
      </c>
      <c r="C2225" s="10" t="s">
        <v>14</v>
      </c>
      <c r="D2225" s="10" t="s">
        <v>36</v>
      </c>
    </row>
    <row r="2226">
      <c r="A2226" s="10">
        <v>2225.0</v>
      </c>
      <c r="B2226" s="11" t="s">
        <v>2325</v>
      </c>
      <c r="C2226" s="10" t="s">
        <v>17</v>
      </c>
      <c r="D2226" s="10" t="s">
        <v>95</v>
      </c>
    </row>
    <row r="2227">
      <c r="A2227" s="10">
        <v>2226.0</v>
      </c>
      <c r="B2227" s="11" t="s">
        <v>2326</v>
      </c>
      <c r="C2227" s="10" t="s">
        <v>14</v>
      </c>
      <c r="D2227" s="10" t="s">
        <v>99</v>
      </c>
    </row>
    <row r="2228">
      <c r="A2228" s="10">
        <v>2227.0</v>
      </c>
      <c r="B2228" s="11" t="s">
        <v>2327</v>
      </c>
      <c r="C2228" s="10" t="s">
        <v>39</v>
      </c>
      <c r="D2228" s="10" t="s">
        <v>71</v>
      </c>
    </row>
    <row r="2229">
      <c r="A2229" s="10">
        <v>2228.0</v>
      </c>
      <c r="B2229" s="11" t="s">
        <v>2328</v>
      </c>
      <c r="C2229" s="10" t="s">
        <v>14</v>
      </c>
      <c r="D2229" s="10" t="s">
        <v>113</v>
      </c>
    </row>
    <row r="2230">
      <c r="A2230" s="10">
        <v>2229.0</v>
      </c>
      <c r="B2230" s="11" t="s">
        <v>2329</v>
      </c>
      <c r="C2230" s="10" t="s">
        <v>14</v>
      </c>
      <c r="D2230" s="10" t="s">
        <v>82</v>
      </c>
    </row>
    <row r="2231">
      <c r="A2231" s="10">
        <v>2230.0</v>
      </c>
      <c r="B2231" s="11" t="s">
        <v>2330</v>
      </c>
      <c r="C2231" s="10" t="s">
        <v>14</v>
      </c>
      <c r="D2231" s="10" t="s">
        <v>18</v>
      </c>
    </row>
    <row r="2232">
      <c r="A2232" s="10">
        <v>2231.0</v>
      </c>
      <c r="B2232" s="11" t="s">
        <v>2331</v>
      </c>
      <c r="C2232" s="10" t="s">
        <v>77</v>
      </c>
      <c r="D2232" s="10" t="s">
        <v>42</v>
      </c>
    </row>
    <row r="2233">
      <c r="A2233" s="10">
        <v>2232.0</v>
      </c>
      <c r="B2233" s="11" t="s">
        <v>2332</v>
      </c>
      <c r="C2233" s="10" t="s">
        <v>11</v>
      </c>
      <c r="D2233" s="10" t="s">
        <v>82</v>
      </c>
    </row>
    <row r="2234">
      <c r="A2234" s="10">
        <v>2233.0</v>
      </c>
      <c r="B2234" s="11" t="s">
        <v>2333</v>
      </c>
      <c r="C2234" s="10" t="s">
        <v>89</v>
      </c>
      <c r="D2234" s="10" t="s">
        <v>15</v>
      </c>
    </row>
    <row r="2235">
      <c r="A2235" s="10">
        <v>2234.0</v>
      </c>
      <c r="B2235" s="11" t="s">
        <v>2334</v>
      </c>
      <c r="C2235" s="10" t="s">
        <v>39</v>
      </c>
      <c r="D2235" s="10" t="s">
        <v>42</v>
      </c>
    </row>
    <row r="2236">
      <c r="A2236" s="10">
        <v>2235.0</v>
      </c>
      <c r="B2236" s="11" t="s">
        <v>2335</v>
      </c>
      <c r="C2236" s="10" t="s">
        <v>14</v>
      </c>
      <c r="D2236" s="10" t="s">
        <v>42</v>
      </c>
    </row>
    <row r="2237">
      <c r="A2237" s="10">
        <v>2236.0</v>
      </c>
      <c r="B2237" s="11" t="s">
        <v>2336</v>
      </c>
      <c r="C2237" s="10" t="s">
        <v>176</v>
      </c>
      <c r="D2237" s="10" t="s">
        <v>206</v>
      </c>
    </row>
    <row r="2238">
      <c r="A2238" s="10">
        <v>2237.0</v>
      </c>
      <c r="B2238" s="11" t="s">
        <v>2337</v>
      </c>
      <c r="C2238" s="10" t="s">
        <v>55</v>
      </c>
      <c r="D2238" s="10" t="s">
        <v>34</v>
      </c>
    </row>
    <row r="2239">
      <c r="A2239" s="10">
        <v>2238.0</v>
      </c>
      <c r="B2239" s="11" t="s">
        <v>2338</v>
      </c>
      <c r="C2239" s="10" t="s">
        <v>17</v>
      </c>
      <c r="D2239" s="10" t="s">
        <v>90</v>
      </c>
    </row>
    <row r="2240">
      <c r="A2240" s="10">
        <v>2239.0</v>
      </c>
      <c r="B2240" s="11" t="s">
        <v>2339</v>
      </c>
      <c r="C2240" s="10" t="s">
        <v>14</v>
      </c>
      <c r="D2240" s="10" t="s">
        <v>34</v>
      </c>
    </row>
    <row r="2241">
      <c r="A2241" s="10">
        <v>2240.0</v>
      </c>
      <c r="B2241" s="11" t="s">
        <v>2340</v>
      </c>
      <c r="C2241" s="10" t="s">
        <v>39</v>
      </c>
      <c r="D2241" s="10" t="s">
        <v>137</v>
      </c>
    </row>
    <row r="2242">
      <c r="A2242" s="10">
        <v>2241.0</v>
      </c>
      <c r="B2242" s="11" t="s">
        <v>2341</v>
      </c>
      <c r="C2242" s="10" t="s">
        <v>14</v>
      </c>
      <c r="D2242" s="10" t="s">
        <v>34</v>
      </c>
    </row>
    <row r="2243">
      <c r="A2243" s="10">
        <v>2242.0</v>
      </c>
      <c r="B2243" s="11" t="s">
        <v>2342</v>
      </c>
      <c r="C2243" s="10" t="s">
        <v>14</v>
      </c>
      <c r="D2243" s="10" t="s">
        <v>120</v>
      </c>
    </row>
    <row r="2244">
      <c r="A2244" s="10">
        <v>2243.0</v>
      </c>
      <c r="B2244" s="11" t="s">
        <v>2343</v>
      </c>
      <c r="C2244" s="10" t="s">
        <v>14</v>
      </c>
      <c r="D2244" s="10" t="s">
        <v>206</v>
      </c>
    </row>
    <row r="2245">
      <c r="A2245" s="10">
        <v>2244.0</v>
      </c>
      <c r="B2245" s="11" t="s">
        <v>2344</v>
      </c>
      <c r="C2245" s="10" t="s">
        <v>39</v>
      </c>
      <c r="D2245" s="10" t="s">
        <v>25</v>
      </c>
    </row>
    <row r="2246">
      <c r="A2246" s="10">
        <v>2245.0</v>
      </c>
      <c r="B2246" s="11" t="s">
        <v>2345</v>
      </c>
      <c r="C2246" s="10" t="s">
        <v>89</v>
      </c>
      <c r="D2246" s="10" t="s">
        <v>15</v>
      </c>
    </row>
    <row r="2247">
      <c r="A2247" s="10">
        <v>2246.0</v>
      </c>
      <c r="B2247" s="11" t="s">
        <v>2346</v>
      </c>
      <c r="C2247" s="10" t="s">
        <v>77</v>
      </c>
      <c r="D2247" s="10" t="s">
        <v>12</v>
      </c>
    </row>
    <row r="2248">
      <c r="A2248" s="10">
        <v>2247.0</v>
      </c>
      <c r="B2248" s="11" t="s">
        <v>2347</v>
      </c>
      <c r="C2248" s="10" t="s">
        <v>14</v>
      </c>
      <c r="D2248" s="10" t="s">
        <v>9</v>
      </c>
    </row>
    <row r="2249">
      <c r="A2249" s="10">
        <v>2248.0</v>
      </c>
      <c r="B2249" s="11" t="s">
        <v>2348</v>
      </c>
      <c r="C2249" s="10" t="s">
        <v>11</v>
      </c>
      <c r="D2249" s="10" t="s">
        <v>122</v>
      </c>
    </row>
    <row r="2250">
      <c r="A2250" s="10">
        <v>2249.0</v>
      </c>
      <c r="B2250" s="11" t="s">
        <v>2349</v>
      </c>
      <c r="C2250" s="10" t="s">
        <v>14</v>
      </c>
      <c r="D2250" s="10" t="s">
        <v>49</v>
      </c>
    </row>
    <row r="2251">
      <c r="A2251" s="10">
        <v>2250.0</v>
      </c>
      <c r="B2251" s="11" t="s">
        <v>2350</v>
      </c>
      <c r="C2251" s="10" t="s">
        <v>14</v>
      </c>
      <c r="D2251" s="10" t="s">
        <v>120</v>
      </c>
    </row>
    <row r="2252">
      <c r="A2252" s="10">
        <v>2251.0</v>
      </c>
      <c r="B2252" s="11" t="s">
        <v>2351</v>
      </c>
      <c r="C2252" s="10" t="s">
        <v>39</v>
      </c>
      <c r="D2252" s="10" t="s">
        <v>46</v>
      </c>
    </row>
    <row r="2253">
      <c r="A2253" s="10">
        <v>2252.0</v>
      </c>
      <c r="B2253" s="11" t="s">
        <v>2352</v>
      </c>
      <c r="C2253" s="10" t="s">
        <v>136</v>
      </c>
      <c r="D2253" s="10" t="s">
        <v>105</v>
      </c>
    </row>
    <row r="2254">
      <c r="A2254" s="10">
        <v>2253.0</v>
      </c>
      <c r="B2254" s="11" t="s">
        <v>2353</v>
      </c>
      <c r="C2254" s="10" t="s">
        <v>14</v>
      </c>
      <c r="D2254" s="10" t="s">
        <v>9</v>
      </c>
    </row>
    <row r="2255">
      <c r="A2255" s="10">
        <v>2254.0</v>
      </c>
      <c r="B2255" s="11" t="s">
        <v>2354</v>
      </c>
      <c r="C2255" s="10" t="s">
        <v>11</v>
      </c>
      <c r="D2255" s="10" t="s">
        <v>73</v>
      </c>
    </row>
    <row r="2256">
      <c r="A2256" s="10">
        <v>2255.0</v>
      </c>
      <c r="B2256" s="11" t="s">
        <v>2355</v>
      </c>
      <c r="C2256" s="10" t="s">
        <v>14</v>
      </c>
      <c r="D2256" s="10" t="s">
        <v>9</v>
      </c>
    </row>
    <row r="2257">
      <c r="A2257" s="10">
        <v>2256.0</v>
      </c>
      <c r="B2257" s="11" t="s">
        <v>2356</v>
      </c>
      <c r="C2257" s="10" t="s">
        <v>148</v>
      </c>
      <c r="D2257" s="10" t="s">
        <v>140</v>
      </c>
    </row>
    <row r="2258">
      <c r="A2258" s="10">
        <v>2257.0</v>
      </c>
      <c r="B2258" s="11" t="s">
        <v>2357</v>
      </c>
      <c r="C2258" s="10" t="s">
        <v>17</v>
      </c>
      <c r="D2258" s="10" t="s">
        <v>82</v>
      </c>
    </row>
    <row r="2259">
      <c r="A2259" s="10">
        <v>2258.0</v>
      </c>
      <c r="B2259" s="11" t="s">
        <v>2358</v>
      </c>
      <c r="C2259" s="10" t="s">
        <v>39</v>
      </c>
      <c r="D2259" s="10" t="s">
        <v>25</v>
      </c>
    </row>
    <row r="2260">
      <c r="A2260" s="10">
        <v>2259.0</v>
      </c>
      <c r="B2260" s="11" t="s">
        <v>2359</v>
      </c>
      <c r="C2260" s="10" t="s">
        <v>89</v>
      </c>
      <c r="D2260" s="10" t="s">
        <v>36</v>
      </c>
    </row>
    <row r="2261">
      <c r="A2261" s="10">
        <v>2260.0</v>
      </c>
      <c r="B2261" s="11" t="s">
        <v>2360</v>
      </c>
      <c r="C2261" s="10" t="s">
        <v>55</v>
      </c>
      <c r="D2261" s="10" t="s">
        <v>206</v>
      </c>
    </row>
    <row r="2262">
      <c r="A2262" s="10">
        <v>2261.0</v>
      </c>
      <c r="B2262" s="11" t="s">
        <v>2361</v>
      </c>
      <c r="C2262" s="10" t="s">
        <v>77</v>
      </c>
      <c r="D2262" s="10" t="s">
        <v>120</v>
      </c>
    </row>
    <row r="2263">
      <c r="A2263" s="10">
        <v>2262.0</v>
      </c>
      <c r="B2263" s="11" t="s">
        <v>2362</v>
      </c>
      <c r="C2263" s="10" t="s">
        <v>39</v>
      </c>
      <c r="D2263" s="10" t="s">
        <v>120</v>
      </c>
    </row>
    <row r="2264">
      <c r="A2264" s="10">
        <v>2263.0</v>
      </c>
      <c r="B2264" s="11" t="s">
        <v>2363</v>
      </c>
      <c r="C2264" s="10" t="s">
        <v>14</v>
      </c>
      <c r="D2264" s="10" t="s">
        <v>140</v>
      </c>
    </row>
    <row r="2265">
      <c r="A2265" s="10">
        <v>2264.0</v>
      </c>
      <c r="B2265" s="11" t="s">
        <v>2364</v>
      </c>
      <c r="C2265" s="10" t="s">
        <v>39</v>
      </c>
      <c r="D2265" s="10" t="s">
        <v>67</v>
      </c>
    </row>
    <row r="2266">
      <c r="A2266" s="10">
        <v>2265.0</v>
      </c>
      <c r="B2266" s="11" t="s">
        <v>2365</v>
      </c>
      <c r="C2266" s="10" t="s">
        <v>14</v>
      </c>
      <c r="D2266" s="10" t="s">
        <v>42</v>
      </c>
    </row>
    <row r="2267">
      <c r="A2267" s="10">
        <v>2266.0</v>
      </c>
      <c r="B2267" s="11" t="s">
        <v>2366</v>
      </c>
      <c r="C2267" s="10" t="s">
        <v>14</v>
      </c>
      <c r="D2267" s="10" t="s">
        <v>67</v>
      </c>
    </row>
    <row r="2268">
      <c r="A2268" s="10">
        <v>2267.0</v>
      </c>
      <c r="B2268" s="11" t="s">
        <v>2367</v>
      </c>
      <c r="C2268" s="10" t="s">
        <v>14</v>
      </c>
      <c r="D2268" s="10" t="s">
        <v>85</v>
      </c>
    </row>
    <row r="2269">
      <c r="A2269" s="10">
        <v>2268.0</v>
      </c>
      <c r="B2269" s="11" t="s">
        <v>2368</v>
      </c>
      <c r="C2269" s="10" t="s">
        <v>89</v>
      </c>
      <c r="D2269" s="10" t="s">
        <v>113</v>
      </c>
    </row>
    <row r="2270">
      <c r="A2270" s="10">
        <v>2269.0</v>
      </c>
      <c r="B2270" s="11" t="s">
        <v>2369</v>
      </c>
      <c r="C2270" s="10" t="s">
        <v>77</v>
      </c>
      <c r="D2270" s="10" t="s">
        <v>36</v>
      </c>
    </row>
    <row r="2271">
      <c r="A2271" s="10">
        <v>2270.0</v>
      </c>
      <c r="B2271" s="11" t="s">
        <v>2370</v>
      </c>
      <c r="C2271" s="10" t="s">
        <v>48</v>
      </c>
      <c r="D2271" s="10" t="s">
        <v>85</v>
      </c>
    </row>
    <row r="2272">
      <c r="A2272" s="10">
        <v>2271.0</v>
      </c>
      <c r="B2272" s="11" t="s">
        <v>2371</v>
      </c>
      <c r="C2272" s="10" t="s">
        <v>39</v>
      </c>
      <c r="D2272" s="10" t="s">
        <v>36</v>
      </c>
    </row>
    <row r="2273">
      <c r="A2273" s="10">
        <v>2272.0</v>
      </c>
      <c r="B2273" s="11" t="s">
        <v>2372</v>
      </c>
      <c r="C2273" s="10" t="s">
        <v>14</v>
      </c>
      <c r="D2273" s="10" t="s">
        <v>71</v>
      </c>
    </row>
    <row r="2274">
      <c r="A2274" s="10">
        <v>2273.0</v>
      </c>
      <c r="B2274" s="11" t="s">
        <v>2373</v>
      </c>
      <c r="C2274" s="10" t="s">
        <v>48</v>
      </c>
      <c r="D2274" s="10" t="s">
        <v>90</v>
      </c>
    </row>
    <row r="2275">
      <c r="A2275" s="10">
        <v>2274.0</v>
      </c>
      <c r="B2275" s="11" t="s">
        <v>2374</v>
      </c>
      <c r="C2275" s="10" t="s">
        <v>14</v>
      </c>
      <c r="D2275" s="10" t="s">
        <v>137</v>
      </c>
    </row>
    <row r="2276">
      <c r="A2276" s="10">
        <v>2275.0</v>
      </c>
      <c r="B2276" s="11" t="s">
        <v>2375</v>
      </c>
      <c r="C2276" s="10" t="s">
        <v>14</v>
      </c>
      <c r="D2276" s="10" t="s">
        <v>18</v>
      </c>
    </row>
    <row r="2277">
      <c r="A2277" s="10">
        <v>2276.0</v>
      </c>
      <c r="B2277" s="11" t="s">
        <v>2376</v>
      </c>
      <c r="C2277" s="10" t="s">
        <v>77</v>
      </c>
      <c r="D2277" s="10" t="s">
        <v>122</v>
      </c>
    </row>
    <row r="2278">
      <c r="A2278" s="10">
        <v>2277.0</v>
      </c>
      <c r="B2278" s="11" t="s">
        <v>1089</v>
      </c>
      <c r="C2278" s="10" t="s">
        <v>14</v>
      </c>
      <c r="D2278" s="10" t="s">
        <v>206</v>
      </c>
    </row>
    <row r="2279">
      <c r="A2279" s="10">
        <v>2278.0</v>
      </c>
      <c r="B2279" s="11" t="s">
        <v>2377</v>
      </c>
      <c r="C2279" s="10" t="s">
        <v>55</v>
      </c>
      <c r="D2279" s="10" t="s">
        <v>18</v>
      </c>
    </row>
    <row r="2280">
      <c r="A2280" s="10">
        <v>2279.0</v>
      </c>
      <c r="B2280" s="11" t="s">
        <v>2378</v>
      </c>
      <c r="C2280" s="10" t="s">
        <v>8</v>
      </c>
      <c r="D2280" s="10" t="s">
        <v>71</v>
      </c>
    </row>
    <row r="2281">
      <c r="A2281" s="10">
        <v>2280.0</v>
      </c>
      <c r="B2281" s="11" t="s">
        <v>2379</v>
      </c>
      <c r="C2281" s="10" t="s">
        <v>14</v>
      </c>
      <c r="D2281" s="10" t="s">
        <v>99</v>
      </c>
    </row>
    <row r="2282">
      <c r="A2282" s="10">
        <v>2281.0</v>
      </c>
      <c r="B2282" s="11" t="s">
        <v>2380</v>
      </c>
      <c r="C2282" s="10" t="s">
        <v>11</v>
      </c>
      <c r="D2282" s="10" t="s">
        <v>113</v>
      </c>
    </row>
    <row r="2283">
      <c r="A2283" s="10">
        <v>2282.0</v>
      </c>
      <c r="B2283" s="11" t="s">
        <v>2381</v>
      </c>
      <c r="C2283" s="10" t="s">
        <v>48</v>
      </c>
      <c r="D2283" s="10" t="s">
        <v>71</v>
      </c>
    </row>
    <row r="2284">
      <c r="A2284" s="10">
        <v>2283.0</v>
      </c>
      <c r="B2284" s="11" t="s">
        <v>2382</v>
      </c>
      <c r="C2284" s="10" t="s">
        <v>39</v>
      </c>
      <c r="D2284" s="10" t="s">
        <v>122</v>
      </c>
    </row>
    <row r="2285">
      <c r="A2285" s="10">
        <v>2284.0</v>
      </c>
      <c r="B2285" s="11" t="s">
        <v>2383</v>
      </c>
      <c r="C2285" s="10" t="s">
        <v>14</v>
      </c>
      <c r="D2285" s="10" t="s">
        <v>206</v>
      </c>
    </row>
    <row r="2286">
      <c r="A2286" s="10">
        <v>2285.0</v>
      </c>
      <c r="B2286" s="11" t="s">
        <v>2384</v>
      </c>
      <c r="C2286" s="10" t="s">
        <v>48</v>
      </c>
      <c r="D2286" s="10" t="s">
        <v>82</v>
      </c>
    </row>
    <row r="2287">
      <c r="A2287" s="10">
        <v>2286.0</v>
      </c>
      <c r="B2287" s="11" t="s">
        <v>2385</v>
      </c>
      <c r="C2287" s="10" t="s">
        <v>89</v>
      </c>
      <c r="D2287" s="10" t="s">
        <v>113</v>
      </c>
    </row>
    <row r="2288">
      <c r="A2288" s="10">
        <v>2287.0</v>
      </c>
      <c r="B2288" s="11" t="s">
        <v>2386</v>
      </c>
      <c r="C2288" s="10" t="s">
        <v>63</v>
      </c>
      <c r="D2288" s="10" t="s">
        <v>105</v>
      </c>
    </row>
    <row r="2289">
      <c r="A2289" s="10">
        <v>2288.0</v>
      </c>
      <c r="B2289" s="11" t="s">
        <v>2387</v>
      </c>
      <c r="C2289" s="10" t="s">
        <v>14</v>
      </c>
      <c r="D2289" s="10" t="s">
        <v>52</v>
      </c>
    </row>
    <row r="2290">
      <c r="A2290" s="10">
        <v>2289.0</v>
      </c>
      <c r="B2290" s="11" t="s">
        <v>2388</v>
      </c>
      <c r="C2290" s="10" t="s">
        <v>240</v>
      </c>
      <c r="D2290" s="10" t="s">
        <v>105</v>
      </c>
    </row>
    <row r="2291">
      <c r="A2291" s="10">
        <v>2290.0</v>
      </c>
      <c r="B2291" s="11" t="s">
        <v>2389</v>
      </c>
      <c r="C2291" s="10" t="s">
        <v>39</v>
      </c>
      <c r="D2291" s="10" t="s">
        <v>85</v>
      </c>
    </row>
    <row r="2292">
      <c r="A2292" s="10">
        <v>2291.0</v>
      </c>
      <c r="B2292" s="11" t="s">
        <v>2390</v>
      </c>
      <c r="C2292" s="10" t="s">
        <v>77</v>
      </c>
      <c r="D2292" s="10" t="s">
        <v>49</v>
      </c>
    </row>
    <row r="2293">
      <c r="A2293" s="10">
        <v>2292.0</v>
      </c>
      <c r="B2293" s="11" t="s">
        <v>2391</v>
      </c>
      <c r="C2293" s="10" t="s">
        <v>11</v>
      </c>
      <c r="D2293" s="10" t="s">
        <v>105</v>
      </c>
    </row>
    <row r="2294">
      <c r="A2294" s="10">
        <v>2293.0</v>
      </c>
      <c r="B2294" s="11" t="s">
        <v>2392</v>
      </c>
      <c r="C2294" s="10" t="s">
        <v>77</v>
      </c>
      <c r="D2294" s="10" t="s">
        <v>15</v>
      </c>
    </row>
    <row r="2295">
      <c r="A2295" s="10">
        <v>2294.0</v>
      </c>
      <c r="B2295" s="11" t="s">
        <v>2393</v>
      </c>
      <c r="C2295" s="10" t="s">
        <v>8</v>
      </c>
      <c r="D2295" s="10" t="s">
        <v>105</v>
      </c>
    </row>
    <row r="2296">
      <c r="A2296" s="10">
        <v>2295.0</v>
      </c>
      <c r="B2296" s="11" t="s">
        <v>2394</v>
      </c>
      <c r="C2296" s="10" t="s">
        <v>77</v>
      </c>
      <c r="D2296" s="10" t="s">
        <v>42</v>
      </c>
    </row>
    <row r="2297">
      <c r="A2297" s="10">
        <v>2296.0</v>
      </c>
      <c r="B2297" s="11" t="s">
        <v>2395</v>
      </c>
      <c r="C2297" s="10" t="s">
        <v>17</v>
      </c>
      <c r="D2297" s="10" t="s">
        <v>82</v>
      </c>
    </row>
    <row r="2298">
      <c r="A2298" s="10">
        <v>2297.0</v>
      </c>
      <c r="B2298" s="11" t="s">
        <v>2396</v>
      </c>
      <c r="C2298" s="10" t="s">
        <v>77</v>
      </c>
      <c r="D2298" s="10" t="s">
        <v>85</v>
      </c>
    </row>
    <row r="2299">
      <c r="A2299" s="10">
        <v>2298.0</v>
      </c>
      <c r="B2299" s="11" t="s">
        <v>2397</v>
      </c>
      <c r="C2299" s="10" t="s">
        <v>39</v>
      </c>
      <c r="D2299" s="10" t="s">
        <v>34</v>
      </c>
    </row>
    <row r="2300">
      <c r="A2300" s="10">
        <v>2299.0</v>
      </c>
      <c r="B2300" s="11" t="s">
        <v>2398</v>
      </c>
      <c r="C2300" s="10" t="s">
        <v>77</v>
      </c>
      <c r="D2300" s="10" t="s">
        <v>23</v>
      </c>
    </row>
    <row r="2301">
      <c r="A2301" s="10">
        <v>2300.0</v>
      </c>
      <c r="B2301" s="11" t="s">
        <v>2399</v>
      </c>
      <c r="C2301" s="10" t="s">
        <v>11</v>
      </c>
      <c r="D2301" s="10" t="s">
        <v>82</v>
      </c>
    </row>
    <row r="2302">
      <c r="A2302" s="10">
        <v>2301.0</v>
      </c>
      <c r="B2302" s="11" t="s">
        <v>2400</v>
      </c>
      <c r="C2302" s="10" t="s">
        <v>14</v>
      </c>
      <c r="D2302" s="10" t="s">
        <v>27</v>
      </c>
    </row>
    <row r="2303">
      <c r="A2303" s="10">
        <v>2302.0</v>
      </c>
      <c r="B2303" s="11" t="s">
        <v>2401</v>
      </c>
      <c r="C2303" s="10" t="s">
        <v>136</v>
      </c>
      <c r="D2303" s="10" t="s">
        <v>137</v>
      </c>
    </row>
    <row r="2304">
      <c r="A2304" s="10">
        <v>2303.0</v>
      </c>
      <c r="B2304" s="11" t="s">
        <v>2402</v>
      </c>
      <c r="C2304" s="10" t="s">
        <v>77</v>
      </c>
      <c r="D2304" s="10" t="s">
        <v>27</v>
      </c>
    </row>
    <row r="2305">
      <c r="A2305" s="10">
        <v>2304.0</v>
      </c>
      <c r="B2305" s="11" t="s">
        <v>2403</v>
      </c>
      <c r="C2305" s="10" t="s">
        <v>14</v>
      </c>
      <c r="D2305" s="10" t="s">
        <v>34</v>
      </c>
    </row>
    <row r="2306">
      <c r="A2306" s="10">
        <v>2305.0</v>
      </c>
      <c r="B2306" s="11" t="s">
        <v>2404</v>
      </c>
      <c r="C2306" s="10" t="s">
        <v>39</v>
      </c>
      <c r="D2306" s="10" t="s">
        <v>122</v>
      </c>
    </row>
    <row r="2307">
      <c r="A2307" s="10">
        <v>2306.0</v>
      </c>
      <c r="B2307" s="11" t="s">
        <v>2405</v>
      </c>
      <c r="C2307" s="10" t="s">
        <v>14</v>
      </c>
      <c r="D2307" s="10" t="s">
        <v>90</v>
      </c>
    </row>
    <row r="2308">
      <c r="A2308" s="10">
        <v>2307.0</v>
      </c>
      <c r="B2308" s="11" t="s">
        <v>1088</v>
      </c>
      <c r="C2308" s="10" t="s">
        <v>39</v>
      </c>
      <c r="D2308" s="10" t="s">
        <v>25</v>
      </c>
    </row>
    <row r="2309">
      <c r="A2309" s="10">
        <v>2308.0</v>
      </c>
      <c r="B2309" s="11" t="s">
        <v>2406</v>
      </c>
      <c r="C2309" s="10" t="s">
        <v>89</v>
      </c>
      <c r="D2309" s="10" t="s">
        <v>73</v>
      </c>
    </row>
    <row r="2310">
      <c r="A2310" s="10">
        <v>2309.0</v>
      </c>
      <c r="B2310" s="11" t="s">
        <v>2407</v>
      </c>
      <c r="C2310" s="10" t="s">
        <v>17</v>
      </c>
      <c r="D2310" s="10" t="s">
        <v>85</v>
      </c>
    </row>
    <row r="2311">
      <c r="A2311" s="10">
        <v>2310.0</v>
      </c>
      <c r="B2311" s="11" t="s">
        <v>2408</v>
      </c>
      <c r="C2311" s="10" t="s">
        <v>17</v>
      </c>
      <c r="D2311" s="10" t="s">
        <v>31</v>
      </c>
    </row>
    <row r="2312">
      <c r="A2312" s="10">
        <v>2311.0</v>
      </c>
      <c r="B2312" s="11" t="s">
        <v>372</v>
      </c>
      <c r="C2312" s="10" t="s">
        <v>77</v>
      </c>
      <c r="D2312" s="10" t="s">
        <v>82</v>
      </c>
    </row>
    <row r="2313">
      <c r="A2313" s="10">
        <v>2312.0</v>
      </c>
      <c r="B2313" s="11" t="s">
        <v>2409</v>
      </c>
      <c r="C2313" s="10" t="s">
        <v>14</v>
      </c>
      <c r="D2313" s="10" t="s">
        <v>27</v>
      </c>
    </row>
    <row r="2314">
      <c r="A2314" s="10">
        <v>2313.0</v>
      </c>
      <c r="B2314" s="11" t="s">
        <v>2410</v>
      </c>
      <c r="C2314" s="10" t="s">
        <v>48</v>
      </c>
      <c r="D2314" s="10" t="s">
        <v>129</v>
      </c>
    </row>
    <row r="2315">
      <c r="A2315" s="10">
        <v>2314.0</v>
      </c>
      <c r="B2315" s="11" t="s">
        <v>2411</v>
      </c>
      <c r="C2315" s="10" t="s">
        <v>77</v>
      </c>
      <c r="D2315" s="10" t="s">
        <v>137</v>
      </c>
    </row>
    <row r="2316">
      <c r="A2316" s="10">
        <v>2315.0</v>
      </c>
      <c r="B2316" s="11" t="s">
        <v>2412</v>
      </c>
      <c r="C2316" s="10" t="s">
        <v>158</v>
      </c>
      <c r="D2316" s="10" t="s">
        <v>9</v>
      </c>
    </row>
    <row r="2317">
      <c r="A2317" s="10">
        <v>2316.0</v>
      </c>
      <c r="B2317" s="11" t="s">
        <v>2413</v>
      </c>
      <c r="C2317" s="10" t="s">
        <v>8</v>
      </c>
      <c r="D2317" s="10" t="s">
        <v>34</v>
      </c>
    </row>
    <row r="2318">
      <c r="A2318" s="10">
        <v>2317.0</v>
      </c>
      <c r="B2318" s="11" t="s">
        <v>2414</v>
      </c>
      <c r="C2318" s="10" t="s">
        <v>89</v>
      </c>
      <c r="D2318" s="10" t="s">
        <v>105</v>
      </c>
    </row>
    <row r="2319">
      <c r="A2319" s="10">
        <v>2318.0</v>
      </c>
      <c r="B2319" s="11" t="s">
        <v>2415</v>
      </c>
      <c r="C2319" s="10" t="s">
        <v>14</v>
      </c>
      <c r="D2319" s="10" t="s">
        <v>73</v>
      </c>
    </row>
    <row r="2320">
      <c r="A2320" s="10">
        <v>2319.0</v>
      </c>
      <c r="B2320" s="11" t="s">
        <v>2416</v>
      </c>
      <c r="C2320" s="10" t="s">
        <v>346</v>
      </c>
      <c r="D2320" s="10" t="s">
        <v>71</v>
      </c>
    </row>
    <row r="2321">
      <c r="A2321" s="10">
        <v>2320.0</v>
      </c>
      <c r="B2321" s="11" t="s">
        <v>2417</v>
      </c>
      <c r="C2321" s="10" t="s">
        <v>55</v>
      </c>
      <c r="D2321" s="10" t="s">
        <v>113</v>
      </c>
    </row>
    <row r="2322">
      <c r="A2322" s="10">
        <v>2321.0</v>
      </c>
      <c r="B2322" s="11" t="s">
        <v>2418</v>
      </c>
      <c r="C2322" s="10" t="s">
        <v>77</v>
      </c>
      <c r="D2322" s="10" t="s">
        <v>137</v>
      </c>
    </row>
    <row r="2323">
      <c r="A2323" s="10">
        <v>2322.0</v>
      </c>
      <c r="B2323" s="11" t="s">
        <v>2419</v>
      </c>
      <c r="C2323" s="10" t="s">
        <v>14</v>
      </c>
      <c r="D2323" s="10" t="s">
        <v>67</v>
      </c>
    </row>
    <row r="2324">
      <c r="A2324" s="10">
        <v>2323.0</v>
      </c>
      <c r="B2324" s="11" t="s">
        <v>2420</v>
      </c>
      <c r="C2324" s="10" t="s">
        <v>14</v>
      </c>
      <c r="D2324" s="10" t="s">
        <v>52</v>
      </c>
    </row>
    <row r="2325">
      <c r="A2325" s="10">
        <v>2324.0</v>
      </c>
      <c r="B2325" s="11" t="s">
        <v>2421</v>
      </c>
      <c r="C2325" s="10" t="s">
        <v>14</v>
      </c>
      <c r="D2325" s="10" t="s">
        <v>140</v>
      </c>
    </row>
    <row r="2326">
      <c r="A2326" s="10">
        <v>2325.0</v>
      </c>
      <c r="B2326" s="11" t="s">
        <v>2422</v>
      </c>
      <c r="C2326" s="10" t="s">
        <v>20</v>
      </c>
      <c r="D2326" s="10" t="s">
        <v>120</v>
      </c>
    </row>
    <row r="2327">
      <c r="A2327" s="10">
        <v>2326.0</v>
      </c>
      <c r="B2327" s="11" t="s">
        <v>2423</v>
      </c>
      <c r="C2327" s="10" t="s">
        <v>39</v>
      </c>
      <c r="D2327" s="10" t="s">
        <v>18</v>
      </c>
    </row>
    <row r="2328">
      <c r="A2328" s="10">
        <v>2327.0</v>
      </c>
      <c r="B2328" s="11" t="s">
        <v>2424</v>
      </c>
      <c r="C2328" s="10" t="s">
        <v>77</v>
      </c>
      <c r="D2328" s="10" t="s">
        <v>120</v>
      </c>
    </row>
    <row r="2329">
      <c r="A2329" s="10">
        <v>2328.0</v>
      </c>
      <c r="B2329" s="11" t="s">
        <v>2425</v>
      </c>
      <c r="C2329" s="10" t="s">
        <v>17</v>
      </c>
      <c r="D2329" s="10" t="s">
        <v>137</v>
      </c>
    </row>
    <row r="2330">
      <c r="A2330" s="10">
        <v>2329.0</v>
      </c>
      <c r="B2330" s="11" t="s">
        <v>2426</v>
      </c>
      <c r="C2330" s="10" t="s">
        <v>77</v>
      </c>
      <c r="D2330" s="10" t="s">
        <v>12</v>
      </c>
    </row>
    <row r="2331">
      <c r="A2331" s="10">
        <v>2330.0</v>
      </c>
      <c r="B2331" s="11" t="s">
        <v>2427</v>
      </c>
      <c r="C2331" s="10" t="s">
        <v>14</v>
      </c>
      <c r="D2331" s="10" t="s">
        <v>73</v>
      </c>
    </row>
    <row r="2332">
      <c r="A2332" s="10">
        <v>2331.0</v>
      </c>
      <c r="B2332" s="11" t="s">
        <v>2428</v>
      </c>
      <c r="C2332" s="10" t="s">
        <v>14</v>
      </c>
      <c r="D2332" s="10" t="s">
        <v>206</v>
      </c>
    </row>
    <row r="2333">
      <c r="A2333" s="10">
        <v>2332.0</v>
      </c>
      <c r="B2333" s="11" t="s">
        <v>2429</v>
      </c>
      <c r="C2333" s="10" t="s">
        <v>39</v>
      </c>
      <c r="D2333" s="10" t="s">
        <v>23</v>
      </c>
    </row>
    <row r="2334">
      <c r="A2334" s="10">
        <v>2333.0</v>
      </c>
      <c r="B2334" s="11" t="s">
        <v>2430</v>
      </c>
      <c r="C2334" s="10" t="s">
        <v>39</v>
      </c>
      <c r="D2334" s="10" t="s">
        <v>71</v>
      </c>
    </row>
    <row r="2335">
      <c r="A2335" s="10">
        <v>2334.0</v>
      </c>
      <c r="B2335" s="11" t="s">
        <v>2431</v>
      </c>
      <c r="C2335" s="10" t="s">
        <v>11</v>
      </c>
      <c r="D2335" s="10" t="s">
        <v>42</v>
      </c>
    </row>
    <row r="2336">
      <c r="A2336" s="10">
        <v>2335.0</v>
      </c>
      <c r="B2336" s="11" t="s">
        <v>2432</v>
      </c>
      <c r="C2336" s="10" t="s">
        <v>14</v>
      </c>
      <c r="D2336" s="10" t="s">
        <v>12</v>
      </c>
    </row>
    <row r="2337">
      <c r="A2337" s="10">
        <v>2336.0</v>
      </c>
      <c r="B2337" s="11" t="s">
        <v>2433</v>
      </c>
      <c r="C2337" s="10" t="s">
        <v>14</v>
      </c>
      <c r="D2337" s="10" t="s">
        <v>52</v>
      </c>
    </row>
    <row r="2338">
      <c r="A2338" s="10">
        <v>2337.0</v>
      </c>
      <c r="B2338" s="11" t="s">
        <v>2434</v>
      </c>
      <c r="C2338" s="10" t="s">
        <v>55</v>
      </c>
      <c r="D2338" s="10" t="s">
        <v>85</v>
      </c>
    </row>
    <row r="2339">
      <c r="A2339" s="10">
        <v>2338.0</v>
      </c>
      <c r="B2339" s="11" t="s">
        <v>2435</v>
      </c>
      <c r="C2339" s="10" t="s">
        <v>77</v>
      </c>
      <c r="D2339" s="10" t="s">
        <v>105</v>
      </c>
    </row>
    <row r="2340">
      <c r="A2340" s="10">
        <v>2339.0</v>
      </c>
      <c r="B2340" s="11" t="s">
        <v>2436</v>
      </c>
      <c r="C2340" s="10" t="s">
        <v>55</v>
      </c>
      <c r="D2340" s="10" t="s">
        <v>49</v>
      </c>
    </row>
    <row r="2341">
      <c r="A2341" s="10">
        <v>2340.0</v>
      </c>
      <c r="B2341" s="11" t="s">
        <v>2437</v>
      </c>
      <c r="C2341" s="10" t="s">
        <v>8</v>
      </c>
      <c r="D2341" s="10" t="s">
        <v>52</v>
      </c>
    </row>
    <row r="2342">
      <c r="A2342" s="10">
        <v>2341.0</v>
      </c>
      <c r="B2342" s="11" t="s">
        <v>2438</v>
      </c>
      <c r="C2342" s="10" t="s">
        <v>240</v>
      </c>
      <c r="D2342" s="10" t="s">
        <v>46</v>
      </c>
    </row>
    <row r="2343">
      <c r="A2343" s="10">
        <v>2342.0</v>
      </c>
      <c r="B2343" s="11" t="s">
        <v>2439</v>
      </c>
      <c r="C2343" s="10" t="s">
        <v>77</v>
      </c>
      <c r="D2343" s="10" t="s">
        <v>71</v>
      </c>
    </row>
    <row r="2344">
      <c r="A2344" s="10">
        <v>2343.0</v>
      </c>
      <c r="B2344" s="11" t="s">
        <v>2440</v>
      </c>
      <c r="C2344" s="10" t="s">
        <v>14</v>
      </c>
      <c r="D2344" s="10" t="s">
        <v>85</v>
      </c>
    </row>
    <row r="2345">
      <c r="A2345" s="10">
        <v>2344.0</v>
      </c>
      <c r="B2345" s="11" t="s">
        <v>2441</v>
      </c>
      <c r="C2345" s="10" t="s">
        <v>77</v>
      </c>
      <c r="D2345" s="10" t="s">
        <v>140</v>
      </c>
    </row>
    <row r="2346">
      <c r="A2346" s="10">
        <v>2345.0</v>
      </c>
      <c r="B2346" s="11" t="s">
        <v>2442</v>
      </c>
      <c r="C2346" s="10" t="s">
        <v>14</v>
      </c>
      <c r="D2346" s="10" t="s">
        <v>67</v>
      </c>
    </row>
    <row r="2347">
      <c r="A2347" s="10">
        <v>2346.0</v>
      </c>
      <c r="B2347" s="11" t="s">
        <v>2443</v>
      </c>
      <c r="C2347" s="10" t="s">
        <v>55</v>
      </c>
      <c r="D2347" s="10" t="s">
        <v>73</v>
      </c>
    </row>
    <row r="2348">
      <c r="A2348" s="10">
        <v>2347.0</v>
      </c>
      <c r="B2348" s="11" t="s">
        <v>2444</v>
      </c>
      <c r="C2348" s="10" t="s">
        <v>39</v>
      </c>
      <c r="D2348" s="10" t="s">
        <v>140</v>
      </c>
    </row>
    <row r="2349">
      <c r="A2349" s="10">
        <v>2348.0</v>
      </c>
      <c r="B2349" s="11" t="s">
        <v>2445</v>
      </c>
      <c r="C2349" s="10" t="s">
        <v>17</v>
      </c>
      <c r="D2349" s="10" t="s">
        <v>67</v>
      </c>
    </row>
    <row r="2350">
      <c r="A2350" s="10">
        <v>2349.0</v>
      </c>
      <c r="B2350" s="11" t="s">
        <v>2446</v>
      </c>
      <c r="C2350" s="10" t="s">
        <v>240</v>
      </c>
      <c r="D2350" s="10" t="s">
        <v>95</v>
      </c>
    </row>
    <row r="2351">
      <c r="A2351" s="10">
        <v>2350.0</v>
      </c>
      <c r="B2351" s="11" t="s">
        <v>2447</v>
      </c>
      <c r="C2351" s="10" t="s">
        <v>77</v>
      </c>
      <c r="D2351" s="10" t="s">
        <v>25</v>
      </c>
    </row>
    <row r="2352">
      <c r="A2352" s="10">
        <v>2351.0</v>
      </c>
      <c r="B2352" s="11" t="s">
        <v>2448</v>
      </c>
      <c r="C2352" s="10" t="s">
        <v>39</v>
      </c>
      <c r="D2352" s="10" t="s">
        <v>99</v>
      </c>
    </row>
    <row r="2353">
      <c r="A2353" s="10">
        <v>2352.0</v>
      </c>
      <c r="B2353" s="11" t="s">
        <v>2449</v>
      </c>
      <c r="C2353" s="10" t="s">
        <v>11</v>
      </c>
      <c r="D2353" s="10" t="s">
        <v>18</v>
      </c>
    </row>
    <row r="2354">
      <c r="A2354" s="10">
        <v>2353.0</v>
      </c>
      <c r="B2354" s="11" t="s">
        <v>2450</v>
      </c>
      <c r="C2354" s="10" t="s">
        <v>39</v>
      </c>
      <c r="D2354" s="10" t="s">
        <v>113</v>
      </c>
    </row>
    <row r="2355">
      <c r="A2355" s="10">
        <v>2354.0</v>
      </c>
      <c r="B2355" s="11" t="s">
        <v>2451</v>
      </c>
      <c r="C2355" s="10" t="s">
        <v>39</v>
      </c>
      <c r="D2355" s="10" t="s">
        <v>113</v>
      </c>
    </row>
    <row r="2356">
      <c r="A2356" s="10">
        <v>2355.0</v>
      </c>
      <c r="B2356" s="11" t="s">
        <v>2452</v>
      </c>
      <c r="C2356" s="10" t="s">
        <v>14</v>
      </c>
      <c r="D2356" s="10" t="s">
        <v>113</v>
      </c>
    </row>
    <row r="2357">
      <c r="A2357" s="10">
        <v>2356.0</v>
      </c>
      <c r="B2357" s="11" t="s">
        <v>2453</v>
      </c>
      <c r="C2357" s="10" t="s">
        <v>48</v>
      </c>
      <c r="D2357" s="10" t="s">
        <v>71</v>
      </c>
    </row>
    <row r="2358">
      <c r="A2358" s="10">
        <v>2357.0</v>
      </c>
      <c r="B2358" s="11" t="s">
        <v>2454</v>
      </c>
      <c r="C2358" s="10" t="s">
        <v>77</v>
      </c>
      <c r="D2358" s="10" t="s">
        <v>23</v>
      </c>
    </row>
    <row r="2359">
      <c r="A2359" s="10">
        <v>2358.0</v>
      </c>
      <c r="B2359" s="11" t="s">
        <v>2455</v>
      </c>
      <c r="C2359" s="10" t="s">
        <v>39</v>
      </c>
      <c r="D2359" s="10" t="s">
        <v>140</v>
      </c>
    </row>
    <row r="2360">
      <c r="A2360" s="10">
        <v>2359.0</v>
      </c>
      <c r="B2360" s="11" t="s">
        <v>2456</v>
      </c>
      <c r="C2360" s="10" t="s">
        <v>77</v>
      </c>
      <c r="D2360" s="10" t="s">
        <v>95</v>
      </c>
    </row>
    <row r="2361">
      <c r="A2361" s="10">
        <v>2360.0</v>
      </c>
      <c r="B2361" s="11" t="s">
        <v>2457</v>
      </c>
      <c r="C2361" s="10" t="s">
        <v>39</v>
      </c>
      <c r="D2361" s="10" t="s">
        <v>23</v>
      </c>
    </row>
    <row r="2362">
      <c r="A2362" s="10">
        <v>2361.0</v>
      </c>
      <c r="B2362" s="11" t="s">
        <v>2458</v>
      </c>
      <c r="C2362" s="10" t="s">
        <v>48</v>
      </c>
      <c r="D2362" s="10" t="s">
        <v>73</v>
      </c>
    </row>
    <row r="2363">
      <c r="A2363" s="10">
        <v>2362.0</v>
      </c>
      <c r="B2363" s="11" t="s">
        <v>2459</v>
      </c>
      <c r="C2363" s="10" t="s">
        <v>69</v>
      </c>
      <c r="D2363" s="10" t="s">
        <v>18</v>
      </c>
    </row>
    <row r="2364">
      <c r="A2364" s="10">
        <v>2363.0</v>
      </c>
      <c r="B2364" s="11" t="s">
        <v>2460</v>
      </c>
      <c r="C2364" s="10" t="s">
        <v>11</v>
      </c>
      <c r="D2364" s="10" t="s">
        <v>95</v>
      </c>
    </row>
    <row r="2365">
      <c r="A2365" s="10">
        <v>2364.0</v>
      </c>
      <c r="B2365" s="11" t="s">
        <v>2461</v>
      </c>
      <c r="C2365" s="10" t="s">
        <v>39</v>
      </c>
      <c r="D2365" s="10" t="s">
        <v>23</v>
      </c>
    </row>
    <row r="2366">
      <c r="A2366" s="10">
        <v>2365.0</v>
      </c>
      <c r="B2366" s="11" t="s">
        <v>2462</v>
      </c>
      <c r="C2366" s="10" t="s">
        <v>14</v>
      </c>
      <c r="D2366" s="10" t="s">
        <v>122</v>
      </c>
    </row>
    <row r="2367">
      <c r="A2367" s="10">
        <v>2366.0</v>
      </c>
      <c r="B2367" s="11" t="s">
        <v>2463</v>
      </c>
      <c r="C2367" s="10" t="s">
        <v>77</v>
      </c>
      <c r="D2367" s="10" t="s">
        <v>31</v>
      </c>
    </row>
    <row r="2368">
      <c r="A2368" s="10">
        <v>2367.0</v>
      </c>
      <c r="B2368" s="11" t="s">
        <v>2464</v>
      </c>
      <c r="C2368" s="10" t="s">
        <v>11</v>
      </c>
      <c r="D2368" s="10" t="s">
        <v>71</v>
      </c>
    </row>
    <row r="2369">
      <c r="A2369" s="10">
        <v>2368.0</v>
      </c>
      <c r="B2369" s="11" t="s">
        <v>2465</v>
      </c>
      <c r="C2369" s="10" t="s">
        <v>48</v>
      </c>
      <c r="D2369" s="10" t="s">
        <v>25</v>
      </c>
    </row>
    <row r="2370">
      <c r="A2370" s="10">
        <v>2369.0</v>
      </c>
      <c r="B2370" s="11" t="s">
        <v>2466</v>
      </c>
      <c r="C2370" s="10" t="s">
        <v>48</v>
      </c>
      <c r="D2370" s="10" t="s">
        <v>52</v>
      </c>
    </row>
    <row r="2371">
      <c r="A2371" s="10">
        <v>2370.0</v>
      </c>
      <c r="B2371" s="11" t="s">
        <v>2467</v>
      </c>
      <c r="C2371" s="10" t="s">
        <v>39</v>
      </c>
      <c r="D2371" s="10" t="s">
        <v>67</v>
      </c>
    </row>
    <row r="2372">
      <c r="A2372" s="10">
        <v>2371.0</v>
      </c>
      <c r="B2372" s="11" t="s">
        <v>2468</v>
      </c>
      <c r="C2372" s="10" t="s">
        <v>14</v>
      </c>
      <c r="D2372" s="10" t="s">
        <v>25</v>
      </c>
    </row>
    <row r="2373">
      <c r="A2373" s="10">
        <v>2372.0</v>
      </c>
      <c r="B2373" s="11" t="s">
        <v>2469</v>
      </c>
      <c r="C2373" s="10" t="s">
        <v>14</v>
      </c>
      <c r="D2373" s="10" t="s">
        <v>137</v>
      </c>
    </row>
    <row r="2374">
      <c r="A2374" s="10">
        <v>2373.0</v>
      </c>
      <c r="B2374" s="11" t="s">
        <v>2470</v>
      </c>
      <c r="C2374" s="10" t="s">
        <v>11</v>
      </c>
      <c r="D2374" s="10" t="s">
        <v>46</v>
      </c>
    </row>
    <row r="2375">
      <c r="A2375" s="10">
        <v>2374.0</v>
      </c>
      <c r="B2375" s="11" t="s">
        <v>2471</v>
      </c>
      <c r="C2375" s="10" t="s">
        <v>77</v>
      </c>
      <c r="D2375" s="10" t="s">
        <v>129</v>
      </c>
    </row>
    <row r="2376">
      <c r="A2376" s="10">
        <v>2375.0</v>
      </c>
      <c r="B2376" s="11" t="s">
        <v>2472</v>
      </c>
      <c r="C2376" s="10" t="s">
        <v>8</v>
      </c>
      <c r="D2376" s="10" t="s">
        <v>12</v>
      </c>
    </row>
    <row r="2377">
      <c r="A2377" s="10">
        <v>2376.0</v>
      </c>
      <c r="B2377" s="11" t="s">
        <v>2473</v>
      </c>
      <c r="C2377" s="10" t="s">
        <v>48</v>
      </c>
      <c r="D2377" s="10" t="s">
        <v>113</v>
      </c>
    </row>
    <row r="2378">
      <c r="A2378" s="10">
        <v>2377.0</v>
      </c>
      <c r="B2378" s="11" t="s">
        <v>2474</v>
      </c>
      <c r="C2378" s="10" t="s">
        <v>77</v>
      </c>
      <c r="D2378" s="10" t="s">
        <v>18</v>
      </c>
    </row>
    <row r="2379">
      <c r="A2379" s="10">
        <v>2378.0</v>
      </c>
      <c r="B2379" s="11" t="s">
        <v>2475</v>
      </c>
      <c r="C2379" s="10" t="s">
        <v>55</v>
      </c>
      <c r="D2379" s="10" t="s">
        <v>73</v>
      </c>
    </row>
    <row r="2380">
      <c r="A2380" s="10">
        <v>2379.0</v>
      </c>
      <c r="B2380" s="11" t="s">
        <v>2476</v>
      </c>
      <c r="C2380" s="10" t="s">
        <v>39</v>
      </c>
      <c r="D2380" s="10" t="s">
        <v>99</v>
      </c>
    </row>
    <row r="2381">
      <c r="A2381" s="10">
        <v>2380.0</v>
      </c>
      <c r="B2381" s="11" t="s">
        <v>2477</v>
      </c>
      <c r="C2381" s="10" t="s">
        <v>8</v>
      </c>
      <c r="D2381" s="10" t="s">
        <v>122</v>
      </c>
    </row>
    <row r="2382">
      <c r="A2382" s="10">
        <v>2381.0</v>
      </c>
      <c r="B2382" s="11" t="s">
        <v>2478</v>
      </c>
      <c r="C2382" s="10" t="s">
        <v>14</v>
      </c>
      <c r="D2382" s="10" t="s">
        <v>23</v>
      </c>
    </row>
    <row r="2383">
      <c r="A2383" s="10">
        <v>2382.0</v>
      </c>
      <c r="B2383" s="11" t="s">
        <v>2479</v>
      </c>
      <c r="C2383" s="10" t="s">
        <v>14</v>
      </c>
      <c r="D2383" s="10" t="s">
        <v>18</v>
      </c>
    </row>
    <row r="2384">
      <c r="A2384" s="10">
        <v>2383.0</v>
      </c>
      <c r="B2384" s="11" t="s">
        <v>2480</v>
      </c>
      <c r="C2384" s="10" t="s">
        <v>77</v>
      </c>
      <c r="D2384" s="10" t="s">
        <v>49</v>
      </c>
    </row>
    <row r="2385">
      <c r="A2385" s="10">
        <v>2384.0</v>
      </c>
      <c r="B2385" s="11" t="s">
        <v>2481</v>
      </c>
      <c r="C2385" s="10" t="s">
        <v>20</v>
      </c>
      <c r="D2385" s="10" t="s">
        <v>49</v>
      </c>
    </row>
    <row r="2386">
      <c r="A2386" s="10">
        <v>2385.0</v>
      </c>
      <c r="B2386" s="11" t="s">
        <v>2482</v>
      </c>
      <c r="C2386" s="10" t="s">
        <v>14</v>
      </c>
      <c r="D2386" s="10" t="s">
        <v>73</v>
      </c>
    </row>
    <row r="2387">
      <c r="A2387" s="10">
        <v>2386.0</v>
      </c>
      <c r="B2387" s="11" t="s">
        <v>2483</v>
      </c>
      <c r="C2387" s="10" t="s">
        <v>63</v>
      </c>
      <c r="D2387" s="10" t="s">
        <v>18</v>
      </c>
    </row>
    <row r="2388">
      <c r="A2388" s="10">
        <v>2387.0</v>
      </c>
      <c r="B2388" s="11" t="s">
        <v>2484</v>
      </c>
      <c r="C2388" s="10" t="s">
        <v>39</v>
      </c>
      <c r="D2388" s="10" t="s">
        <v>52</v>
      </c>
    </row>
    <row r="2389">
      <c r="A2389" s="10">
        <v>2388.0</v>
      </c>
      <c r="B2389" s="11" t="s">
        <v>2485</v>
      </c>
      <c r="C2389" s="10" t="s">
        <v>14</v>
      </c>
      <c r="D2389" s="10" t="s">
        <v>15</v>
      </c>
    </row>
    <row r="2390">
      <c r="A2390" s="10">
        <v>2389.0</v>
      </c>
      <c r="B2390" s="11" t="s">
        <v>2486</v>
      </c>
      <c r="C2390" s="10" t="s">
        <v>14</v>
      </c>
      <c r="D2390" s="10" t="s">
        <v>31</v>
      </c>
    </row>
    <row r="2391">
      <c r="A2391" s="10">
        <v>2390.0</v>
      </c>
      <c r="B2391" s="11" t="s">
        <v>2487</v>
      </c>
      <c r="C2391" s="10" t="s">
        <v>11</v>
      </c>
      <c r="D2391" s="10" t="s">
        <v>85</v>
      </c>
    </row>
    <row r="2392">
      <c r="A2392" s="10">
        <v>2391.0</v>
      </c>
      <c r="B2392" s="11" t="s">
        <v>2488</v>
      </c>
      <c r="C2392" s="10" t="s">
        <v>39</v>
      </c>
      <c r="D2392" s="10" t="s">
        <v>34</v>
      </c>
    </row>
    <row r="2393">
      <c r="A2393" s="10">
        <v>2392.0</v>
      </c>
      <c r="B2393" s="11" t="s">
        <v>2489</v>
      </c>
      <c r="C2393" s="10" t="s">
        <v>77</v>
      </c>
      <c r="D2393" s="10" t="s">
        <v>140</v>
      </c>
    </row>
    <row r="2394">
      <c r="A2394" s="10">
        <v>2393.0</v>
      </c>
      <c r="B2394" s="11" t="s">
        <v>2490</v>
      </c>
      <c r="C2394" s="10" t="s">
        <v>14</v>
      </c>
      <c r="D2394" s="10" t="s">
        <v>25</v>
      </c>
    </row>
    <row r="2395">
      <c r="A2395" s="10">
        <v>2394.0</v>
      </c>
      <c r="B2395" s="11" t="s">
        <v>2491</v>
      </c>
      <c r="C2395" s="10" t="s">
        <v>39</v>
      </c>
      <c r="D2395" s="10" t="s">
        <v>82</v>
      </c>
    </row>
    <row r="2396">
      <c r="A2396" s="10">
        <v>2395.0</v>
      </c>
      <c r="B2396" s="11" t="s">
        <v>2492</v>
      </c>
      <c r="C2396" s="10" t="s">
        <v>17</v>
      </c>
      <c r="D2396" s="10" t="s">
        <v>122</v>
      </c>
    </row>
    <row r="2397">
      <c r="A2397" s="10">
        <v>2396.0</v>
      </c>
      <c r="B2397" s="11" t="s">
        <v>2493</v>
      </c>
      <c r="C2397" s="10" t="s">
        <v>39</v>
      </c>
      <c r="D2397" s="10" t="s">
        <v>23</v>
      </c>
    </row>
    <row r="2398">
      <c r="A2398" s="10">
        <v>2397.0</v>
      </c>
      <c r="B2398" s="11" t="s">
        <v>2494</v>
      </c>
      <c r="C2398" s="10" t="s">
        <v>14</v>
      </c>
      <c r="D2398" s="10" t="s">
        <v>46</v>
      </c>
    </row>
    <row r="2399">
      <c r="A2399" s="10">
        <v>2398.0</v>
      </c>
      <c r="B2399" s="11" t="s">
        <v>2495</v>
      </c>
      <c r="C2399" s="10" t="s">
        <v>39</v>
      </c>
      <c r="D2399" s="10" t="s">
        <v>140</v>
      </c>
    </row>
    <row r="2400">
      <c r="A2400" s="10">
        <v>2399.0</v>
      </c>
      <c r="B2400" s="11" t="s">
        <v>2496</v>
      </c>
      <c r="C2400" s="10" t="s">
        <v>39</v>
      </c>
      <c r="D2400" s="10" t="s">
        <v>9</v>
      </c>
    </row>
    <row r="2401">
      <c r="A2401" s="10">
        <v>2400.0</v>
      </c>
      <c r="B2401" s="11" t="s">
        <v>2497</v>
      </c>
      <c r="C2401" s="10" t="s">
        <v>14</v>
      </c>
      <c r="D2401" s="10" t="s">
        <v>27</v>
      </c>
    </row>
    <row r="2402">
      <c r="A2402" s="10">
        <v>2401.0</v>
      </c>
      <c r="B2402" s="11" t="s">
        <v>2498</v>
      </c>
      <c r="C2402" s="10" t="s">
        <v>77</v>
      </c>
      <c r="D2402" s="10" t="s">
        <v>122</v>
      </c>
    </row>
    <row r="2403">
      <c r="A2403" s="10">
        <v>2402.0</v>
      </c>
      <c r="B2403" s="11" t="s">
        <v>2499</v>
      </c>
      <c r="C2403" s="10" t="s">
        <v>1857</v>
      </c>
      <c r="D2403" s="10" t="s">
        <v>12</v>
      </c>
    </row>
    <row r="2404">
      <c r="A2404" s="10">
        <v>2403.0</v>
      </c>
      <c r="B2404" s="11" t="s">
        <v>2500</v>
      </c>
      <c r="C2404" s="10" t="s">
        <v>14</v>
      </c>
      <c r="D2404" s="10" t="s">
        <v>15</v>
      </c>
    </row>
    <row r="2405">
      <c r="A2405" s="10">
        <v>2404.0</v>
      </c>
      <c r="B2405" s="11" t="s">
        <v>2501</v>
      </c>
      <c r="C2405" s="10" t="s">
        <v>14</v>
      </c>
      <c r="D2405" s="10" t="s">
        <v>9</v>
      </c>
    </row>
    <row r="2406">
      <c r="A2406" s="10">
        <v>2405.0</v>
      </c>
      <c r="B2406" s="11" t="s">
        <v>2502</v>
      </c>
      <c r="C2406" s="10" t="s">
        <v>14</v>
      </c>
      <c r="D2406" s="10" t="s">
        <v>52</v>
      </c>
    </row>
    <row r="2407">
      <c r="A2407" s="10">
        <v>2406.0</v>
      </c>
      <c r="B2407" s="11" t="s">
        <v>2503</v>
      </c>
      <c r="C2407" s="10" t="s">
        <v>77</v>
      </c>
      <c r="D2407" s="10" t="s">
        <v>27</v>
      </c>
    </row>
    <row r="2408">
      <c r="A2408" s="10">
        <v>2407.0</v>
      </c>
      <c r="B2408" s="11" t="s">
        <v>2504</v>
      </c>
      <c r="C2408" s="10" t="s">
        <v>39</v>
      </c>
      <c r="D2408" s="10" t="s">
        <v>12</v>
      </c>
    </row>
    <row r="2409">
      <c r="A2409" s="10">
        <v>2408.0</v>
      </c>
      <c r="B2409" s="11" t="s">
        <v>2505</v>
      </c>
      <c r="C2409" s="10" t="s">
        <v>77</v>
      </c>
      <c r="D2409" s="10" t="s">
        <v>23</v>
      </c>
    </row>
    <row r="2410">
      <c r="A2410" s="10">
        <v>2409.0</v>
      </c>
      <c r="B2410" s="11" t="s">
        <v>2506</v>
      </c>
      <c r="C2410" s="10" t="s">
        <v>39</v>
      </c>
      <c r="D2410" s="10" t="s">
        <v>71</v>
      </c>
    </row>
    <row r="2411">
      <c r="A2411" s="10">
        <v>2410.0</v>
      </c>
      <c r="B2411" s="11" t="s">
        <v>2507</v>
      </c>
      <c r="C2411" s="10" t="s">
        <v>77</v>
      </c>
      <c r="D2411" s="10" t="s">
        <v>120</v>
      </c>
    </row>
    <row r="2412">
      <c r="A2412" s="10">
        <v>2411.0</v>
      </c>
      <c r="B2412" s="11" t="s">
        <v>2508</v>
      </c>
      <c r="C2412" s="10" t="s">
        <v>14</v>
      </c>
      <c r="D2412" s="10" t="s">
        <v>12</v>
      </c>
    </row>
    <row r="2413">
      <c r="A2413" s="10">
        <v>2412.0</v>
      </c>
      <c r="B2413" s="11" t="s">
        <v>2509</v>
      </c>
      <c r="C2413" s="10" t="s">
        <v>77</v>
      </c>
      <c r="D2413" s="10" t="s">
        <v>31</v>
      </c>
    </row>
    <row r="2414">
      <c r="A2414" s="10">
        <v>2413.0</v>
      </c>
      <c r="B2414" s="11" t="s">
        <v>2510</v>
      </c>
      <c r="C2414" s="10" t="s">
        <v>17</v>
      </c>
      <c r="D2414" s="10" t="s">
        <v>36</v>
      </c>
    </row>
    <row r="2415">
      <c r="A2415" s="10">
        <v>2414.0</v>
      </c>
      <c r="B2415" s="11" t="s">
        <v>2511</v>
      </c>
      <c r="C2415" s="10" t="s">
        <v>20</v>
      </c>
      <c r="D2415" s="10" t="s">
        <v>82</v>
      </c>
    </row>
    <row r="2416">
      <c r="A2416" s="10">
        <v>2415.0</v>
      </c>
      <c r="B2416" s="11" t="s">
        <v>2512</v>
      </c>
      <c r="C2416" s="10" t="s">
        <v>77</v>
      </c>
      <c r="D2416" s="10" t="s">
        <v>140</v>
      </c>
    </row>
    <row r="2417">
      <c r="A2417" s="10">
        <v>2416.0</v>
      </c>
      <c r="B2417" s="11" t="s">
        <v>2513</v>
      </c>
      <c r="C2417" s="10" t="s">
        <v>14</v>
      </c>
      <c r="D2417" s="10" t="s">
        <v>42</v>
      </c>
    </row>
    <row r="2418">
      <c r="A2418" s="10">
        <v>2417.0</v>
      </c>
      <c r="B2418" s="11" t="s">
        <v>2514</v>
      </c>
      <c r="C2418" s="10" t="s">
        <v>39</v>
      </c>
      <c r="D2418" s="10" t="s">
        <v>25</v>
      </c>
    </row>
    <row r="2419">
      <c r="A2419" s="10">
        <v>2418.0</v>
      </c>
      <c r="B2419" s="11" t="s">
        <v>2515</v>
      </c>
      <c r="C2419" s="10" t="s">
        <v>48</v>
      </c>
      <c r="D2419" s="10" t="s">
        <v>95</v>
      </c>
    </row>
    <row r="2420">
      <c r="A2420" s="10">
        <v>2419.0</v>
      </c>
      <c r="B2420" s="11" t="s">
        <v>2516</v>
      </c>
      <c r="C2420" s="10" t="s">
        <v>14</v>
      </c>
      <c r="D2420" s="10" t="s">
        <v>113</v>
      </c>
    </row>
    <row r="2421">
      <c r="A2421" s="10">
        <v>2420.0</v>
      </c>
      <c r="B2421" s="11" t="s">
        <v>2517</v>
      </c>
      <c r="C2421" s="10" t="s">
        <v>55</v>
      </c>
      <c r="D2421" s="10" t="s">
        <v>25</v>
      </c>
    </row>
    <row r="2422">
      <c r="A2422" s="10">
        <v>2421.0</v>
      </c>
      <c r="B2422" s="11" t="s">
        <v>2518</v>
      </c>
      <c r="C2422" s="10" t="s">
        <v>17</v>
      </c>
      <c r="D2422" s="10" t="s">
        <v>23</v>
      </c>
    </row>
    <row r="2423">
      <c r="A2423" s="10">
        <v>2422.0</v>
      </c>
      <c r="B2423" s="11" t="s">
        <v>2519</v>
      </c>
      <c r="C2423" s="10" t="s">
        <v>2520</v>
      </c>
      <c r="D2423" s="10" t="s">
        <v>18</v>
      </c>
    </row>
    <row r="2424">
      <c r="A2424" s="10">
        <v>2423.0</v>
      </c>
      <c r="B2424" s="11" t="s">
        <v>2521</v>
      </c>
      <c r="C2424" s="10" t="s">
        <v>77</v>
      </c>
      <c r="D2424" s="10" t="s">
        <v>85</v>
      </c>
    </row>
    <row r="2425">
      <c r="A2425" s="10">
        <v>2424.0</v>
      </c>
      <c r="B2425" s="11" t="s">
        <v>2522</v>
      </c>
      <c r="C2425" s="10" t="s">
        <v>240</v>
      </c>
      <c r="D2425" s="10" t="s">
        <v>31</v>
      </c>
    </row>
    <row r="2426">
      <c r="A2426" s="10">
        <v>2425.0</v>
      </c>
      <c r="B2426" s="11" t="s">
        <v>2523</v>
      </c>
      <c r="C2426" s="10" t="s">
        <v>55</v>
      </c>
      <c r="D2426" s="10" t="s">
        <v>137</v>
      </c>
    </row>
    <row r="2427">
      <c r="A2427" s="10">
        <v>2426.0</v>
      </c>
      <c r="B2427" s="11" t="s">
        <v>2524</v>
      </c>
      <c r="C2427" s="10" t="s">
        <v>14</v>
      </c>
      <c r="D2427" s="10" t="s">
        <v>27</v>
      </c>
    </row>
    <row r="2428">
      <c r="A2428" s="10">
        <v>2427.0</v>
      </c>
      <c r="B2428" s="11" t="s">
        <v>2525</v>
      </c>
      <c r="C2428" s="10" t="s">
        <v>39</v>
      </c>
      <c r="D2428" s="10" t="s">
        <v>27</v>
      </c>
    </row>
    <row r="2429">
      <c r="A2429" s="10">
        <v>2428.0</v>
      </c>
      <c r="B2429" s="11" t="s">
        <v>2526</v>
      </c>
      <c r="C2429" s="10" t="s">
        <v>150</v>
      </c>
      <c r="D2429" s="10" t="s">
        <v>25</v>
      </c>
    </row>
    <row r="2430">
      <c r="A2430" s="10">
        <v>2429.0</v>
      </c>
      <c r="B2430" s="11" t="s">
        <v>2527</v>
      </c>
      <c r="C2430" s="10" t="s">
        <v>17</v>
      </c>
      <c r="D2430" s="10" t="s">
        <v>82</v>
      </c>
    </row>
    <row r="2431">
      <c r="A2431" s="10">
        <v>2430.0</v>
      </c>
      <c r="B2431" s="11" t="s">
        <v>2528</v>
      </c>
      <c r="C2431" s="10" t="s">
        <v>20</v>
      </c>
      <c r="D2431" s="10" t="s">
        <v>34</v>
      </c>
    </row>
    <row r="2432">
      <c r="A2432" s="10">
        <v>2431.0</v>
      </c>
      <c r="B2432" s="11" t="s">
        <v>2529</v>
      </c>
      <c r="C2432" s="10" t="s">
        <v>39</v>
      </c>
      <c r="D2432" s="10" t="s">
        <v>12</v>
      </c>
    </row>
    <row r="2433">
      <c r="A2433" s="10">
        <v>2432.0</v>
      </c>
      <c r="B2433" s="11" t="s">
        <v>2530</v>
      </c>
      <c r="C2433" s="10" t="s">
        <v>77</v>
      </c>
      <c r="D2433" s="10" t="s">
        <v>9</v>
      </c>
    </row>
    <row r="2434">
      <c r="A2434" s="10">
        <v>2433.0</v>
      </c>
      <c r="B2434" s="11" t="s">
        <v>2531</v>
      </c>
      <c r="C2434" s="10" t="s">
        <v>89</v>
      </c>
      <c r="D2434" s="10" t="s">
        <v>36</v>
      </c>
    </row>
    <row r="2435">
      <c r="A2435" s="10">
        <v>2434.0</v>
      </c>
      <c r="B2435" s="11" t="s">
        <v>2532</v>
      </c>
      <c r="C2435" s="10" t="s">
        <v>14</v>
      </c>
      <c r="D2435" s="10" t="s">
        <v>120</v>
      </c>
    </row>
    <row r="2436">
      <c r="A2436" s="10">
        <v>2435.0</v>
      </c>
      <c r="B2436" s="11" t="s">
        <v>2533</v>
      </c>
      <c r="C2436" s="10" t="s">
        <v>48</v>
      </c>
      <c r="D2436" s="10" t="s">
        <v>206</v>
      </c>
    </row>
    <row r="2437">
      <c r="A2437" s="10">
        <v>2436.0</v>
      </c>
      <c r="B2437" s="11" t="s">
        <v>2534</v>
      </c>
      <c r="C2437" s="10" t="s">
        <v>11</v>
      </c>
      <c r="D2437" s="10" t="s">
        <v>12</v>
      </c>
    </row>
    <row r="2438">
      <c r="A2438" s="10">
        <v>2437.0</v>
      </c>
      <c r="B2438" s="11" t="s">
        <v>2535</v>
      </c>
      <c r="C2438" s="10" t="s">
        <v>11</v>
      </c>
      <c r="D2438" s="10" t="s">
        <v>23</v>
      </c>
    </row>
    <row r="2439">
      <c r="A2439" s="10">
        <v>2438.0</v>
      </c>
      <c r="B2439" s="11" t="s">
        <v>2536</v>
      </c>
      <c r="C2439" s="10" t="s">
        <v>39</v>
      </c>
      <c r="D2439" s="10" t="s">
        <v>73</v>
      </c>
    </row>
    <row r="2440">
      <c r="A2440" s="10">
        <v>2439.0</v>
      </c>
      <c r="B2440" s="11" t="s">
        <v>2537</v>
      </c>
      <c r="C2440" s="10" t="s">
        <v>39</v>
      </c>
      <c r="D2440" s="10" t="s">
        <v>27</v>
      </c>
    </row>
    <row r="2441">
      <c r="A2441" s="10">
        <v>2440.0</v>
      </c>
      <c r="B2441" s="11" t="s">
        <v>2538</v>
      </c>
      <c r="C2441" s="10" t="s">
        <v>17</v>
      </c>
      <c r="D2441" s="10" t="s">
        <v>31</v>
      </c>
    </row>
    <row r="2442">
      <c r="A2442" s="10">
        <v>2441.0</v>
      </c>
      <c r="B2442" s="11" t="s">
        <v>2539</v>
      </c>
      <c r="C2442" s="10" t="s">
        <v>77</v>
      </c>
      <c r="D2442" s="10" t="s">
        <v>15</v>
      </c>
    </row>
    <row r="2443">
      <c r="A2443" s="10">
        <v>2442.0</v>
      </c>
      <c r="B2443" s="11" t="s">
        <v>2540</v>
      </c>
      <c r="C2443" s="10" t="s">
        <v>39</v>
      </c>
      <c r="D2443" s="10" t="s">
        <v>23</v>
      </c>
    </row>
    <row r="2444">
      <c r="A2444" s="10">
        <v>2443.0</v>
      </c>
      <c r="B2444" s="11" t="s">
        <v>2541</v>
      </c>
      <c r="C2444" s="10" t="s">
        <v>39</v>
      </c>
      <c r="D2444" s="10" t="s">
        <v>90</v>
      </c>
    </row>
    <row r="2445">
      <c r="A2445" s="10">
        <v>2444.0</v>
      </c>
      <c r="B2445" s="11" t="s">
        <v>2542</v>
      </c>
      <c r="C2445" s="10" t="s">
        <v>39</v>
      </c>
      <c r="D2445" s="10" t="s">
        <v>90</v>
      </c>
    </row>
    <row r="2446">
      <c r="A2446" s="10">
        <v>2445.0</v>
      </c>
      <c r="B2446" s="11" t="s">
        <v>2543</v>
      </c>
      <c r="C2446" s="10" t="s">
        <v>14</v>
      </c>
      <c r="D2446" s="10" t="s">
        <v>105</v>
      </c>
    </row>
    <row r="2447">
      <c r="A2447" s="10">
        <v>2446.0</v>
      </c>
      <c r="B2447" s="11" t="s">
        <v>2544</v>
      </c>
      <c r="C2447" s="10" t="s">
        <v>55</v>
      </c>
      <c r="D2447" s="10" t="s">
        <v>52</v>
      </c>
    </row>
    <row r="2448">
      <c r="A2448" s="10">
        <v>2447.0</v>
      </c>
      <c r="B2448" s="11" t="s">
        <v>2545</v>
      </c>
      <c r="C2448" s="10" t="s">
        <v>39</v>
      </c>
      <c r="D2448" s="10" t="s">
        <v>95</v>
      </c>
    </row>
    <row r="2449">
      <c r="A2449" s="10">
        <v>2448.0</v>
      </c>
      <c r="B2449" s="11" t="s">
        <v>2546</v>
      </c>
      <c r="C2449" s="10" t="s">
        <v>39</v>
      </c>
      <c r="D2449" s="10" t="s">
        <v>27</v>
      </c>
    </row>
    <row r="2450">
      <c r="A2450" s="10">
        <v>2449.0</v>
      </c>
      <c r="B2450" s="11" t="s">
        <v>2547</v>
      </c>
      <c r="C2450" s="10" t="s">
        <v>39</v>
      </c>
      <c r="D2450" s="10" t="s">
        <v>140</v>
      </c>
    </row>
    <row r="2451">
      <c r="A2451" s="10">
        <v>2450.0</v>
      </c>
      <c r="B2451" s="11" t="s">
        <v>2548</v>
      </c>
      <c r="C2451" s="10" t="s">
        <v>39</v>
      </c>
      <c r="D2451" s="10" t="s">
        <v>71</v>
      </c>
    </row>
    <row r="2452">
      <c r="A2452" s="10">
        <v>2451.0</v>
      </c>
      <c r="B2452" s="11" t="s">
        <v>2549</v>
      </c>
      <c r="C2452" s="10" t="s">
        <v>39</v>
      </c>
      <c r="D2452" s="10" t="s">
        <v>46</v>
      </c>
    </row>
    <row r="2453">
      <c r="A2453" s="10">
        <v>2452.0</v>
      </c>
      <c r="B2453" s="11" t="s">
        <v>2550</v>
      </c>
      <c r="C2453" s="10" t="s">
        <v>77</v>
      </c>
      <c r="D2453" s="10" t="s">
        <v>129</v>
      </c>
    </row>
    <row r="2454">
      <c r="A2454" s="10">
        <v>2453.0</v>
      </c>
      <c r="B2454" s="11" t="s">
        <v>2551</v>
      </c>
      <c r="C2454" s="10" t="s">
        <v>14</v>
      </c>
      <c r="D2454" s="10" t="s">
        <v>105</v>
      </c>
    </row>
    <row r="2455">
      <c r="A2455" s="10">
        <v>2454.0</v>
      </c>
      <c r="B2455" s="11" t="s">
        <v>2552</v>
      </c>
      <c r="C2455" s="10" t="s">
        <v>77</v>
      </c>
      <c r="D2455" s="10" t="s">
        <v>122</v>
      </c>
    </row>
    <row r="2456">
      <c r="A2456" s="10">
        <v>2455.0</v>
      </c>
      <c r="B2456" s="11" t="s">
        <v>2553</v>
      </c>
      <c r="C2456" s="10" t="s">
        <v>14</v>
      </c>
      <c r="D2456" s="10" t="s">
        <v>67</v>
      </c>
    </row>
    <row r="2457">
      <c r="A2457" s="10">
        <v>2456.0</v>
      </c>
      <c r="B2457" s="11" t="s">
        <v>2554</v>
      </c>
      <c r="C2457" s="10" t="s">
        <v>14</v>
      </c>
      <c r="D2457" s="10" t="s">
        <v>18</v>
      </c>
    </row>
    <row r="2458">
      <c r="A2458" s="10">
        <v>2457.0</v>
      </c>
      <c r="B2458" s="11" t="s">
        <v>2555</v>
      </c>
      <c r="C2458" s="10" t="s">
        <v>11</v>
      </c>
      <c r="D2458" s="10" t="s">
        <v>95</v>
      </c>
    </row>
    <row r="2459">
      <c r="A2459" s="10">
        <v>2458.0</v>
      </c>
      <c r="B2459" s="11" t="s">
        <v>2556</v>
      </c>
      <c r="C2459" s="10" t="s">
        <v>39</v>
      </c>
      <c r="D2459" s="10" t="s">
        <v>120</v>
      </c>
    </row>
    <row r="2460">
      <c r="A2460" s="10">
        <v>2459.0</v>
      </c>
      <c r="B2460" s="11" t="s">
        <v>2557</v>
      </c>
      <c r="C2460" s="10" t="s">
        <v>89</v>
      </c>
      <c r="D2460" s="10" t="s">
        <v>85</v>
      </c>
    </row>
    <row r="2461">
      <c r="A2461" s="10">
        <v>2460.0</v>
      </c>
      <c r="B2461" s="11" t="s">
        <v>2558</v>
      </c>
      <c r="C2461" s="10" t="s">
        <v>69</v>
      </c>
      <c r="D2461" s="10" t="s">
        <v>36</v>
      </c>
    </row>
    <row r="2462">
      <c r="A2462" s="10">
        <v>2461.0</v>
      </c>
      <c r="B2462" s="11" t="s">
        <v>2559</v>
      </c>
      <c r="C2462" s="10" t="s">
        <v>39</v>
      </c>
      <c r="D2462" s="10" t="s">
        <v>129</v>
      </c>
    </row>
    <row r="2463">
      <c r="A2463" s="10">
        <v>2462.0</v>
      </c>
      <c r="B2463" s="11" t="s">
        <v>2560</v>
      </c>
      <c r="C2463" s="10" t="s">
        <v>20</v>
      </c>
      <c r="D2463" s="10" t="s">
        <v>25</v>
      </c>
    </row>
    <row r="2464">
      <c r="A2464" s="10">
        <v>2463.0</v>
      </c>
      <c r="B2464" s="11" t="s">
        <v>2561</v>
      </c>
      <c r="C2464" s="10" t="s">
        <v>14</v>
      </c>
      <c r="D2464" s="10" t="s">
        <v>49</v>
      </c>
    </row>
    <row r="2465">
      <c r="A2465" s="10">
        <v>2464.0</v>
      </c>
      <c r="B2465" s="11" t="s">
        <v>2562</v>
      </c>
      <c r="C2465" s="10" t="s">
        <v>69</v>
      </c>
      <c r="D2465" s="10" t="s">
        <v>140</v>
      </c>
    </row>
    <row r="2466">
      <c r="A2466" s="10">
        <v>2465.0</v>
      </c>
      <c r="B2466" s="11" t="s">
        <v>2563</v>
      </c>
      <c r="C2466" s="10" t="s">
        <v>48</v>
      </c>
      <c r="D2466" s="10" t="s">
        <v>31</v>
      </c>
    </row>
    <row r="2467">
      <c r="A2467" s="10">
        <v>2466.0</v>
      </c>
      <c r="B2467" s="11" t="s">
        <v>2564</v>
      </c>
      <c r="C2467" s="10" t="s">
        <v>48</v>
      </c>
      <c r="D2467" s="10" t="s">
        <v>120</v>
      </c>
    </row>
    <row r="2468">
      <c r="A2468" s="10">
        <v>2467.0</v>
      </c>
      <c r="B2468" s="11" t="s">
        <v>2565</v>
      </c>
      <c r="C2468" s="10" t="s">
        <v>17</v>
      </c>
      <c r="D2468" s="10" t="s">
        <v>206</v>
      </c>
    </row>
    <row r="2469">
      <c r="A2469" s="10">
        <v>2468.0</v>
      </c>
      <c r="B2469" s="11" t="s">
        <v>2566</v>
      </c>
      <c r="C2469" s="10" t="s">
        <v>20</v>
      </c>
      <c r="D2469" s="10" t="s">
        <v>99</v>
      </c>
    </row>
    <row r="2470">
      <c r="A2470" s="10">
        <v>2469.0</v>
      </c>
      <c r="B2470" s="11" t="s">
        <v>2567</v>
      </c>
      <c r="C2470" s="10" t="s">
        <v>11</v>
      </c>
      <c r="D2470" s="10" t="s">
        <v>140</v>
      </c>
    </row>
    <row r="2471">
      <c r="A2471" s="10">
        <v>2470.0</v>
      </c>
      <c r="B2471" s="11" t="s">
        <v>2568</v>
      </c>
      <c r="C2471" s="10" t="s">
        <v>14</v>
      </c>
      <c r="D2471" s="10" t="s">
        <v>206</v>
      </c>
    </row>
    <row r="2472">
      <c r="A2472" s="10">
        <v>2471.0</v>
      </c>
      <c r="B2472" s="11" t="s">
        <v>2569</v>
      </c>
      <c r="C2472" s="10" t="s">
        <v>14</v>
      </c>
      <c r="D2472" s="10" t="s">
        <v>52</v>
      </c>
    </row>
    <row r="2473">
      <c r="A2473" s="10">
        <v>2472.0</v>
      </c>
      <c r="B2473" s="11" t="s">
        <v>2570</v>
      </c>
      <c r="C2473" s="10" t="s">
        <v>39</v>
      </c>
      <c r="D2473" s="10" t="s">
        <v>140</v>
      </c>
    </row>
    <row r="2474">
      <c r="A2474" s="10">
        <v>2473.0</v>
      </c>
      <c r="B2474" s="11" t="s">
        <v>2571</v>
      </c>
      <c r="C2474" s="10" t="s">
        <v>150</v>
      </c>
      <c r="D2474" s="10" t="s">
        <v>137</v>
      </c>
    </row>
    <row r="2475">
      <c r="A2475" s="10">
        <v>2474.0</v>
      </c>
      <c r="B2475" s="11" t="s">
        <v>2572</v>
      </c>
      <c r="C2475" s="10" t="s">
        <v>39</v>
      </c>
      <c r="D2475" s="10" t="s">
        <v>42</v>
      </c>
    </row>
    <row r="2476">
      <c r="A2476" s="10">
        <v>2475.0</v>
      </c>
      <c r="B2476" s="11" t="s">
        <v>2573</v>
      </c>
      <c r="C2476" s="10" t="s">
        <v>14</v>
      </c>
      <c r="D2476" s="10" t="s">
        <v>73</v>
      </c>
    </row>
    <row r="2477">
      <c r="A2477" s="10">
        <v>2476.0</v>
      </c>
      <c r="B2477" s="11" t="s">
        <v>2574</v>
      </c>
      <c r="C2477" s="10" t="s">
        <v>77</v>
      </c>
      <c r="D2477" s="10" t="s">
        <v>36</v>
      </c>
    </row>
    <row r="2478">
      <c r="A2478" s="10">
        <v>2477.0</v>
      </c>
      <c r="B2478" s="11" t="s">
        <v>2575</v>
      </c>
      <c r="C2478" s="10" t="s">
        <v>346</v>
      </c>
      <c r="D2478" s="10" t="s">
        <v>99</v>
      </c>
    </row>
    <row r="2479">
      <c r="A2479" s="10">
        <v>2478.0</v>
      </c>
      <c r="B2479" s="11" t="s">
        <v>2576</v>
      </c>
      <c r="C2479" s="10" t="s">
        <v>77</v>
      </c>
      <c r="D2479" s="10" t="s">
        <v>105</v>
      </c>
    </row>
    <row r="2480">
      <c r="A2480" s="10">
        <v>2479.0</v>
      </c>
      <c r="B2480" s="11" t="s">
        <v>2577</v>
      </c>
      <c r="C2480" s="10" t="s">
        <v>77</v>
      </c>
      <c r="D2480" s="10" t="s">
        <v>9</v>
      </c>
    </row>
    <row r="2481">
      <c r="A2481" s="10">
        <v>2480.0</v>
      </c>
      <c r="B2481" s="11" t="s">
        <v>2578</v>
      </c>
      <c r="C2481" s="10" t="s">
        <v>77</v>
      </c>
      <c r="D2481" s="10" t="s">
        <v>129</v>
      </c>
    </row>
    <row r="2482">
      <c r="A2482" s="10">
        <v>2481.0</v>
      </c>
      <c r="B2482" s="11" t="s">
        <v>226</v>
      </c>
      <c r="C2482" s="10" t="s">
        <v>55</v>
      </c>
      <c r="D2482" s="10" t="s">
        <v>206</v>
      </c>
    </row>
    <row r="2483">
      <c r="A2483" s="10">
        <v>2482.0</v>
      </c>
      <c r="B2483" s="11" t="s">
        <v>2579</v>
      </c>
      <c r="C2483" s="10" t="s">
        <v>48</v>
      </c>
      <c r="D2483" s="10" t="s">
        <v>9</v>
      </c>
    </row>
    <row r="2484">
      <c r="A2484" s="10">
        <v>2483.0</v>
      </c>
      <c r="B2484" s="11" t="s">
        <v>2580</v>
      </c>
      <c r="C2484" s="10" t="s">
        <v>14</v>
      </c>
      <c r="D2484" s="10" t="s">
        <v>15</v>
      </c>
    </row>
    <row r="2485">
      <c r="A2485" s="10">
        <v>2484.0</v>
      </c>
      <c r="B2485" s="11" t="s">
        <v>2581</v>
      </c>
      <c r="C2485" s="10" t="s">
        <v>14</v>
      </c>
      <c r="D2485" s="10" t="s">
        <v>99</v>
      </c>
    </row>
    <row r="2486">
      <c r="A2486" s="10">
        <v>2485.0</v>
      </c>
      <c r="B2486" s="11" t="s">
        <v>2582</v>
      </c>
      <c r="C2486" s="10" t="s">
        <v>14</v>
      </c>
      <c r="D2486" s="10" t="s">
        <v>82</v>
      </c>
    </row>
    <row r="2487">
      <c r="A2487" s="10">
        <v>2486.0</v>
      </c>
      <c r="B2487" s="11" t="s">
        <v>2583</v>
      </c>
      <c r="C2487" s="10" t="s">
        <v>87</v>
      </c>
      <c r="D2487" s="10" t="s">
        <v>82</v>
      </c>
    </row>
    <row r="2488">
      <c r="A2488" s="10">
        <v>2487.0</v>
      </c>
      <c r="B2488" s="11" t="s">
        <v>2584</v>
      </c>
      <c r="C2488" s="10" t="s">
        <v>11</v>
      </c>
      <c r="D2488" s="10" t="s">
        <v>73</v>
      </c>
    </row>
    <row r="2489">
      <c r="A2489" s="10">
        <v>2488.0</v>
      </c>
      <c r="B2489" s="11" t="s">
        <v>2585</v>
      </c>
      <c r="C2489" s="10" t="s">
        <v>14</v>
      </c>
      <c r="D2489" s="10" t="s">
        <v>42</v>
      </c>
    </row>
    <row r="2490">
      <c r="A2490" s="10">
        <v>2489.0</v>
      </c>
      <c r="B2490" s="11" t="s">
        <v>2586</v>
      </c>
      <c r="C2490" s="10" t="s">
        <v>11</v>
      </c>
      <c r="D2490" s="10" t="s">
        <v>9</v>
      </c>
    </row>
    <row r="2491">
      <c r="A2491" s="10">
        <v>2490.0</v>
      </c>
      <c r="B2491" s="11" t="s">
        <v>2587</v>
      </c>
      <c r="C2491" s="10" t="s">
        <v>77</v>
      </c>
      <c r="D2491" s="10" t="s">
        <v>67</v>
      </c>
    </row>
    <row r="2492">
      <c r="A2492" s="10">
        <v>2491.0</v>
      </c>
      <c r="B2492" s="11" t="s">
        <v>2588</v>
      </c>
      <c r="C2492" s="10" t="s">
        <v>39</v>
      </c>
      <c r="D2492" s="10" t="s">
        <v>34</v>
      </c>
    </row>
    <row r="2493">
      <c r="A2493" s="10">
        <v>2492.0</v>
      </c>
      <c r="B2493" s="11" t="s">
        <v>2589</v>
      </c>
      <c r="C2493" s="10" t="s">
        <v>77</v>
      </c>
      <c r="D2493" s="10" t="s">
        <v>95</v>
      </c>
    </row>
    <row r="2494">
      <c r="A2494" s="10">
        <v>2493.0</v>
      </c>
      <c r="B2494" s="11" t="s">
        <v>2590</v>
      </c>
      <c r="C2494" s="10" t="s">
        <v>39</v>
      </c>
      <c r="D2494" s="10" t="s">
        <v>129</v>
      </c>
    </row>
    <row r="2495">
      <c r="A2495" s="10">
        <v>2494.0</v>
      </c>
      <c r="B2495" s="11" t="s">
        <v>2591</v>
      </c>
      <c r="C2495" s="10" t="s">
        <v>48</v>
      </c>
      <c r="D2495" s="10" t="s">
        <v>67</v>
      </c>
    </row>
    <row r="2496">
      <c r="A2496" s="10">
        <v>2495.0</v>
      </c>
      <c r="B2496" s="11" t="s">
        <v>2592</v>
      </c>
      <c r="C2496" s="10" t="s">
        <v>39</v>
      </c>
      <c r="D2496" s="10" t="s">
        <v>31</v>
      </c>
    </row>
    <row r="2497">
      <c r="A2497" s="10">
        <v>2496.0</v>
      </c>
      <c r="B2497" s="11" t="s">
        <v>2593</v>
      </c>
      <c r="C2497" s="10" t="s">
        <v>77</v>
      </c>
      <c r="D2497" s="10" t="s">
        <v>206</v>
      </c>
    </row>
    <row r="2498">
      <c r="A2498" s="10">
        <v>2497.0</v>
      </c>
      <c r="B2498" s="11" t="s">
        <v>2594</v>
      </c>
      <c r="C2498" s="10" t="s">
        <v>14</v>
      </c>
      <c r="D2498" s="10" t="s">
        <v>34</v>
      </c>
    </row>
    <row r="2499">
      <c r="A2499" s="10">
        <v>2498.0</v>
      </c>
      <c r="B2499" s="11" t="s">
        <v>2595</v>
      </c>
      <c r="C2499" s="10" t="s">
        <v>48</v>
      </c>
      <c r="D2499" s="10" t="s">
        <v>85</v>
      </c>
    </row>
    <row r="2500">
      <c r="A2500" s="10">
        <v>2499.0</v>
      </c>
      <c r="B2500" s="11" t="s">
        <v>2596</v>
      </c>
      <c r="C2500" s="10" t="s">
        <v>17</v>
      </c>
      <c r="D2500" s="10" t="s">
        <v>113</v>
      </c>
    </row>
    <row r="2501">
      <c r="A2501" s="10">
        <v>2500.0</v>
      </c>
      <c r="B2501" s="11" t="s">
        <v>2597</v>
      </c>
      <c r="C2501" s="10" t="s">
        <v>48</v>
      </c>
      <c r="D2501" s="10" t="s">
        <v>95</v>
      </c>
    </row>
    <row r="2502">
      <c r="A2502" s="10">
        <v>2501.0</v>
      </c>
      <c r="B2502" s="11" t="s">
        <v>2598</v>
      </c>
      <c r="C2502" s="10" t="s">
        <v>11</v>
      </c>
      <c r="D2502" s="10" t="s">
        <v>122</v>
      </c>
    </row>
    <row r="2503">
      <c r="A2503" s="10">
        <v>2502.0</v>
      </c>
      <c r="B2503" s="11" t="s">
        <v>2599</v>
      </c>
      <c r="C2503" s="10" t="s">
        <v>39</v>
      </c>
      <c r="D2503" s="10" t="s">
        <v>120</v>
      </c>
    </row>
    <row r="2504">
      <c r="A2504" s="10">
        <v>2503.0</v>
      </c>
      <c r="B2504" s="11" t="s">
        <v>2600</v>
      </c>
      <c r="C2504" s="10" t="s">
        <v>11</v>
      </c>
      <c r="D2504" s="10" t="s">
        <v>95</v>
      </c>
    </row>
    <row r="2505">
      <c r="A2505" s="10">
        <v>2504.0</v>
      </c>
      <c r="B2505" s="11" t="s">
        <v>2601</v>
      </c>
      <c r="C2505" s="10" t="s">
        <v>8</v>
      </c>
      <c r="D2505" s="10" t="s">
        <v>9</v>
      </c>
    </row>
    <row r="2506">
      <c r="A2506" s="10">
        <v>2505.0</v>
      </c>
      <c r="B2506" s="11" t="s">
        <v>2602</v>
      </c>
      <c r="C2506" s="10" t="s">
        <v>77</v>
      </c>
      <c r="D2506" s="10" t="s">
        <v>25</v>
      </c>
    </row>
    <row r="2507">
      <c r="A2507" s="10">
        <v>2506.0</v>
      </c>
      <c r="B2507" s="11" t="s">
        <v>2603</v>
      </c>
      <c r="C2507" s="10" t="s">
        <v>11</v>
      </c>
      <c r="D2507" s="10" t="s">
        <v>99</v>
      </c>
    </row>
    <row r="2508">
      <c r="A2508" s="10">
        <v>2507.0</v>
      </c>
      <c r="B2508" s="11" t="s">
        <v>2604</v>
      </c>
      <c r="C2508" s="10" t="s">
        <v>14</v>
      </c>
      <c r="D2508" s="10" t="s">
        <v>12</v>
      </c>
    </row>
    <row r="2509">
      <c r="A2509" s="10">
        <v>2508.0</v>
      </c>
      <c r="B2509" s="11" t="s">
        <v>2605</v>
      </c>
      <c r="C2509" s="10" t="s">
        <v>240</v>
      </c>
      <c r="D2509" s="10" t="s">
        <v>129</v>
      </c>
    </row>
    <row r="2510">
      <c r="A2510" s="10">
        <v>2509.0</v>
      </c>
      <c r="B2510" s="11" t="s">
        <v>2606</v>
      </c>
      <c r="C2510" s="10" t="s">
        <v>77</v>
      </c>
      <c r="D2510" s="10" t="s">
        <v>113</v>
      </c>
    </row>
    <row r="2511">
      <c r="A2511" s="10">
        <v>2510.0</v>
      </c>
      <c r="B2511" s="11" t="s">
        <v>2607</v>
      </c>
      <c r="C2511" s="10" t="s">
        <v>20</v>
      </c>
      <c r="D2511" s="10" t="s">
        <v>113</v>
      </c>
    </row>
    <row r="2512">
      <c r="A2512" s="10">
        <v>2511.0</v>
      </c>
      <c r="B2512" s="11" t="s">
        <v>2608</v>
      </c>
      <c r="C2512" s="10" t="s">
        <v>69</v>
      </c>
      <c r="D2512" s="10" t="s">
        <v>36</v>
      </c>
    </row>
    <row r="2513">
      <c r="A2513" s="10">
        <v>2512.0</v>
      </c>
      <c r="B2513" s="11" t="s">
        <v>2609</v>
      </c>
      <c r="C2513" s="10" t="s">
        <v>39</v>
      </c>
      <c r="D2513" s="10" t="s">
        <v>42</v>
      </c>
    </row>
    <row r="2514">
      <c r="A2514" s="10">
        <v>2513.0</v>
      </c>
      <c r="B2514" s="11" t="s">
        <v>2610</v>
      </c>
      <c r="C2514" s="10" t="s">
        <v>17</v>
      </c>
      <c r="D2514" s="10" t="s">
        <v>206</v>
      </c>
    </row>
    <row r="2515">
      <c r="A2515" s="10">
        <v>2514.0</v>
      </c>
      <c r="B2515" s="11" t="s">
        <v>2611</v>
      </c>
      <c r="C2515" s="10" t="s">
        <v>39</v>
      </c>
      <c r="D2515" s="10" t="s">
        <v>122</v>
      </c>
    </row>
    <row r="2516">
      <c r="A2516" s="10">
        <v>2515.0</v>
      </c>
      <c r="B2516" s="11" t="s">
        <v>2612</v>
      </c>
      <c r="C2516" s="10" t="s">
        <v>14</v>
      </c>
      <c r="D2516" s="10" t="s">
        <v>23</v>
      </c>
    </row>
    <row r="2517">
      <c r="A2517" s="10">
        <v>2516.0</v>
      </c>
      <c r="B2517" s="11" t="s">
        <v>2613</v>
      </c>
      <c r="C2517" s="10" t="s">
        <v>11</v>
      </c>
      <c r="D2517" s="10" t="s">
        <v>71</v>
      </c>
    </row>
    <row r="2518">
      <c r="A2518" s="10">
        <v>2517.0</v>
      </c>
      <c r="B2518" s="11" t="s">
        <v>2614</v>
      </c>
      <c r="C2518" s="10" t="s">
        <v>39</v>
      </c>
      <c r="D2518" s="10" t="s">
        <v>34</v>
      </c>
    </row>
    <row r="2519">
      <c r="A2519" s="10">
        <v>2518.0</v>
      </c>
      <c r="B2519" s="11" t="s">
        <v>2615</v>
      </c>
      <c r="C2519" s="10" t="s">
        <v>89</v>
      </c>
      <c r="D2519" s="10" t="s">
        <v>129</v>
      </c>
    </row>
    <row r="2520">
      <c r="A2520" s="10">
        <v>2519.0</v>
      </c>
      <c r="B2520" s="11" t="s">
        <v>2616</v>
      </c>
      <c r="C2520" s="10" t="s">
        <v>11</v>
      </c>
      <c r="D2520" s="10" t="s">
        <v>42</v>
      </c>
    </row>
    <row r="2521">
      <c r="A2521" s="10">
        <v>2520.0</v>
      </c>
      <c r="B2521" s="11" t="s">
        <v>2617</v>
      </c>
      <c r="C2521" s="10" t="s">
        <v>63</v>
      </c>
      <c r="D2521" s="10" t="s">
        <v>206</v>
      </c>
    </row>
    <row r="2522">
      <c r="A2522" s="10">
        <v>2521.0</v>
      </c>
      <c r="B2522" s="11" t="s">
        <v>2618</v>
      </c>
      <c r="C2522" s="10" t="s">
        <v>55</v>
      </c>
      <c r="D2522" s="10" t="s">
        <v>206</v>
      </c>
    </row>
    <row r="2523">
      <c r="A2523" s="10">
        <v>2522.0</v>
      </c>
      <c r="B2523" s="11" t="s">
        <v>2619</v>
      </c>
      <c r="C2523" s="10" t="s">
        <v>14</v>
      </c>
      <c r="D2523" s="10" t="s">
        <v>90</v>
      </c>
    </row>
    <row r="2524">
      <c r="A2524" s="10">
        <v>2523.0</v>
      </c>
      <c r="B2524" s="11" t="s">
        <v>2620</v>
      </c>
      <c r="C2524" s="10" t="s">
        <v>39</v>
      </c>
      <c r="D2524" s="10" t="s">
        <v>99</v>
      </c>
    </row>
    <row r="2525">
      <c r="A2525" s="10">
        <v>2524.0</v>
      </c>
      <c r="B2525" s="11" t="s">
        <v>2621</v>
      </c>
      <c r="C2525" s="10" t="s">
        <v>20</v>
      </c>
      <c r="D2525" s="10" t="s">
        <v>18</v>
      </c>
    </row>
    <row r="2526">
      <c r="A2526" s="10">
        <v>2525.0</v>
      </c>
      <c r="B2526" s="11" t="s">
        <v>2622</v>
      </c>
      <c r="C2526" s="10" t="s">
        <v>48</v>
      </c>
      <c r="D2526" s="10" t="s">
        <v>122</v>
      </c>
    </row>
    <row r="2527">
      <c r="A2527" s="10">
        <v>2526.0</v>
      </c>
      <c r="B2527" s="11" t="s">
        <v>2623</v>
      </c>
      <c r="C2527" s="10" t="s">
        <v>17</v>
      </c>
      <c r="D2527" s="10" t="s">
        <v>105</v>
      </c>
    </row>
    <row r="2528">
      <c r="A2528" s="10">
        <v>2527.0</v>
      </c>
      <c r="B2528" s="11" t="s">
        <v>2624</v>
      </c>
      <c r="C2528" s="10" t="s">
        <v>240</v>
      </c>
      <c r="D2528" s="10" t="s">
        <v>137</v>
      </c>
    </row>
    <row r="2529">
      <c r="A2529" s="10">
        <v>2528.0</v>
      </c>
      <c r="B2529" s="11" t="s">
        <v>2625</v>
      </c>
      <c r="C2529" s="10" t="s">
        <v>14</v>
      </c>
      <c r="D2529" s="10" t="s">
        <v>34</v>
      </c>
    </row>
    <row r="2530">
      <c r="A2530" s="10">
        <v>2529.0</v>
      </c>
      <c r="B2530" s="11" t="s">
        <v>2626</v>
      </c>
      <c r="C2530" s="10" t="s">
        <v>11</v>
      </c>
      <c r="D2530" s="10" t="s">
        <v>99</v>
      </c>
    </row>
    <row r="2531">
      <c r="A2531" s="10">
        <v>2530.0</v>
      </c>
      <c r="B2531" s="11" t="s">
        <v>2627</v>
      </c>
      <c r="C2531" s="10" t="s">
        <v>55</v>
      </c>
      <c r="D2531" s="10" t="s">
        <v>122</v>
      </c>
    </row>
    <row r="2532">
      <c r="A2532" s="10">
        <v>2531.0</v>
      </c>
      <c r="B2532" s="11" t="s">
        <v>2628</v>
      </c>
      <c r="C2532" s="10" t="s">
        <v>39</v>
      </c>
      <c r="D2532" s="10" t="s">
        <v>71</v>
      </c>
    </row>
    <row r="2533">
      <c r="A2533" s="10">
        <v>2532.0</v>
      </c>
      <c r="B2533" s="11" t="s">
        <v>2629</v>
      </c>
      <c r="C2533" s="10" t="s">
        <v>55</v>
      </c>
      <c r="D2533" s="10" t="s">
        <v>27</v>
      </c>
    </row>
    <row r="2534">
      <c r="A2534" s="10">
        <v>2533.0</v>
      </c>
      <c r="B2534" s="11" t="s">
        <v>2630</v>
      </c>
      <c r="C2534" s="10" t="s">
        <v>39</v>
      </c>
      <c r="D2534" s="10" t="s">
        <v>137</v>
      </c>
    </row>
    <row r="2535">
      <c r="A2535" s="10">
        <v>2534.0</v>
      </c>
      <c r="B2535" s="11" t="s">
        <v>2631</v>
      </c>
      <c r="C2535" s="10" t="s">
        <v>14</v>
      </c>
      <c r="D2535" s="10" t="s">
        <v>25</v>
      </c>
    </row>
    <row r="2536">
      <c r="A2536" s="10">
        <v>2535.0</v>
      </c>
      <c r="B2536" s="11" t="s">
        <v>2632</v>
      </c>
      <c r="C2536" s="10" t="s">
        <v>8</v>
      </c>
      <c r="D2536" s="10" t="s">
        <v>25</v>
      </c>
    </row>
    <row r="2537">
      <c r="A2537" s="10">
        <v>2536.0</v>
      </c>
      <c r="B2537" s="11" t="s">
        <v>2633</v>
      </c>
      <c r="C2537" s="10" t="s">
        <v>20</v>
      </c>
      <c r="D2537" s="10" t="s">
        <v>25</v>
      </c>
    </row>
    <row r="2538">
      <c r="A2538" s="10">
        <v>2537.0</v>
      </c>
      <c r="B2538" s="11" t="s">
        <v>2634</v>
      </c>
      <c r="C2538" s="10" t="s">
        <v>55</v>
      </c>
      <c r="D2538" s="10" t="s">
        <v>82</v>
      </c>
    </row>
    <row r="2539">
      <c r="A2539" s="10">
        <v>2538.0</v>
      </c>
      <c r="B2539" s="11" t="s">
        <v>2635</v>
      </c>
      <c r="C2539" s="10" t="s">
        <v>14</v>
      </c>
      <c r="D2539" s="10" t="s">
        <v>137</v>
      </c>
    </row>
    <row r="2540">
      <c r="A2540" s="10">
        <v>2539.0</v>
      </c>
      <c r="B2540" s="11" t="s">
        <v>2636</v>
      </c>
      <c r="C2540" s="10" t="s">
        <v>89</v>
      </c>
      <c r="D2540" s="10" t="s">
        <v>140</v>
      </c>
    </row>
    <row r="2541">
      <c r="A2541" s="10">
        <v>2540.0</v>
      </c>
      <c r="B2541" s="11" t="s">
        <v>2637</v>
      </c>
      <c r="C2541" s="10" t="s">
        <v>14</v>
      </c>
      <c r="D2541" s="10" t="s">
        <v>12</v>
      </c>
    </row>
    <row r="2542">
      <c r="A2542" s="10">
        <v>2541.0</v>
      </c>
      <c r="B2542" s="11" t="s">
        <v>2638</v>
      </c>
      <c r="C2542" s="10" t="s">
        <v>39</v>
      </c>
      <c r="D2542" s="10" t="s">
        <v>49</v>
      </c>
    </row>
    <row r="2543">
      <c r="A2543" s="10">
        <v>2542.0</v>
      </c>
      <c r="B2543" s="11" t="s">
        <v>2639</v>
      </c>
      <c r="C2543" s="10" t="s">
        <v>77</v>
      </c>
      <c r="D2543" s="10" t="s">
        <v>23</v>
      </c>
    </row>
    <row r="2544">
      <c r="A2544" s="10">
        <v>2543.0</v>
      </c>
      <c r="B2544" s="11" t="s">
        <v>2640</v>
      </c>
      <c r="C2544" s="10" t="s">
        <v>17</v>
      </c>
      <c r="D2544" s="10" t="s">
        <v>137</v>
      </c>
    </row>
    <row r="2545">
      <c r="A2545" s="10">
        <v>2544.0</v>
      </c>
      <c r="B2545" s="11" t="s">
        <v>2641</v>
      </c>
      <c r="C2545" s="10" t="s">
        <v>2642</v>
      </c>
      <c r="D2545" s="10" t="s">
        <v>25</v>
      </c>
    </row>
    <row r="2546">
      <c r="A2546" s="10">
        <v>2545.0</v>
      </c>
      <c r="B2546" s="11" t="s">
        <v>2643</v>
      </c>
      <c r="C2546" s="10" t="s">
        <v>20</v>
      </c>
      <c r="D2546" s="10" t="s">
        <v>42</v>
      </c>
    </row>
    <row r="2547">
      <c r="A2547" s="10">
        <v>2546.0</v>
      </c>
      <c r="B2547" s="11" t="s">
        <v>2644</v>
      </c>
      <c r="C2547" s="10" t="s">
        <v>150</v>
      </c>
      <c r="D2547" s="10" t="s">
        <v>95</v>
      </c>
    </row>
    <row r="2548">
      <c r="A2548" s="10">
        <v>2547.0</v>
      </c>
      <c r="B2548" s="11" t="s">
        <v>2645</v>
      </c>
      <c r="C2548" s="10" t="s">
        <v>55</v>
      </c>
      <c r="D2548" s="10" t="s">
        <v>49</v>
      </c>
    </row>
    <row r="2549">
      <c r="A2549" s="10">
        <v>2548.0</v>
      </c>
      <c r="B2549" s="11" t="s">
        <v>2646</v>
      </c>
      <c r="C2549" s="10" t="s">
        <v>39</v>
      </c>
      <c r="D2549" s="10" t="s">
        <v>12</v>
      </c>
    </row>
    <row r="2550">
      <c r="A2550" s="10">
        <v>2549.0</v>
      </c>
      <c r="B2550" s="11" t="s">
        <v>2647</v>
      </c>
      <c r="C2550" s="10" t="s">
        <v>39</v>
      </c>
      <c r="D2550" s="10" t="s">
        <v>73</v>
      </c>
    </row>
    <row r="2551">
      <c r="A2551" s="10">
        <v>2550.0</v>
      </c>
      <c r="B2551" s="11" t="s">
        <v>2648</v>
      </c>
      <c r="C2551" s="10" t="s">
        <v>14</v>
      </c>
      <c r="D2551" s="10" t="s">
        <v>85</v>
      </c>
    </row>
    <row r="2552">
      <c r="A2552" s="10">
        <v>2551.0</v>
      </c>
      <c r="B2552" s="11" t="s">
        <v>2649</v>
      </c>
      <c r="C2552" s="10" t="s">
        <v>14</v>
      </c>
      <c r="D2552" s="10" t="s">
        <v>90</v>
      </c>
    </row>
    <row r="2553">
      <c r="A2553" s="10">
        <v>2552.0</v>
      </c>
      <c r="B2553" s="11" t="s">
        <v>2650</v>
      </c>
      <c r="C2553" s="10" t="s">
        <v>77</v>
      </c>
      <c r="D2553" s="10" t="s">
        <v>9</v>
      </c>
    </row>
    <row r="2554">
      <c r="A2554" s="10">
        <v>2553.0</v>
      </c>
      <c r="B2554" s="11" t="s">
        <v>2651</v>
      </c>
      <c r="C2554" s="10" t="s">
        <v>55</v>
      </c>
      <c r="D2554" s="10" t="s">
        <v>25</v>
      </c>
    </row>
    <row r="2555">
      <c r="A2555" s="10">
        <v>2554.0</v>
      </c>
      <c r="B2555" s="11" t="s">
        <v>2652</v>
      </c>
      <c r="C2555" s="10" t="s">
        <v>14</v>
      </c>
      <c r="D2555" s="10" t="s">
        <v>71</v>
      </c>
    </row>
    <row r="2556">
      <c r="A2556" s="10">
        <v>2555.0</v>
      </c>
      <c r="B2556" s="11" t="s">
        <v>2653</v>
      </c>
      <c r="C2556" s="10" t="s">
        <v>77</v>
      </c>
      <c r="D2556" s="10" t="s">
        <v>9</v>
      </c>
    </row>
    <row r="2557">
      <c r="A2557" s="10">
        <v>2556.0</v>
      </c>
      <c r="B2557" s="11" t="s">
        <v>2654</v>
      </c>
      <c r="C2557" s="10" t="s">
        <v>39</v>
      </c>
      <c r="D2557" s="10" t="s">
        <v>36</v>
      </c>
    </row>
    <row r="2558">
      <c r="A2558" s="10">
        <v>2557.0</v>
      </c>
      <c r="B2558" s="11" t="s">
        <v>2655</v>
      </c>
      <c r="C2558" s="10" t="s">
        <v>77</v>
      </c>
      <c r="D2558" s="10" t="s">
        <v>34</v>
      </c>
    </row>
    <row r="2559">
      <c r="A2559" s="10">
        <v>2558.0</v>
      </c>
      <c r="B2559" s="11" t="s">
        <v>2656</v>
      </c>
      <c r="C2559" s="10" t="s">
        <v>8</v>
      </c>
      <c r="D2559" s="10" t="s">
        <v>25</v>
      </c>
    </row>
    <row r="2560">
      <c r="A2560" s="10">
        <v>2559.0</v>
      </c>
      <c r="B2560" s="11" t="s">
        <v>2657</v>
      </c>
      <c r="C2560" s="10" t="s">
        <v>11</v>
      </c>
      <c r="D2560" s="10" t="s">
        <v>12</v>
      </c>
    </row>
    <row r="2561">
      <c r="A2561" s="10">
        <v>2560.0</v>
      </c>
      <c r="B2561" s="11" t="s">
        <v>2658</v>
      </c>
      <c r="C2561" s="10" t="s">
        <v>77</v>
      </c>
      <c r="D2561" s="10" t="s">
        <v>105</v>
      </c>
    </row>
    <row r="2562">
      <c r="A2562" s="10">
        <v>2561.0</v>
      </c>
      <c r="B2562" s="11" t="s">
        <v>2659</v>
      </c>
      <c r="C2562" s="10" t="s">
        <v>17</v>
      </c>
      <c r="D2562" s="10" t="s">
        <v>46</v>
      </c>
    </row>
    <row r="2563">
      <c r="A2563" s="10">
        <v>2562.0</v>
      </c>
      <c r="B2563" s="11" t="s">
        <v>2660</v>
      </c>
      <c r="C2563" s="10" t="s">
        <v>39</v>
      </c>
      <c r="D2563" s="10" t="s">
        <v>95</v>
      </c>
    </row>
    <row r="2564">
      <c r="A2564" s="10">
        <v>2563.0</v>
      </c>
      <c r="B2564" s="11" t="s">
        <v>2661</v>
      </c>
      <c r="C2564" s="10" t="s">
        <v>14</v>
      </c>
      <c r="D2564" s="10" t="s">
        <v>71</v>
      </c>
    </row>
    <row r="2565">
      <c r="A2565" s="10">
        <v>2564.0</v>
      </c>
      <c r="B2565" s="11" t="s">
        <v>2662</v>
      </c>
      <c r="C2565" s="10" t="s">
        <v>39</v>
      </c>
      <c r="D2565" s="10" t="s">
        <v>206</v>
      </c>
    </row>
    <row r="2566">
      <c r="A2566" s="10">
        <v>2565.0</v>
      </c>
      <c r="B2566" s="11" t="s">
        <v>2663</v>
      </c>
      <c r="C2566" s="10" t="s">
        <v>77</v>
      </c>
      <c r="D2566" s="10" t="s">
        <v>85</v>
      </c>
    </row>
    <row r="2567">
      <c r="A2567" s="10">
        <v>2566.0</v>
      </c>
      <c r="B2567" s="11" t="s">
        <v>2664</v>
      </c>
      <c r="C2567" s="10" t="s">
        <v>39</v>
      </c>
      <c r="D2567" s="10" t="s">
        <v>46</v>
      </c>
    </row>
    <row r="2568">
      <c r="A2568" s="10">
        <v>2567.0</v>
      </c>
      <c r="B2568" s="11" t="s">
        <v>2665</v>
      </c>
      <c r="C2568" s="10" t="s">
        <v>14</v>
      </c>
      <c r="D2568" s="10" t="s">
        <v>31</v>
      </c>
    </row>
    <row r="2569">
      <c r="A2569" s="10">
        <v>2568.0</v>
      </c>
      <c r="B2569" s="11" t="s">
        <v>2666</v>
      </c>
      <c r="C2569" s="10" t="s">
        <v>8</v>
      </c>
      <c r="D2569" s="10" t="s">
        <v>15</v>
      </c>
    </row>
    <row r="2570">
      <c r="A2570" s="10">
        <v>2569.0</v>
      </c>
      <c r="B2570" s="11" t="s">
        <v>2667</v>
      </c>
      <c r="C2570" s="10" t="s">
        <v>20</v>
      </c>
      <c r="D2570" s="10" t="s">
        <v>67</v>
      </c>
    </row>
    <row r="2571">
      <c r="A2571" s="10">
        <v>2570.0</v>
      </c>
      <c r="B2571" s="11" t="s">
        <v>2668</v>
      </c>
      <c r="C2571" s="10" t="s">
        <v>11</v>
      </c>
      <c r="D2571" s="10" t="s">
        <v>15</v>
      </c>
    </row>
    <row r="2572">
      <c r="A2572" s="10">
        <v>2571.0</v>
      </c>
      <c r="B2572" s="11" t="s">
        <v>2669</v>
      </c>
      <c r="C2572" s="10" t="s">
        <v>14</v>
      </c>
      <c r="D2572" s="10" t="s">
        <v>31</v>
      </c>
    </row>
    <row r="2573">
      <c r="A2573" s="10">
        <v>2572.0</v>
      </c>
      <c r="B2573" s="11" t="s">
        <v>2670</v>
      </c>
      <c r="C2573" s="10" t="s">
        <v>17</v>
      </c>
      <c r="D2573" s="10" t="s">
        <v>120</v>
      </c>
    </row>
    <row r="2574">
      <c r="A2574" s="10">
        <v>2573.0</v>
      </c>
      <c r="B2574" s="11" t="s">
        <v>2671</v>
      </c>
      <c r="C2574" s="10" t="s">
        <v>11</v>
      </c>
      <c r="D2574" s="10" t="s">
        <v>122</v>
      </c>
    </row>
    <row r="2575">
      <c r="A2575" s="10">
        <v>2574.0</v>
      </c>
      <c r="B2575" s="11" t="s">
        <v>2672</v>
      </c>
      <c r="C2575" s="10" t="s">
        <v>39</v>
      </c>
      <c r="D2575" s="10" t="s">
        <v>23</v>
      </c>
    </row>
    <row r="2576">
      <c r="A2576" s="10">
        <v>2575.0</v>
      </c>
      <c r="B2576" s="11" t="s">
        <v>2673</v>
      </c>
      <c r="C2576" s="10" t="s">
        <v>14</v>
      </c>
      <c r="D2576" s="10" t="s">
        <v>67</v>
      </c>
    </row>
    <row r="2577">
      <c r="A2577" s="10">
        <v>2576.0</v>
      </c>
      <c r="B2577" s="11" t="s">
        <v>2674</v>
      </c>
      <c r="C2577" s="10" t="s">
        <v>39</v>
      </c>
      <c r="D2577" s="10" t="s">
        <v>137</v>
      </c>
    </row>
    <row r="2578">
      <c r="A2578" s="10">
        <v>2577.0</v>
      </c>
      <c r="B2578" s="11" t="s">
        <v>2675</v>
      </c>
      <c r="C2578" s="10" t="s">
        <v>14</v>
      </c>
      <c r="D2578" s="10" t="s">
        <v>12</v>
      </c>
    </row>
    <row r="2579">
      <c r="A2579" s="10">
        <v>2578.0</v>
      </c>
      <c r="B2579" s="11" t="s">
        <v>2676</v>
      </c>
      <c r="C2579" s="10" t="s">
        <v>14</v>
      </c>
      <c r="D2579" s="10" t="s">
        <v>12</v>
      </c>
    </row>
    <row r="2580">
      <c r="A2580" s="10">
        <v>2579.0</v>
      </c>
      <c r="B2580" s="11" t="s">
        <v>372</v>
      </c>
      <c r="C2580" s="10" t="s">
        <v>17</v>
      </c>
      <c r="D2580" s="10" t="s">
        <v>95</v>
      </c>
    </row>
    <row r="2581">
      <c r="A2581" s="10">
        <v>2580.0</v>
      </c>
      <c r="B2581" s="11" t="s">
        <v>2677</v>
      </c>
      <c r="C2581" s="10" t="s">
        <v>39</v>
      </c>
      <c r="D2581" s="10" t="s">
        <v>129</v>
      </c>
    </row>
    <row r="2582">
      <c r="A2582" s="10">
        <v>2581.0</v>
      </c>
      <c r="B2582" s="11" t="s">
        <v>2678</v>
      </c>
      <c r="C2582" s="10" t="s">
        <v>8</v>
      </c>
      <c r="D2582" s="10" t="s">
        <v>137</v>
      </c>
    </row>
    <row r="2583">
      <c r="A2583" s="10">
        <v>2582.0</v>
      </c>
      <c r="B2583" s="11" t="s">
        <v>2679</v>
      </c>
      <c r="C2583" s="10" t="s">
        <v>48</v>
      </c>
      <c r="D2583" s="10" t="s">
        <v>90</v>
      </c>
    </row>
    <row r="2584">
      <c r="A2584" s="10">
        <v>2583.0</v>
      </c>
      <c r="B2584" s="11" t="s">
        <v>2680</v>
      </c>
      <c r="C2584" s="10" t="s">
        <v>17</v>
      </c>
      <c r="D2584" s="10" t="s">
        <v>25</v>
      </c>
    </row>
    <row r="2585">
      <c r="A2585" s="10">
        <v>2584.0</v>
      </c>
      <c r="B2585" s="11" t="s">
        <v>2681</v>
      </c>
      <c r="C2585" s="10" t="s">
        <v>11</v>
      </c>
      <c r="D2585" s="10" t="s">
        <v>36</v>
      </c>
    </row>
    <row r="2586">
      <c r="A2586" s="10">
        <v>2585.0</v>
      </c>
      <c r="B2586" s="11" t="s">
        <v>2682</v>
      </c>
      <c r="C2586" s="10" t="s">
        <v>11</v>
      </c>
      <c r="D2586" s="10" t="s">
        <v>82</v>
      </c>
    </row>
    <row r="2587">
      <c r="A2587" s="10">
        <v>2586.0</v>
      </c>
      <c r="B2587" s="11" t="s">
        <v>2683</v>
      </c>
      <c r="C2587" s="10" t="s">
        <v>55</v>
      </c>
      <c r="D2587" s="10" t="s">
        <v>140</v>
      </c>
    </row>
    <row r="2588">
      <c r="A2588" s="10">
        <v>2587.0</v>
      </c>
      <c r="B2588" s="11" t="s">
        <v>2684</v>
      </c>
      <c r="C2588" s="10" t="s">
        <v>17</v>
      </c>
      <c r="D2588" s="10" t="s">
        <v>71</v>
      </c>
    </row>
    <row r="2589">
      <c r="A2589" s="10">
        <v>2588.0</v>
      </c>
      <c r="B2589" s="11" t="s">
        <v>2685</v>
      </c>
      <c r="C2589" s="10" t="s">
        <v>55</v>
      </c>
      <c r="D2589" s="10" t="s">
        <v>25</v>
      </c>
    </row>
    <row r="2590">
      <c r="A2590" s="10">
        <v>2589.0</v>
      </c>
      <c r="B2590" s="11" t="s">
        <v>2686</v>
      </c>
      <c r="C2590" s="10" t="s">
        <v>77</v>
      </c>
      <c r="D2590" s="10" t="s">
        <v>105</v>
      </c>
    </row>
    <row r="2591">
      <c r="A2591" s="10">
        <v>2590.0</v>
      </c>
      <c r="B2591" s="11" t="s">
        <v>409</v>
      </c>
      <c r="C2591" s="10" t="s">
        <v>240</v>
      </c>
      <c r="D2591" s="10" t="s">
        <v>137</v>
      </c>
    </row>
    <row r="2592">
      <c r="A2592" s="10">
        <v>2591.0</v>
      </c>
      <c r="B2592" s="11" t="s">
        <v>2687</v>
      </c>
      <c r="C2592" s="10" t="s">
        <v>39</v>
      </c>
      <c r="D2592" s="10" t="s">
        <v>9</v>
      </c>
    </row>
    <row r="2593">
      <c r="A2593" s="10">
        <v>2592.0</v>
      </c>
      <c r="B2593" s="11" t="s">
        <v>2688</v>
      </c>
      <c r="C2593" s="10" t="s">
        <v>77</v>
      </c>
      <c r="D2593" s="10" t="s">
        <v>52</v>
      </c>
    </row>
    <row r="2594">
      <c r="A2594" s="10">
        <v>2593.0</v>
      </c>
      <c r="B2594" s="11" t="s">
        <v>2689</v>
      </c>
      <c r="C2594" s="10" t="s">
        <v>11</v>
      </c>
      <c r="D2594" s="10" t="s">
        <v>15</v>
      </c>
    </row>
    <row r="2595">
      <c r="A2595" s="10">
        <v>2594.0</v>
      </c>
      <c r="B2595" s="11" t="s">
        <v>2690</v>
      </c>
      <c r="C2595" s="10" t="s">
        <v>14</v>
      </c>
      <c r="D2595" s="10" t="s">
        <v>42</v>
      </c>
    </row>
    <row r="2596">
      <c r="A2596" s="10">
        <v>2595.0</v>
      </c>
      <c r="B2596" s="11" t="s">
        <v>2691</v>
      </c>
      <c r="C2596" s="10" t="s">
        <v>14</v>
      </c>
      <c r="D2596" s="10" t="s">
        <v>23</v>
      </c>
    </row>
    <row r="2597">
      <c r="A2597" s="10">
        <v>2596.0</v>
      </c>
      <c r="B2597" s="11" t="s">
        <v>2692</v>
      </c>
      <c r="C2597" s="10" t="s">
        <v>39</v>
      </c>
      <c r="D2597" s="10" t="s">
        <v>95</v>
      </c>
    </row>
    <row r="2598">
      <c r="A2598" s="10">
        <v>2597.0</v>
      </c>
      <c r="B2598" s="11" t="s">
        <v>2693</v>
      </c>
      <c r="C2598" s="10" t="s">
        <v>87</v>
      </c>
      <c r="D2598" s="10" t="s">
        <v>120</v>
      </c>
    </row>
    <row r="2599">
      <c r="A2599" s="10">
        <v>2598.0</v>
      </c>
      <c r="B2599" s="11" t="s">
        <v>2694</v>
      </c>
      <c r="C2599" s="10" t="s">
        <v>55</v>
      </c>
      <c r="D2599" s="10" t="s">
        <v>27</v>
      </c>
    </row>
    <row r="2600">
      <c r="A2600" s="10">
        <v>2599.0</v>
      </c>
      <c r="B2600" s="11" t="s">
        <v>2695</v>
      </c>
      <c r="C2600" s="10" t="s">
        <v>14</v>
      </c>
      <c r="D2600" s="10" t="s">
        <v>85</v>
      </c>
    </row>
    <row r="2601">
      <c r="A2601" s="10">
        <v>2600.0</v>
      </c>
      <c r="B2601" s="11" t="s">
        <v>2696</v>
      </c>
      <c r="C2601" s="10" t="s">
        <v>39</v>
      </c>
      <c r="D2601" s="10" t="s">
        <v>99</v>
      </c>
    </row>
    <row r="2602">
      <c r="A2602" s="10">
        <v>2601.0</v>
      </c>
      <c r="B2602" s="11" t="s">
        <v>2697</v>
      </c>
      <c r="C2602" s="10" t="s">
        <v>136</v>
      </c>
      <c r="D2602" s="10" t="s">
        <v>140</v>
      </c>
    </row>
    <row r="2603">
      <c r="A2603" s="10">
        <v>2602.0</v>
      </c>
      <c r="B2603" s="11" t="s">
        <v>2698</v>
      </c>
      <c r="C2603" s="10" t="s">
        <v>39</v>
      </c>
      <c r="D2603" s="10" t="s">
        <v>206</v>
      </c>
    </row>
    <row r="2604">
      <c r="A2604" s="10">
        <v>2603.0</v>
      </c>
      <c r="B2604" s="11" t="s">
        <v>2699</v>
      </c>
      <c r="C2604" s="10" t="s">
        <v>39</v>
      </c>
      <c r="D2604" s="10" t="s">
        <v>18</v>
      </c>
    </row>
    <row r="2605">
      <c r="A2605" s="10">
        <v>2604.0</v>
      </c>
      <c r="B2605" s="11" t="s">
        <v>2700</v>
      </c>
      <c r="C2605" s="10" t="s">
        <v>20</v>
      </c>
      <c r="D2605" s="10" t="s">
        <v>105</v>
      </c>
    </row>
    <row r="2606">
      <c r="A2606" s="10">
        <v>2605.0</v>
      </c>
      <c r="B2606" s="11" t="s">
        <v>2701</v>
      </c>
      <c r="C2606" s="10" t="s">
        <v>39</v>
      </c>
      <c r="D2606" s="10" t="s">
        <v>42</v>
      </c>
    </row>
    <row r="2607">
      <c r="A2607" s="10">
        <v>2606.0</v>
      </c>
      <c r="B2607" s="11" t="s">
        <v>2702</v>
      </c>
      <c r="C2607" s="10" t="s">
        <v>14</v>
      </c>
      <c r="D2607" s="10" t="s">
        <v>67</v>
      </c>
    </row>
    <row r="2608">
      <c r="A2608" s="10">
        <v>2607.0</v>
      </c>
      <c r="B2608" s="11" t="s">
        <v>2703</v>
      </c>
      <c r="C2608" s="10" t="s">
        <v>14</v>
      </c>
      <c r="D2608" s="10" t="s">
        <v>12</v>
      </c>
    </row>
    <row r="2609">
      <c r="A2609" s="10">
        <v>2608.0</v>
      </c>
      <c r="B2609" s="11" t="s">
        <v>2704</v>
      </c>
      <c r="C2609" s="10" t="s">
        <v>14</v>
      </c>
      <c r="D2609" s="10" t="s">
        <v>42</v>
      </c>
    </row>
    <row r="2610">
      <c r="A2610" s="10">
        <v>2609.0</v>
      </c>
      <c r="B2610" s="11" t="s">
        <v>2705</v>
      </c>
      <c r="C2610" s="10" t="s">
        <v>17</v>
      </c>
      <c r="D2610" s="10" t="s">
        <v>129</v>
      </c>
    </row>
    <row r="2611">
      <c r="A2611" s="10">
        <v>2610.0</v>
      </c>
      <c r="B2611" s="11" t="s">
        <v>2706</v>
      </c>
      <c r="C2611" s="10" t="s">
        <v>240</v>
      </c>
      <c r="D2611" s="10" t="s">
        <v>206</v>
      </c>
    </row>
    <row r="2612">
      <c r="A2612" s="10">
        <v>2611.0</v>
      </c>
      <c r="B2612" s="11" t="s">
        <v>2707</v>
      </c>
      <c r="C2612" s="10" t="s">
        <v>17</v>
      </c>
      <c r="D2612" s="10" t="s">
        <v>9</v>
      </c>
    </row>
    <row r="2613">
      <c r="A2613" s="10">
        <v>2612.0</v>
      </c>
      <c r="B2613" s="11" t="s">
        <v>2708</v>
      </c>
      <c r="C2613" s="10" t="s">
        <v>17</v>
      </c>
      <c r="D2613" s="10" t="s">
        <v>85</v>
      </c>
    </row>
    <row r="2614">
      <c r="A2614" s="10">
        <v>2613.0</v>
      </c>
      <c r="B2614" s="11" t="s">
        <v>2709</v>
      </c>
      <c r="C2614" s="10" t="s">
        <v>77</v>
      </c>
      <c r="D2614" s="10" t="s">
        <v>140</v>
      </c>
    </row>
    <row r="2615">
      <c r="A2615" s="10">
        <v>2614.0</v>
      </c>
      <c r="B2615" s="11" t="s">
        <v>2710</v>
      </c>
      <c r="C2615" s="10" t="s">
        <v>77</v>
      </c>
      <c r="D2615" s="10" t="s">
        <v>120</v>
      </c>
    </row>
    <row r="2616">
      <c r="A2616" s="10">
        <v>2615.0</v>
      </c>
      <c r="B2616" s="11" t="s">
        <v>2711</v>
      </c>
      <c r="C2616" s="10" t="s">
        <v>55</v>
      </c>
      <c r="D2616" s="10" t="s">
        <v>113</v>
      </c>
    </row>
    <row r="2617">
      <c r="A2617" s="10">
        <v>2616.0</v>
      </c>
      <c r="B2617" s="11" t="s">
        <v>2712</v>
      </c>
      <c r="C2617" s="10" t="s">
        <v>14</v>
      </c>
      <c r="D2617" s="10" t="s">
        <v>73</v>
      </c>
    </row>
    <row r="2618">
      <c r="A2618" s="10">
        <v>2617.0</v>
      </c>
      <c r="B2618" s="11" t="s">
        <v>2713</v>
      </c>
      <c r="C2618" s="10" t="s">
        <v>11</v>
      </c>
      <c r="D2618" s="10" t="s">
        <v>73</v>
      </c>
    </row>
    <row r="2619">
      <c r="A2619" s="10">
        <v>2618.0</v>
      </c>
      <c r="B2619" s="11" t="s">
        <v>2714</v>
      </c>
      <c r="C2619" s="10" t="s">
        <v>39</v>
      </c>
      <c r="D2619" s="10" t="s">
        <v>52</v>
      </c>
    </row>
    <row r="2620">
      <c r="A2620" s="10">
        <v>2619.0</v>
      </c>
      <c r="B2620" s="11" t="s">
        <v>2715</v>
      </c>
      <c r="C2620" s="10" t="s">
        <v>48</v>
      </c>
      <c r="D2620" s="10" t="s">
        <v>12</v>
      </c>
    </row>
    <row r="2621">
      <c r="A2621" s="10">
        <v>2620.0</v>
      </c>
      <c r="B2621" s="11" t="s">
        <v>2716</v>
      </c>
      <c r="C2621" s="10" t="s">
        <v>2717</v>
      </c>
      <c r="D2621" s="10" t="s">
        <v>122</v>
      </c>
    </row>
    <row r="2622">
      <c r="A2622" s="10">
        <v>2621.0</v>
      </c>
      <c r="B2622" s="11" t="s">
        <v>2718</v>
      </c>
      <c r="C2622" s="10" t="s">
        <v>14</v>
      </c>
      <c r="D2622" s="10" t="s">
        <v>120</v>
      </c>
    </row>
    <row r="2623">
      <c r="A2623" s="10">
        <v>2622.0</v>
      </c>
      <c r="B2623" s="11" t="s">
        <v>2719</v>
      </c>
      <c r="C2623" s="10" t="s">
        <v>77</v>
      </c>
      <c r="D2623" s="10" t="s">
        <v>27</v>
      </c>
    </row>
    <row r="2624">
      <c r="A2624" s="10">
        <v>2623.0</v>
      </c>
      <c r="B2624" s="11" t="s">
        <v>2720</v>
      </c>
      <c r="C2624" s="10" t="s">
        <v>48</v>
      </c>
      <c r="D2624" s="10" t="s">
        <v>99</v>
      </c>
    </row>
    <row r="2625">
      <c r="A2625" s="10">
        <v>2624.0</v>
      </c>
      <c r="B2625" s="11" t="s">
        <v>2721</v>
      </c>
      <c r="C2625" s="10" t="s">
        <v>14</v>
      </c>
      <c r="D2625" s="10" t="s">
        <v>120</v>
      </c>
    </row>
    <row r="2626">
      <c r="A2626" s="10">
        <v>2625.0</v>
      </c>
      <c r="B2626" s="11" t="s">
        <v>2722</v>
      </c>
      <c r="C2626" s="10" t="s">
        <v>20</v>
      </c>
      <c r="D2626" s="10" t="s">
        <v>206</v>
      </c>
    </row>
    <row r="2627">
      <c r="A2627" s="10">
        <v>2626.0</v>
      </c>
      <c r="B2627" s="11" t="s">
        <v>2723</v>
      </c>
      <c r="C2627" s="10" t="s">
        <v>14</v>
      </c>
      <c r="D2627" s="10" t="s">
        <v>18</v>
      </c>
    </row>
    <row r="2628">
      <c r="A2628" s="10">
        <v>2627.0</v>
      </c>
      <c r="B2628" s="11" t="s">
        <v>2724</v>
      </c>
      <c r="C2628" s="10" t="s">
        <v>77</v>
      </c>
      <c r="D2628" s="10" t="s">
        <v>99</v>
      </c>
    </row>
    <row r="2629">
      <c r="A2629" s="10">
        <v>2628.0</v>
      </c>
      <c r="B2629" s="11" t="s">
        <v>2725</v>
      </c>
      <c r="C2629" s="10" t="s">
        <v>17</v>
      </c>
      <c r="D2629" s="10" t="s">
        <v>52</v>
      </c>
    </row>
    <row r="2630">
      <c r="A2630" s="10">
        <v>2629.0</v>
      </c>
      <c r="B2630" s="11" t="s">
        <v>2726</v>
      </c>
      <c r="C2630" s="10" t="s">
        <v>39</v>
      </c>
      <c r="D2630" s="10" t="s">
        <v>9</v>
      </c>
    </row>
    <row r="2631">
      <c r="A2631" s="10">
        <v>2630.0</v>
      </c>
      <c r="B2631" s="11" t="s">
        <v>2727</v>
      </c>
      <c r="C2631" s="10" t="s">
        <v>77</v>
      </c>
      <c r="D2631" s="10" t="s">
        <v>90</v>
      </c>
    </row>
    <row r="2632">
      <c r="A2632" s="10">
        <v>2631.0</v>
      </c>
      <c r="B2632" s="11" t="s">
        <v>2728</v>
      </c>
      <c r="C2632" s="10" t="s">
        <v>20</v>
      </c>
      <c r="D2632" s="10" t="s">
        <v>67</v>
      </c>
    </row>
    <row r="2633">
      <c r="A2633" s="10">
        <v>2632.0</v>
      </c>
      <c r="B2633" s="11" t="s">
        <v>2729</v>
      </c>
      <c r="C2633" s="10" t="s">
        <v>14</v>
      </c>
      <c r="D2633" s="10" t="s">
        <v>46</v>
      </c>
    </row>
    <row r="2634">
      <c r="A2634" s="10">
        <v>2633.0</v>
      </c>
      <c r="B2634" s="11" t="s">
        <v>2730</v>
      </c>
      <c r="C2634" s="10" t="s">
        <v>39</v>
      </c>
      <c r="D2634" s="10" t="s">
        <v>9</v>
      </c>
    </row>
    <row r="2635">
      <c r="A2635" s="10">
        <v>2634.0</v>
      </c>
      <c r="B2635" s="11" t="s">
        <v>2731</v>
      </c>
      <c r="C2635" s="10" t="s">
        <v>470</v>
      </c>
      <c r="D2635" s="10" t="s">
        <v>18</v>
      </c>
    </row>
    <row r="2636">
      <c r="A2636" s="10">
        <v>2635.0</v>
      </c>
      <c r="B2636" s="11" t="s">
        <v>2732</v>
      </c>
      <c r="C2636" s="10" t="s">
        <v>48</v>
      </c>
      <c r="D2636" s="10" t="s">
        <v>9</v>
      </c>
    </row>
    <row r="2637">
      <c r="A2637" s="10">
        <v>2636.0</v>
      </c>
      <c r="B2637" s="11" t="s">
        <v>2733</v>
      </c>
      <c r="C2637" s="10" t="s">
        <v>14</v>
      </c>
      <c r="D2637" s="10" t="s">
        <v>85</v>
      </c>
    </row>
    <row r="2638">
      <c r="A2638" s="10">
        <v>2637.0</v>
      </c>
      <c r="B2638" s="11" t="s">
        <v>2734</v>
      </c>
      <c r="C2638" s="10" t="s">
        <v>11</v>
      </c>
      <c r="D2638" s="10" t="s">
        <v>27</v>
      </c>
    </row>
    <row r="2639">
      <c r="A2639" s="10">
        <v>2638.0</v>
      </c>
      <c r="B2639" s="11" t="s">
        <v>2735</v>
      </c>
      <c r="C2639" s="10" t="s">
        <v>14</v>
      </c>
      <c r="D2639" s="10" t="s">
        <v>15</v>
      </c>
    </row>
    <row r="2640">
      <c r="A2640" s="10">
        <v>2639.0</v>
      </c>
      <c r="B2640" s="11" t="s">
        <v>2736</v>
      </c>
      <c r="C2640" s="10" t="s">
        <v>11</v>
      </c>
      <c r="D2640" s="10" t="s">
        <v>120</v>
      </c>
    </row>
    <row r="2641">
      <c r="A2641" s="10">
        <v>2640.0</v>
      </c>
      <c r="B2641" s="11" t="s">
        <v>2737</v>
      </c>
      <c r="C2641" s="10" t="s">
        <v>14</v>
      </c>
      <c r="D2641" s="10" t="s">
        <v>113</v>
      </c>
    </row>
    <row r="2642">
      <c r="A2642" s="10">
        <v>2641.0</v>
      </c>
      <c r="B2642" s="11" t="s">
        <v>2738</v>
      </c>
      <c r="C2642" s="10" t="s">
        <v>17</v>
      </c>
      <c r="D2642" s="10" t="s">
        <v>27</v>
      </c>
    </row>
    <row r="2643">
      <c r="A2643" s="10">
        <v>2642.0</v>
      </c>
      <c r="B2643" s="11" t="s">
        <v>2739</v>
      </c>
      <c r="C2643" s="10" t="s">
        <v>77</v>
      </c>
      <c r="D2643" s="10" t="s">
        <v>206</v>
      </c>
    </row>
    <row r="2644">
      <c r="A2644" s="10">
        <v>2643.0</v>
      </c>
      <c r="B2644" s="11" t="s">
        <v>2740</v>
      </c>
      <c r="C2644" s="10" t="s">
        <v>39</v>
      </c>
      <c r="D2644" s="10" t="s">
        <v>46</v>
      </c>
    </row>
    <row r="2645">
      <c r="A2645" s="10">
        <v>2644.0</v>
      </c>
      <c r="B2645" s="11" t="s">
        <v>2741</v>
      </c>
      <c r="C2645" s="10" t="s">
        <v>48</v>
      </c>
      <c r="D2645" s="10" t="s">
        <v>42</v>
      </c>
    </row>
    <row r="2646">
      <c r="A2646" s="10">
        <v>2645.0</v>
      </c>
      <c r="B2646" s="11" t="s">
        <v>2742</v>
      </c>
      <c r="C2646" s="10" t="s">
        <v>77</v>
      </c>
      <c r="D2646" s="10" t="s">
        <v>113</v>
      </c>
    </row>
    <row r="2647">
      <c r="A2647" s="10">
        <v>2646.0</v>
      </c>
      <c r="B2647" s="11" t="s">
        <v>2337</v>
      </c>
      <c r="C2647" s="10" t="s">
        <v>39</v>
      </c>
      <c r="D2647" s="10" t="s">
        <v>36</v>
      </c>
    </row>
    <row r="2648">
      <c r="A2648" s="10">
        <v>2647.0</v>
      </c>
      <c r="B2648" s="11" t="s">
        <v>2743</v>
      </c>
      <c r="C2648" s="10" t="s">
        <v>77</v>
      </c>
      <c r="D2648" s="10" t="s">
        <v>129</v>
      </c>
    </row>
    <row r="2649">
      <c r="A2649" s="10">
        <v>2648.0</v>
      </c>
      <c r="B2649" s="11" t="s">
        <v>2744</v>
      </c>
      <c r="C2649" s="10" t="s">
        <v>14</v>
      </c>
      <c r="D2649" s="10" t="s">
        <v>206</v>
      </c>
    </row>
    <row r="2650">
      <c r="A2650" s="10">
        <v>2649.0</v>
      </c>
      <c r="B2650" s="11" t="s">
        <v>2745</v>
      </c>
      <c r="C2650" s="10" t="s">
        <v>77</v>
      </c>
      <c r="D2650" s="10" t="s">
        <v>85</v>
      </c>
    </row>
    <row r="2651">
      <c r="A2651" s="10">
        <v>2650.0</v>
      </c>
      <c r="B2651" s="11" t="s">
        <v>2746</v>
      </c>
      <c r="C2651" s="10" t="s">
        <v>14</v>
      </c>
      <c r="D2651" s="10" t="s">
        <v>90</v>
      </c>
    </row>
    <row r="2652">
      <c r="A2652" s="10">
        <v>2651.0</v>
      </c>
      <c r="B2652" s="11" t="s">
        <v>2747</v>
      </c>
      <c r="C2652" s="10" t="s">
        <v>240</v>
      </c>
      <c r="D2652" s="10" t="s">
        <v>46</v>
      </c>
    </row>
    <row r="2653">
      <c r="A2653" s="10">
        <v>2652.0</v>
      </c>
      <c r="B2653" s="11" t="s">
        <v>2748</v>
      </c>
      <c r="C2653" s="10" t="s">
        <v>11</v>
      </c>
      <c r="D2653" s="10" t="s">
        <v>46</v>
      </c>
    </row>
    <row r="2654">
      <c r="A2654" s="10">
        <v>2653.0</v>
      </c>
      <c r="B2654" s="11" t="s">
        <v>2749</v>
      </c>
      <c r="C2654" s="10" t="s">
        <v>346</v>
      </c>
      <c r="D2654" s="10" t="s">
        <v>15</v>
      </c>
    </row>
    <row r="2655">
      <c r="A2655" s="10">
        <v>2654.0</v>
      </c>
      <c r="B2655" s="11" t="s">
        <v>2750</v>
      </c>
      <c r="C2655" s="10" t="s">
        <v>136</v>
      </c>
      <c r="D2655" s="10" t="s">
        <v>82</v>
      </c>
    </row>
    <row r="2656">
      <c r="A2656" s="10">
        <v>2655.0</v>
      </c>
      <c r="B2656" s="11" t="s">
        <v>2751</v>
      </c>
      <c r="C2656" s="10" t="s">
        <v>14</v>
      </c>
      <c r="D2656" s="10" t="s">
        <v>99</v>
      </c>
    </row>
    <row r="2657">
      <c r="A2657" s="10">
        <v>2656.0</v>
      </c>
      <c r="B2657" s="11" t="s">
        <v>2752</v>
      </c>
      <c r="C2657" s="10" t="s">
        <v>20</v>
      </c>
      <c r="D2657" s="10" t="s">
        <v>122</v>
      </c>
    </row>
    <row r="2658">
      <c r="A2658" s="10">
        <v>2657.0</v>
      </c>
      <c r="B2658" s="11" t="s">
        <v>2753</v>
      </c>
      <c r="C2658" s="10" t="s">
        <v>11</v>
      </c>
      <c r="D2658" s="10" t="s">
        <v>9</v>
      </c>
    </row>
    <row r="2659">
      <c r="A2659" s="10">
        <v>2658.0</v>
      </c>
      <c r="B2659" s="11" t="s">
        <v>2754</v>
      </c>
      <c r="C2659" s="10" t="s">
        <v>48</v>
      </c>
      <c r="D2659" s="10" t="s">
        <v>9</v>
      </c>
    </row>
    <row r="2660">
      <c r="A2660" s="10">
        <v>2659.0</v>
      </c>
      <c r="B2660" s="11" t="s">
        <v>2755</v>
      </c>
      <c r="C2660" s="10" t="s">
        <v>77</v>
      </c>
      <c r="D2660" s="10" t="s">
        <v>12</v>
      </c>
    </row>
    <row r="2661">
      <c r="A2661" s="10">
        <v>2660.0</v>
      </c>
      <c r="B2661" s="11" t="s">
        <v>2756</v>
      </c>
      <c r="C2661" s="10" t="s">
        <v>11</v>
      </c>
      <c r="D2661" s="10" t="s">
        <v>42</v>
      </c>
    </row>
    <row r="2662">
      <c r="A2662" s="10">
        <v>2661.0</v>
      </c>
      <c r="B2662" s="11" t="s">
        <v>2757</v>
      </c>
      <c r="C2662" s="10" t="s">
        <v>17</v>
      </c>
      <c r="D2662" s="10" t="s">
        <v>99</v>
      </c>
    </row>
    <row r="2663">
      <c r="A2663" s="10">
        <v>2662.0</v>
      </c>
      <c r="B2663" s="11" t="s">
        <v>2758</v>
      </c>
      <c r="C2663" s="10" t="s">
        <v>8</v>
      </c>
      <c r="D2663" s="10" t="s">
        <v>27</v>
      </c>
    </row>
    <row r="2664">
      <c r="A2664" s="10">
        <v>2663.0</v>
      </c>
      <c r="B2664" s="11" t="s">
        <v>2759</v>
      </c>
      <c r="C2664" s="10" t="s">
        <v>14</v>
      </c>
      <c r="D2664" s="10" t="s">
        <v>85</v>
      </c>
    </row>
    <row r="2665">
      <c r="A2665" s="10">
        <v>2664.0</v>
      </c>
      <c r="B2665" s="11" t="s">
        <v>2760</v>
      </c>
      <c r="C2665" s="10" t="s">
        <v>17</v>
      </c>
      <c r="D2665" s="10" t="s">
        <v>49</v>
      </c>
    </row>
    <row r="2666">
      <c r="A2666" s="10">
        <v>2665.0</v>
      </c>
      <c r="B2666" s="11" t="s">
        <v>2761</v>
      </c>
      <c r="C2666" s="10" t="s">
        <v>77</v>
      </c>
      <c r="D2666" s="10" t="s">
        <v>129</v>
      </c>
    </row>
    <row r="2667">
      <c r="A2667" s="10">
        <v>2666.0</v>
      </c>
      <c r="B2667" s="11" t="s">
        <v>2762</v>
      </c>
      <c r="C2667" s="10" t="s">
        <v>48</v>
      </c>
      <c r="D2667" s="10" t="s">
        <v>36</v>
      </c>
    </row>
    <row r="2668">
      <c r="A2668" s="10">
        <v>2667.0</v>
      </c>
      <c r="B2668" s="11" t="s">
        <v>2763</v>
      </c>
      <c r="C2668" s="10" t="s">
        <v>48</v>
      </c>
      <c r="D2668" s="10" t="s">
        <v>137</v>
      </c>
    </row>
    <row r="2669">
      <c r="A2669" s="10">
        <v>2668.0</v>
      </c>
      <c r="B2669" s="11" t="s">
        <v>2764</v>
      </c>
      <c r="C2669" s="10" t="s">
        <v>39</v>
      </c>
      <c r="D2669" s="10" t="s">
        <v>137</v>
      </c>
    </row>
    <row r="2670">
      <c r="A2670" s="10">
        <v>2669.0</v>
      </c>
      <c r="B2670" s="11" t="s">
        <v>2765</v>
      </c>
      <c r="C2670" s="10" t="s">
        <v>14</v>
      </c>
      <c r="D2670" s="10" t="s">
        <v>73</v>
      </c>
    </row>
    <row r="2671">
      <c r="A2671" s="10">
        <v>2670.0</v>
      </c>
      <c r="B2671" s="11" t="s">
        <v>2766</v>
      </c>
      <c r="C2671" s="10" t="s">
        <v>77</v>
      </c>
      <c r="D2671" s="10" t="s">
        <v>85</v>
      </c>
    </row>
    <row r="2672">
      <c r="A2672" s="10">
        <v>2671.0</v>
      </c>
      <c r="B2672" s="11" t="s">
        <v>2767</v>
      </c>
      <c r="C2672" s="10" t="s">
        <v>346</v>
      </c>
      <c r="D2672" s="10" t="s">
        <v>18</v>
      </c>
    </row>
    <row r="2673">
      <c r="A2673" s="10">
        <v>2672.0</v>
      </c>
      <c r="B2673" s="11" t="s">
        <v>2768</v>
      </c>
      <c r="C2673" s="10" t="s">
        <v>39</v>
      </c>
      <c r="D2673" s="10" t="s">
        <v>36</v>
      </c>
    </row>
    <row r="2674">
      <c r="A2674" s="10">
        <v>2673.0</v>
      </c>
      <c r="B2674" s="11" t="s">
        <v>2769</v>
      </c>
      <c r="C2674" s="10" t="s">
        <v>11</v>
      </c>
      <c r="D2674" s="10" t="s">
        <v>129</v>
      </c>
    </row>
    <row r="2675">
      <c r="A2675" s="10">
        <v>2674.0</v>
      </c>
      <c r="B2675" s="11" t="s">
        <v>2770</v>
      </c>
      <c r="C2675" s="10" t="s">
        <v>39</v>
      </c>
      <c r="D2675" s="10" t="s">
        <v>85</v>
      </c>
    </row>
    <row r="2676">
      <c r="A2676" s="10">
        <v>2675.0</v>
      </c>
      <c r="B2676" s="11" t="s">
        <v>2771</v>
      </c>
      <c r="C2676" s="10" t="s">
        <v>77</v>
      </c>
      <c r="D2676" s="10" t="s">
        <v>206</v>
      </c>
    </row>
    <row r="2677">
      <c r="A2677" s="10">
        <v>2676.0</v>
      </c>
      <c r="B2677" s="11" t="s">
        <v>2772</v>
      </c>
      <c r="C2677" s="10" t="s">
        <v>136</v>
      </c>
      <c r="D2677" s="10" t="s">
        <v>15</v>
      </c>
    </row>
    <row r="2678">
      <c r="A2678" s="10">
        <v>2677.0</v>
      </c>
      <c r="B2678" s="11" t="s">
        <v>2773</v>
      </c>
      <c r="C2678" s="10" t="s">
        <v>39</v>
      </c>
      <c r="D2678" s="10" t="s">
        <v>140</v>
      </c>
    </row>
    <row r="2679">
      <c r="A2679" s="10">
        <v>2678.0</v>
      </c>
      <c r="B2679" s="11" t="s">
        <v>2774</v>
      </c>
      <c r="C2679" s="10" t="s">
        <v>33</v>
      </c>
      <c r="D2679" s="10" t="s">
        <v>27</v>
      </c>
    </row>
    <row r="2680">
      <c r="A2680" s="10">
        <v>2679.0</v>
      </c>
      <c r="B2680" s="11" t="s">
        <v>2775</v>
      </c>
      <c r="C2680" s="10" t="s">
        <v>77</v>
      </c>
      <c r="D2680" s="10" t="s">
        <v>137</v>
      </c>
    </row>
    <row r="2681">
      <c r="A2681" s="10">
        <v>2680.0</v>
      </c>
      <c r="B2681" s="11" t="s">
        <v>2776</v>
      </c>
      <c r="C2681" s="10" t="s">
        <v>240</v>
      </c>
      <c r="D2681" s="10" t="s">
        <v>206</v>
      </c>
    </row>
    <row r="2682">
      <c r="A2682" s="10">
        <v>2681.0</v>
      </c>
      <c r="B2682" s="11" t="s">
        <v>2777</v>
      </c>
      <c r="C2682" s="10" t="s">
        <v>39</v>
      </c>
      <c r="D2682" s="10" t="s">
        <v>18</v>
      </c>
    </row>
    <row r="2683">
      <c r="A2683" s="10">
        <v>2682.0</v>
      </c>
      <c r="B2683" s="11" t="s">
        <v>2778</v>
      </c>
      <c r="C2683" s="10" t="s">
        <v>14</v>
      </c>
      <c r="D2683" s="10" t="s">
        <v>15</v>
      </c>
    </row>
    <row r="2684">
      <c r="A2684" s="10">
        <v>2683.0</v>
      </c>
      <c r="B2684" s="11" t="s">
        <v>2779</v>
      </c>
      <c r="C2684" s="10" t="s">
        <v>8</v>
      </c>
      <c r="D2684" s="10" t="s">
        <v>67</v>
      </c>
    </row>
    <row r="2685">
      <c r="A2685" s="10">
        <v>2684.0</v>
      </c>
      <c r="B2685" s="11" t="s">
        <v>2780</v>
      </c>
      <c r="C2685" s="10" t="s">
        <v>14</v>
      </c>
      <c r="D2685" s="10" t="s">
        <v>18</v>
      </c>
    </row>
    <row r="2686">
      <c r="A2686" s="10">
        <v>2685.0</v>
      </c>
      <c r="B2686" s="11" t="s">
        <v>2781</v>
      </c>
      <c r="C2686" s="10" t="s">
        <v>77</v>
      </c>
      <c r="D2686" s="10" t="s">
        <v>73</v>
      </c>
    </row>
    <row r="2687">
      <c r="A2687" s="10">
        <v>2686.0</v>
      </c>
      <c r="B2687" s="11" t="s">
        <v>2782</v>
      </c>
      <c r="C2687" s="10" t="s">
        <v>1857</v>
      </c>
      <c r="D2687" s="10" t="s">
        <v>129</v>
      </c>
    </row>
    <row r="2688">
      <c r="A2688" s="10">
        <v>2687.0</v>
      </c>
      <c r="B2688" s="11" t="s">
        <v>2783</v>
      </c>
      <c r="C2688" s="10" t="s">
        <v>77</v>
      </c>
      <c r="D2688" s="10" t="s">
        <v>49</v>
      </c>
    </row>
    <row r="2689">
      <c r="A2689" s="10">
        <v>2688.0</v>
      </c>
      <c r="B2689" s="11" t="s">
        <v>2784</v>
      </c>
      <c r="C2689" s="10" t="s">
        <v>48</v>
      </c>
      <c r="D2689" s="10" t="s">
        <v>113</v>
      </c>
    </row>
    <row r="2690">
      <c r="A2690" s="10">
        <v>2689.0</v>
      </c>
      <c r="B2690" s="11" t="s">
        <v>2785</v>
      </c>
      <c r="C2690" s="10" t="s">
        <v>77</v>
      </c>
      <c r="D2690" s="10" t="s">
        <v>137</v>
      </c>
    </row>
    <row r="2691">
      <c r="A2691" s="10">
        <v>2690.0</v>
      </c>
      <c r="B2691" s="11" t="s">
        <v>2786</v>
      </c>
      <c r="C2691" s="10" t="s">
        <v>48</v>
      </c>
      <c r="D2691" s="10" t="s">
        <v>36</v>
      </c>
    </row>
    <row r="2692">
      <c r="A2692" s="10">
        <v>2691.0</v>
      </c>
      <c r="B2692" s="11" t="s">
        <v>2787</v>
      </c>
      <c r="C2692" s="10" t="s">
        <v>39</v>
      </c>
      <c r="D2692" s="10" t="s">
        <v>99</v>
      </c>
    </row>
    <row r="2693">
      <c r="A2693" s="10">
        <v>2692.0</v>
      </c>
      <c r="B2693" s="11" t="s">
        <v>2788</v>
      </c>
      <c r="C2693" s="10" t="s">
        <v>77</v>
      </c>
      <c r="D2693" s="10" t="s">
        <v>71</v>
      </c>
    </row>
    <row r="2694">
      <c r="A2694" s="10">
        <v>2693.0</v>
      </c>
      <c r="B2694" s="11" t="s">
        <v>2789</v>
      </c>
      <c r="C2694" s="10" t="s">
        <v>77</v>
      </c>
      <c r="D2694" s="10" t="s">
        <v>206</v>
      </c>
    </row>
    <row r="2695">
      <c r="A2695" s="10">
        <v>2694.0</v>
      </c>
      <c r="B2695" s="11" t="s">
        <v>2790</v>
      </c>
      <c r="C2695" s="10" t="s">
        <v>77</v>
      </c>
      <c r="D2695" s="10" t="s">
        <v>31</v>
      </c>
    </row>
    <row r="2696">
      <c r="A2696" s="10">
        <v>2695.0</v>
      </c>
      <c r="B2696" s="11" t="s">
        <v>2791</v>
      </c>
      <c r="C2696" s="10" t="s">
        <v>8</v>
      </c>
      <c r="D2696" s="10" t="s">
        <v>73</v>
      </c>
    </row>
    <row r="2697">
      <c r="A2697" s="10">
        <v>2696.0</v>
      </c>
      <c r="B2697" s="11" t="s">
        <v>2792</v>
      </c>
      <c r="C2697" s="10" t="s">
        <v>11</v>
      </c>
      <c r="D2697" s="10" t="s">
        <v>140</v>
      </c>
    </row>
    <row r="2698">
      <c r="A2698" s="10">
        <v>2697.0</v>
      </c>
      <c r="B2698" s="11" t="s">
        <v>2793</v>
      </c>
      <c r="C2698" s="10" t="s">
        <v>240</v>
      </c>
      <c r="D2698" s="10" t="s">
        <v>85</v>
      </c>
    </row>
    <row r="2699">
      <c r="A2699" s="10">
        <v>2698.0</v>
      </c>
      <c r="B2699" s="11" t="s">
        <v>2794</v>
      </c>
      <c r="C2699" s="10" t="s">
        <v>176</v>
      </c>
      <c r="D2699" s="10" t="s">
        <v>85</v>
      </c>
    </row>
    <row r="2700">
      <c r="A2700" s="10">
        <v>2699.0</v>
      </c>
      <c r="B2700" s="11" t="s">
        <v>2795</v>
      </c>
      <c r="C2700" s="10" t="s">
        <v>77</v>
      </c>
      <c r="D2700" s="10" t="s">
        <v>90</v>
      </c>
    </row>
    <row r="2701">
      <c r="A2701" s="10">
        <v>2700.0</v>
      </c>
      <c r="B2701" s="11" t="s">
        <v>2796</v>
      </c>
      <c r="C2701" s="10" t="s">
        <v>77</v>
      </c>
      <c r="D2701" s="10" t="s">
        <v>95</v>
      </c>
    </row>
    <row r="2702">
      <c r="A2702" s="10">
        <v>2701.0</v>
      </c>
      <c r="B2702" s="11" t="s">
        <v>2797</v>
      </c>
      <c r="C2702" s="10" t="s">
        <v>33</v>
      </c>
      <c r="D2702" s="10" t="s">
        <v>36</v>
      </c>
    </row>
    <row r="2703">
      <c r="A2703" s="10">
        <v>2702.0</v>
      </c>
      <c r="B2703" s="11" t="s">
        <v>2798</v>
      </c>
      <c r="C2703" s="10" t="s">
        <v>17</v>
      </c>
      <c r="D2703" s="10" t="s">
        <v>129</v>
      </c>
    </row>
    <row r="2704">
      <c r="A2704" s="10">
        <v>2703.0</v>
      </c>
      <c r="B2704" s="11" t="s">
        <v>2799</v>
      </c>
      <c r="C2704" s="10" t="s">
        <v>148</v>
      </c>
      <c r="D2704" s="10" t="s">
        <v>18</v>
      </c>
    </row>
    <row r="2705">
      <c r="A2705" s="10">
        <v>2704.0</v>
      </c>
      <c r="B2705" s="11" t="s">
        <v>2800</v>
      </c>
      <c r="C2705" s="10" t="s">
        <v>17</v>
      </c>
      <c r="D2705" s="10" t="s">
        <v>137</v>
      </c>
    </row>
    <row r="2706">
      <c r="A2706" s="10">
        <v>2705.0</v>
      </c>
      <c r="B2706" s="11" t="s">
        <v>2801</v>
      </c>
      <c r="C2706" s="10" t="s">
        <v>240</v>
      </c>
      <c r="D2706" s="10" t="s">
        <v>36</v>
      </c>
    </row>
    <row r="2707">
      <c r="A2707" s="10">
        <v>2706.0</v>
      </c>
      <c r="B2707" s="11" t="s">
        <v>2802</v>
      </c>
      <c r="C2707" s="10" t="s">
        <v>48</v>
      </c>
      <c r="D2707" s="10" t="s">
        <v>73</v>
      </c>
    </row>
    <row r="2708">
      <c r="A2708" s="10">
        <v>2707.0</v>
      </c>
      <c r="B2708" s="11" t="s">
        <v>2803</v>
      </c>
      <c r="C2708" s="10" t="s">
        <v>48</v>
      </c>
      <c r="D2708" s="10" t="s">
        <v>73</v>
      </c>
    </row>
    <row r="2709">
      <c r="A2709" s="10">
        <v>2708.0</v>
      </c>
      <c r="B2709" s="11" t="s">
        <v>2804</v>
      </c>
      <c r="C2709" s="10" t="s">
        <v>39</v>
      </c>
      <c r="D2709" s="10" t="s">
        <v>31</v>
      </c>
    </row>
    <row r="2710">
      <c r="A2710" s="10">
        <v>2709.0</v>
      </c>
      <c r="B2710" s="11" t="s">
        <v>2805</v>
      </c>
      <c r="C2710" s="10" t="s">
        <v>17</v>
      </c>
      <c r="D2710" s="10" t="s">
        <v>71</v>
      </c>
    </row>
    <row r="2711">
      <c r="A2711" s="10">
        <v>2710.0</v>
      </c>
      <c r="B2711" s="11" t="s">
        <v>2806</v>
      </c>
      <c r="C2711" s="10" t="s">
        <v>11</v>
      </c>
      <c r="D2711" s="10" t="s">
        <v>71</v>
      </c>
    </row>
    <row r="2712">
      <c r="A2712" s="10">
        <v>2711.0</v>
      </c>
      <c r="B2712" s="11" t="s">
        <v>2807</v>
      </c>
      <c r="C2712" s="10" t="s">
        <v>77</v>
      </c>
      <c r="D2712" s="10" t="s">
        <v>85</v>
      </c>
    </row>
    <row r="2713">
      <c r="A2713" s="10">
        <v>2712.0</v>
      </c>
      <c r="B2713" s="11" t="s">
        <v>2808</v>
      </c>
      <c r="C2713" s="10" t="s">
        <v>33</v>
      </c>
      <c r="D2713" s="10" t="s">
        <v>113</v>
      </c>
    </row>
    <row r="2714">
      <c r="A2714" s="10">
        <v>2713.0</v>
      </c>
      <c r="B2714" s="11" t="s">
        <v>2809</v>
      </c>
      <c r="C2714" s="10" t="s">
        <v>39</v>
      </c>
      <c r="D2714" s="10" t="s">
        <v>82</v>
      </c>
    </row>
    <row r="2715">
      <c r="A2715" s="10">
        <v>2714.0</v>
      </c>
      <c r="B2715" s="11" t="s">
        <v>2810</v>
      </c>
      <c r="C2715" s="10" t="s">
        <v>77</v>
      </c>
      <c r="D2715" s="10" t="s">
        <v>12</v>
      </c>
    </row>
    <row r="2716">
      <c r="A2716" s="10">
        <v>2715.0</v>
      </c>
      <c r="B2716" s="11" t="s">
        <v>2811</v>
      </c>
      <c r="C2716" s="10" t="s">
        <v>77</v>
      </c>
      <c r="D2716" s="10" t="s">
        <v>99</v>
      </c>
    </row>
    <row r="2717">
      <c r="A2717" s="10">
        <v>2716.0</v>
      </c>
      <c r="B2717" s="11" t="s">
        <v>2812</v>
      </c>
      <c r="C2717" s="10" t="s">
        <v>55</v>
      </c>
      <c r="D2717" s="10" t="s">
        <v>36</v>
      </c>
    </row>
    <row r="2718">
      <c r="A2718" s="10">
        <v>2717.0</v>
      </c>
      <c r="B2718" s="11" t="s">
        <v>2813</v>
      </c>
      <c r="C2718" s="10" t="s">
        <v>48</v>
      </c>
      <c r="D2718" s="10" t="s">
        <v>206</v>
      </c>
    </row>
    <row r="2719">
      <c r="A2719" s="10">
        <v>2718.0</v>
      </c>
      <c r="B2719" s="11" t="s">
        <v>2814</v>
      </c>
      <c r="C2719" s="10" t="s">
        <v>55</v>
      </c>
      <c r="D2719" s="10" t="s">
        <v>46</v>
      </c>
    </row>
    <row r="2720">
      <c r="A2720" s="10">
        <v>2719.0</v>
      </c>
      <c r="B2720" s="11" t="s">
        <v>2815</v>
      </c>
      <c r="C2720" s="10" t="s">
        <v>33</v>
      </c>
      <c r="D2720" s="10" t="s">
        <v>71</v>
      </c>
    </row>
    <row r="2721">
      <c r="A2721" s="10">
        <v>2720.0</v>
      </c>
      <c r="B2721" s="11" t="s">
        <v>2816</v>
      </c>
      <c r="C2721" s="10" t="s">
        <v>11</v>
      </c>
      <c r="D2721" s="10" t="s">
        <v>71</v>
      </c>
    </row>
    <row r="2722">
      <c r="A2722" s="10">
        <v>2721.0</v>
      </c>
      <c r="B2722" s="11" t="s">
        <v>2817</v>
      </c>
      <c r="C2722" s="10" t="s">
        <v>55</v>
      </c>
      <c r="D2722" s="10" t="s">
        <v>105</v>
      </c>
    </row>
    <row r="2723">
      <c r="A2723" s="10">
        <v>2722.0</v>
      </c>
      <c r="B2723" s="11" t="s">
        <v>2818</v>
      </c>
      <c r="C2723" s="10" t="s">
        <v>48</v>
      </c>
      <c r="D2723" s="10" t="s">
        <v>34</v>
      </c>
    </row>
    <row r="2724">
      <c r="A2724" s="10">
        <v>2723.0</v>
      </c>
      <c r="B2724" s="11" t="s">
        <v>2819</v>
      </c>
      <c r="C2724" s="10" t="s">
        <v>20</v>
      </c>
      <c r="D2724" s="10" t="s">
        <v>23</v>
      </c>
    </row>
    <row r="2725">
      <c r="A2725" s="10">
        <v>2724.0</v>
      </c>
      <c r="B2725" s="11" t="s">
        <v>2820</v>
      </c>
      <c r="C2725" s="10" t="s">
        <v>77</v>
      </c>
      <c r="D2725" s="10" t="s">
        <v>67</v>
      </c>
    </row>
    <row r="2726">
      <c r="A2726" s="10">
        <v>2725.0</v>
      </c>
      <c r="B2726" s="11" t="s">
        <v>2821</v>
      </c>
      <c r="C2726" s="10" t="s">
        <v>33</v>
      </c>
      <c r="D2726" s="10" t="s">
        <v>95</v>
      </c>
    </row>
    <row r="2727">
      <c r="A2727" s="10">
        <v>2726.0</v>
      </c>
      <c r="B2727" s="11" t="s">
        <v>2822</v>
      </c>
      <c r="C2727" s="10" t="s">
        <v>48</v>
      </c>
      <c r="D2727" s="10" t="s">
        <v>140</v>
      </c>
    </row>
    <row r="2728">
      <c r="A2728" s="10">
        <v>2727.0</v>
      </c>
      <c r="B2728" s="11" t="s">
        <v>2823</v>
      </c>
      <c r="C2728" s="10" t="s">
        <v>14</v>
      </c>
      <c r="D2728" s="10" t="s">
        <v>120</v>
      </c>
    </row>
    <row r="2729">
      <c r="A2729" s="10">
        <v>2728.0</v>
      </c>
      <c r="B2729" s="11" t="s">
        <v>2824</v>
      </c>
      <c r="C2729" s="10" t="s">
        <v>77</v>
      </c>
      <c r="D2729" s="10" t="s">
        <v>90</v>
      </c>
    </row>
    <row r="2730">
      <c r="A2730" s="10">
        <v>2729.0</v>
      </c>
      <c r="B2730" s="11" t="s">
        <v>2825</v>
      </c>
      <c r="C2730" s="10" t="s">
        <v>39</v>
      </c>
      <c r="D2730" s="10" t="s">
        <v>120</v>
      </c>
    </row>
    <row r="2731">
      <c r="A2731" s="10">
        <v>2730.0</v>
      </c>
      <c r="B2731" s="11" t="s">
        <v>2826</v>
      </c>
      <c r="C2731" s="10" t="s">
        <v>17</v>
      </c>
      <c r="D2731" s="10" t="s">
        <v>36</v>
      </c>
    </row>
    <row r="2732">
      <c r="A2732" s="10">
        <v>2731.0</v>
      </c>
      <c r="B2732" s="11" t="s">
        <v>2827</v>
      </c>
      <c r="C2732" s="10" t="s">
        <v>14</v>
      </c>
      <c r="D2732" s="10" t="s">
        <v>120</v>
      </c>
    </row>
    <row r="2733">
      <c r="A2733" s="10">
        <v>2732.0</v>
      </c>
      <c r="B2733" s="11" t="s">
        <v>2828</v>
      </c>
      <c r="C2733" s="10" t="s">
        <v>77</v>
      </c>
      <c r="D2733" s="10" t="s">
        <v>206</v>
      </c>
    </row>
    <row r="2734">
      <c r="A2734" s="10">
        <v>2733.0</v>
      </c>
      <c r="B2734" s="11" t="s">
        <v>2829</v>
      </c>
      <c r="C2734" s="10" t="s">
        <v>33</v>
      </c>
      <c r="D2734" s="10" t="s">
        <v>31</v>
      </c>
    </row>
    <row r="2735">
      <c r="A2735" s="10">
        <v>2734.0</v>
      </c>
      <c r="B2735" s="11" t="s">
        <v>2830</v>
      </c>
      <c r="C2735" s="10" t="s">
        <v>77</v>
      </c>
      <c r="D2735" s="10" t="s">
        <v>27</v>
      </c>
    </row>
    <row r="2736">
      <c r="A2736" s="10">
        <v>2735.0</v>
      </c>
      <c r="B2736" s="11" t="s">
        <v>2831</v>
      </c>
      <c r="C2736" s="10" t="s">
        <v>33</v>
      </c>
      <c r="D2736" s="10" t="s">
        <v>105</v>
      </c>
    </row>
    <row r="2737">
      <c r="A2737" s="10">
        <v>2736.0</v>
      </c>
      <c r="B2737" s="11" t="s">
        <v>2832</v>
      </c>
      <c r="C2737" s="10" t="s">
        <v>77</v>
      </c>
      <c r="D2737" s="10" t="s">
        <v>23</v>
      </c>
    </row>
    <row r="2738">
      <c r="A2738" s="10">
        <v>2737.0</v>
      </c>
      <c r="B2738" s="11" t="s">
        <v>2833</v>
      </c>
      <c r="C2738" s="10" t="s">
        <v>33</v>
      </c>
      <c r="D2738" s="10" t="s">
        <v>82</v>
      </c>
    </row>
    <row r="2739">
      <c r="A2739" s="10">
        <v>2738.0</v>
      </c>
      <c r="B2739" s="11" t="s">
        <v>1191</v>
      </c>
      <c r="C2739" s="10" t="s">
        <v>11</v>
      </c>
      <c r="D2739" s="10" t="s">
        <v>120</v>
      </c>
    </row>
    <row r="2740">
      <c r="A2740" s="10">
        <v>2739.0</v>
      </c>
      <c r="B2740" s="11" t="s">
        <v>2834</v>
      </c>
      <c r="C2740" s="10" t="s">
        <v>283</v>
      </c>
      <c r="D2740" s="10" t="s">
        <v>206</v>
      </c>
    </row>
    <row r="2741">
      <c r="A2741" s="10">
        <v>2740.0</v>
      </c>
      <c r="B2741" s="11" t="s">
        <v>2835</v>
      </c>
      <c r="C2741" s="10" t="s">
        <v>17</v>
      </c>
      <c r="D2741" s="10" t="s">
        <v>206</v>
      </c>
    </row>
    <row r="2742">
      <c r="A2742" s="10">
        <v>2741.0</v>
      </c>
      <c r="B2742" s="11" t="s">
        <v>2836</v>
      </c>
      <c r="C2742" s="10" t="s">
        <v>22</v>
      </c>
      <c r="D2742" s="10" t="s">
        <v>73</v>
      </c>
    </row>
    <row r="2743">
      <c r="A2743" s="10">
        <v>2742.0</v>
      </c>
      <c r="B2743" s="11" t="s">
        <v>2837</v>
      </c>
      <c r="C2743" s="10" t="s">
        <v>39</v>
      </c>
      <c r="D2743" s="10" t="s">
        <v>120</v>
      </c>
    </row>
    <row r="2744">
      <c r="A2744" s="10">
        <v>2743.0</v>
      </c>
      <c r="B2744" s="11" t="s">
        <v>2838</v>
      </c>
      <c r="C2744" s="10" t="s">
        <v>33</v>
      </c>
      <c r="D2744" s="10" t="s">
        <v>25</v>
      </c>
    </row>
    <row r="2745">
      <c r="A2745" s="10">
        <v>2744.0</v>
      </c>
      <c r="B2745" s="11" t="s">
        <v>2839</v>
      </c>
      <c r="C2745" s="10" t="s">
        <v>77</v>
      </c>
      <c r="D2745" s="10" t="s">
        <v>52</v>
      </c>
    </row>
    <row r="2746">
      <c r="A2746" s="10">
        <v>2745.0</v>
      </c>
      <c r="B2746" s="11" t="s">
        <v>2840</v>
      </c>
      <c r="C2746" s="10" t="s">
        <v>77</v>
      </c>
      <c r="D2746" s="10" t="s">
        <v>206</v>
      </c>
    </row>
    <row r="2747">
      <c r="A2747" s="10">
        <v>2746.0</v>
      </c>
      <c r="B2747" s="11" t="s">
        <v>2841</v>
      </c>
      <c r="C2747" s="10" t="s">
        <v>33</v>
      </c>
      <c r="D2747" s="10" t="s">
        <v>99</v>
      </c>
    </row>
    <row r="2748">
      <c r="A2748" s="10">
        <v>2747.0</v>
      </c>
      <c r="B2748" s="11" t="s">
        <v>2842</v>
      </c>
      <c r="C2748" s="10" t="s">
        <v>39</v>
      </c>
      <c r="D2748" s="10" t="s">
        <v>36</v>
      </c>
    </row>
    <row r="2749">
      <c r="A2749" s="17">
        <v>2748.0</v>
      </c>
      <c r="B2749" s="18" t="s">
        <v>2843</v>
      </c>
      <c r="C2749" s="18" t="s">
        <v>220</v>
      </c>
      <c r="D2749" s="18" t="s">
        <v>73</v>
      </c>
    </row>
    <row r="2750">
      <c r="A2750" s="19">
        <v>2749.0</v>
      </c>
      <c r="B2750" s="20" t="s">
        <v>2844</v>
      </c>
      <c r="C2750" s="20" t="s">
        <v>240</v>
      </c>
      <c r="D2750" s="20" t="s">
        <v>52</v>
      </c>
    </row>
    <row r="2751">
      <c r="A2751" s="17">
        <v>2750.0</v>
      </c>
      <c r="B2751" s="18" t="s">
        <v>2845</v>
      </c>
      <c r="C2751" s="18" t="s">
        <v>22</v>
      </c>
      <c r="D2751" s="18" t="s">
        <v>52</v>
      </c>
    </row>
    <row r="2752">
      <c r="A2752" s="21">
        <v>2751.0</v>
      </c>
      <c r="B2752" s="22" t="s">
        <v>1707</v>
      </c>
      <c r="C2752" s="22" t="s">
        <v>22</v>
      </c>
      <c r="D2752" s="22" t="s">
        <v>42</v>
      </c>
    </row>
    <row r="2753">
      <c r="A2753" s="23">
        <v>2752.0</v>
      </c>
      <c r="B2753" s="24" t="s">
        <v>2810</v>
      </c>
      <c r="C2753" s="24" t="s">
        <v>77</v>
      </c>
      <c r="D2753" s="24" t="s">
        <v>12</v>
      </c>
    </row>
    <row r="2754">
      <c r="A2754" s="21">
        <v>2753.0</v>
      </c>
      <c r="B2754" s="22" t="s">
        <v>2805</v>
      </c>
      <c r="C2754" s="22" t="s">
        <v>33</v>
      </c>
      <c r="D2754" s="22" t="s">
        <v>122</v>
      </c>
    </row>
    <row r="2755">
      <c r="A2755" s="23">
        <v>2754.0</v>
      </c>
      <c r="B2755" s="24" t="s">
        <v>2806</v>
      </c>
      <c r="C2755" s="24" t="s">
        <v>33</v>
      </c>
      <c r="D2755" s="24" t="s">
        <v>71</v>
      </c>
    </row>
    <row r="2756">
      <c r="A2756" s="21">
        <v>2755.0</v>
      </c>
      <c r="B2756" s="22" t="s">
        <v>2812</v>
      </c>
      <c r="C2756" s="22" t="s">
        <v>14</v>
      </c>
      <c r="D2756" s="22" t="s">
        <v>99</v>
      </c>
    </row>
    <row r="2757">
      <c r="A2757" s="23">
        <v>2756.0</v>
      </c>
      <c r="B2757" s="24" t="s">
        <v>1748</v>
      </c>
      <c r="C2757" s="24" t="s">
        <v>22</v>
      </c>
      <c r="D2757" s="24" t="s">
        <v>15</v>
      </c>
    </row>
    <row r="2758">
      <c r="A2758" s="21">
        <v>2757.0</v>
      </c>
      <c r="B2758" s="22" t="s">
        <v>2824</v>
      </c>
      <c r="C2758" s="22" t="s">
        <v>77</v>
      </c>
      <c r="D2758" s="22" t="s">
        <v>90</v>
      </c>
    </row>
    <row r="2759">
      <c r="A2759" s="23">
        <v>2758.0</v>
      </c>
      <c r="B2759" s="24" t="s">
        <v>94</v>
      </c>
      <c r="C2759" s="24" t="s">
        <v>22</v>
      </c>
      <c r="D2759" s="24" t="s">
        <v>15</v>
      </c>
    </row>
    <row r="2760">
      <c r="A2760" s="21">
        <v>2759.0</v>
      </c>
      <c r="B2760" s="22" t="s">
        <v>353</v>
      </c>
      <c r="C2760" s="22" t="s">
        <v>17</v>
      </c>
      <c r="D2760" s="22" t="s">
        <v>85</v>
      </c>
    </row>
    <row r="2761">
      <c r="A2761" s="23">
        <v>2760.0</v>
      </c>
      <c r="B2761" s="24" t="s">
        <v>2846</v>
      </c>
      <c r="C2761" s="24" t="s">
        <v>20</v>
      </c>
      <c r="D2761" s="24" t="s">
        <v>73</v>
      </c>
    </row>
    <row r="2762">
      <c r="A2762" s="21">
        <v>2761.0</v>
      </c>
      <c r="B2762" s="22" t="s">
        <v>1741</v>
      </c>
      <c r="C2762" s="22" t="s">
        <v>22</v>
      </c>
      <c r="D2762" s="22" t="s">
        <v>36</v>
      </c>
    </row>
    <row r="2763">
      <c r="A2763" s="23">
        <v>2762.0</v>
      </c>
      <c r="B2763" s="24" t="s">
        <v>1790</v>
      </c>
      <c r="C2763" s="24" t="s">
        <v>220</v>
      </c>
      <c r="D2763" s="24" t="s">
        <v>42</v>
      </c>
    </row>
    <row r="2764">
      <c r="A2764" s="21">
        <v>2763.0</v>
      </c>
      <c r="B2764" s="22" t="s">
        <v>424</v>
      </c>
      <c r="C2764" s="22" t="s">
        <v>22</v>
      </c>
      <c r="D2764" s="22" t="s">
        <v>113</v>
      </c>
    </row>
    <row r="2765">
      <c r="A2765" s="23">
        <v>2764.0</v>
      </c>
      <c r="B2765" s="24" t="s">
        <v>1730</v>
      </c>
      <c r="C2765" s="24" t="s">
        <v>22</v>
      </c>
      <c r="D2765" s="24" t="s">
        <v>113</v>
      </c>
    </row>
    <row r="2766">
      <c r="A2766" s="21">
        <v>2765.0</v>
      </c>
      <c r="B2766" s="22" t="s">
        <v>1955</v>
      </c>
      <c r="C2766" s="22" t="s">
        <v>22</v>
      </c>
      <c r="D2766" s="22" t="s">
        <v>71</v>
      </c>
    </row>
  </sheetData>
  <drawing r:id="rId1"/>
  <tableParts count="1">
    <tablePart r:id="rId3"/>
  </tableParts>
</worksheet>
</file>