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PA M and V SOW - Sept 2020\EVO\Uncertainty WG\"/>
    </mc:Choice>
  </mc:AlternateContent>
  <bookViews>
    <workbookView xWindow="0" yWindow="0" windowWidth="28800" windowHeight="12144"/>
  </bookViews>
  <sheets>
    <sheet name="Original Data" sheetId="1" r:id="rId1"/>
    <sheet name="Original Data with HDD + CDD" sheetId="4" r:id="rId2"/>
    <sheet name="Classic Regression with T" sheetId="2" r:id="rId3"/>
    <sheet name="Classic Regression w HDD + CDD" sheetId="3" r:id="rId4"/>
    <sheet name="Uncertainty Comparis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5" l="1"/>
  <c r="E3" i="5"/>
  <c r="G3" i="3"/>
  <c r="H3" i="3" s="1"/>
  <c r="G4" i="3"/>
  <c r="H4" i="3" s="1"/>
  <c r="G5" i="3"/>
  <c r="G6" i="3"/>
  <c r="G7" i="3"/>
  <c r="H7" i="3" s="1"/>
  <c r="G8" i="3"/>
  <c r="G9" i="3"/>
  <c r="G10" i="3"/>
  <c r="H10" i="3" s="1"/>
  <c r="G11" i="3"/>
  <c r="G12" i="3"/>
  <c r="H12" i="3" s="1"/>
  <c r="G13" i="3"/>
  <c r="G14" i="3"/>
  <c r="G15" i="3"/>
  <c r="H15" i="3" s="1"/>
  <c r="G16" i="3"/>
  <c r="H16" i="3" s="1"/>
  <c r="G17" i="3"/>
  <c r="G18" i="3"/>
  <c r="G19" i="3"/>
  <c r="H19" i="3" s="1"/>
  <c r="G20" i="3"/>
  <c r="H20" i="3" s="1"/>
  <c r="G21" i="3"/>
  <c r="G22" i="3"/>
  <c r="G23" i="3"/>
  <c r="G24" i="3"/>
  <c r="H24" i="3" s="1"/>
  <c r="G25" i="3"/>
  <c r="G2" i="3"/>
  <c r="H2" i="3" s="1"/>
  <c r="H8" i="3"/>
  <c r="H18" i="3"/>
  <c r="H25" i="3"/>
  <c r="H23" i="3"/>
  <c r="H22" i="3"/>
  <c r="H21" i="3"/>
  <c r="H17" i="3"/>
  <c r="H14" i="3"/>
  <c r="H13" i="3"/>
  <c r="H11" i="3"/>
  <c r="H9" i="3"/>
  <c r="H6" i="3"/>
  <c r="H5" i="3"/>
  <c r="M26" i="3"/>
  <c r="L26" i="3"/>
  <c r="K26" i="3"/>
  <c r="H30" i="3"/>
  <c r="H32" i="3" s="1"/>
  <c r="K2" i="3" a="1"/>
  <c r="K2" i="3" s="1"/>
  <c r="L4" i="3"/>
  <c r="M4" i="3"/>
  <c r="K5" i="3"/>
  <c r="L5" i="3"/>
  <c r="M5" i="3"/>
  <c r="K6" i="3"/>
  <c r="L6" i="3"/>
  <c r="M6" i="3"/>
  <c r="K39" i="2"/>
  <c r="H39" i="2"/>
  <c r="H37" i="2"/>
  <c r="H36" i="2"/>
  <c r="H35" i="2"/>
  <c r="H34" i="2"/>
  <c r="H32" i="2"/>
  <c r="H29" i="2"/>
  <c r="H30" i="2"/>
  <c r="H28" i="2"/>
  <c r="L26" i="2"/>
  <c r="K26" i="2"/>
  <c r="K2" i="2" a="1"/>
  <c r="K2" i="2" s="1"/>
  <c r="H28" i="3" l="1"/>
  <c r="H29" i="3" s="1"/>
  <c r="H34" i="3"/>
  <c r="H35" i="3"/>
  <c r="H36" i="3" s="1"/>
  <c r="K4" i="3"/>
  <c r="M3" i="3"/>
  <c r="L3" i="3"/>
  <c r="K3" i="3"/>
  <c r="M2" i="3"/>
  <c r="L2" i="3"/>
  <c r="K5" i="2"/>
  <c r="L4" i="2"/>
  <c r="K4" i="2"/>
  <c r="L5" i="2"/>
  <c r="L3" i="2"/>
  <c r="K3" i="2"/>
  <c r="L6" i="2"/>
  <c r="L2" i="2"/>
  <c r="K6" i="2"/>
  <c r="H39" i="3" l="1"/>
  <c r="K39" i="3"/>
  <c r="H37" i="3"/>
  <c r="G7" i="2"/>
  <c r="H7" i="2" s="1"/>
  <c r="G15" i="2"/>
  <c r="H15" i="2" s="1"/>
  <c r="G23" i="2"/>
  <c r="H23" i="2" s="1"/>
  <c r="G8" i="2"/>
  <c r="H8" i="2" s="1"/>
  <c r="G16" i="2"/>
  <c r="H16" i="2" s="1"/>
  <c r="G24" i="2"/>
  <c r="H24" i="2" s="1"/>
  <c r="G9" i="2"/>
  <c r="H9" i="2" s="1"/>
  <c r="G17" i="2"/>
  <c r="H17" i="2" s="1"/>
  <c r="G25" i="2"/>
  <c r="H25" i="2" s="1"/>
  <c r="G18" i="2"/>
  <c r="H18" i="2" s="1"/>
  <c r="G2" i="2"/>
  <c r="H2" i="2" s="1"/>
  <c r="G22" i="2"/>
  <c r="H22" i="2" s="1"/>
  <c r="G10" i="2"/>
  <c r="H10" i="2" s="1"/>
  <c r="G6" i="2"/>
  <c r="H6" i="2" s="1"/>
  <c r="G14" i="2"/>
  <c r="H14" i="2" s="1"/>
  <c r="G11" i="2"/>
  <c r="H11" i="2" s="1"/>
  <c r="G19" i="2"/>
  <c r="H19" i="2" s="1"/>
  <c r="G4" i="2"/>
  <c r="H4" i="2" s="1"/>
  <c r="G12" i="2"/>
  <c r="H12" i="2" s="1"/>
  <c r="G20" i="2"/>
  <c r="H20" i="2" s="1"/>
  <c r="G3" i="2"/>
  <c r="H3" i="2" s="1"/>
  <c r="G13" i="2"/>
  <c r="H13" i="2" s="1"/>
  <c r="G21" i="2"/>
  <c r="H21" i="2" s="1"/>
  <c r="G5" i="2"/>
  <c r="H5" i="2" s="1"/>
</calcChain>
</file>

<file path=xl/sharedStrings.xml><?xml version="1.0" encoding="utf-8"?>
<sst xmlns="http://schemas.openxmlformats.org/spreadsheetml/2006/main" count="117" uniqueCount="53">
  <si>
    <t>Date</t>
  </si>
  <si>
    <t>HDD</t>
  </si>
  <si>
    <t>CDD</t>
  </si>
  <si>
    <t>Predicted Consumption</t>
  </si>
  <si>
    <t>Residual</t>
  </si>
  <si>
    <t>Energy Consumption (kWh)</t>
  </si>
  <si>
    <t>Temp (degrees F)</t>
  </si>
  <si>
    <t>Reporting Period (No = 0, Yes = 1)</t>
  </si>
  <si>
    <t>Slope for X1</t>
  </si>
  <si>
    <t>R2</t>
  </si>
  <si>
    <t>F Statistic</t>
  </si>
  <si>
    <t>Regression Sum of Squares</t>
  </si>
  <si>
    <t>Intercept</t>
  </si>
  <si>
    <t>Standard Error for Intercept</t>
  </si>
  <si>
    <t>Standard Error for X1</t>
  </si>
  <si>
    <t>Standard Error for Y Estimate</t>
  </si>
  <si>
    <t>Residual Sum of Squares</t>
  </si>
  <si>
    <t>Degrees of Freedom</t>
  </si>
  <si>
    <t>Ind. Variable Sensitivity, Tstat =</t>
  </si>
  <si>
    <t xml:space="preserve">Avoided Energy Consumption (Sum of cells H14:H25) = </t>
  </si>
  <si>
    <t>kWh/year</t>
  </si>
  <si>
    <t xml:space="preserve">Uncertainty in Modeled Energy Consumption = </t>
  </si>
  <si>
    <t>kWh/month</t>
  </si>
  <si>
    <t>kWh/month (average)</t>
  </si>
  <si>
    <t>Uncertainty in Metering =</t>
  </si>
  <si>
    <t>Savings Standard Error =</t>
  </si>
  <si>
    <t>Absolute Savings Uncertainty =</t>
  </si>
  <si>
    <t>Annual Sum of Savings Standard Error =</t>
  </si>
  <si>
    <t>Absolute Uncertainty for the Annual Reporting Period =</t>
  </si>
  <si>
    <t xml:space="preserve">Uncertainty (Percentage of Savings) = </t>
  </si>
  <si>
    <t>at 80% Confidence Level</t>
  </si>
  <si>
    <t>Annual Savings +/- Absolute Uncertainty =</t>
  </si>
  <si>
    <t>kWh</t>
  </si>
  <si>
    <t>plus/minus</t>
  </si>
  <si>
    <t>Change Point =</t>
  </si>
  <si>
    <t>F</t>
  </si>
  <si>
    <t>T-stat at 80% Confidence Level w/ DOF of 9 =</t>
  </si>
  <si>
    <t>T-stat at 80% Confidence Level w/ DOF of 10 =</t>
  </si>
  <si>
    <t>Option C Method</t>
  </si>
  <si>
    <t>Uncertainty Calculation Method</t>
  </si>
  <si>
    <t>Sum of Squares</t>
  </si>
  <si>
    <t>Linear Regression</t>
  </si>
  <si>
    <t>Heating Degree Days &amp; Cooling Degrees Days (55 F CP)</t>
  </si>
  <si>
    <t>Key Independent Variable Description</t>
  </si>
  <si>
    <t>Outside Temperature</t>
  </si>
  <si>
    <t>FSU - ASHRAE Guideline 14 Annex B (8a)</t>
  </si>
  <si>
    <t>Confidence Level</t>
  </si>
  <si>
    <t>FSU - ASHRAE Guideline 14 Annex B (8b)</t>
  </si>
  <si>
    <t>FSU - ASHRAE Guideline 14 Annex B (8c)</t>
  </si>
  <si>
    <t>Hat Matrix</t>
  </si>
  <si>
    <t>Uncertainty (% of Savings)</t>
  </si>
  <si>
    <t>Bayesian Approach</t>
  </si>
  <si>
    <t>Applying a change point would clearly improve this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</si>
</sst>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3" fontId="0" fillId="0" borderId="0" xfId="0" applyNumberFormat="1"/>
    <xf numFmtId="16" fontId="2" fillId="3" borderId="3" xfId="0" applyNumberFormat="1" applyFont="1" applyFill="1" applyBorder="1" applyAlignment="1">
      <alignment horizontal="center" vertical="center" wrapText="1"/>
    </xf>
    <xf numFmtId="16" fontId="2" fillId="3" borderId="4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3" fontId="2" fillId="3" borderId="0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" fontId="2" fillId="3" borderId="9" xfId="0" applyNumberFormat="1" applyFont="1" applyFill="1" applyBorder="1" applyAlignment="1">
      <alignment horizontal="center" vertical="center" wrapText="1"/>
    </xf>
    <xf numFmtId="3" fontId="2" fillId="3" borderId="10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3" fontId="0" fillId="3" borderId="7" xfId="0" applyNumberFormat="1" applyFill="1" applyBorder="1" applyAlignment="1">
      <alignment horizontal="center" vertical="center" wrapText="1"/>
    </xf>
    <xf numFmtId="3" fontId="0" fillId="3" borderId="8" xfId="0" applyNumberForma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3" fontId="2" fillId="3" borderId="12" xfId="0" applyNumberFormat="1" applyFont="1" applyFill="1" applyBorder="1" applyAlignment="1">
      <alignment horizontal="center" vertical="center" wrapText="1"/>
    </xf>
    <xf numFmtId="3" fontId="0" fillId="3" borderId="13" xfId="0" applyNumberFormat="1" applyFill="1" applyBorder="1" applyAlignment="1">
      <alignment horizontal="center" vertical="center" wrapText="1"/>
    </xf>
    <xf numFmtId="2" fontId="0" fillId="0" borderId="0" xfId="0" applyNumberFormat="1"/>
    <xf numFmtId="0" fontId="0" fillId="4" borderId="0" xfId="0" applyFill="1"/>
    <xf numFmtId="168" fontId="0" fillId="0" borderId="0" xfId="0" applyNumberFormat="1"/>
    <xf numFmtId="3" fontId="2" fillId="3" borderId="4" xfId="0" applyNumberFormat="1" applyFont="1" applyFill="1" applyBorder="1" applyAlignment="1">
      <alignment horizontal="center" vertical="center" wrapText="1"/>
    </xf>
    <xf numFmtId="3" fontId="2" fillId="3" borderId="14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'Classic Regression with T'!$C$1</c:f>
              <c:strCache>
                <c:ptCount val="1"/>
                <c:pt idx="0">
                  <c:v>Energy Consumption (kWh)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686854768153978"/>
                  <c:y val="-3.93522163896179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'Classic Regression with T'!$B$2:$B$13</c:f>
              <c:numCache>
                <c:formatCode>General</c:formatCode>
                <c:ptCount val="12"/>
                <c:pt idx="0">
                  <c:v>41</c:v>
                </c:pt>
                <c:pt idx="1">
                  <c:v>65</c:v>
                </c:pt>
                <c:pt idx="2">
                  <c:v>70</c:v>
                </c:pt>
                <c:pt idx="3">
                  <c:v>76</c:v>
                </c:pt>
                <c:pt idx="4">
                  <c:v>76</c:v>
                </c:pt>
                <c:pt idx="5">
                  <c:v>69</c:v>
                </c:pt>
                <c:pt idx="6">
                  <c:v>53</c:v>
                </c:pt>
                <c:pt idx="7">
                  <c:v>35</c:v>
                </c:pt>
                <c:pt idx="8">
                  <c:v>37</c:v>
                </c:pt>
                <c:pt idx="9">
                  <c:v>23</c:v>
                </c:pt>
                <c:pt idx="10">
                  <c:v>28</c:v>
                </c:pt>
                <c:pt idx="11">
                  <c:v>35</c:v>
                </c:pt>
              </c:numCache>
            </c:numRef>
          </c:xVal>
          <c:yVal>
            <c:numRef>
              <c:f>'Classic Regression with T'!$C$2:$C$13</c:f>
              <c:numCache>
                <c:formatCode>#,##0</c:formatCode>
                <c:ptCount val="12"/>
                <c:pt idx="0">
                  <c:v>35936</c:v>
                </c:pt>
                <c:pt idx="1">
                  <c:v>22260</c:v>
                </c:pt>
                <c:pt idx="2">
                  <c:v>20970</c:v>
                </c:pt>
                <c:pt idx="3">
                  <c:v>25438</c:v>
                </c:pt>
                <c:pt idx="4">
                  <c:v>28547</c:v>
                </c:pt>
                <c:pt idx="5">
                  <c:v>24394</c:v>
                </c:pt>
                <c:pt idx="6">
                  <c:v>24224</c:v>
                </c:pt>
                <c:pt idx="7">
                  <c:v>38767</c:v>
                </c:pt>
                <c:pt idx="8">
                  <c:v>42205</c:v>
                </c:pt>
                <c:pt idx="9">
                  <c:v>49649</c:v>
                </c:pt>
                <c:pt idx="10">
                  <c:v>43540</c:v>
                </c:pt>
                <c:pt idx="11">
                  <c:v>43734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72-4ACB-A653-8A1EEEE59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438648"/>
        <c:axId val="543442912"/>
      </c:scatterChart>
      <c:valAx>
        <c:axId val="543438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442912"/>
        <c:crosses val="autoZero"/>
        <c:crossBetween val="midCat"/>
      </c:valAx>
      <c:valAx>
        <c:axId val="54344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438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312420</xdr:colOff>
      <xdr:row>6</xdr:row>
      <xdr:rowOff>72390</xdr:rowOff>
    </xdr:from>
    <xdr:to>
      <xdr:col>15</xdr:col>
      <xdr:colOff>708660</xdr:colOff>
      <xdr:row>21</xdr:row>
      <xdr:rowOff>72390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13" sqref="G13"/>
    </sheetView>
  </sheetViews>
  <sheetFormatPr defaultRowHeight="14.4" x14ac:dyDescent="0.3"/>
  <cols>
    <col min="2" max="2" width="12.33203125" customWidth="1"/>
    <col min="3" max="3" width="10.6640625" customWidth="1"/>
  </cols>
  <sheetData>
    <row r="1" spans="1:3" ht="43.2" x14ac:dyDescent="0.3">
      <c r="A1" s="11" t="s">
        <v>0</v>
      </c>
      <c r="B1" s="1" t="s">
        <v>5</v>
      </c>
      <c r="C1" s="7" t="s">
        <v>6</v>
      </c>
    </row>
    <row r="2" spans="1:3" x14ac:dyDescent="0.3">
      <c r="A2" s="3">
        <v>45034</v>
      </c>
      <c r="B2" s="8">
        <v>35936</v>
      </c>
      <c r="C2" s="9">
        <v>41</v>
      </c>
    </row>
    <row r="3" spans="1:3" x14ac:dyDescent="0.3">
      <c r="A3" s="3">
        <v>45064</v>
      </c>
      <c r="B3" s="8">
        <v>22260</v>
      </c>
      <c r="C3" s="9">
        <v>65</v>
      </c>
    </row>
    <row r="4" spans="1:3" x14ac:dyDescent="0.3">
      <c r="A4" s="3">
        <v>45095</v>
      </c>
      <c r="B4" s="8">
        <v>20970</v>
      </c>
      <c r="C4" s="9">
        <v>70</v>
      </c>
    </row>
    <row r="5" spans="1:3" x14ac:dyDescent="0.3">
      <c r="A5" s="3">
        <v>45125</v>
      </c>
      <c r="B5" s="8">
        <v>25438</v>
      </c>
      <c r="C5" s="9">
        <v>76</v>
      </c>
    </row>
    <row r="6" spans="1:3" x14ac:dyDescent="0.3">
      <c r="A6" s="3">
        <v>45156</v>
      </c>
      <c r="B6" s="8">
        <v>28547</v>
      </c>
      <c r="C6" s="9">
        <v>76</v>
      </c>
    </row>
    <row r="7" spans="1:3" x14ac:dyDescent="0.3">
      <c r="A7" s="3">
        <v>45187</v>
      </c>
      <c r="B7" s="8">
        <v>24394</v>
      </c>
      <c r="C7" s="9">
        <v>69</v>
      </c>
    </row>
    <row r="8" spans="1:3" x14ac:dyDescent="0.3">
      <c r="A8" s="3">
        <v>45217</v>
      </c>
      <c r="B8" s="8">
        <v>24224</v>
      </c>
      <c r="C8" s="9">
        <v>53</v>
      </c>
    </row>
    <row r="9" spans="1:3" x14ac:dyDescent="0.3">
      <c r="A9" s="3">
        <v>45248</v>
      </c>
      <c r="B9" s="8">
        <v>38767</v>
      </c>
      <c r="C9" s="9">
        <v>35</v>
      </c>
    </row>
    <row r="10" spans="1:3" x14ac:dyDescent="0.3">
      <c r="A10" s="3">
        <v>45278</v>
      </c>
      <c r="B10" s="8">
        <v>42205</v>
      </c>
      <c r="C10" s="9">
        <v>37</v>
      </c>
    </row>
    <row r="11" spans="1:3" x14ac:dyDescent="0.3">
      <c r="A11" s="3">
        <v>44945</v>
      </c>
      <c r="B11" s="8">
        <v>49649</v>
      </c>
      <c r="C11" s="9">
        <v>23</v>
      </c>
    </row>
    <row r="12" spans="1:3" x14ac:dyDescent="0.3">
      <c r="A12" s="3">
        <v>44976</v>
      </c>
      <c r="B12" s="8">
        <v>43540</v>
      </c>
      <c r="C12" s="9">
        <v>28</v>
      </c>
    </row>
    <row r="13" spans="1:3" x14ac:dyDescent="0.3">
      <c r="A13" s="3">
        <v>45004</v>
      </c>
      <c r="B13" s="8">
        <v>43734</v>
      </c>
      <c r="C13" s="9">
        <v>35</v>
      </c>
    </row>
    <row r="14" spans="1:3" x14ac:dyDescent="0.3">
      <c r="A14" s="12">
        <v>45035</v>
      </c>
      <c r="B14" s="13">
        <v>25416</v>
      </c>
      <c r="C14" s="14">
        <v>50</v>
      </c>
    </row>
    <row r="15" spans="1:3" x14ac:dyDescent="0.3">
      <c r="A15" s="3">
        <v>45065</v>
      </c>
      <c r="B15" s="8">
        <v>17445</v>
      </c>
      <c r="C15" s="9">
        <v>58</v>
      </c>
    </row>
    <row r="16" spans="1:3" x14ac:dyDescent="0.3">
      <c r="A16" s="3">
        <v>45096</v>
      </c>
      <c r="B16" s="8">
        <v>13626</v>
      </c>
      <c r="C16" s="9">
        <v>68</v>
      </c>
    </row>
    <row r="17" spans="1:3" x14ac:dyDescent="0.3">
      <c r="A17" s="3">
        <v>45126</v>
      </c>
      <c r="B17" s="8">
        <v>19295</v>
      </c>
      <c r="C17" s="9">
        <v>78</v>
      </c>
    </row>
    <row r="18" spans="1:3" x14ac:dyDescent="0.3">
      <c r="A18" s="3">
        <v>45157</v>
      </c>
      <c r="B18" s="8">
        <v>17970</v>
      </c>
      <c r="C18" s="9">
        <v>74</v>
      </c>
    </row>
    <row r="19" spans="1:3" x14ac:dyDescent="0.3">
      <c r="A19" s="3">
        <v>45188</v>
      </c>
      <c r="B19" s="8">
        <v>15158</v>
      </c>
      <c r="C19" s="9">
        <v>71</v>
      </c>
    </row>
    <row r="20" spans="1:3" x14ac:dyDescent="0.3">
      <c r="A20" s="3">
        <v>45218</v>
      </c>
      <c r="B20" s="8">
        <v>13293</v>
      </c>
      <c r="C20" s="9">
        <v>53</v>
      </c>
    </row>
    <row r="21" spans="1:3" x14ac:dyDescent="0.3">
      <c r="A21" s="3">
        <v>45249</v>
      </c>
      <c r="B21" s="8">
        <v>35297</v>
      </c>
      <c r="C21" s="9">
        <v>36</v>
      </c>
    </row>
    <row r="22" spans="1:3" x14ac:dyDescent="0.3">
      <c r="A22" s="3">
        <v>45279</v>
      </c>
      <c r="B22" s="8">
        <v>35665</v>
      </c>
      <c r="C22" s="9">
        <v>35</v>
      </c>
    </row>
    <row r="23" spans="1:3" x14ac:dyDescent="0.3">
      <c r="A23" s="3">
        <v>44946</v>
      </c>
      <c r="B23" s="8">
        <v>38562</v>
      </c>
      <c r="C23" s="9">
        <v>31</v>
      </c>
    </row>
    <row r="24" spans="1:3" x14ac:dyDescent="0.3">
      <c r="A24" s="3">
        <v>44977</v>
      </c>
      <c r="B24" s="8">
        <v>33383</v>
      </c>
      <c r="C24" s="9">
        <v>30</v>
      </c>
    </row>
    <row r="25" spans="1:3" ht="15" thickBot="1" x14ac:dyDescent="0.35">
      <c r="A25" s="4">
        <v>45005</v>
      </c>
      <c r="B25" s="5">
        <v>37244</v>
      </c>
      <c r="C25" s="10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B1"/>
    </sheetView>
  </sheetViews>
  <sheetFormatPr defaultRowHeight="14.4" x14ac:dyDescent="0.3"/>
  <cols>
    <col min="2" max="2" width="12.33203125" customWidth="1"/>
    <col min="3" max="3" width="10.6640625" customWidth="1"/>
  </cols>
  <sheetData>
    <row r="1" spans="1:10" ht="43.2" x14ac:dyDescent="0.3">
      <c r="A1" s="11" t="s">
        <v>0</v>
      </c>
      <c r="B1" s="1" t="s">
        <v>5</v>
      </c>
      <c r="C1" s="7" t="s">
        <v>6</v>
      </c>
      <c r="D1" s="1" t="s">
        <v>1</v>
      </c>
      <c r="E1" s="7" t="s">
        <v>2</v>
      </c>
    </row>
    <row r="2" spans="1:10" x14ac:dyDescent="0.3">
      <c r="A2" s="3">
        <v>45034</v>
      </c>
      <c r="B2" s="8">
        <v>35936</v>
      </c>
      <c r="C2" s="9">
        <v>41</v>
      </c>
      <c r="D2" s="16">
        <v>14</v>
      </c>
      <c r="E2" s="9">
        <v>0</v>
      </c>
      <c r="G2" t="s">
        <v>34</v>
      </c>
      <c r="I2">
        <v>55</v>
      </c>
      <c r="J2" t="s">
        <v>35</v>
      </c>
    </row>
    <row r="3" spans="1:10" x14ac:dyDescent="0.3">
      <c r="A3" s="3">
        <v>45064</v>
      </c>
      <c r="B3" s="8">
        <v>22260</v>
      </c>
      <c r="C3" s="9">
        <v>65</v>
      </c>
      <c r="D3" s="16">
        <v>0</v>
      </c>
      <c r="E3" s="9">
        <v>10</v>
      </c>
    </row>
    <row r="4" spans="1:10" x14ac:dyDescent="0.3">
      <c r="A4" s="3">
        <v>45095</v>
      </c>
      <c r="B4" s="8">
        <v>20970</v>
      </c>
      <c r="C4" s="9">
        <v>70</v>
      </c>
      <c r="D4" s="16">
        <v>0</v>
      </c>
      <c r="E4" s="9">
        <v>15</v>
      </c>
    </row>
    <row r="5" spans="1:10" x14ac:dyDescent="0.3">
      <c r="A5" s="3">
        <v>45125</v>
      </c>
      <c r="B5" s="8">
        <v>25438</v>
      </c>
      <c r="C5" s="9">
        <v>76</v>
      </c>
      <c r="D5" s="16">
        <v>0</v>
      </c>
      <c r="E5" s="9">
        <v>21</v>
      </c>
    </row>
    <row r="6" spans="1:10" x14ac:dyDescent="0.3">
      <c r="A6" s="3">
        <v>45156</v>
      </c>
      <c r="B6" s="8">
        <v>28547</v>
      </c>
      <c r="C6" s="9">
        <v>76</v>
      </c>
      <c r="D6" s="16">
        <v>0</v>
      </c>
      <c r="E6" s="9">
        <v>21</v>
      </c>
    </row>
    <row r="7" spans="1:10" x14ac:dyDescent="0.3">
      <c r="A7" s="3">
        <v>45187</v>
      </c>
      <c r="B7" s="8">
        <v>24394</v>
      </c>
      <c r="C7" s="9">
        <v>69</v>
      </c>
      <c r="D7" s="16">
        <v>0</v>
      </c>
      <c r="E7" s="9">
        <v>14</v>
      </c>
    </row>
    <row r="8" spans="1:10" x14ac:dyDescent="0.3">
      <c r="A8" s="3">
        <v>45217</v>
      </c>
      <c r="B8" s="8">
        <v>24224</v>
      </c>
      <c r="C8" s="9">
        <v>53</v>
      </c>
      <c r="D8" s="16">
        <v>2</v>
      </c>
      <c r="E8" s="9">
        <v>0</v>
      </c>
    </row>
    <row r="9" spans="1:10" x14ac:dyDescent="0.3">
      <c r="A9" s="3">
        <v>45248</v>
      </c>
      <c r="B9" s="8">
        <v>38767</v>
      </c>
      <c r="C9" s="9">
        <v>35</v>
      </c>
      <c r="D9" s="16">
        <v>20</v>
      </c>
      <c r="E9" s="9">
        <v>0</v>
      </c>
    </row>
    <row r="10" spans="1:10" x14ac:dyDescent="0.3">
      <c r="A10" s="3">
        <v>45278</v>
      </c>
      <c r="B10" s="8">
        <v>42205</v>
      </c>
      <c r="C10" s="9">
        <v>37</v>
      </c>
      <c r="D10" s="16">
        <v>18</v>
      </c>
      <c r="E10" s="9">
        <v>0</v>
      </c>
    </row>
    <row r="11" spans="1:10" x14ac:dyDescent="0.3">
      <c r="A11" s="3">
        <v>44945</v>
      </c>
      <c r="B11" s="8">
        <v>49649</v>
      </c>
      <c r="C11" s="9">
        <v>23</v>
      </c>
      <c r="D11" s="16">
        <v>32</v>
      </c>
      <c r="E11" s="9">
        <v>0</v>
      </c>
    </row>
    <row r="12" spans="1:10" x14ac:dyDescent="0.3">
      <c r="A12" s="3">
        <v>44976</v>
      </c>
      <c r="B12" s="8">
        <v>43540</v>
      </c>
      <c r="C12" s="9">
        <v>28</v>
      </c>
      <c r="D12" s="16">
        <v>27</v>
      </c>
      <c r="E12" s="9">
        <v>0</v>
      </c>
    </row>
    <row r="13" spans="1:10" x14ac:dyDescent="0.3">
      <c r="A13" s="3">
        <v>45004</v>
      </c>
      <c r="B13" s="8">
        <v>43734</v>
      </c>
      <c r="C13" s="9">
        <v>35</v>
      </c>
      <c r="D13" s="16">
        <v>20</v>
      </c>
      <c r="E13" s="9">
        <v>0</v>
      </c>
    </row>
    <row r="14" spans="1:10" x14ac:dyDescent="0.3">
      <c r="A14" s="12">
        <v>45035</v>
      </c>
      <c r="B14" s="13">
        <v>25416</v>
      </c>
      <c r="C14" s="14">
        <v>50</v>
      </c>
      <c r="D14" s="15">
        <v>5</v>
      </c>
      <c r="E14" s="14">
        <v>0</v>
      </c>
    </row>
    <row r="15" spans="1:10" x14ac:dyDescent="0.3">
      <c r="A15" s="3">
        <v>45065</v>
      </c>
      <c r="B15" s="8">
        <v>17445</v>
      </c>
      <c r="C15" s="9">
        <v>58</v>
      </c>
      <c r="D15" s="16">
        <v>0</v>
      </c>
      <c r="E15" s="9">
        <v>3</v>
      </c>
    </row>
    <row r="16" spans="1:10" x14ac:dyDescent="0.3">
      <c r="A16" s="3">
        <v>45096</v>
      </c>
      <c r="B16" s="8">
        <v>13626</v>
      </c>
      <c r="C16" s="9">
        <v>68</v>
      </c>
      <c r="D16" s="16">
        <v>0</v>
      </c>
      <c r="E16" s="9">
        <v>13</v>
      </c>
    </row>
    <row r="17" spans="1:5" x14ac:dyDescent="0.3">
      <c r="A17" s="3">
        <v>45126</v>
      </c>
      <c r="B17" s="8">
        <v>19295</v>
      </c>
      <c r="C17" s="9">
        <v>78</v>
      </c>
      <c r="D17" s="16">
        <v>0</v>
      </c>
      <c r="E17" s="9">
        <v>23</v>
      </c>
    </row>
    <row r="18" spans="1:5" x14ac:dyDescent="0.3">
      <c r="A18" s="3">
        <v>45157</v>
      </c>
      <c r="B18" s="8">
        <v>17970</v>
      </c>
      <c r="C18" s="9">
        <v>74</v>
      </c>
      <c r="D18" s="16">
        <v>0</v>
      </c>
      <c r="E18" s="9">
        <v>19</v>
      </c>
    </row>
    <row r="19" spans="1:5" x14ac:dyDescent="0.3">
      <c r="A19" s="3">
        <v>45188</v>
      </c>
      <c r="B19" s="8">
        <v>15158</v>
      </c>
      <c r="C19" s="9">
        <v>71</v>
      </c>
      <c r="D19" s="16">
        <v>0</v>
      </c>
      <c r="E19" s="9">
        <v>16</v>
      </c>
    </row>
    <row r="20" spans="1:5" x14ac:dyDescent="0.3">
      <c r="A20" s="3">
        <v>45218</v>
      </c>
      <c r="B20" s="8">
        <v>13293</v>
      </c>
      <c r="C20" s="9">
        <v>53</v>
      </c>
      <c r="D20" s="16">
        <v>2</v>
      </c>
      <c r="E20" s="9">
        <v>0</v>
      </c>
    </row>
    <row r="21" spans="1:5" x14ac:dyDescent="0.3">
      <c r="A21" s="3">
        <v>45249</v>
      </c>
      <c r="B21" s="8">
        <v>35297</v>
      </c>
      <c r="C21" s="9">
        <v>36</v>
      </c>
      <c r="D21" s="16">
        <v>19</v>
      </c>
      <c r="E21" s="9">
        <v>0</v>
      </c>
    </row>
    <row r="22" spans="1:5" x14ac:dyDescent="0.3">
      <c r="A22" s="3">
        <v>45279</v>
      </c>
      <c r="B22" s="8">
        <v>35665</v>
      </c>
      <c r="C22" s="9">
        <v>35</v>
      </c>
      <c r="D22" s="16">
        <v>20</v>
      </c>
      <c r="E22" s="9">
        <v>0</v>
      </c>
    </row>
    <row r="23" spans="1:5" x14ac:dyDescent="0.3">
      <c r="A23" s="3">
        <v>44946</v>
      </c>
      <c r="B23" s="8">
        <v>38562</v>
      </c>
      <c r="C23" s="9">
        <v>31</v>
      </c>
      <c r="D23" s="16">
        <v>24</v>
      </c>
      <c r="E23" s="9">
        <v>0</v>
      </c>
    </row>
    <row r="24" spans="1:5" x14ac:dyDescent="0.3">
      <c r="A24" s="3">
        <v>44977</v>
      </c>
      <c r="B24" s="8">
        <v>33383</v>
      </c>
      <c r="C24" s="9">
        <v>30</v>
      </c>
      <c r="D24" s="16">
        <v>25</v>
      </c>
      <c r="E24" s="9">
        <v>0</v>
      </c>
    </row>
    <row r="25" spans="1:5" ht="15" thickBot="1" x14ac:dyDescent="0.35">
      <c r="A25" s="4">
        <v>45005</v>
      </c>
      <c r="B25" s="5">
        <v>37244</v>
      </c>
      <c r="C25" s="10">
        <v>41</v>
      </c>
      <c r="D25" s="6">
        <v>14</v>
      </c>
      <c r="E2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A10" workbookViewId="0">
      <selection activeCell="P24" sqref="P24"/>
    </sheetView>
  </sheetViews>
  <sheetFormatPr defaultRowHeight="14.4" x14ac:dyDescent="0.3"/>
  <cols>
    <col min="2" max="2" width="10.5546875" customWidth="1"/>
    <col min="3" max="3" width="12.33203125" customWidth="1"/>
    <col min="4" max="4" width="13.5546875" customWidth="1"/>
    <col min="5" max="6" width="0" hidden="1" customWidth="1"/>
    <col min="7" max="7" width="12.77734375" customWidth="1"/>
    <col min="10" max="10" width="15.44140625" customWidth="1"/>
    <col min="11" max="11" width="12" bestFit="1" customWidth="1"/>
    <col min="12" max="12" width="12.109375" bestFit="1" customWidth="1"/>
    <col min="13" max="15" width="5.21875" bestFit="1" customWidth="1"/>
    <col min="16" max="16" width="23.88671875" bestFit="1" customWidth="1"/>
    <col min="17" max="18" width="12" bestFit="1" customWidth="1"/>
    <col min="19" max="19" width="9" bestFit="1" customWidth="1"/>
  </cols>
  <sheetData>
    <row r="1" spans="1:13" ht="43.2" x14ac:dyDescent="0.3">
      <c r="A1" s="11" t="s">
        <v>0</v>
      </c>
      <c r="B1" s="1" t="s">
        <v>6</v>
      </c>
      <c r="C1" s="1" t="s">
        <v>5</v>
      </c>
      <c r="D1" s="1" t="s">
        <v>7</v>
      </c>
      <c r="E1" s="1" t="s">
        <v>1</v>
      </c>
      <c r="F1" s="1" t="s">
        <v>2</v>
      </c>
      <c r="G1" s="1" t="s">
        <v>3</v>
      </c>
      <c r="H1" s="7" t="s">
        <v>4</v>
      </c>
    </row>
    <row r="2" spans="1:13" x14ac:dyDescent="0.3">
      <c r="A2" s="3">
        <v>45034</v>
      </c>
      <c r="B2" s="16">
        <v>41</v>
      </c>
      <c r="C2" s="8">
        <v>35936</v>
      </c>
      <c r="D2" s="16">
        <v>0</v>
      </c>
      <c r="E2" s="16">
        <v>14</v>
      </c>
      <c r="F2" s="16">
        <v>0</v>
      </c>
      <c r="G2" s="8">
        <f>$L$2+$K$2*B2</f>
        <v>37807.062284550295</v>
      </c>
      <c r="H2" s="17">
        <f>C2-G2</f>
        <v>-1871.0622845502949</v>
      </c>
      <c r="J2" s="19" t="s">
        <v>8</v>
      </c>
      <c r="K2">
        <f t="array" ref="K2:L6">LINEST(C2:C13,B2:B13,1,1)</f>
        <v>-465.69609840175491</v>
      </c>
      <c r="L2">
        <v>56900.602319022248</v>
      </c>
      <c r="M2" t="s">
        <v>12</v>
      </c>
    </row>
    <row r="3" spans="1:13" x14ac:dyDescent="0.3">
      <c r="A3" s="3">
        <v>45064</v>
      </c>
      <c r="B3" s="16">
        <v>65</v>
      </c>
      <c r="C3" s="8">
        <v>22260</v>
      </c>
      <c r="D3" s="16">
        <v>0</v>
      </c>
      <c r="E3" s="16">
        <v>0</v>
      </c>
      <c r="F3" s="16">
        <v>10</v>
      </c>
      <c r="G3" s="8">
        <f t="shared" ref="G3:G25" si="0">$L$2+$K$2*B3</f>
        <v>26630.35592290818</v>
      </c>
      <c r="H3" s="17">
        <f>C3-G3</f>
        <v>-4370.3559229081802</v>
      </c>
      <c r="J3" s="19" t="s">
        <v>14</v>
      </c>
      <c r="K3">
        <v>67.600769006524104</v>
      </c>
      <c r="L3">
        <v>3653.9867587539052</v>
      </c>
      <c r="M3" t="s">
        <v>13</v>
      </c>
    </row>
    <row r="4" spans="1:13" x14ac:dyDescent="0.3">
      <c r="A4" s="3">
        <v>45095</v>
      </c>
      <c r="B4" s="16">
        <v>70</v>
      </c>
      <c r="C4" s="8">
        <v>20970</v>
      </c>
      <c r="D4" s="16">
        <v>0</v>
      </c>
      <c r="E4" s="16">
        <v>0</v>
      </c>
      <c r="F4" s="16">
        <v>15</v>
      </c>
      <c r="G4" s="8">
        <f t="shared" si="0"/>
        <v>24301.875430899403</v>
      </c>
      <c r="H4" s="17">
        <f t="shared" ref="H4:H25" si="1">C4-G4</f>
        <v>-3331.875430899403</v>
      </c>
      <c r="J4" s="19" t="s">
        <v>9</v>
      </c>
      <c r="K4">
        <v>0.82595734708813562</v>
      </c>
      <c r="L4" s="23">
        <v>4409.4498415928665</v>
      </c>
      <c r="M4" t="s">
        <v>15</v>
      </c>
    </row>
    <row r="5" spans="1:13" x14ac:dyDescent="0.3">
      <c r="A5" s="3">
        <v>45125</v>
      </c>
      <c r="B5" s="16">
        <v>76</v>
      </c>
      <c r="C5" s="8">
        <v>25438</v>
      </c>
      <c r="D5" s="16">
        <v>0</v>
      </c>
      <c r="E5" s="16">
        <v>0</v>
      </c>
      <c r="F5" s="16">
        <v>21</v>
      </c>
      <c r="G5" s="8">
        <f t="shared" si="0"/>
        <v>21507.698840488876</v>
      </c>
      <c r="H5" s="17">
        <f t="shared" si="1"/>
        <v>3930.3011595111238</v>
      </c>
      <c r="J5" s="19" t="s">
        <v>10</v>
      </c>
      <c r="K5">
        <v>47.457179792955813</v>
      </c>
      <c r="L5">
        <v>10</v>
      </c>
      <c r="M5" t="s">
        <v>17</v>
      </c>
    </row>
    <row r="6" spans="1:13" x14ac:dyDescent="0.3">
      <c r="A6" s="3">
        <v>45156</v>
      </c>
      <c r="B6" s="16">
        <v>76</v>
      </c>
      <c r="C6" s="8">
        <v>28547</v>
      </c>
      <c r="D6" s="16">
        <v>0</v>
      </c>
      <c r="E6" s="16">
        <v>0</v>
      </c>
      <c r="F6" s="16">
        <v>21</v>
      </c>
      <c r="G6" s="8">
        <f t="shared" si="0"/>
        <v>21507.698840488876</v>
      </c>
      <c r="H6" s="17">
        <f t="shared" si="1"/>
        <v>7039.3011595111238</v>
      </c>
      <c r="J6" s="19" t="s">
        <v>11</v>
      </c>
      <c r="K6">
        <v>922721711.61143327</v>
      </c>
      <c r="L6">
        <v>194432479.05523351</v>
      </c>
      <c r="M6" t="s">
        <v>16</v>
      </c>
    </row>
    <row r="7" spans="1:13" x14ac:dyDescent="0.3">
      <c r="A7" s="3">
        <v>45187</v>
      </c>
      <c r="B7" s="16">
        <v>69</v>
      </c>
      <c r="C7" s="8">
        <v>24394</v>
      </c>
      <c r="D7" s="16">
        <v>0</v>
      </c>
      <c r="E7" s="16">
        <v>0</v>
      </c>
      <c r="F7" s="16">
        <v>14</v>
      </c>
      <c r="G7" s="8">
        <f t="shared" si="0"/>
        <v>24767.57152930116</v>
      </c>
      <c r="H7" s="17">
        <f t="shared" si="1"/>
        <v>-373.5715293011599</v>
      </c>
    </row>
    <row r="8" spans="1:13" x14ac:dyDescent="0.3">
      <c r="A8" s="3">
        <v>45217</v>
      </c>
      <c r="B8" s="16">
        <v>53</v>
      </c>
      <c r="C8" s="8">
        <v>24224</v>
      </c>
      <c r="D8" s="16">
        <v>0</v>
      </c>
      <c r="E8" s="16">
        <v>2</v>
      </c>
      <c r="F8" s="16">
        <v>0</v>
      </c>
      <c r="G8" s="8">
        <f t="shared" si="0"/>
        <v>32218.709103729238</v>
      </c>
      <c r="H8" s="17">
        <f t="shared" si="1"/>
        <v>-7994.7091037292375</v>
      </c>
    </row>
    <row r="9" spans="1:13" x14ac:dyDescent="0.3">
      <c r="A9" s="3">
        <v>45248</v>
      </c>
      <c r="B9" s="16">
        <v>35</v>
      </c>
      <c r="C9" s="8">
        <v>38767</v>
      </c>
      <c r="D9" s="16">
        <v>0</v>
      </c>
      <c r="E9" s="16">
        <v>20</v>
      </c>
      <c r="F9" s="16">
        <v>0</v>
      </c>
      <c r="G9" s="8">
        <f t="shared" si="0"/>
        <v>40601.238874960822</v>
      </c>
      <c r="H9" s="17">
        <f t="shared" si="1"/>
        <v>-1834.2388749608217</v>
      </c>
    </row>
    <row r="10" spans="1:13" x14ac:dyDescent="0.3">
      <c r="A10" s="3">
        <v>45278</v>
      </c>
      <c r="B10" s="16">
        <v>37</v>
      </c>
      <c r="C10" s="8">
        <v>42205</v>
      </c>
      <c r="D10" s="16">
        <v>0</v>
      </c>
      <c r="E10" s="16">
        <v>18</v>
      </c>
      <c r="F10" s="16">
        <v>0</v>
      </c>
      <c r="G10" s="8">
        <f t="shared" si="0"/>
        <v>39669.846678157315</v>
      </c>
      <c r="H10" s="17">
        <f t="shared" si="1"/>
        <v>2535.1533218426848</v>
      </c>
    </row>
    <row r="11" spans="1:13" x14ac:dyDescent="0.3">
      <c r="A11" s="3">
        <v>44945</v>
      </c>
      <c r="B11" s="16">
        <v>23</v>
      </c>
      <c r="C11" s="8">
        <v>49649</v>
      </c>
      <c r="D11" s="16">
        <v>0</v>
      </c>
      <c r="E11" s="16">
        <v>32</v>
      </c>
      <c r="F11" s="16">
        <v>0</v>
      </c>
      <c r="G11" s="8">
        <f t="shared" si="0"/>
        <v>46189.592055781883</v>
      </c>
      <c r="H11" s="17">
        <f t="shared" si="1"/>
        <v>3459.4079442181173</v>
      </c>
    </row>
    <row r="12" spans="1:13" x14ac:dyDescent="0.3">
      <c r="A12" s="3">
        <v>44976</v>
      </c>
      <c r="B12" s="16">
        <v>28</v>
      </c>
      <c r="C12" s="8">
        <v>43540</v>
      </c>
      <c r="D12" s="16">
        <v>0</v>
      </c>
      <c r="E12" s="16">
        <v>27</v>
      </c>
      <c r="F12" s="16">
        <v>0</v>
      </c>
      <c r="G12" s="8">
        <f t="shared" si="0"/>
        <v>43861.111563773113</v>
      </c>
      <c r="H12" s="17">
        <f t="shared" si="1"/>
        <v>-321.11156377311272</v>
      </c>
    </row>
    <row r="13" spans="1:13" x14ac:dyDescent="0.3">
      <c r="A13" s="3">
        <v>45004</v>
      </c>
      <c r="B13" s="16">
        <v>35</v>
      </c>
      <c r="C13" s="8">
        <v>43734</v>
      </c>
      <c r="D13" s="16">
        <v>0</v>
      </c>
      <c r="E13" s="16">
        <v>20</v>
      </c>
      <c r="F13" s="16">
        <v>0</v>
      </c>
      <c r="G13" s="20">
        <f t="shared" si="0"/>
        <v>40601.238874960822</v>
      </c>
      <c r="H13" s="21">
        <f t="shared" si="1"/>
        <v>3132.7611250391783</v>
      </c>
    </row>
    <row r="14" spans="1:13" x14ac:dyDescent="0.3">
      <c r="A14" s="12">
        <v>45035</v>
      </c>
      <c r="B14" s="15">
        <v>50</v>
      </c>
      <c r="C14" s="13">
        <v>25416</v>
      </c>
      <c r="D14" s="15">
        <v>1</v>
      </c>
      <c r="E14" s="15">
        <v>5</v>
      </c>
      <c r="F14" s="15">
        <v>0</v>
      </c>
      <c r="G14" s="8">
        <f t="shared" si="0"/>
        <v>33615.797398934505</v>
      </c>
      <c r="H14" s="17">
        <f t="shared" si="1"/>
        <v>-8199.7973989345046</v>
      </c>
    </row>
    <row r="15" spans="1:13" x14ac:dyDescent="0.3">
      <c r="A15" s="3">
        <v>45065</v>
      </c>
      <c r="B15" s="16">
        <v>58</v>
      </c>
      <c r="C15" s="8">
        <v>17445</v>
      </c>
      <c r="D15" s="16">
        <v>1</v>
      </c>
      <c r="E15" s="16">
        <v>0</v>
      </c>
      <c r="F15" s="16">
        <v>3</v>
      </c>
      <c r="G15" s="8">
        <f t="shared" si="0"/>
        <v>29890.228611720464</v>
      </c>
      <c r="H15" s="17">
        <f t="shared" si="1"/>
        <v>-12445.228611720464</v>
      </c>
    </row>
    <row r="16" spans="1:13" x14ac:dyDescent="0.3">
      <c r="A16" s="3">
        <v>45096</v>
      </c>
      <c r="B16" s="16">
        <v>68</v>
      </c>
      <c r="C16" s="8">
        <v>13626</v>
      </c>
      <c r="D16" s="16">
        <v>1</v>
      </c>
      <c r="E16" s="16">
        <v>0</v>
      </c>
      <c r="F16" s="16">
        <v>13</v>
      </c>
      <c r="G16" s="8">
        <f t="shared" si="0"/>
        <v>25233.267627702913</v>
      </c>
      <c r="H16" s="17">
        <f t="shared" si="1"/>
        <v>-11607.267627702913</v>
      </c>
    </row>
    <row r="17" spans="1:16" x14ac:dyDescent="0.3">
      <c r="A17" s="3">
        <v>45126</v>
      </c>
      <c r="B17" s="16">
        <v>78</v>
      </c>
      <c r="C17" s="8">
        <v>19295</v>
      </c>
      <c r="D17" s="16">
        <v>1</v>
      </c>
      <c r="E17" s="16">
        <v>0</v>
      </c>
      <c r="F17" s="16">
        <v>23</v>
      </c>
      <c r="G17" s="8">
        <f t="shared" si="0"/>
        <v>20576.306643685362</v>
      </c>
      <c r="H17" s="17">
        <f t="shared" si="1"/>
        <v>-1281.3066436853624</v>
      </c>
    </row>
    <row r="18" spans="1:16" x14ac:dyDescent="0.3">
      <c r="A18" s="3">
        <v>45157</v>
      </c>
      <c r="B18" s="16">
        <v>74</v>
      </c>
      <c r="C18" s="8">
        <v>17970</v>
      </c>
      <c r="D18" s="16">
        <v>1</v>
      </c>
      <c r="E18" s="16">
        <v>0</v>
      </c>
      <c r="F18" s="16">
        <v>19</v>
      </c>
      <c r="G18" s="8">
        <f t="shared" si="0"/>
        <v>22439.091037292383</v>
      </c>
      <c r="H18" s="17">
        <f t="shared" si="1"/>
        <v>-4469.0910372923827</v>
      </c>
    </row>
    <row r="19" spans="1:16" x14ac:dyDescent="0.3">
      <c r="A19" s="3">
        <v>45188</v>
      </c>
      <c r="B19" s="16">
        <v>71</v>
      </c>
      <c r="C19" s="8">
        <v>15158</v>
      </c>
      <c r="D19" s="16">
        <v>1</v>
      </c>
      <c r="E19" s="16">
        <v>0</v>
      </c>
      <c r="F19" s="16">
        <v>16</v>
      </c>
      <c r="G19" s="8">
        <f t="shared" si="0"/>
        <v>23836.179332497646</v>
      </c>
      <c r="H19" s="17">
        <f t="shared" si="1"/>
        <v>-8678.1793324976461</v>
      </c>
    </row>
    <row r="20" spans="1:16" x14ac:dyDescent="0.3">
      <c r="A20" s="3">
        <v>45218</v>
      </c>
      <c r="B20" s="16">
        <v>53</v>
      </c>
      <c r="C20" s="8">
        <v>13293</v>
      </c>
      <c r="D20" s="16">
        <v>1</v>
      </c>
      <c r="E20" s="16">
        <v>2</v>
      </c>
      <c r="F20" s="16">
        <v>0</v>
      </c>
      <c r="G20" s="8">
        <f t="shared" si="0"/>
        <v>32218.709103729238</v>
      </c>
      <c r="H20" s="17">
        <f t="shared" si="1"/>
        <v>-18925.709103729238</v>
      </c>
    </row>
    <row r="21" spans="1:16" x14ac:dyDescent="0.3">
      <c r="A21" s="3">
        <v>45249</v>
      </c>
      <c r="B21" s="16">
        <v>36</v>
      </c>
      <c r="C21" s="8">
        <v>35297</v>
      </c>
      <c r="D21" s="16">
        <v>1</v>
      </c>
      <c r="E21" s="16">
        <v>19</v>
      </c>
      <c r="F21" s="16">
        <v>0</v>
      </c>
      <c r="G21" s="8">
        <f t="shared" si="0"/>
        <v>40135.542776559072</v>
      </c>
      <c r="H21" s="17">
        <f t="shared" si="1"/>
        <v>-4838.5427765590721</v>
      </c>
    </row>
    <row r="22" spans="1:16" x14ac:dyDescent="0.3">
      <c r="A22" s="3">
        <v>45279</v>
      </c>
      <c r="B22" s="16">
        <v>35</v>
      </c>
      <c r="C22" s="8">
        <v>35665</v>
      </c>
      <c r="D22" s="16">
        <v>1</v>
      </c>
      <c r="E22" s="16">
        <v>20</v>
      </c>
      <c r="F22" s="16">
        <v>0</v>
      </c>
      <c r="G22" s="8">
        <f t="shared" si="0"/>
        <v>40601.238874960822</v>
      </c>
      <c r="H22" s="17">
        <f t="shared" si="1"/>
        <v>-4936.2388749608217</v>
      </c>
    </row>
    <row r="23" spans="1:16" x14ac:dyDescent="0.3">
      <c r="A23" s="3">
        <v>44946</v>
      </c>
      <c r="B23" s="16">
        <v>31</v>
      </c>
      <c r="C23" s="8">
        <v>38562</v>
      </c>
      <c r="D23" s="16">
        <v>1</v>
      </c>
      <c r="E23" s="16">
        <v>24</v>
      </c>
      <c r="F23" s="16">
        <v>0</v>
      </c>
      <c r="G23" s="8">
        <f t="shared" si="0"/>
        <v>42464.023268567849</v>
      </c>
      <c r="H23" s="17">
        <f t="shared" si="1"/>
        <v>-3902.0232685678493</v>
      </c>
      <c r="P23" s="29" t="s">
        <v>52</v>
      </c>
    </row>
    <row r="24" spans="1:16" x14ac:dyDescent="0.3">
      <c r="A24" s="3">
        <v>44977</v>
      </c>
      <c r="B24" s="16">
        <v>30</v>
      </c>
      <c r="C24" s="8">
        <v>33383</v>
      </c>
      <c r="D24" s="16">
        <v>1</v>
      </c>
      <c r="E24" s="16">
        <v>25</v>
      </c>
      <c r="F24" s="16">
        <v>0</v>
      </c>
      <c r="G24" s="8">
        <f t="shared" si="0"/>
        <v>42929.719366969599</v>
      </c>
      <c r="H24" s="17">
        <f t="shared" si="1"/>
        <v>-9546.7193669695989</v>
      </c>
    </row>
    <row r="25" spans="1:16" ht="15" thickBot="1" x14ac:dyDescent="0.35">
      <c r="A25" s="4">
        <v>45005</v>
      </c>
      <c r="B25" s="6">
        <v>41</v>
      </c>
      <c r="C25" s="5">
        <v>37244</v>
      </c>
      <c r="D25" s="6">
        <v>1</v>
      </c>
      <c r="E25" s="6">
        <v>14</v>
      </c>
      <c r="F25" s="6">
        <v>0</v>
      </c>
      <c r="G25" s="5">
        <f t="shared" si="0"/>
        <v>37807.062284550295</v>
      </c>
      <c r="H25" s="18">
        <f t="shared" si="1"/>
        <v>-563.06228455029486</v>
      </c>
    </row>
    <row r="26" spans="1:16" x14ac:dyDescent="0.3">
      <c r="J26" s="19" t="s">
        <v>18</v>
      </c>
      <c r="K26" s="22">
        <f>K2/K3</f>
        <v>-6.8889171712944703</v>
      </c>
      <c r="L26" s="22">
        <f>L2/L3</f>
        <v>15.572197185089603</v>
      </c>
    </row>
    <row r="28" spans="1:16" x14ac:dyDescent="0.3">
      <c r="B28" t="s">
        <v>19</v>
      </c>
      <c r="H28" s="2">
        <f>-SUM(H14:H25)</f>
        <v>89393.166327170155</v>
      </c>
      <c r="I28" t="s">
        <v>20</v>
      </c>
    </row>
    <row r="29" spans="1:16" x14ac:dyDescent="0.3">
      <c r="H29" s="2">
        <f>H28/12</f>
        <v>7449.4305272641795</v>
      </c>
      <c r="I29" t="s">
        <v>23</v>
      </c>
    </row>
    <row r="30" spans="1:16" x14ac:dyDescent="0.3">
      <c r="B30" t="s">
        <v>21</v>
      </c>
      <c r="H30" s="2">
        <f>L4</f>
        <v>4409.4498415928665</v>
      </c>
      <c r="I30" t="s">
        <v>22</v>
      </c>
    </row>
    <row r="31" spans="1:16" x14ac:dyDescent="0.3">
      <c r="B31" t="s">
        <v>24</v>
      </c>
      <c r="H31">
        <v>0</v>
      </c>
      <c r="I31" t="s">
        <v>22</v>
      </c>
    </row>
    <row r="32" spans="1:16" x14ac:dyDescent="0.3">
      <c r="B32" t="s">
        <v>25</v>
      </c>
      <c r="H32" s="2">
        <f>SQRT(H30^2+H31^2)</f>
        <v>4409.4498415928665</v>
      </c>
      <c r="I32" t="s">
        <v>22</v>
      </c>
    </row>
    <row r="33" spans="2:12" x14ac:dyDescent="0.3">
      <c r="B33" t="s">
        <v>37</v>
      </c>
      <c r="H33">
        <v>1.37</v>
      </c>
    </row>
    <row r="34" spans="2:12" x14ac:dyDescent="0.3">
      <c r="B34" t="s">
        <v>26</v>
      </c>
      <c r="H34" s="2">
        <f>H33*H32</f>
        <v>6040.9462829822278</v>
      </c>
      <c r="I34" t="s">
        <v>22</v>
      </c>
    </row>
    <row r="35" spans="2:12" x14ac:dyDescent="0.3">
      <c r="B35" t="s">
        <v>27</v>
      </c>
      <c r="H35" s="2">
        <f>H32*12^0.5</f>
        <v>15274.782318130765</v>
      </c>
      <c r="I35" t="s">
        <v>20</v>
      </c>
    </row>
    <row r="36" spans="2:12" x14ac:dyDescent="0.3">
      <c r="B36" t="s">
        <v>28</v>
      </c>
      <c r="H36" s="2">
        <f>H33*H35</f>
        <v>20926.451775839148</v>
      </c>
      <c r="I36" t="s">
        <v>20</v>
      </c>
    </row>
    <row r="37" spans="2:12" x14ac:dyDescent="0.3">
      <c r="B37" t="s">
        <v>29</v>
      </c>
      <c r="H37" s="24">
        <f>H36/H28</f>
        <v>0.23409453580881567</v>
      </c>
      <c r="I37" t="s">
        <v>30</v>
      </c>
    </row>
    <row r="39" spans="2:12" x14ac:dyDescent="0.3">
      <c r="B39" t="s">
        <v>31</v>
      </c>
      <c r="H39" s="2">
        <f>H28</f>
        <v>89393.166327170155</v>
      </c>
      <c r="I39" t="s">
        <v>32</v>
      </c>
      <c r="J39" t="s">
        <v>33</v>
      </c>
      <c r="K39" s="2">
        <f>H36</f>
        <v>20926.451775839148</v>
      </c>
      <c r="L39" t="s">
        <v>32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A16" workbookViewId="0"/>
  </sheetViews>
  <sheetFormatPr defaultRowHeight="14.4" x14ac:dyDescent="0.3"/>
  <cols>
    <col min="2" max="2" width="10.5546875" customWidth="1"/>
    <col min="3" max="3" width="12.33203125" customWidth="1"/>
    <col min="4" max="4" width="13.5546875" customWidth="1"/>
    <col min="7" max="7" width="12.77734375" customWidth="1"/>
    <col min="10" max="10" width="15.44140625" customWidth="1"/>
    <col min="11" max="11" width="11" bestFit="1" customWidth="1"/>
    <col min="12" max="12" width="12.109375" bestFit="1" customWidth="1"/>
    <col min="13" max="13" width="8" bestFit="1" customWidth="1"/>
    <col min="14" max="15" width="5.21875" bestFit="1" customWidth="1"/>
    <col min="16" max="16" width="23.88671875" bestFit="1" customWidth="1"/>
  </cols>
  <sheetData>
    <row r="1" spans="1:16" ht="43.2" x14ac:dyDescent="0.3">
      <c r="A1" s="11" t="s">
        <v>0</v>
      </c>
      <c r="B1" s="1" t="s">
        <v>6</v>
      </c>
      <c r="C1" s="1" t="s">
        <v>5</v>
      </c>
      <c r="D1" s="1" t="s">
        <v>7</v>
      </c>
      <c r="E1" s="1" t="s">
        <v>1</v>
      </c>
      <c r="F1" s="7" t="s">
        <v>2</v>
      </c>
      <c r="G1" s="1" t="s">
        <v>3</v>
      </c>
      <c r="H1" s="7" t="s">
        <v>4</v>
      </c>
    </row>
    <row r="2" spans="1:16" x14ac:dyDescent="0.3">
      <c r="A2" s="3">
        <v>45034</v>
      </c>
      <c r="B2" s="16">
        <v>41</v>
      </c>
      <c r="C2" s="8">
        <v>35936</v>
      </c>
      <c r="D2" s="16">
        <v>0</v>
      </c>
      <c r="E2" s="16">
        <v>14</v>
      </c>
      <c r="F2" s="9">
        <v>0</v>
      </c>
      <c r="G2" s="8">
        <f>$M$2+$K$2*F2+$L$2*E2</f>
        <v>35077.639641668444</v>
      </c>
      <c r="H2" s="17">
        <f>C2-G2</f>
        <v>858.3603583315562</v>
      </c>
      <c r="J2" s="19" t="s">
        <v>8</v>
      </c>
      <c r="K2">
        <f t="array" ref="K2:M6">LINEST(C2:C13,E2:F13,1,1)</f>
        <v>114.5121322207755</v>
      </c>
      <c r="L2">
        <v>872.66166885440157</v>
      </c>
      <c r="M2">
        <v>22860.376277706819</v>
      </c>
      <c r="P2" t="s">
        <v>12</v>
      </c>
    </row>
    <row r="3" spans="1:16" x14ac:dyDescent="0.3">
      <c r="A3" s="3">
        <v>45064</v>
      </c>
      <c r="B3" s="16">
        <v>65</v>
      </c>
      <c r="C3" s="8">
        <v>22260</v>
      </c>
      <c r="D3" s="16">
        <v>0</v>
      </c>
      <c r="E3" s="16">
        <v>0</v>
      </c>
      <c r="F3" s="9">
        <v>10</v>
      </c>
      <c r="G3" s="8">
        <f t="shared" ref="G3:G25" si="0">$M$2+$K$2*F3+$L$2*E3</f>
        <v>24005.497599914575</v>
      </c>
      <c r="H3" s="17">
        <f>C3-G3</f>
        <v>-1745.4975999145754</v>
      </c>
      <c r="J3" s="19" t="s">
        <v>14</v>
      </c>
      <c r="K3">
        <v>142.58193830483427</v>
      </c>
      <c r="L3">
        <v>104.20998522187108</v>
      </c>
      <c r="M3">
        <v>2136.0479754047046</v>
      </c>
      <c r="P3" t="s">
        <v>13</v>
      </c>
    </row>
    <row r="4" spans="1:16" x14ac:dyDescent="0.3">
      <c r="A4" s="3">
        <v>45095</v>
      </c>
      <c r="B4" s="16">
        <v>70</v>
      </c>
      <c r="C4" s="8">
        <v>20970</v>
      </c>
      <c r="D4" s="16">
        <v>0</v>
      </c>
      <c r="E4" s="16">
        <v>0</v>
      </c>
      <c r="F4" s="9">
        <v>15</v>
      </c>
      <c r="G4" s="8">
        <f t="shared" si="0"/>
        <v>24578.05826101845</v>
      </c>
      <c r="H4" s="17">
        <f t="shared" ref="H4:H25" si="1">C4-G4</f>
        <v>-3608.0582610184501</v>
      </c>
      <c r="J4" s="19" t="s">
        <v>9</v>
      </c>
      <c r="K4">
        <v>0.94211316012525326</v>
      </c>
      <c r="L4">
        <v>2680.5581042122899</v>
      </c>
      <c r="M4" t="e">
        <v>#N/A</v>
      </c>
      <c r="P4" t="s">
        <v>15</v>
      </c>
    </row>
    <row r="5" spans="1:16" x14ac:dyDescent="0.3">
      <c r="A5" s="3">
        <v>45125</v>
      </c>
      <c r="B5" s="16">
        <v>76</v>
      </c>
      <c r="C5" s="8">
        <v>25438</v>
      </c>
      <c r="D5" s="16">
        <v>0</v>
      </c>
      <c r="E5" s="16">
        <v>0</v>
      </c>
      <c r="F5" s="9">
        <v>21</v>
      </c>
      <c r="G5" s="8">
        <f t="shared" si="0"/>
        <v>25265.131054343103</v>
      </c>
      <c r="H5" s="17">
        <f t="shared" si="1"/>
        <v>172.86894565689727</v>
      </c>
      <c r="J5" s="19" t="s">
        <v>10</v>
      </c>
      <c r="K5">
        <v>73.237876341788919</v>
      </c>
      <c r="L5">
        <v>9</v>
      </c>
      <c r="M5" t="e">
        <v>#N/A</v>
      </c>
      <c r="P5" t="s">
        <v>17</v>
      </c>
    </row>
    <row r="6" spans="1:16" x14ac:dyDescent="0.3">
      <c r="A6" s="3">
        <v>45156</v>
      </c>
      <c r="B6" s="16">
        <v>76</v>
      </c>
      <c r="C6" s="8">
        <v>28547</v>
      </c>
      <c r="D6" s="16">
        <v>0</v>
      </c>
      <c r="E6" s="16">
        <v>0</v>
      </c>
      <c r="F6" s="9">
        <v>21</v>
      </c>
      <c r="G6" s="8">
        <f t="shared" si="0"/>
        <v>25265.131054343103</v>
      </c>
      <c r="H6" s="17">
        <f t="shared" si="1"/>
        <v>3281.8689456568973</v>
      </c>
      <c r="J6" s="19" t="s">
        <v>11</v>
      </c>
      <c r="K6">
        <v>1052485664.9161431</v>
      </c>
      <c r="L6">
        <v>64668525.750523657</v>
      </c>
      <c r="M6" t="e">
        <v>#N/A</v>
      </c>
      <c r="P6" t="s">
        <v>16</v>
      </c>
    </row>
    <row r="7" spans="1:16" x14ac:dyDescent="0.3">
      <c r="A7" s="3">
        <v>45187</v>
      </c>
      <c r="B7" s="16">
        <v>69</v>
      </c>
      <c r="C7" s="8">
        <v>24394</v>
      </c>
      <c r="D7" s="16">
        <v>0</v>
      </c>
      <c r="E7" s="16">
        <v>0</v>
      </c>
      <c r="F7" s="9">
        <v>14</v>
      </c>
      <c r="G7" s="8">
        <f t="shared" si="0"/>
        <v>24463.546128797676</v>
      </c>
      <c r="H7" s="17">
        <f t="shared" si="1"/>
        <v>-69.546128797675919</v>
      </c>
    </row>
    <row r="8" spans="1:16" x14ac:dyDescent="0.3">
      <c r="A8" s="3">
        <v>45217</v>
      </c>
      <c r="B8" s="16">
        <v>53</v>
      </c>
      <c r="C8" s="8">
        <v>24224</v>
      </c>
      <c r="D8" s="16">
        <v>0</v>
      </c>
      <c r="E8" s="16">
        <v>2</v>
      </c>
      <c r="F8" s="9">
        <v>0</v>
      </c>
      <c r="G8" s="8">
        <f t="shared" si="0"/>
        <v>24605.699615415622</v>
      </c>
      <c r="H8" s="17">
        <f t="shared" si="1"/>
        <v>-381.69961541562225</v>
      </c>
    </row>
    <row r="9" spans="1:16" x14ac:dyDescent="0.3">
      <c r="A9" s="3">
        <v>45248</v>
      </c>
      <c r="B9" s="16">
        <v>35</v>
      </c>
      <c r="C9" s="8">
        <v>38767</v>
      </c>
      <c r="D9" s="16">
        <v>0</v>
      </c>
      <c r="E9" s="16">
        <v>20</v>
      </c>
      <c r="F9" s="9">
        <v>0</v>
      </c>
      <c r="G9" s="8">
        <f t="shared" si="0"/>
        <v>40313.609654794855</v>
      </c>
      <c r="H9" s="17">
        <f t="shared" si="1"/>
        <v>-1546.6096547948546</v>
      </c>
    </row>
    <row r="10" spans="1:16" x14ac:dyDescent="0.3">
      <c r="A10" s="3">
        <v>45278</v>
      </c>
      <c r="B10" s="16">
        <v>37</v>
      </c>
      <c r="C10" s="8">
        <v>42205</v>
      </c>
      <c r="D10" s="16">
        <v>0</v>
      </c>
      <c r="E10" s="16">
        <v>18</v>
      </c>
      <c r="F10" s="9">
        <v>0</v>
      </c>
      <c r="G10" s="8">
        <f t="shared" si="0"/>
        <v>38568.286317086051</v>
      </c>
      <c r="H10" s="17">
        <f t="shared" si="1"/>
        <v>3636.713682913949</v>
      </c>
    </row>
    <row r="11" spans="1:16" x14ac:dyDescent="0.3">
      <c r="A11" s="3">
        <v>44945</v>
      </c>
      <c r="B11" s="16">
        <v>23</v>
      </c>
      <c r="C11" s="8">
        <v>49649</v>
      </c>
      <c r="D11" s="16">
        <v>0</v>
      </c>
      <c r="E11" s="16">
        <v>32</v>
      </c>
      <c r="F11" s="9">
        <v>0</v>
      </c>
      <c r="G11" s="8">
        <f t="shared" si="0"/>
        <v>50785.549681047669</v>
      </c>
      <c r="H11" s="17">
        <f t="shared" si="1"/>
        <v>-1136.5496810476689</v>
      </c>
    </row>
    <row r="12" spans="1:16" x14ac:dyDescent="0.3">
      <c r="A12" s="3">
        <v>44976</v>
      </c>
      <c r="B12" s="16">
        <v>28</v>
      </c>
      <c r="C12" s="8">
        <v>43540</v>
      </c>
      <c r="D12" s="16">
        <v>0</v>
      </c>
      <c r="E12" s="16">
        <v>27</v>
      </c>
      <c r="F12" s="9">
        <v>0</v>
      </c>
      <c r="G12" s="8">
        <f t="shared" si="0"/>
        <v>46422.24133677566</v>
      </c>
      <c r="H12" s="17">
        <f t="shared" si="1"/>
        <v>-2882.2413367756599</v>
      </c>
    </row>
    <row r="13" spans="1:16" x14ac:dyDescent="0.3">
      <c r="A13" s="3">
        <v>45004</v>
      </c>
      <c r="B13" s="16">
        <v>35</v>
      </c>
      <c r="C13" s="8">
        <v>43734</v>
      </c>
      <c r="D13" s="16">
        <v>0</v>
      </c>
      <c r="E13" s="16">
        <v>20</v>
      </c>
      <c r="F13" s="9">
        <v>0</v>
      </c>
      <c r="G13" s="26">
        <f t="shared" si="0"/>
        <v>40313.609654794855</v>
      </c>
      <c r="H13" s="21">
        <f t="shared" si="1"/>
        <v>3420.3903452051454</v>
      </c>
    </row>
    <row r="14" spans="1:16" x14ac:dyDescent="0.3">
      <c r="A14" s="12">
        <v>45035</v>
      </c>
      <c r="B14" s="15">
        <v>50</v>
      </c>
      <c r="C14" s="13">
        <v>25416</v>
      </c>
      <c r="D14" s="15">
        <v>1</v>
      </c>
      <c r="E14" s="15">
        <v>5</v>
      </c>
      <c r="F14" s="14">
        <v>0</v>
      </c>
      <c r="G14" s="8">
        <f t="shared" si="0"/>
        <v>27223.684621978828</v>
      </c>
      <c r="H14" s="17">
        <f t="shared" si="1"/>
        <v>-1807.6846219788276</v>
      </c>
    </row>
    <row r="15" spans="1:16" x14ac:dyDescent="0.3">
      <c r="A15" s="3">
        <v>45065</v>
      </c>
      <c r="B15" s="16">
        <v>58</v>
      </c>
      <c r="C15" s="8">
        <v>17445</v>
      </c>
      <c r="D15" s="16">
        <v>1</v>
      </c>
      <c r="E15" s="16">
        <v>0</v>
      </c>
      <c r="F15" s="9">
        <v>3</v>
      </c>
      <c r="G15" s="8">
        <f t="shared" si="0"/>
        <v>23203.912674369145</v>
      </c>
      <c r="H15" s="17">
        <f t="shared" si="1"/>
        <v>-5758.912674369145</v>
      </c>
    </row>
    <row r="16" spans="1:16" x14ac:dyDescent="0.3">
      <c r="A16" s="3">
        <v>45096</v>
      </c>
      <c r="B16" s="16">
        <v>68</v>
      </c>
      <c r="C16" s="8">
        <v>13626</v>
      </c>
      <c r="D16" s="16">
        <v>1</v>
      </c>
      <c r="E16" s="16">
        <v>0</v>
      </c>
      <c r="F16" s="9">
        <v>13</v>
      </c>
      <c r="G16" s="8">
        <f t="shared" si="0"/>
        <v>24349.033996576902</v>
      </c>
      <c r="H16" s="17">
        <f t="shared" si="1"/>
        <v>-10723.033996576902</v>
      </c>
    </row>
    <row r="17" spans="1:13" x14ac:dyDescent="0.3">
      <c r="A17" s="3">
        <v>45126</v>
      </c>
      <c r="B17" s="16">
        <v>78</v>
      </c>
      <c r="C17" s="8">
        <v>19295</v>
      </c>
      <c r="D17" s="16">
        <v>1</v>
      </c>
      <c r="E17" s="16">
        <v>0</v>
      </c>
      <c r="F17" s="9">
        <v>23</v>
      </c>
      <c r="G17" s="8">
        <f t="shared" si="0"/>
        <v>25494.155318784655</v>
      </c>
      <c r="H17" s="17">
        <f t="shared" si="1"/>
        <v>-6199.1553187846548</v>
      </c>
    </row>
    <row r="18" spans="1:13" x14ac:dyDescent="0.3">
      <c r="A18" s="3">
        <v>45157</v>
      </c>
      <c r="B18" s="16">
        <v>74</v>
      </c>
      <c r="C18" s="8">
        <v>17970</v>
      </c>
      <c r="D18" s="16">
        <v>1</v>
      </c>
      <c r="E18" s="16">
        <v>0</v>
      </c>
      <c r="F18" s="9">
        <v>19</v>
      </c>
      <c r="G18" s="8">
        <f t="shared" si="0"/>
        <v>25036.106789901554</v>
      </c>
      <c r="H18" s="17">
        <f t="shared" si="1"/>
        <v>-7066.1067899015543</v>
      </c>
    </row>
    <row r="19" spans="1:13" x14ac:dyDescent="0.3">
      <c r="A19" s="3">
        <v>45188</v>
      </c>
      <c r="B19" s="16">
        <v>71</v>
      </c>
      <c r="C19" s="8">
        <v>15158</v>
      </c>
      <c r="D19" s="16">
        <v>1</v>
      </c>
      <c r="E19" s="16">
        <v>0</v>
      </c>
      <c r="F19" s="9">
        <v>16</v>
      </c>
      <c r="G19" s="8">
        <f t="shared" si="0"/>
        <v>24692.570393239228</v>
      </c>
      <c r="H19" s="17">
        <f t="shared" si="1"/>
        <v>-9534.570393239228</v>
      </c>
    </row>
    <row r="20" spans="1:13" x14ac:dyDescent="0.3">
      <c r="A20" s="3">
        <v>45218</v>
      </c>
      <c r="B20" s="16">
        <v>53</v>
      </c>
      <c r="C20" s="8">
        <v>13293</v>
      </c>
      <c r="D20" s="16">
        <v>1</v>
      </c>
      <c r="E20" s="16">
        <v>2</v>
      </c>
      <c r="F20" s="9">
        <v>0</v>
      </c>
      <c r="G20" s="8">
        <f t="shared" si="0"/>
        <v>24605.699615415622</v>
      </c>
      <c r="H20" s="17">
        <f t="shared" si="1"/>
        <v>-11312.699615415622</v>
      </c>
    </row>
    <row r="21" spans="1:13" x14ac:dyDescent="0.3">
      <c r="A21" s="3">
        <v>45249</v>
      </c>
      <c r="B21" s="16">
        <v>36</v>
      </c>
      <c r="C21" s="8">
        <v>35297</v>
      </c>
      <c r="D21" s="16">
        <v>1</v>
      </c>
      <c r="E21" s="16">
        <v>19</v>
      </c>
      <c r="F21" s="9">
        <v>0</v>
      </c>
      <c r="G21" s="8">
        <f t="shared" si="0"/>
        <v>39440.947985940453</v>
      </c>
      <c r="H21" s="17">
        <f t="shared" si="1"/>
        <v>-4143.9479859404528</v>
      </c>
    </row>
    <row r="22" spans="1:13" x14ac:dyDescent="0.3">
      <c r="A22" s="3">
        <v>45279</v>
      </c>
      <c r="B22" s="16">
        <v>35</v>
      </c>
      <c r="C22" s="8">
        <v>35665</v>
      </c>
      <c r="D22" s="16">
        <v>1</v>
      </c>
      <c r="E22" s="16">
        <v>20</v>
      </c>
      <c r="F22" s="9">
        <v>0</v>
      </c>
      <c r="G22" s="8">
        <f t="shared" si="0"/>
        <v>40313.609654794855</v>
      </c>
      <c r="H22" s="17">
        <f t="shared" si="1"/>
        <v>-4648.6096547948546</v>
      </c>
    </row>
    <row r="23" spans="1:13" x14ac:dyDescent="0.3">
      <c r="A23" s="3">
        <v>44946</v>
      </c>
      <c r="B23" s="16">
        <v>31</v>
      </c>
      <c r="C23" s="8">
        <v>38562</v>
      </c>
      <c r="D23" s="16">
        <v>1</v>
      </c>
      <c r="E23" s="16">
        <v>24</v>
      </c>
      <c r="F23" s="9">
        <v>0</v>
      </c>
      <c r="G23" s="8">
        <f t="shared" si="0"/>
        <v>43804.256330212454</v>
      </c>
      <c r="H23" s="17">
        <f t="shared" si="1"/>
        <v>-5242.2563302124545</v>
      </c>
    </row>
    <row r="24" spans="1:13" x14ac:dyDescent="0.3">
      <c r="A24" s="3">
        <v>44977</v>
      </c>
      <c r="B24" s="16">
        <v>30</v>
      </c>
      <c r="C24" s="8">
        <v>33383</v>
      </c>
      <c r="D24" s="16">
        <v>1</v>
      </c>
      <c r="E24" s="16">
        <v>25</v>
      </c>
      <c r="F24" s="9">
        <v>0</v>
      </c>
      <c r="G24" s="8">
        <f t="shared" si="0"/>
        <v>44676.917999066856</v>
      </c>
      <c r="H24" s="17">
        <f t="shared" si="1"/>
        <v>-11293.917999066856</v>
      </c>
    </row>
    <row r="25" spans="1:13" ht="15" thickBot="1" x14ac:dyDescent="0.35">
      <c r="A25" s="4">
        <v>45005</v>
      </c>
      <c r="B25" s="6">
        <v>41</v>
      </c>
      <c r="C25" s="5">
        <v>37244</v>
      </c>
      <c r="D25" s="6">
        <v>1</v>
      </c>
      <c r="E25" s="6">
        <v>14</v>
      </c>
      <c r="F25" s="10">
        <v>0</v>
      </c>
      <c r="G25" s="25">
        <f t="shared" si="0"/>
        <v>35077.639641668444</v>
      </c>
      <c r="H25" s="18">
        <f t="shared" si="1"/>
        <v>2166.3603583315562</v>
      </c>
    </row>
    <row r="26" spans="1:13" x14ac:dyDescent="0.3">
      <c r="J26" s="19" t="s">
        <v>18</v>
      </c>
      <c r="K26" s="22">
        <f>K2/K3</f>
        <v>0.80313210482489938</v>
      </c>
      <c r="L26" s="22">
        <f>L2/L3</f>
        <v>8.3740695960798543</v>
      </c>
      <c r="M26" s="22">
        <f>M2/M3</f>
        <v>10.702182975724408</v>
      </c>
    </row>
    <row r="28" spans="1:13" x14ac:dyDescent="0.3">
      <c r="B28" t="s">
        <v>19</v>
      </c>
      <c r="H28" s="2">
        <f>-SUM(H14:H25)</f>
        <v>75564.535021948977</v>
      </c>
      <c r="I28" t="s">
        <v>20</v>
      </c>
    </row>
    <row r="29" spans="1:13" x14ac:dyDescent="0.3">
      <c r="H29" s="2">
        <f>H28/12</f>
        <v>6297.0445851624145</v>
      </c>
      <c r="I29" t="s">
        <v>23</v>
      </c>
    </row>
    <row r="30" spans="1:13" x14ac:dyDescent="0.3">
      <c r="B30" t="s">
        <v>21</v>
      </c>
      <c r="H30" s="2">
        <f>L4</f>
        <v>2680.5581042122899</v>
      </c>
      <c r="I30" t="s">
        <v>22</v>
      </c>
    </row>
    <row r="31" spans="1:13" x14ac:dyDescent="0.3">
      <c r="B31" t="s">
        <v>24</v>
      </c>
      <c r="H31">
        <v>0</v>
      </c>
      <c r="I31" t="s">
        <v>22</v>
      </c>
    </row>
    <row r="32" spans="1:13" x14ac:dyDescent="0.3">
      <c r="B32" t="s">
        <v>25</v>
      </c>
      <c r="H32" s="2">
        <f>SQRT(H30^2+H31^2)</f>
        <v>2680.5581042122899</v>
      </c>
      <c r="I32" t="s">
        <v>22</v>
      </c>
    </row>
    <row r="33" spans="2:12" x14ac:dyDescent="0.3">
      <c r="B33" t="s">
        <v>36</v>
      </c>
      <c r="H33">
        <v>1.38</v>
      </c>
    </row>
    <row r="34" spans="2:12" x14ac:dyDescent="0.3">
      <c r="B34" t="s">
        <v>26</v>
      </c>
      <c r="H34" s="2">
        <f>H33*H32</f>
        <v>3699.1701838129597</v>
      </c>
      <c r="I34" t="s">
        <v>22</v>
      </c>
    </row>
    <row r="35" spans="2:12" x14ac:dyDescent="0.3">
      <c r="B35" t="s">
        <v>27</v>
      </c>
      <c r="H35" s="2">
        <f>H32*12^0.5</f>
        <v>9285.7256582723912</v>
      </c>
      <c r="I35" t="s">
        <v>20</v>
      </c>
    </row>
    <row r="36" spans="2:12" x14ac:dyDescent="0.3">
      <c r="B36" t="s">
        <v>28</v>
      </c>
      <c r="H36" s="2">
        <f>H33*H35</f>
        <v>12814.301408415899</v>
      </c>
      <c r="I36" t="s">
        <v>20</v>
      </c>
    </row>
    <row r="37" spans="2:12" x14ac:dyDescent="0.3">
      <c r="B37" t="s">
        <v>29</v>
      </c>
      <c r="H37" s="24">
        <f>H36/H28</f>
        <v>0.16958089406219162</v>
      </c>
      <c r="I37" t="s">
        <v>30</v>
      </c>
    </row>
    <row r="39" spans="2:12" x14ac:dyDescent="0.3">
      <c r="B39" t="s">
        <v>31</v>
      </c>
      <c r="H39" s="2">
        <f>H28</f>
        <v>75564.535021948977</v>
      </c>
      <c r="I39" t="s">
        <v>32</v>
      </c>
      <c r="J39" t="s">
        <v>33</v>
      </c>
      <c r="K39" s="2">
        <f>H36</f>
        <v>12814.301408415899</v>
      </c>
      <c r="L39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7" sqref="C17"/>
    </sheetView>
  </sheetViews>
  <sheetFormatPr defaultRowHeight="14.4" x14ac:dyDescent="0.3"/>
  <cols>
    <col min="1" max="1" width="32.6640625" bestFit="1" customWidth="1"/>
    <col min="2" max="2" width="45.77734375" bestFit="1" customWidth="1"/>
    <col min="3" max="3" width="33.77734375" bestFit="1" customWidth="1"/>
    <col min="4" max="4" width="11.6640625" customWidth="1"/>
    <col min="5" max="5" width="12.33203125" customWidth="1"/>
  </cols>
  <sheetData>
    <row r="1" spans="1:5" ht="44.4" customHeight="1" x14ac:dyDescent="0.3">
      <c r="A1" s="11" t="s">
        <v>38</v>
      </c>
      <c r="B1" s="27" t="s">
        <v>43</v>
      </c>
      <c r="C1" s="1" t="s">
        <v>39</v>
      </c>
      <c r="D1" s="1" t="s">
        <v>46</v>
      </c>
      <c r="E1" s="27" t="s">
        <v>50</v>
      </c>
    </row>
    <row r="2" spans="1:5" hidden="1" x14ac:dyDescent="0.3">
      <c r="A2" t="s">
        <v>41</v>
      </c>
      <c r="B2" t="s">
        <v>44</v>
      </c>
      <c r="C2" t="s">
        <v>40</v>
      </c>
      <c r="D2" s="28">
        <v>0.8</v>
      </c>
      <c r="E2" s="28">
        <f>'Classic Regression with T'!H37</f>
        <v>0.23409453580881567</v>
      </c>
    </row>
    <row r="3" spans="1:5" x14ac:dyDescent="0.3">
      <c r="A3" t="s">
        <v>41</v>
      </c>
      <c r="B3" t="s">
        <v>42</v>
      </c>
      <c r="C3" t="s">
        <v>40</v>
      </c>
      <c r="D3" s="28">
        <v>0.8</v>
      </c>
      <c r="E3" s="28">
        <f>'Classic Regression w HDD + CDD'!H37</f>
        <v>0.16958089406219162</v>
      </c>
    </row>
    <row r="4" spans="1:5" x14ac:dyDescent="0.3">
      <c r="A4" t="s">
        <v>41</v>
      </c>
      <c r="B4" t="s">
        <v>42</v>
      </c>
      <c r="C4" t="s">
        <v>45</v>
      </c>
      <c r="D4" s="28">
        <v>0.8</v>
      </c>
      <c r="E4" s="28">
        <v>0.17</v>
      </c>
    </row>
    <row r="5" spans="1:5" x14ac:dyDescent="0.3">
      <c r="A5" t="s">
        <v>41</v>
      </c>
      <c r="B5" t="s">
        <v>42</v>
      </c>
      <c r="C5" t="s">
        <v>47</v>
      </c>
      <c r="D5" s="28">
        <v>0.8</v>
      </c>
      <c r="E5" s="28">
        <v>0.18</v>
      </c>
    </row>
    <row r="6" spans="1:5" x14ac:dyDescent="0.3">
      <c r="A6" t="s">
        <v>41</v>
      </c>
      <c r="B6" t="s">
        <v>42</v>
      </c>
      <c r="C6" t="s">
        <v>48</v>
      </c>
      <c r="D6" s="28">
        <v>0.8</v>
      </c>
      <c r="E6" s="28">
        <v>0.33</v>
      </c>
    </row>
    <row r="7" spans="1:5" x14ac:dyDescent="0.3">
      <c r="A7" t="s">
        <v>41</v>
      </c>
      <c r="B7" t="s">
        <v>42</v>
      </c>
      <c r="C7" t="s">
        <v>49</v>
      </c>
      <c r="D7" s="28">
        <v>0.8</v>
      </c>
      <c r="E7" s="28">
        <v>0.25</v>
      </c>
    </row>
    <row r="8" spans="1:5" x14ac:dyDescent="0.3">
      <c r="A8" t="s">
        <v>51</v>
      </c>
      <c r="D8" s="28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Data</vt:lpstr>
      <vt:lpstr>Original Data with HDD + CDD</vt:lpstr>
      <vt:lpstr>Classic Regression with T</vt:lpstr>
      <vt:lpstr>Classic Regression w HDD + CDD</vt:lpstr>
      <vt:lpstr>Uncertainty Comparisions</vt:lpstr>
    </vt:vector>
  </TitlesOfParts>
  <Company>BPA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Amundson,Todd M (BPA) - PEJD-6</dc:creator>
  <cp:lastModifiedBy>Amundson,Todd M (BPA) - PEJD-6</cp:lastModifiedBy>
  <dcterms:created xsi:type="dcterms:W3CDTF">2023-05-27T14:03:29Z</dcterms:created>
  <dcterms:modified xsi:type="dcterms:W3CDTF">2023-05-27T16:39:55Z</dcterms:modified>
</cp:coreProperties>
</file>