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chartsheets/sheet1.xml" ContentType="application/vnd.openxmlformats-officedocument.spreadsheetml.chart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2.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drawings/drawing3.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drawings/drawing4.xml" ContentType="application/vnd.openxmlformats-officedocument.drawing+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drawings/drawing5.xml" ContentType="application/vnd.openxmlformats-officedocument.drawing+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drawings/drawing6.xml" ContentType="application/vnd.openxmlformats-officedocument.drawing+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drawings/drawing7.xml" ContentType="application/vnd.openxmlformats-officedocument.drawing+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drawings/drawing8.xml" ContentType="application/vnd.openxmlformats-officedocument.drawing+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drawings/drawing9.xml" ContentType="application/vnd.openxmlformats-officedocument.drawing+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drawings/drawing10.xml" ContentType="application/vnd.openxmlformats-officedocument.drawing+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charts/chart65.xml" ContentType="application/vnd.openxmlformats-officedocument.drawingml.chart+xml"/>
  <Override PartName="/xl/charts/chart66.xml" ContentType="application/vnd.openxmlformats-officedocument.drawingml.chart+xml"/>
  <Override PartName="/xl/drawings/drawing11.xml" ContentType="application/vnd.openxmlformats-officedocument.drawing+xml"/>
  <Override PartName="/xl/charts/chart67.xml" ContentType="application/vnd.openxmlformats-officedocument.drawingml.chart+xml"/>
  <Override PartName="/xl/drawings/drawing1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5"/>
  <workbookPr/>
  <mc:AlternateContent xmlns:mc="http://schemas.openxmlformats.org/markup-compatibility/2006">
    <mc:Choice Requires="x15">
      <x15ac:absPath xmlns:x15ac="http://schemas.microsoft.com/office/spreadsheetml/2010/11/ac" url="/Users/srujanarao/Downloads/"/>
    </mc:Choice>
  </mc:AlternateContent>
  <xr:revisionPtr revIDLastSave="0" documentId="13_ncr:1_{AD99C2E1-B721-8042-8434-479E08860022}" xr6:coauthVersionLast="47" xr6:coauthVersionMax="47" xr10:uidLastSave="{00000000-0000-0000-0000-000000000000}"/>
  <bookViews>
    <workbookView xWindow="0" yWindow="0" windowWidth="28800" windowHeight="18000" activeTab="1" xr2:uid="{00000000-000D-0000-FFFF-FFFF00000000}"/>
  </bookViews>
  <sheets>
    <sheet name="Sheet1" sheetId="89" r:id="rId1"/>
    <sheet name="Sheet2" sheetId="90" r:id="rId2"/>
    <sheet name="Gas and temperature data" sheetId="1" r:id="rId3"/>
    <sheet name="All gas statistics" sheetId="2" r:id="rId4"/>
    <sheet name="Commercial gas and temp stats" sheetId="9" r:id="rId5"/>
    <sheet name="Com HDD linear model" sheetId="23" r:id="rId6"/>
    <sheet name="Com HDD plus trend model" sheetId="33" r:id="rId7"/>
    <sheet name="Com HDD trend model from 2009" sheetId="41" r:id="rId8"/>
    <sheet name="Com HDD quadratic model" sheetId="49" r:id="rId9"/>
    <sheet name="Com HDD model with dummies" sheetId="57" r:id="rId10"/>
    <sheet name="Elec HDD model with dummies" sheetId="65" r:id="rId11"/>
    <sheet name="Elec CDD model with dummies" sheetId="73" r:id="rId12"/>
    <sheet name="Elec dummy only model" sheetId="81" r:id="rId13"/>
    <sheet name="Chart66" sheetId="88" r:id="rId14"/>
    <sheet name="Model Summaries" sheetId="31" r:id="rId15"/>
  </sheets>
  <definedNames>
    <definedName name="___autoF" localSheetId="5" hidden="1">1</definedName>
    <definedName name="___autoF" localSheetId="9" hidden="1">1</definedName>
    <definedName name="___autoF" localSheetId="6" hidden="1">1</definedName>
    <definedName name="___autoF" localSheetId="8" hidden="1">1</definedName>
    <definedName name="___autoF" localSheetId="7" hidden="1">1</definedName>
    <definedName name="___autoF" localSheetId="11" hidden="1">1</definedName>
    <definedName name="___autoF" localSheetId="12" hidden="1">1</definedName>
    <definedName name="___autoF" localSheetId="10" hidden="1">1</definedName>
    <definedName name="___gFirst" localSheetId="3" hidden="1">_Total_NC_Natural_Gas</definedName>
    <definedName name="___gFirst" localSheetId="4" hidden="1">_Commercial_Natural_Gas</definedName>
    <definedName name="___gSet" localSheetId="3" hidden="1">30000</definedName>
    <definedName name="___gSet" localSheetId="4" hidden="1">31210</definedName>
    <definedName name="___rsumm____Commercial_Natural_Gas" localSheetId="14" hidden="1">'Model Summaries'!$A$3</definedName>
    <definedName name="___rsumm____Electric_Natural_Gas" localSheetId="14" hidden="1">'Model Summaries'!$A$37</definedName>
    <definedName name="__nSelect_" hidden="1">0</definedName>
    <definedName name="_Commercial_Natural_Gas">'Gas and temperature data'!$C$2:$C$91</definedName>
    <definedName name="_Electric_Natural_Gas">'Gas and temperature data'!$E$2:$E$91</definedName>
    <definedName name="_Industrial_Natural_Gas">'Gas and temperature data'!$D$2:$D$91</definedName>
    <definedName name="_Residential_Natural_Gas">'Gas and temperature data'!$B$2:$B$91</definedName>
    <definedName name="_Total_NC_Natural_Gas">'Gas and temperature data'!$F$2:$F$91</definedName>
    <definedName name="ActiveRegModel" hidden="1">"Elec dummy only model"</definedName>
    <definedName name="Cooling_Degree_Days">'Gas and temperature data'!$G$2:$G$91</definedName>
    <definedName name="Cooling_Degree_Days_POW2">'Gas and temperature data'!$H$2:$H$91</definedName>
    <definedName name="FirstForecastRow" localSheetId="5" hidden="1">58</definedName>
    <definedName name="FirstForecastRow" localSheetId="9" hidden="1">49</definedName>
    <definedName name="FirstForecastRow" localSheetId="6" hidden="1">37</definedName>
    <definedName name="FirstForecastRow" localSheetId="8" hidden="1">38</definedName>
    <definedName name="FirstForecastRow" localSheetId="7" hidden="1">37</definedName>
    <definedName name="FirstForecastRow" localSheetId="11" hidden="1">49</definedName>
    <definedName name="FirstForecastRow" localSheetId="12" hidden="1">47</definedName>
    <definedName name="FirstForecastRow" localSheetId="10" hidden="1">49</definedName>
    <definedName name="Heating_Degree_Days">'Gas and temperature data'!$I$2:$I$91</definedName>
    <definedName name="Heating_Degree_Days_POW2">'Gas and temperature data'!$J$2:$J$91</definedName>
    <definedName name="LastAnalysisModel" hidden="1">"Commercial gas and temp stats"</definedName>
    <definedName name="Mean_Maximum_Temp">'Gas and temperature data'!$K$2:$K$91</definedName>
    <definedName name="Mean_MinimumTemp">'Gas and temperature data'!$L$2:$L$91</definedName>
    <definedName name="Mean_Temp">'Gas and temperature data'!$M$2:$M$91</definedName>
    <definedName name="Month">'Gas and temperature data'!$O$2:$O$91</definedName>
    <definedName name="Month_EQ__01">'Gas and temperature data'!$P$2:$P$91</definedName>
    <definedName name="Month_EQ__02">'Gas and temperature data'!$Q$2:$Q$91</definedName>
    <definedName name="Month_EQ__03">'Gas and temperature data'!$R$2:$R$91</definedName>
    <definedName name="Month_EQ__04">'Gas and temperature data'!$S$2:$S$91</definedName>
    <definedName name="Month_EQ__05">'Gas and temperature data'!$T$2:$T$91</definedName>
    <definedName name="Month_EQ__06">'Gas and temperature data'!$U$2:$U$91</definedName>
    <definedName name="Month_EQ__07">'Gas and temperature data'!$V$2:$V$91</definedName>
    <definedName name="Month_EQ__08">'Gas and temperature data'!$W$2:$W$91</definedName>
    <definedName name="Month_EQ__09">'Gas and temperature data'!$X$2:$X$91</definedName>
    <definedName name="Month_EQ__10">'Gas and temperature data'!$Y$2:$Y$91</definedName>
    <definedName name="Month_EQ__11">'Gas and temperature data'!$Z$2:$Z$91</definedName>
    <definedName name="Month_EQ__12">'Gas and temperature data'!$AA$2:$AA$91</definedName>
    <definedName name="nDataAnalysis" hidden="1">2</definedName>
    <definedName name="nRegMod" hidden="1">8</definedName>
    <definedName name="OKtoForecast" hidden="1">1</definedName>
    <definedName name="_xlnm.Print_Area" localSheetId="3">'All gas statistics'!$A$1:$M$76</definedName>
    <definedName name="_xlnm.Print_Area" localSheetId="5">'Com HDD linear model'!$A$1:$J$369</definedName>
    <definedName name="_xlnm.Print_Area" localSheetId="9">'Com HDD model with dummies'!$A$1:$J$264</definedName>
    <definedName name="_xlnm.Print_Area" localSheetId="6">'Com HDD plus trend model'!$A$1:$J$348</definedName>
    <definedName name="_xlnm.Print_Area" localSheetId="8">'Com HDD quadratic model'!$A$1:$J$253</definedName>
    <definedName name="_xlnm.Print_Area" localSheetId="7">'Com HDD trend model from 2009'!$A$1:$J$252</definedName>
    <definedName name="_xlnm.Print_Area" localSheetId="4">'Commercial gas and temp stats'!$A$1:$M$179</definedName>
    <definedName name="_xlnm.Print_Area" localSheetId="11">'Elec CDD model with dummies'!$A$1:$J$265</definedName>
    <definedName name="_xlnm.Print_Area" localSheetId="12">'Elec dummy only model'!$A$1:$J$272</definedName>
    <definedName name="_xlnm.Print_Area" localSheetId="10">'Elec HDD model with dummies'!$A$1:$J$265</definedName>
    <definedName name="Trend">'Gas and temperature data'!$N$2:$N$91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76" i="1" l="1"/>
  <c r="F55" i="1"/>
  <c r="D212" i="81"/>
  <c r="E212" i="81" s="1"/>
  <c r="D214" i="81"/>
  <c r="E214" i="81" s="1"/>
  <c r="D237" i="81"/>
  <c r="E237" i="81" s="1"/>
  <c r="D242" i="81"/>
  <c r="E242" i="81" s="1"/>
  <c r="D243" i="81"/>
  <c r="E243" i="81" s="1"/>
  <c r="D210" i="81"/>
  <c r="E210" i="81" s="1"/>
  <c r="D227" i="81"/>
  <c r="E227" i="81" s="1"/>
  <c r="D200" i="81"/>
  <c r="E200" i="81" s="1"/>
  <c r="D239" i="81"/>
  <c r="E239" i="81" s="1"/>
  <c r="D240" i="81"/>
  <c r="E240" i="81" s="1"/>
  <c r="D231" i="81"/>
  <c r="E231" i="81" s="1"/>
  <c r="D268" i="81"/>
  <c r="E268" i="81" s="1"/>
  <c r="D266" i="81"/>
  <c r="E266" i="81" s="1"/>
  <c r="D235" i="81"/>
  <c r="E235" i="81" s="1"/>
  <c r="D261" i="81"/>
  <c r="E261" i="81" s="1"/>
  <c r="D271" i="81"/>
  <c r="E271" i="81" s="1"/>
  <c r="D207" i="81"/>
  <c r="E207" i="81" s="1"/>
  <c r="D232" i="81"/>
  <c r="E232" i="81" s="1"/>
  <c r="D248" i="81"/>
  <c r="E248" i="81" s="1"/>
  <c r="D228" i="81"/>
  <c r="E228" i="81" s="1"/>
  <c r="D234" i="81"/>
  <c r="E234" i="81" s="1"/>
  <c r="D267" i="81"/>
  <c r="E267" i="81" s="1"/>
  <c r="D250" i="81"/>
  <c r="E250" i="81" s="1"/>
  <c r="D199" i="81"/>
  <c r="E199" i="81" s="1"/>
  <c r="D205" i="81"/>
  <c r="E205" i="81" s="1"/>
  <c r="D206" i="81"/>
  <c r="E206" i="81" s="1"/>
  <c r="D202" i="81"/>
  <c r="E202" i="81" s="1"/>
  <c r="D246" i="81"/>
  <c r="E246" i="81" s="1"/>
  <c r="D236" i="81"/>
  <c r="E236" i="81" s="1"/>
  <c r="D265" i="81"/>
  <c r="E265" i="81" s="1"/>
  <c r="D216" i="81"/>
  <c r="E216" i="81" s="1"/>
  <c r="D198" i="81"/>
  <c r="E198" i="81" s="1"/>
  <c r="D259" i="81"/>
  <c r="E259" i="81" s="1"/>
  <c r="D258" i="81"/>
  <c r="E258" i="81" s="1"/>
  <c r="D233" i="81"/>
  <c r="E233" i="81" s="1"/>
  <c r="D244" i="81"/>
  <c r="E244" i="81" s="1"/>
  <c r="D195" i="81"/>
  <c r="E195" i="81" s="1"/>
  <c r="D249" i="81"/>
  <c r="E249" i="81" s="1"/>
  <c r="D238" i="81"/>
  <c r="E238" i="81" s="1"/>
  <c r="D241" i="81"/>
  <c r="E241" i="81" s="1"/>
  <c r="D224" i="81"/>
  <c r="E224" i="81" s="1"/>
  <c r="D196" i="81"/>
  <c r="E196" i="81" s="1"/>
  <c r="D245" i="81"/>
  <c r="E245" i="81" s="1"/>
  <c r="D256" i="81"/>
  <c r="E256" i="81" s="1"/>
  <c r="D252" i="81"/>
  <c r="E252" i="81" s="1"/>
  <c r="D201" i="81"/>
  <c r="E201" i="81" s="1"/>
  <c r="D229" i="81"/>
  <c r="E229" i="81" s="1"/>
  <c r="D219" i="81"/>
  <c r="E219" i="81" s="1"/>
  <c r="D215" i="81"/>
  <c r="E215" i="81" s="1"/>
  <c r="D204" i="81"/>
  <c r="E204" i="81" s="1"/>
  <c r="D225" i="81"/>
  <c r="E225" i="81" s="1"/>
  <c r="D255" i="81"/>
  <c r="E255" i="81" s="1"/>
  <c r="D247" i="81"/>
  <c r="E247" i="81" s="1"/>
  <c r="D254" i="81"/>
  <c r="E254" i="81" s="1"/>
  <c r="D257" i="81"/>
  <c r="E257" i="81" s="1"/>
  <c r="D223" i="81"/>
  <c r="E223" i="81" s="1"/>
  <c r="D211" i="81"/>
  <c r="E211" i="81" s="1"/>
  <c r="D220" i="81"/>
  <c r="E220" i="81" s="1"/>
  <c r="D203" i="81"/>
  <c r="E203" i="81" s="1"/>
  <c r="D253" i="81"/>
  <c r="E253" i="81" s="1"/>
  <c r="D194" i="81"/>
  <c r="E194" i="81" s="1"/>
  <c r="D222" i="81"/>
  <c r="E222" i="81"/>
  <c r="D251" i="81"/>
  <c r="E251" i="81" s="1"/>
  <c r="D218" i="81"/>
  <c r="E218" i="81" s="1"/>
  <c r="D264" i="81"/>
  <c r="E264" i="81" s="1"/>
  <c r="D208" i="81"/>
  <c r="E208" i="81" s="1"/>
  <c r="D221" i="81"/>
  <c r="E221" i="81" s="1"/>
  <c r="D263" i="81"/>
  <c r="E263" i="81" s="1"/>
  <c r="D197" i="81"/>
  <c r="E197" i="81" s="1"/>
  <c r="D269" i="81"/>
  <c r="E269" i="81" s="1"/>
  <c r="D217" i="81"/>
  <c r="E217" i="81" s="1"/>
  <c r="D226" i="81"/>
  <c r="E226" i="81" s="1"/>
  <c r="D230" i="81"/>
  <c r="E230" i="81" s="1"/>
  <c r="D260" i="81"/>
  <c r="E260" i="81" s="1"/>
  <c r="D270" i="81"/>
  <c r="E270" i="81" s="1"/>
  <c r="D209" i="81"/>
  <c r="E209" i="81" s="1"/>
  <c r="D213" i="81"/>
  <c r="E213" i="81" s="1"/>
  <c r="D262" i="81"/>
  <c r="E262" i="81" s="1"/>
  <c r="AA3" i="81"/>
  <c r="AA2" i="81"/>
  <c r="H46" i="81"/>
  <c r="G46" i="81"/>
  <c r="E46" i="81"/>
  <c r="D46" i="81"/>
  <c r="I43" i="81"/>
  <c r="H43" i="81"/>
  <c r="G43" i="81"/>
  <c r="F43" i="81"/>
  <c r="E43" i="81"/>
  <c r="D43" i="81"/>
  <c r="C43" i="81"/>
  <c r="B43" i="81"/>
  <c r="B10" i="81"/>
  <c r="D31" i="81"/>
  <c r="D10" i="81" s="1"/>
  <c r="C10" i="81" s="1"/>
  <c r="C30" i="81"/>
  <c r="D30" i="81" s="1"/>
  <c r="B32" i="81"/>
  <c r="I26" i="81"/>
  <c r="I25" i="81"/>
  <c r="I24" i="81"/>
  <c r="I23" i="81"/>
  <c r="I22" i="81"/>
  <c r="I21" i="81"/>
  <c r="I20" i="81"/>
  <c r="I19" i="81"/>
  <c r="I18" i="81"/>
  <c r="I17" i="81"/>
  <c r="I16" i="81"/>
  <c r="I15" i="81"/>
  <c r="D15" i="81"/>
  <c r="E15" i="81" s="1"/>
  <c r="F15" i="81"/>
  <c r="G15" i="81"/>
  <c r="D16" i="81"/>
  <c r="E16" i="81" s="1"/>
  <c r="F16" i="81"/>
  <c r="G16" i="81"/>
  <c r="D17" i="81"/>
  <c r="E17" i="81" s="1"/>
  <c r="F17" i="81"/>
  <c r="G17" i="81"/>
  <c r="D18" i="81"/>
  <c r="E18" i="81" s="1"/>
  <c r="F18" i="81"/>
  <c r="G18" i="81"/>
  <c r="D19" i="81"/>
  <c r="E19" i="81" s="1"/>
  <c r="F19" i="81"/>
  <c r="G19" i="81"/>
  <c r="D20" i="81"/>
  <c r="E20" i="81" s="1"/>
  <c r="F20" i="81"/>
  <c r="G20" i="81"/>
  <c r="D21" i="81"/>
  <c r="E21" i="81" s="1"/>
  <c r="F21" i="81"/>
  <c r="G21" i="81"/>
  <c r="D22" i="81"/>
  <c r="E22" i="81" s="1"/>
  <c r="F22" i="81"/>
  <c r="G22" i="81"/>
  <c r="D23" i="81"/>
  <c r="E23" i="81" s="1"/>
  <c r="F23" i="81"/>
  <c r="G23" i="81"/>
  <c r="D24" i="81"/>
  <c r="E24" i="81" s="1"/>
  <c r="F24" i="81"/>
  <c r="G24" i="81"/>
  <c r="D25" i="81"/>
  <c r="E25" i="81" s="1"/>
  <c r="F25" i="81"/>
  <c r="G25" i="81"/>
  <c r="D26" i="81"/>
  <c r="E26" i="81" s="1"/>
  <c r="F26" i="81"/>
  <c r="G26" i="81"/>
  <c r="D14" i="81"/>
  <c r="E14" i="81" s="1"/>
  <c r="G14" i="81"/>
  <c r="F14" i="81"/>
  <c r="G13" i="81"/>
  <c r="F13" i="81"/>
  <c r="H10" i="81"/>
  <c r="H58" i="81" s="1"/>
  <c r="H9" i="81"/>
  <c r="D202" i="73"/>
  <c r="E202" i="73" s="1"/>
  <c r="D201" i="73"/>
  <c r="E201" i="73" s="1"/>
  <c r="D231" i="73"/>
  <c r="E231" i="73" s="1"/>
  <c r="D238" i="73"/>
  <c r="E238" i="73" s="1"/>
  <c r="D253" i="73"/>
  <c r="E253" i="73" s="1"/>
  <c r="D248" i="73"/>
  <c r="E248" i="73" s="1"/>
  <c r="D229" i="73"/>
  <c r="E229" i="73" s="1"/>
  <c r="D193" i="73"/>
  <c r="E193" i="73" s="1"/>
  <c r="D239" i="73"/>
  <c r="E239" i="73" s="1"/>
  <c r="D232" i="73"/>
  <c r="E232" i="73" s="1"/>
  <c r="D222" i="73"/>
  <c r="E222" i="73" s="1"/>
  <c r="D264" i="73"/>
  <c r="E264" i="73" s="1"/>
  <c r="D256" i="73"/>
  <c r="E256" i="73" s="1"/>
  <c r="D218" i="73"/>
  <c r="E218" i="73" s="1"/>
  <c r="D262" i="73"/>
  <c r="E262" i="73" s="1"/>
  <c r="D252" i="73"/>
  <c r="E252" i="73" s="1"/>
  <c r="D230" i="73"/>
  <c r="E230" i="73" s="1"/>
  <c r="D257" i="73"/>
  <c r="E257" i="73" s="1"/>
  <c r="D244" i="73"/>
  <c r="E244" i="73" s="1"/>
  <c r="D223" i="73"/>
  <c r="E223" i="73" s="1"/>
  <c r="D212" i="73"/>
  <c r="E212" i="73" s="1"/>
  <c r="D259" i="73"/>
  <c r="E259" i="73" s="1"/>
  <c r="D245" i="73"/>
  <c r="E245" i="73" s="1"/>
  <c r="D189" i="73"/>
  <c r="E189" i="73" s="1"/>
  <c r="D196" i="73"/>
  <c r="E196" i="73" s="1"/>
  <c r="D199" i="73"/>
  <c r="E199" i="73" s="1"/>
  <c r="D203" i="73"/>
  <c r="E203" i="73" s="1"/>
  <c r="D237" i="73"/>
  <c r="E237" i="73" s="1"/>
  <c r="D213" i="73"/>
  <c r="E213" i="73" s="1"/>
  <c r="D224" i="73"/>
  <c r="E224" i="73" s="1"/>
  <c r="D197" i="73"/>
  <c r="E197" i="73" s="1"/>
  <c r="D190" i="73"/>
  <c r="E190" i="73" s="1"/>
  <c r="D233" i="73"/>
  <c r="E233" i="73" s="1"/>
  <c r="D246" i="73"/>
  <c r="E246" i="73" s="1"/>
  <c r="D225" i="73"/>
  <c r="E225" i="73" s="1"/>
  <c r="D236" i="73"/>
  <c r="E236" i="73" s="1"/>
  <c r="D188" i="73"/>
  <c r="E188" i="73" s="1"/>
  <c r="D211" i="73"/>
  <c r="E211" i="73" s="1"/>
  <c r="D234" i="73"/>
  <c r="E234" i="73" s="1"/>
  <c r="D228" i="73"/>
  <c r="E228" i="73" s="1"/>
  <c r="D242" i="73"/>
  <c r="E242" i="73" s="1"/>
  <c r="D207" i="73"/>
  <c r="E207" i="73" s="1"/>
  <c r="D221" i="73"/>
  <c r="E221" i="73" s="1"/>
  <c r="D254" i="73"/>
  <c r="E254" i="73" s="1"/>
  <c r="D241" i="73"/>
  <c r="E241" i="73" s="1"/>
  <c r="D194" i="73"/>
  <c r="E194" i="73" s="1"/>
  <c r="D214" i="73"/>
  <c r="E214" i="73" s="1"/>
  <c r="D208" i="73"/>
  <c r="E208" i="73" s="1"/>
  <c r="D204" i="73"/>
  <c r="E204" i="73" s="1"/>
  <c r="D198" i="73"/>
  <c r="E198" i="73" s="1"/>
  <c r="D217" i="73"/>
  <c r="E217" i="73" s="1"/>
  <c r="D250" i="73"/>
  <c r="E250" i="73" s="1"/>
  <c r="D263" i="73"/>
  <c r="E263" i="73" s="1"/>
  <c r="D243" i="73"/>
  <c r="E243" i="73" s="1"/>
  <c r="D220" i="73"/>
  <c r="E220" i="73" s="1"/>
  <c r="D215" i="73"/>
  <c r="E215" i="73" s="1"/>
  <c r="D195" i="73"/>
  <c r="E195" i="73" s="1"/>
  <c r="D210" i="73"/>
  <c r="E210" i="73" s="1"/>
  <c r="D192" i="73"/>
  <c r="E192" i="73" s="1"/>
  <c r="D249" i="73"/>
  <c r="E249" i="73" s="1"/>
  <c r="D187" i="73"/>
  <c r="E187" i="73" s="1"/>
  <c r="D206" i="73"/>
  <c r="E206" i="73" s="1"/>
  <c r="D227" i="73"/>
  <c r="E227" i="73" s="1"/>
  <c r="D205" i="73"/>
  <c r="E205" i="73"/>
  <c r="D261" i="73"/>
  <c r="E261" i="73" s="1"/>
  <c r="D235" i="73"/>
  <c r="E235" i="73" s="1"/>
  <c r="D240" i="73"/>
  <c r="E240" i="73" s="1"/>
  <c r="D255" i="73"/>
  <c r="E255" i="73" s="1"/>
  <c r="D191" i="73"/>
  <c r="E191" i="73" s="1"/>
  <c r="D258" i="73"/>
  <c r="E258" i="73" s="1"/>
  <c r="D209" i="73"/>
  <c r="E209" i="73" s="1"/>
  <c r="D216" i="73"/>
  <c r="E216" i="73" s="1"/>
  <c r="D226" i="73"/>
  <c r="E226" i="73" s="1"/>
  <c r="D247" i="73"/>
  <c r="E247" i="73" s="1"/>
  <c r="D260" i="73"/>
  <c r="E260" i="73" s="1"/>
  <c r="D200" i="73"/>
  <c r="E200" i="73" s="1"/>
  <c r="D219" i="73"/>
  <c r="E219" i="73" s="1"/>
  <c r="D251" i="73"/>
  <c r="E251" i="73" s="1"/>
  <c r="AA3" i="73"/>
  <c r="AA2" i="73"/>
  <c r="H48" i="73"/>
  <c r="G48" i="73"/>
  <c r="E48" i="73"/>
  <c r="D48" i="73"/>
  <c r="I45" i="73"/>
  <c r="H45" i="73"/>
  <c r="G45" i="73"/>
  <c r="F45" i="73"/>
  <c r="E45" i="73"/>
  <c r="D45" i="73"/>
  <c r="C45" i="73"/>
  <c r="B45" i="73"/>
  <c r="B10" i="73"/>
  <c r="D33" i="73"/>
  <c r="D10" i="73" s="1"/>
  <c r="C10" i="73" s="1"/>
  <c r="C32" i="73"/>
  <c r="D32" i="73" s="1"/>
  <c r="B34" i="73"/>
  <c r="I28" i="73"/>
  <c r="I27" i="73"/>
  <c r="I26" i="73"/>
  <c r="I25" i="73"/>
  <c r="I24" i="73"/>
  <c r="I23" i="73"/>
  <c r="I22" i="73"/>
  <c r="I21" i="73"/>
  <c r="I20" i="73"/>
  <c r="I19" i="73"/>
  <c r="I18" i="73"/>
  <c r="I17" i="73"/>
  <c r="I16" i="73"/>
  <c r="I15" i="73"/>
  <c r="D15" i="73"/>
  <c r="E15" i="73"/>
  <c r="F15" i="73"/>
  <c r="G15" i="73"/>
  <c r="D16" i="73"/>
  <c r="E16" i="73" s="1"/>
  <c r="F16" i="73"/>
  <c r="G16" i="73"/>
  <c r="D17" i="73"/>
  <c r="E17" i="73"/>
  <c r="F17" i="73"/>
  <c r="G17" i="73"/>
  <c r="D18" i="73"/>
  <c r="E18" i="73" s="1"/>
  <c r="F18" i="73"/>
  <c r="G18" i="73"/>
  <c r="D19" i="73"/>
  <c r="E19" i="73"/>
  <c r="F19" i="73"/>
  <c r="G19" i="73"/>
  <c r="D20" i="73"/>
  <c r="E20" i="73" s="1"/>
  <c r="F20" i="73"/>
  <c r="G20" i="73"/>
  <c r="D21" i="73"/>
  <c r="E21" i="73"/>
  <c r="F21" i="73"/>
  <c r="G21" i="73"/>
  <c r="D22" i="73"/>
  <c r="E22" i="73" s="1"/>
  <c r="F22" i="73"/>
  <c r="G22" i="73"/>
  <c r="D23" i="73"/>
  <c r="E23" i="73"/>
  <c r="F23" i="73"/>
  <c r="G23" i="73"/>
  <c r="D24" i="73"/>
  <c r="E24" i="73" s="1"/>
  <c r="F24" i="73"/>
  <c r="G24" i="73"/>
  <c r="D25" i="73"/>
  <c r="E25" i="73"/>
  <c r="F25" i="73"/>
  <c r="G25" i="73"/>
  <c r="D26" i="73"/>
  <c r="E26" i="73" s="1"/>
  <c r="F26" i="73"/>
  <c r="G26" i="73"/>
  <c r="D27" i="73"/>
  <c r="E27" i="73"/>
  <c r="F27" i="73"/>
  <c r="G27" i="73"/>
  <c r="D28" i="73"/>
  <c r="E28" i="73" s="1"/>
  <c r="F28" i="73"/>
  <c r="G28" i="73"/>
  <c r="D14" i="73"/>
  <c r="E14" i="73" s="1"/>
  <c r="G14" i="73"/>
  <c r="F14" i="73"/>
  <c r="G13" i="73"/>
  <c r="F13" i="73"/>
  <c r="H10" i="73"/>
  <c r="H9" i="73"/>
  <c r="D206" i="65"/>
  <c r="E206" i="65" s="1"/>
  <c r="D208" i="65"/>
  <c r="E208" i="65" s="1"/>
  <c r="D233" i="65"/>
  <c r="E233" i="65" s="1"/>
  <c r="D236" i="65"/>
  <c r="E236" i="65" s="1"/>
  <c r="D237" i="65"/>
  <c r="E237" i="65" s="1"/>
  <c r="D204" i="65"/>
  <c r="E204" i="65" s="1"/>
  <c r="D221" i="65"/>
  <c r="E221" i="65" s="1"/>
  <c r="D193" i="65"/>
  <c r="E193" i="65" s="1"/>
  <c r="D238" i="65"/>
  <c r="E238" i="65" s="1"/>
  <c r="D231" i="65"/>
  <c r="E231" i="65" s="1"/>
  <c r="D224" i="65"/>
  <c r="E224" i="65" s="1"/>
  <c r="D263" i="65"/>
  <c r="E263" i="65" s="1"/>
  <c r="D257" i="65"/>
  <c r="E257" i="65" s="1"/>
  <c r="D228" i="65"/>
  <c r="E228" i="65" s="1"/>
  <c r="D259" i="65"/>
  <c r="E259" i="65" s="1"/>
  <c r="D264" i="65"/>
  <c r="E264" i="65" s="1"/>
  <c r="D200" i="65"/>
  <c r="E200" i="65" s="1"/>
  <c r="D227" i="65"/>
  <c r="E227" i="65" s="1"/>
  <c r="D243" i="65"/>
  <c r="E243" i="65" s="1"/>
  <c r="D223" i="65"/>
  <c r="E223" i="65" s="1"/>
  <c r="D225" i="65"/>
  <c r="E225" i="65" s="1"/>
  <c r="D260" i="65"/>
  <c r="E260" i="65" s="1"/>
  <c r="D251" i="65"/>
  <c r="E251" i="65" s="1"/>
  <c r="D192" i="65"/>
  <c r="E192" i="65" s="1"/>
  <c r="D198" i="65"/>
  <c r="E198" i="65" s="1"/>
  <c r="D199" i="65"/>
  <c r="E199" i="65" s="1"/>
  <c r="D195" i="65"/>
  <c r="E195" i="65" s="1"/>
  <c r="D240" i="65"/>
  <c r="E240" i="65" s="1"/>
  <c r="D229" i="65"/>
  <c r="E229" i="65" s="1"/>
  <c r="D258" i="65"/>
  <c r="E258" i="65" s="1"/>
  <c r="D209" i="65"/>
  <c r="E209" i="65" s="1"/>
  <c r="D191" i="65"/>
  <c r="E191" i="65" s="1"/>
  <c r="D247" i="65"/>
  <c r="E247" i="65" s="1"/>
  <c r="D248" i="65"/>
  <c r="E248" i="65" s="1"/>
  <c r="D226" i="65"/>
  <c r="E226" i="65" s="1"/>
  <c r="D232" i="65"/>
  <c r="E232" i="65" s="1"/>
  <c r="D188" i="65"/>
  <c r="E188" i="65" s="1"/>
  <c r="D230" i="65"/>
  <c r="E230" i="65" s="1"/>
  <c r="D235" i="65"/>
  <c r="E235" i="65" s="1"/>
  <c r="D234" i="65"/>
  <c r="E234" i="65" s="1"/>
  <c r="D217" i="65"/>
  <c r="E217" i="65" s="1"/>
  <c r="D189" i="65"/>
  <c r="E189" i="65" s="1"/>
  <c r="D239" i="65"/>
  <c r="E239" i="65" s="1"/>
  <c r="D250" i="65"/>
  <c r="E250" i="65" s="1"/>
  <c r="D244" i="65"/>
  <c r="E244" i="65" s="1"/>
  <c r="D194" i="65"/>
  <c r="E194" i="65" s="1"/>
  <c r="D222" i="65"/>
  <c r="E222" i="65" s="1"/>
  <c r="D214" i="65"/>
  <c r="E214" i="65" s="1"/>
  <c r="D207" i="65"/>
  <c r="E207" i="65" s="1"/>
  <c r="D197" i="65"/>
  <c r="E197" i="65" s="1"/>
  <c r="D220" i="65"/>
  <c r="E220" i="65" s="1"/>
  <c r="D253" i="65"/>
  <c r="E253" i="65" s="1"/>
  <c r="D242" i="65"/>
  <c r="E242" i="65" s="1"/>
  <c r="D246" i="65"/>
  <c r="E246" i="65" s="1"/>
  <c r="D249" i="65"/>
  <c r="E249" i="65" s="1"/>
  <c r="D215" i="65"/>
  <c r="E215" i="65" s="1"/>
  <c r="D203" i="65"/>
  <c r="E203" i="65" s="1"/>
  <c r="D213" i="65"/>
  <c r="E213" i="65" s="1"/>
  <c r="D196" i="65"/>
  <c r="E196" i="65" s="1"/>
  <c r="D241" i="65"/>
  <c r="E241" i="65" s="1"/>
  <c r="D187" i="65"/>
  <c r="E187" i="65" s="1"/>
  <c r="D212" i="65"/>
  <c r="E212" i="65" s="1"/>
  <c r="D245" i="65"/>
  <c r="E245" i="65" s="1"/>
  <c r="D210" i="65"/>
  <c r="E210" i="65" s="1"/>
  <c r="D256" i="65"/>
  <c r="E256" i="65" s="1"/>
  <c r="D201" i="65"/>
  <c r="E201" i="65" s="1"/>
  <c r="D216" i="65"/>
  <c r="E216" i="65" s="1"/>
  <c r="D254" i="65"/>
  <c r="E254" i="65" s="1"/>
  <c r="D190" i="65"/>
  <c r="E190" i="65" s="1"/>
  <c r="D261" i="65"/>
  <c r="E261" i="65" s="1"/>
  <c r="D211" i="65"/>
  <c r="E211" i="65" s="1"/>
  <c r="D219" i="65"/>
  <c r="E219" i="65" s="1"/>
  <c r="D218" i="65"/>
  <c r="E218" i="65" s="1"/>
  <c r="D252" i="65"/>
  <c r="E252" i="65" s="1"/>
  <c r="D262" i="65"/>
  <c r="E262" i="65" s="1"/>
  <c r="D202" i="65"/>
  <c r="E202" i="65" s="1"/>
  <c r="D205" i="65"/>
  <c r="E205" i="65" s="1"/>
  <c r="D255" i="65"/>
  <c r="E255" i="65" s="1"/>
  <c r="AA3" i="65"/>
  <c r="AA2" i="65"/>
  <c r="H48" i="65"/>
  <c r="G48" i="65"/>
  <c r="E48" i="65"/>
  <c r="D48" i="65"/>
  <c r="I45" i="65"/>
  <c r="H45" i="65"/>
  <c r="G45" i="65"/>
  <c r="F45" i="65"/>
  <c r="E45" i="65"/>
  <c r="D45" i="65"/>
  <c r="C45" i="65"/>
  <c r="B45" i="65"/>
  <c r="B10" i="65"/>
  <c r="D33" i="65"/>
  <c r="D10" i="65" s="1"/>
  <c r="C10" i="65" s="1"/>
  <c r="C32" i="65"/>
  <c r="D32" i="65" s="1"/>
  <c r="B34" i="65"/>
  <c r="I28" i="65"/>
  <c r="I27" i="65"/>
  <c r="I26" i="65"/>
  <c r="I25" i="65"/>
  <c r="I24" i="65"/>
  <c r="I23" i="65"/>
  <c r="I22" i="65"/>
  <c r="I21" i="65"/>
  <c r="I20" i="65"/>
  <c r="I19" i="65"/>
  <c r="I18" i="65"/>
  <c r="I17" i="65"/>
  <c r="I16" i="65"/>
  <c r="I15" i="65"/>
  <c r="D15" i="65"/>
  <c r="E15" i="65" s="1"/>
  <c r="F15" i="65"/>
  <c r="G15" i="65"/>
  <c r="D16" i="65"/>
  <c r="E16" i="65" s="1"/>
  <c r="F16" i="65"/>
  <c r="G16" i="65"/>
  <c r="D17" i="65"/>
  <c r="E17" i="65" s="1"/>
  <c r="F17" i="65"/>
  <c r="G17" i="65"/>
  <c r="D18" i="65"/>
  <c r="E18" i="65" s="1"/>
  <c r="F18" i="65"/>
  <c r="G18" i="65"/>
  <c r="D19" i="65"/>
  <c r="E19" i="65" s="1"/>
  <c r="F19" i="65"/>
  <c r="G19" i="65"/>
  <c r="D20" i="65"/>
  <c r="E20" i="65" s="1"/>
  <c r="F20" i="65"/>
  <c r="G20" i="65"/>
  <c r="D21" i="65"/>
  <c r="E21" i="65" s="1"/>
  <c r="F21" i="65"/>
  <c r="G21" i="65"/>
  <c r="D22" i="65"/>
  <c r="E22" i="65" s="1"/>
  <c r="F22" i="65"/>
  <c r="G22" i="65"/>
  <c r="D23" i="65"/>
  <c r="E23" i="65" s="1"/>
  <c r="F23" i="65"/>
  <c r="G23" i="65"/>
  <c r="D24" i="65"/>
  <c r="E24" i="65" s="1"/>
  <c r="F24" i="65"/>
  <c r="G24" i="65"/>
  <c r="D25" i="65"/>
  <c r="E25" i="65" s="1"/>
  <c r="F25" i="65"/>
  <c r="G25" i="65"/>
  <c r="D26" i="65"/>
  <c r="E26" i="65" s="1"/>
  <c r="F26" i="65"/>
  <c r="G26" i="65"/>
  <c r="D27" i="65"/>
  <c r="E27" i="65" s="1"/>
  <c r="F27" i="65"/>
  <c r="G27" i="65"/>
  <c r="D28" i="65"/>
  <c r="E28" i="65" s="1"/>
  <c r="F28" i="65"/>
  <c r="G28" i="65"/>
  <c r="D14" i="65"/>
  <c r="E14" i="65" s="1"/>
  <c r="G14" i="65"/>
  <c r="F14" i="65"/>
  <c r="G13" i="65"/>
  <c r="F13" i="65"/>
  <c r="H10" i="65"/>
  <c r="H9" i="65"/>
  <c r="D241" i="57"/>
  <c r="E241" i="57" s="1"/>
  <c r="D200" i="57"/>
  <c r="E200" i="57" s="1"/>
  <c r="D202" i="57"/>
  <c r="E202" i="57" s="1"/>
  <c r="D207" i="57"/>
  <c r="E207" i="57" s="1"/>
  <c r="D220" i="57"/>
  <c r="E220" i="57" s="1"/>
  <c r="D239" i="57"/>
  <c r="E239" i="57" s="1"/>
  <c r="D248" i="57"/>
  <c r="E248" i="57" s="1"/>
  <c r="D209" i="57"/>
  <c r="E209" i="57" s="1"/>
  <c r="D252" i="57"/>
  <c r="E252" i="57" s="1"/>
  <c r="D232" i="57"/>
  <c r="E232" i="57" s="1"/>
  <c r="D205" i="57"/>
  <c r="E205" i="57" s="1"/>
  <c r="D244" i="57"/>
  <c r="E244" i="57" s="1"/>
  <c r="D231" i="57"/>
  <c r="E231" i="57" s="1"/>
  <c r="D243" i="57"/>
  <c r="E243" i="57" s="1"/>
  <c r="D250" i="57"/>
  <c r="E250" i="57" s="1"/>
  <c r="D242" i="57"/>
  <c r="E242" i="57" s="1"/>
  <c r="D218" i="57"/>
  <c r="E218" i="57" s="1"/>
  <c r="D230" i="57"/>
  <c r="E230" i="57" s="1"/>
  <c r="D216" i="57"/>
  <c r="E216" i="57" s="1"/>
  <c r="D237" i="57"/>
  <c r="E237" i="57" s="1"/>
  <c r="D238" i="57"/>
  <c r="E238" i="57" s="1"/>
  <c r="D203" i="57"/>
  <c r="E203" i="57" s="1"/>
  <c r="D261" i="57"/>
  <c r="E261" i="57" s="1"/>
  <c r="D191" i="57"/>
  <c r="E191" i="57" s="1"/>
  <c r="D233" i="57"/>
  <c r="E233" i="57" s="1"/>
  <c r="D257" i="57"/>
  <c r="E257" i="57" s="1"/>
  <c r="D221" i="57"/>
  <c r="E221" i="57" s="1"/>
  <c r="D255" i="57"/>
  <c r="E255" i="57" s="1"/>
  <c r="D227" i="57"/>
  <c r="E227" i="57" s="1"/>
  <c r="D208" i="57"/>
  <c r="E208" i="57" s="1"/>
  <c r="D234" i="57"/>
  <c r="E234" i="57" s="1"/>
  <c r="D210" i="57"/>
  <c r="E210" i="57" s="1"/>
  <c r="D259" i="57"/>
  <c r="E259" i="57" s="1"/>
  <c r="D225" i="57"/>
  <c r="E225" i="57" s="1"/>
  <c r="D217" i="57"/>
  <c r="E217" i="57" s="1"/>
  <c r="D188" i="57"/>
  <c r="E188" i="57" s="1"/>
  <c r="D251" i="57"/>
  <c r="E251" i="57" s="1"/>
  <c r="D245" i="57"/>
  <c r="E245" i="57" s="1"/>
  <c r="D260" i="57"/>
  <c r="E260" i="57" s="1"/>
  <c r="D198" i="57"/>
  <c r="E198" i="57" s="1"/>
  <c r="D246" i="57"/>
  <c r="E246" i="57" s="1"/>
  <c r="D197" i="57"/>
  <c r="E197" i="57" s="1"/>
  <c r="D211" i="57"/>
  <c r="E211" i="57" s="1"/>
  <c r="D222" i="57"/>
  <c r="E222" i="57" s="1"/>
  <c r="D228" i="57"/>
  <c r="E228" i="57" s="1"/>
  <c r="D190" i="57"/>
  <c r="E190" i="57" s="1"/>
  <c r="D262" i="57"/>
  <c r="E262" i="57" s="1"/>
  <c r="D187" i="57"/>
  <c r="E187" i="57" s="1"/>
  <c r="D189" i="57"/>
  <c r="E189" i="57" s="1"/>
  <c r="D201" i="57"/>
  <c r="E201" i="57" s="1"/>
  <c r="D240" i="57"/>
  <c r="E240" i="57" s="1"/>
  <c r="D263" i="57"/>
  <c r="E263" i="57" s="1"/>
  <c r="D224" i="57"/>
  <c r="E224" i="57" s="1"/>
  <c r="D206" i="57"/>
  <c r="E206" i="57" s="1"/>
  <c r="D253" i="57"/>
  <c r="E253" i="57" s="1"/>
  <c r="D235" i="57"/>
  <c r="E235" i="57" s="1"/>
  <c r="D229" i="57"/>
  <c r="E229" i="57" s="1"/>
  <c r="D226" i="57"/>
  <c r="E226" i="57" s="1"/>
  <c r="D213" i="57"/>
  <c r="E213" i="57" s="1"/>
  <c r="D194" i="57"/>
  <c r="E194" i="57" s="1"/>
  <c r="D258" i="57"/>
  <c r="E258" i="57" s="1"/>
  <c r="D236" i="57"/>
  <c r="E236" i="57" s="1"/>
  <c r="D223" i="57"/>
  <c r="E223" i="57" s="1"/>
  <c r="D192" i="57"/>
  <c r="E192" i="57" s="1"/>
  <c r="D199" i="57"/>
  <c r="E199" i="57" s="1"/>
  <c r="D196" i="57"/>
  <c r="E196" i="57" s="1"/>
  <c r="D247" i="57"/>
  <c r="E247" i="57" s="1"/>
  <c r="D249" i="57"/>
  <c r="E249" i="57" s="1"/>
  <c r="D214" i="57"/>
  <c r="E214" i="57" s="1"/>
  <c r="D215" i="57"/>
  <c r="E215" i="57" s="1"/>
  <c r="D204" i="57"/>
  <c r="E204" i="57" s="1"/>
  <c r="D256" i="57"/>
  <c r="E256" i="57" s="1"/>
  <c r="D195" i="57"/>
  <c r="E195" i="57" s="1"/>
  <c r="D254" i="57"/>
  <c r="E254" i="57" s="1"/>
  <c r="D193" i="57"/>
  <c r="E193" i="57" s="1"/>
  <c r="D212" i="57"/>
  <c r="E212" i="57" s="1"/>
  <c r="D219" i="57"/>
  <c r="E219" i="57" s="1"/>
  <c r="AA3" i="57"/>
  <c r="AA2" i="57"/>
  <c r="H48" i="57"/>
  <c r="G48" i="57"/>
  <c r="E48" i="57"/>
  <c r="D48" i="57"/>
  <c r="I45" i="57"/>
  <c r="H45" i="57"/>
  <c r="G45" i="57"/>
  <c r="F45" i="57"/>
  <c r="E45" i="57"/>
  <c r="D45" i="57"/>
  <c r="C45" i="57"/>
  <c r="B45" i="57"/>
  <c r="B10" i="57"/>
  <c r="D33" i="57"/>
  <c r="D10" i="57" s="1"/>
  <c r="C10" i="57" s="1"/>
  <c r="C32" i="57"/>
  <c r="D32" i="57" s="1"/>
  <c r="B34" i="57"/>
  <c r="I28" i="57"/>
  <c r="I27" i="57"/>
  <c r="I26" i="57"/>
  <c r="I25" i="57"/>
  <c r="I24" i="57"/>
  <c r="I23" i="57"/>
  <c r="I22" i="57"/>
  <c r="I21" i="57"/>
  <c r="I20" i="57"/>
  <c r="I19" i="57"/>
  <c r="I18" i="57"/>
  <c r="I17" i="57"/>
  <c r="I16" i="57"/>
  <c r="I15" i="57"/>
  <c r="D15" i="57"/>
  <c r="E15" i="57" s="1"/>
  <c r="F15" i="57"/>
  <c r="G15" i="57"/>
  <c r="D16" i="57"/>
  <c r="E16" i="57" s="1"/>
  <c r="F16" i="57"/>
  <c r="G16" i="57"/>
  <c r="D17" i="57"/>
  <c r="E17" i="57" s="1"/>
  <c r="F17" i="57"/>
  <c r="G17" i="57"/>
  <c r="D18" i="57"/>
  <c r="E18" i="57" s="1"/>
  <c r="F18" i="57"/>
  <c r="G18" i="57"/>
  <c r="D19" i="57"/>
  <c r="E19" i="57" s="1"/>
  <c r="F19" i="57"/>
  <c r="G19" i="57"/>
  <c r="D20" i="57"/>
  <c r="E20" i="57" s="1"/>
  <c r="F20" i="57"/>
  <c r="G20" i="57"/>
  <c r="D21" i="57"/>
  <c r="E21" i="57" s="1"/>
  <c r="F21" i="57"/>
  <c r="G21" i="57"/>
  <c r="D22" i="57"/>
  <c r="E22" i="57" s="1"/>
  <c r="F22" i="57"/>
  <c r="G22" i="57"/>
  <c r="D23" i="57"/>
  <c r="E23" i="57" s="1"/>
  <c r="F23" i="57"/>
  <c r="G23" i="57"/>
  <c r="D24" i="57"/>
  <c r="E24" i="57" s="1"/>
  <c r="F24" i="57"/>
  <c r="G24" i="57"/>
  <c r="D25" i="57"/>
  <c r="E25" i="57" s="1"/>
  <c r="F25" i="57"/>
  <c r="G25" i="57"/>
  <c r="D26" i="57"/>
  <c r="E26" i="57" s="1"/>
  <c r="F26" i="57"/>
  <c r="G26" i="57"/>
  <c r="D27" i="57"/>
  <c r="E27" i="57" s="1"/>
  <c r="F27" i="57"/>
  <c r="G27" i="57"/>
  <c r="D28" i="57"/>
  <c r="E28" i="57" s="1"/>
  <c r="F28" i="57"/>
  <c r="G28" i="57"/>
  <c r="D14" i="57"/>
  <c r="E14" i="57" s="1"/>
  <c r="G14" i="57"/>
  <c r="F14" i="57"/>
  <c r="G13" i="57"/>
  <c r="F13" i="57"/>
  <c r="H10" i="57"/>
  <c r="G49" i="57" s="1"/>
  <c r="H9" i="57"/>
  <c r="D205" i="49"/>
  <c r="E205" i="49" s="1"/>
  <c r="D186" i="49"/>
  <c r="E186" i="49" s="1"/>
  <c r="D231" i="49"/>
  <c r="E231" i="49" s="1"/>
  <c r="D215" i="49"/>
  <c r="E215" i="49" s="1"/>
  <c r="D213" i="49"/>
  <c r="E213" i="49" s="1"/>
  <c r="D235" i="49"/>
  <c r="E235" i="49" s="1"/>
  <c r="D247" i="49"/>
  <c r="E247" i="49" s="1"/>
  <c r="D198" i="49"/>
  <c r="E198" i="49" s="1"/>
  <c r="D195" i="49"/>
  <c r="E195" i="49" s="1"/>
  <c r="D223" i="49"/>
  <c r="E223" i="49" s="1"/>
  <c r="D180" i="49"/>
  <c r="E180" i="49" s="1"/>
  <c r="D249" i="49"/>
  <c r="E249" i="49" s="1"/>
  <c r="D194" i="49"/>
  <c r="E194" i="49" s="1"/>
  <c r="D233" i="49"/>
  <c r="E233" i="49" s="1"/>
  <c r="D224" i="49"/>
  <c r="E224" i="49" s="1"/>
  <c r="D237" i="49"/>
  <c r="E237" i="49" s="1"/>
  <c r="D212" i="49"/>
  <c r="E212" i="49" s="1"/>
  <c r="D202" i="49"/>
  <c r="E202" i="49" s="1"/>
  <c r="D232" i="49"/>
  <c r="E232" i="49" s="1"/>
  <c r="D214" i="49"/>
  <c r="E214" i="49" s="1"/>
  <c r="D218" i="49"/>
  <c r="E218" i="49" s="1"/>
  <c r="D244" i="49"/>
  <c r="E244" i="49" s="1"/>
  <c r="D199" i="49"/>
  <c r="E199" i="49" s="1"/>
  <c r="D188" i="49"/>
  <c r="E188" i="49" s="1"/>
  <c r="D203" i="49"/>
  <c r="E203" i="49" s="1"/>
  <c r="D222" i="49"/>
  <c r="E222" i="49" s="1"/>
  <c r="D200" i="49"/>
  <c r="E200" i="49" s="1"/>
  <c r="D243" i="49"/>
  <c r="E243" i="49" s="1"/>
  <c r="D221" i="49"/>
  <c r="E221" i="49" s="1"/>
  <c r="D193" i="49"/>
  <c r="E193" i="49"/>
  <c r="D225" i="49"/>
  <c r="E225" i="49" s="1"/>
  <c r="D240" i="49"/>
  <c r="E240" i="49" s="1"/>
  <c r="D197" i="49"/>
  <c r="E197" i="49" s="1"/>
  <c r="D192" i="49"/>
  <c r="E192" i="49" s="1"/>
  <c r="D207" i="49"/>
  <c r="E207" i="49" s="1"/>
  <c r="D176" i="49"/>
  <c r="E176" i="49" s="1"/>
  <c r="D209" i="49"/>
  <c r="E209" i="49" s="1"/>
  <c r="D245" i="49"/>
  <c r="E245" i="49" s="1"/>
  <c r="D227" i="49"/>
  <c r="E227" i="49" s="1"/>
  <c r="D201" i="49"/>
  <c r="E201" i="49" s="1"/>
  <c r="D248" i="49"/>
  <c r="E248" i="49" s="1"/>
  <c r="D183" i="49"/>
  <c r="E183" i="49" s="1"/>
  <c r="D210" i="49"/>
  <c r="E210" i="49" s="1"/>
  <c r="D251" i="49"/>
  <c r="E251" i="49" s="1"/>
  <c r="D187" i="49"/>
  <c r="E187" i="49" s="1"/>
  <c r="D177" i="49"/>
  <c r="E177" i="49" s="1"/>
  <c r="D191" i="49"/>
  <c r="E191" i="49" s="1"/>
  <c r="D178" i="49"/>
  <c r="E178" i="49" s="1"/>
  <c r="D185" i="49"/>
  <c r="E185" i="49" s="1"/>
  <c r="D239" i="49"/>
  <c r="E239" i="49" s="1"/>
  <c r="D211" i="49"/>
  <c r="E211" i="49" s="1"/>
  <c r="D241" i="49"/>
  <c r="E241" i="49" s="1"/>
  <c r="D220" i="49"/>
  <c r="E220" i="49" s="1"/>
  <c r="D242" i="49"/>
  <c r="E242" i="49" s="1"/>
  <c r="D246" i="49"/>
  <c r="E246" i="49" s="1"/>
  <c r="D208" i="49"/>
  <c r="E208" i="49" s="1"/>
  <c r="D190" i="49"/>
  <c r="E190" i="49" s="1"/>
  <c r="D238" i="49"/>
  <c r="E238" i="49" s="1"/>
  <c r="D181" i="49"/>
  <c r="E181" i="49" s="1"/>
  <c r="D182" i="49"/>
  <c r="E182" i="49" s="1"/>
  <c r="D216" i="49"/>
  <c r="E216" i="49" s="1"/>
  <c r="D196" i="49"/>
  <c r="E196" i="49" s="1"/>
  <c r="D204" i="49"/>
  <c r="E204" i="49" s="1"/>
  <c r="D184" i="49"/>
  <c r="E184" i="49" s="1"/>
  <c r="D206" i="49"/>
  <c r="E206" i="49" s="1"/>
  <c r="D217" i="49"/>
  <c r="E217" i="49" s="1"/>
  <c r="D252" i="49"/>
  <c r="E252" i="49" s="1"/>
  <c r="D234" i="49"/>
  <c r="E234" i="49" s="1"/>
  <c r="D229" i="49"/>
  <c r="E229" i="49" s="1"/>
  <c r="D250" i="49"/>
  <c r="E250" i="49" s="1"/>
  <c r="D226" i="49"/>
  <c r="E226" i="49" s="1"/>
  <c r="D236" i="49"/>
  <c r="E236" i="49" s="1"/>
  <c r="D179" i="49"/>
  <c r="E179" i="49" s="1"/>
  <c r="D230" i="49"/>
  <c r="E230" i="49" s="1"/>
  <c r="D189" i="49"/>
  <c r="E189" i="49" s="1"/>
  <c r="D228" i="49"/>
  <c r="E228" i="49" s="1"/>
  <c r="D219" i="49"/>
  <c r="E219" i="49" s="1"/>
  <c r="AA3" i="49"/>
  <c r="AA2" i="49"/>
  <c r="H37" i="49"/>
  <c r="G37" i="49"/>
  <c r="E37" i="49"/>
  <c r="D37" i="49"/>
  <c r="I34" i="49"/>
  <c r="H34" i="49"/>
  <c r="G34" i="49"/>
  <c r="F34" i="49"/>
  <c r="E34" i="49"/>
  <c r="D34" i="49"/>
  <c r="C34" i="49"/>
  <c r="B34" i="49"/>
  <c r="B10" i="49"/>
  <c r="D22" i="49"/>
  <c r="D10" i="49" s="1"/>
  <c r="C10" i="49" s="1"/>
  <c r="C21" i="49"/>
  <c r="D21" i="49" s="1"/>
  <c r="B23" i="49"/>
  <c r="I17" i="49"/>
  <c r="I16" i="49"/>
  <c r="I15" i="49"/>
  <c r="D15" i="49"/>
  <c r="E15" i="49" s="1"/>
  <c r="F15" i="49"/>
  <c r="G15" i="49"/>
  <c r="D16" i="49"/>
  <c r="E16" i="49" s="1"/>
  <c r="F16" i="49"/>
  <c r="G16" i="49"/>
  <c r="D17" i="49"/>
  <c r="E17" i="49" s="1"/>
  <c r="F17" i="49"/>
  <c r="G17" i="49"/>
  <c r="D14" i="49"/>
  <c r="E14" i="49" s="1"/>
  <c r="G14" i="49"/>
  <c r="F14" i="49"/>
  <c r="G13" i="49"/>
  <c r="F13" i="49"/>
  <c r="H10" i="49"/>
  <c r="H38" i="49" s="1"/>
  <c r="H9" i="49"/>
  <c r="D245" i="41"/>
  <c r="E245" i="41" s="1"/>
  <c r="D243" i="41"/>
  <c r="E243" i="41" s="1"/>
  <c r="D231" i="41"/>
  <c r="E231" i="41" s="1"/>
  <c r="D212" i="41"/>
  <c r="E212" i="41" s="1"/>
  <c r="D249" i="41"/>
  <c r="E249" i="41" s="1"/>
  <c r="D232" i="41"/>
  <c r="E232" i="41" s="1"/>
  <c r="D226" i="41"/>
  <c r="E226" i="41" s="1"/>
  <c r="D194" i="41"/>
  <c r="E194" i="41" s="1"/>
  <c r="D240" i="41"/>
  <c r="E240" i="41" s="1"/>
  <c r="D186" i="41"/>
  <c r="E186" i="41" s="1"/>
  <c r="D211" i="41"/>
  <c r="E211" i="41" s="1"/>
  <c r="D184" i="41"/>
  <c r="E184" i="41" s="1"/>
  <c r="D189" i="41"/>
  <c r="E189" i="41" s="1"/>
  <c r="D205" i="41"/>
  <c r="E205" i="41" s="1"/>
  <c r="D213" i="41"/>
  <c r="E213" i="41" s="1"/>
  <c r="D224" i="41"/>
  <c r="E224" i="41" s="1"/>
  <c r="D248" i="41"/>
  <c r="E248" i="41" s="1"/>
  <c r="D238" i="41"/>
  <c r="E238" i="41" s="1"/>
  <c r="D237" i="41"/>
  <c r="E237" i="41" s="1"/>
  <c r="D201" i="41"/>
  <c r="E201" i="41" s="1"/>
  <c r="D241" i="41"/>
  <c r="E241" i="41" s="1"/>
  <c r="D198" i="41"/>
  <c r="E198" i="41" s="1"/>
  <c r="D182" i="41"/>
  <c r="E182" i="41" s="1"/>
  <c r="D223" i="41"/>
  <c r="E223" i="41" s="1"/>
  <c r="D234" i="41"/>
  <c r="E234" i="41" s="1"/>
  <c r="D216" i="41"/>
  <c r="E216" i="41" s="1"/>
  <c r="D193" i="41"/>
  <c r="E193" i="41" s="1"/>
  <c r="D235" i="41"/>
  <c r="E235" i="41" s="1"/>
  <c r="D246" i="41"/>
  <c r="E246" i="41" s="1"/>
  <c r="D229" i="41"/>
  <c r="E229" i="41" s="1"/>
  <c r="D204" i="41"/>
  <c r="E204" i="41" s="1"/>
  <c r="D236" i="41"/>
  <c r="E236" i="41" s="1"/>
  <c r="D251" i="41"/>
  <c r="E251" i="41" s="1"/>
  <c r="D179" i="41"/>
  <c r="E179" i="41" s="1"/>
  <c r="D188" i="41"/>
  <c r="E188" i="41" s="1"/>
  <c r="D187" i="41"/>
  <c r="E187" i="41" s="1"/>
  <c r="D233" i="41"/>
  <c r="E233" i="41" s="1"/>
  <c r="D217" i="41"/>
  <c r="E217" i="41" s="1"/>
  <c r="D202" i="41"/>
  <c r="E202" i="41" s="1"/>
  <c r="D230" i="41"/>
  <c r="E230" i="41" s="1"/>
  <c r="D225" i="41"/>
  <c r="E225" i="41" s="1"/>
  <c r="D210" i="41"/>
  <c r="E210" i="41" s="1"/>
  <c r="D196" i="41"/>
  <c r="E196" i="41" s="1"/>
  <c r="D227" i="41"/>
  <c r="E227" i="41" s="1"/>
  <c r="D228" i="41"/>
  <c r="E228" i="41" s="1"/>
  <c r="D177" i="41"/>
  <c r="E177" i="41" s="1"/>
  <c r="D181" i="41"/>
  <c r="E181" i="41" s="1"/>
  <c r="D178" i="41"/>
  <c r="E178" i="41" s="1"/>
  <c r="D183" i="41"/>
  <c r="E183" i="41" s="1"/>
  <c r="D218" i="41"/>
  <c r="E218" i="41" s="1"/>
  <c r="D192" i="41"/>
  <c r="E192" i="41" s="1"/>
  <c r="D250" i="41"/>
  <c r="E250" i="41" s="1"/>
  <c r="D247" i="41"/>
  <c r="E247" i="41" s="1"/>
  <c r="D219" i="41"/>
  <c r="E219" i="41" s="1"/>
  <c r="D220" i="41"/>
  <c r="E220" i="41" s="1"/>
  <c r="D199" i="41"/>
  <c r="E199" i="41" s="1"/>
  <c r="D221" i="41"/>
  <c r="E221" i="41" s="1"/>
  <c r="D197" i="41"/>
  <c r="E197" i="41" s="1"/>
  <c r="D180" i="41"/>
  <c r="E180" i="41" s="1"/>
  <c r="D175" i="41"/>
  <c r="E175" i="41" s="1"/>
  <c r="D244" i="41"/>
  <c r="E244" i="41" s="1"/>
  <c r="D239" i="41"/>
  <c r="E239" i="41" s="1"/>
  <c r="D191" i="41"/>
  <c r="E191" i="41" s="1"/>
  <c r="D185" i="41"/>
  <c r="E185" i="41" s="1"/>
  <c r="D195" i="41"/>
  <c r="E195" i="41" s="1"/>
  <c r="D200" i="41"/>
  <c r="E200" i="41" s="1"/>
  <c r="D222" i="41"/>
  <c r="E222" i="41" s="1"/>
  <c r="D215" i="41"/>
  <c r="E215" i="41" s="1"/>
  <c r="D242" i="41"/>
  <c r="E242" i="41" s="1"/>
  <c r="D208" i="41"/>
  <c r="E208" i="41" s="1"/>
  <c r="D209" i="41"/>
  <c r="E209" i="41" s="1"/>
  <c r="D203" i="41"/>
  <c r="E203" i="41" s="1"/>
  <c r="D176" i="41"/>
  <c r="E176" i="41" s="1"/>
  <c r="D207" i="41"/>
  <c r="E207" i="41" s="1"/>
  <c r="D214" i="41"/>
  <c r="E214" i="41" s="1"/>
  <c r="D206" i="41"/>
  <c r="E206" i="41" s="1"/>
  <c r="D190" i="41"/>
  <c r="E190" i="41" s="1"/>
  <c r="AA3" i="41"/>
  <c r="AA2" i="41"/>
  <c r="H36" i="41"/>
  <c r="G36" i="41"/>
  <c r="E36" i="41"/>
  <c r="D36" i="41"/>
  <c r="I33" i="41"/>
  <c r="H33" i="41"/>
  <c r="G33" i="41"/>
  <c r="F33" i="41"/>
  <c r="E33" i="41"/>
  <c r="D33" i="41"/>
  <c r="C33" i="41"/>
  <c r="B33" i="41"/>
  <c r="B10" i="41"/>
  <c r="D21" i="41"/>
  <c r="D10" i="41" s="1"/>
  <c r="C10" i="41" s="1"/>
  <c r="C20" i="41"/>
  <c r="D20" i="41" s="1"/>
  <c r="B22" i="41"/>
  <c r="I16" i="41"/>
  <c r="I15" i="41"/>
  <c r="D15" i="41"/>
  <c r="E15" i="41" s="1"/>
  <c r="F15" i="41"/>
  <c r="G15" i="41"/>
  <c r="D16" i="41"/>
  <c r="E16" i="41" s="1"/>
  <c r="F16" i="41"/>
  <c r="G16" i="41"/>
  <c r="D14" i="41"/>
  <c r="E14" i="41" s="1"/>
  <c r="G14" i="41"/>
  <c r="F14" i="41"/>
  <c r="G13" i="41"/>
  <c r="F13" i="41"/>
  <c r="H10" i="41"/>
  <c r="H37" i="41" s="1"/>
  <c r="H9" i="41"/>
  <c r="D264" i="33"/>
  <c r="E264" i="33" s="1"/>
  <c r="D213" i="33"/>
  <c r="E213" i="33" s="1"/>
  <c r="D230" i="33"/>
  <c r="E230" i="33" s="1"/>
  <c r="D219" i="33"/>
  <c r="E219" i="33" s="1"/>
  <c r="D259" i="33"/>
  <c r="E259" i="33" s="1"/>
  <c r="D260" i="33"/>
  <c r="E260" i="33" s="1"/>
  <c r="D294" i="33"/>
  <c r="E294" i="33" s="1"/>
  <c r="D324" i="33"/>
  <c r="E324" i="33" s="1"/>
  <c r="D195" i="33"/>
  <c r="E195" i="33" s="1"/>
  <c r="D217" i="33"/>
  <c r="E217" i="33" s="1"/>
  <c r="D178" i="33"/>
  <c r="E178" i="33" s="1"/>
  <c r="D252" i="33"/>
  <c r="E252" i="33" s="1"/>
  <c r="D275" i="33"/>
  <c r="E275" i="33" s="1"/>
  <c r="D292" i="33"/>
  <c r="E292" i="33" s="1"/>
  <c r="D237" i="33"/>
  <c r="E237" i="33" s="1"/>
  <c r="D288" i="33"/>
  <c r="E288" i="33" s="1"/>
  <c r="D223" i="33"/>
  <c r="E223" i="33" s="1"/>
  <c r="D303" i="33"/>
  <c r="E303" i="33" s="1"/>
  <c r="D327" i="33"/>
  <c r="E327" i="33" s="1"/>
  <c r="D277" i="33"/>
  <c r="E277" i="33" s="1"/>
  <c r="D229" i="33"/>
  <c r="E229" i="33" s="1"/>
  <c r="D176" i="33"/>
  <c r="E176" i="33" s="1"/>
  <c r="D188" i="33"/>
  <c r="E188" i="33" s="1"/>
  <c r="D224" i="33"/>
  <c r="E224" i="33" s="1"/>
  <c r="D207" i="33"/>
  <c r="E207" i="33" s="1"/>
  <c r="D209" i="33"/>
  <c r="E209" i="33" s="1"/>
  <c r="D287" i="33"/>
  <c r="E287" i="33" s="1"/>
  <c r="D248" i="33"/>
  <c r="E248" i="33" s="1"/>
  <c r="D290" i="33"/>
  <c r="E290" i="33" s="1"/>
  <c r="D321" i="33"/>
  <c r="E321" i="33" s="1"/>
  <c r="D337" i="33"/>
  <c r="E337" i="33" s="1"/>
  <c r="D326" i="33"/>
  <c r="E326" i="33" s="1"/>
  <c r="D297" i="33"/>
  <c r="E297" i="33" s="1"/>
  <c r="D346" i="33"/>
  <c r="E346" i="33" s="1"/>
  <c r="D181" i="33"/>
  <c r="E181" i="33" s="1"/>
  <c r="D238" i="33"/>
  <c r="E238" i="33" s="1"/>
  <c r="D243" i="33"/>
  <c r="E243" i="33" s="1"/>
  <c r="D204" i="33"/>
  <c r="E204" i="33" s="1"/>
  <c r="D251" i="33"/>
  <c r="E251" i="33" s="1"/>
  <c r="D235" i="33"/>
  <c r="E235" i="33" s="1"/>
  <c r="D231" i="33"/>
  <c r="E231" i="33" s="1"/>
  <c r="D247" i="33"/>
  <c r="E247" i="33" s="1"/>
  <c r="D232" i="33"/>
  <c r="E232" i="33" s="1"/>
  <c r="D249" i="33"/>
  <c r="E249" i="33"/>
  <c r="D280" i="33"/>
  <c r="E280" i="33" s="1"/>
  <c r="D185" i="33"/>
  <c r="E185" i="33" s="1"/>
  <c r="D182" i="33"/>
  <c r="E182" i="33" s="1"/>
  <c r="D198" i="33"/>
  <c r="E198" i="33" s="1"/>
  <c r="D190" i="33"/>
  <c r="E190" i="33" s="1"/>
  <c r="D228" i="33"/>
  <c r="E228" i="33" s="1"/>
  <c r="D205" i="33"/>
  <c r="E205" i="33" s="1"/>
  <c r="D276" i="33"/>
  <c r="E276" i="33" s="1"/>
  <c r="D244" i="33"/>
  <c r="E244" i="33" s="1"/>
  <c r="D272" i="33"/>
  <c r="E272" i="33" s="1"/>
  <c r="D291" i="33"/>
  <c r="E291" i="33" s="1"/>
  <c r="D262" i="33"/>
  <c r="E262" i="33" s="1"/>
  <c r="D240" i="33"/>
  <c r="E240" i="33" s="1"/>
  <c r="D180" i="33"/>
  <c r="E180" i="33" s="1"/>
  <c r="D187" i="33"/>
  <c r="E187" i="33" s="1"/>
  <c r="D183" i="33"/>
  <c r="E183" i="33" s="1"/>
  <c r="D329" i="33"/>
  <c r="E329" i="33" s="1"/>
  <c r="D222" i="33"/>
  <c r="E222" i="33" s="1"/>
  <c r="D202" i="33"/>
  <c r="E202" i="33" s="1"/>
  <c r="D304" i="33"/>
  <c r="E304" i="33" s="1"/>
  <c r="D233" i="33"/>
  <c r="E233" i="33" s="1"/>
  <c r="D253" i="33"/>
  <c r="E253" i="33" s="1"/>
  <c r="D289" i="33"/>
  <c r="E289" i="33" s="1"/>
  <c r="D269" i="33"/>
  <c r="E269" i="33" s="1"/>
  <c r="D214" i="33"/>
  <c r="E214" i="33" s="1"/>
  <c r="D191" i="33"/>
  <c r="E191" i="33" s="1"/>
  <c r="D208" i="33"/>
  <c r="E208" i="33" s="1"/>
  <c r="D345" i="33"/>
  <c r="E345" i="33" s="1"/>
  <c r="D263" i="33"/>
  <c r="E263" i="33" s="1"/>
  <c r="D186" i="33"/>
  <c r="E186" i="33" s="1"/>
  <c r="D341" i="33"/>
  <c r="E341" i="33" s="1"/>
  <c r="D270" i="33"/>
  <c r="E270" i="33" s="1"/>
  <c r="D281" i="33"/>
  <c r="E281" i="33" s="1"/>
  <c r="D318" i="33"/>
  <c r="E318" i="33" s="1"/>
  <c r="D331" i="33"/>
  <c r="E331" i="33" s="1"/>
  <c r="D313" i="33"/>
  <c r="E313" i="33" s="1"/>
  <c r="D266" i="33"/>
  <c r="E266" i="33" s="1"/>
  <c r="D179" i="33"/>
  <c r="E179" i="33"/>
  <c r="D206" i="33"/>
  <c r="E206" i="33" s="1"/>
  <c r="D301" i="33"/>
  <c r="E301" i="33" s="1"/>
  <c r="D305" i="33"/>
  <c r="E305" i="33" s="1"/>
  <c r="D261" i="33"/>
  <c r="E261" i="33" s="1"/>
  <c r="D241" i="33"/>
  <c r="E241" i="33" s="1"/>
  <c r="D347" i="33"/>
  <c r="E347" i="33" s="1"/>
  <c r="D342" i="33"/>
  <c r="E342" i="33" s="1"/>
  <c r="D309" i="33"/>
  <c r="E309" i="33" s="1"/>
  <c r="D340" i="33"/>
  <c r="E340" i="33" s="1"/>
  <c r="D212" i="33"/>
  <c r="E212" i="33" s="1"/>
  <c r="D194" i="33"/>
  <c r="E194" i="33" s="1"/>
  <c r="D199" i="33"/>
  <c r="E199" i="33" s="1"/>
  <c r="D274" i="33"/>
  <c r="E274" i="33" s="1"/>
  <c r="D197" i="33"/>
  <c r="E197" i="33" s="1"/>
  <c r="D306" i="33"/>
  <c r="E306" i="33" s="1"/>
  <c r="D312" i="33"/>
  <c r="E312" i="33" s="1"/>
  <c r="D271" i="33"/>
  <c r="E271" i="33" s="1"/>
  <c r="D333" i="33"/>
  <c r="E333" i="33" s="1"/>
  <c r="D265" i="33"/>
  <c r="E265" i="33" s="1"/>
  <c r="D300" i="33"/>
  <c r="E300" i="33" s="1"/>
  <c r="D320" i="33"/>
  <c r="E320" i="33" s="1"/>
  <c r="D282" i="33"/>
  <c r="E282" i="33" s="1"/>
  <c r="D325" i="33"/>
  <c r="E325" i="33" s="1"/>
  <c r="D215" i="33"/>
  <c r="E215" i="33" s="1"/>
  <c r="D330" i="33"/>
  <c r="E330" i="33" s="1"/>
  <c r="D189" i="33"/>
  <c r="E189" i="33" s="1"/>
  <c r="D192" i="33"/>
  <c r="E192" i="33" s="1"/>
  <c r="D268" i="33"/>
  <c r="E268" i="33" s="1"/>
  <c r="D234" i="33"/>
  <c r="E234" i="33" s="1"/>
  <c r="D334" i="33"/>
  <c r="E334" i="33" s="1"/>
  <c r="D273" i="33"/>
  <c r="E273" i="33" s="1"/>
  <c r="D256" i="33"/>
  <c r="E256" i="33" s="1"/>
  <c r="D298" i="33"/>
  <c r="E298" i="33" s="1"/>
  <c r="D299" i="33"/>
  <c r="E299" i="33" s="1"/>
  <c r="D314" i="33"/>
  <c r="E314" i="33" s="1"/>
  <c r="D255" i="33"/>
  <c r="E255" i="33" s="1"/>
  <c r="D184" i="33"/>
  <c r="E184" i="33" s="1"/>
  <c r="D211" i="33"/>
  <c r="E211" i="33" s="1"/>
  <c r="D335" i="33"/>
  <c r="E335" i="33" s="1"/>
  <c r="D296" i="33"/>
  <c r="E296" i="33" s="1"/>
  <c r="D210" i="33"/>
  <c r="E210" i="33" s="1"/>
  <c r="D315" i="33"/>
  <c r="E315" i="33" s="1"/>
  <c r="D285" i="33"/>
  <c r="E285" i="33" s="1"/>
  <c r="D246" i="33"/>
  <c r="E246" i="33" s="1"/>
  <c r="D311" i="33"/>
  <c r="E311" i="33" s="1"/>
  <c r="D308" i="33"/>
  <c r="E308" i="33" s="1"/>
  <c r="D323" i="33"/>
  <c r="E323" i="33" s="1"/>
  <c r="D203" i="33"/>
  <c r="E203" i="33" s="1"/>
  <c r="D242" i="33"/>
  <c r="E242" i="33" s="1"/>
  <c r="D196" i="33"/>
  <c r="E196" i="33" s="1"/>
  <c r="D322" i="33"/>
  <c r="E322" i="33" s="1"/>
  <c r="D254" i="33"/>
  <c r="E254" i="33" s="1"/>
  <c r="D227" i="33"/>
  <c r="E227" i="33" s="1"/>
  <c r="D250" i="33"/>
  <c r="E250" i="33" s="1"/>
  <c r="D339" i="33"/>
  <c r="E339" i="33" s="1"/>
  <c r="D226" i="33"/>
  <c r="E226" i="33" s="1"/>
  <c r="D284" i="33"/>
  <c r="E284" i="33" s="1"/>
  <c r="D332" i="33"/>
  <c r="E332" i="33" s="1"/>
  <c r="D317" i="33"/>
  <c r="E317" i="33" s="1"/>
  <c r="D193" i="33"/>
  <c r="E193" i="33" s="1"/>
  <c r="D216" i="33"/>
  <c r="E216" i="33" s="1"/>
  <c r="D221" i="33"/>
  <c r="E221" i="33" s="1"/>
  <c r="D257" i="33"/>
  <c r="E257" i="33" s="1"/>
  <c r="D344" i="33"/>
  <c r="E344" i="33" s="1"/>
  <c r="D220" i="33"/>
  <c r="E220" i="33" s="1"/>
  <c r="D302" i="33"/>
  <c r="E302" i="33" s="1"/>
  <c r="D293" i="33"/>
  <c r="E293" i="33" s="1"/>
  <c r="D328" i="33"/>
  <c r="E328" i="33" s="1"/>
  <c r="D336" i="33"/>
  <c r="E336" i="33" s="1"/>
  <c r="D283" i="33"/>
  <c r="E283" i="33" s="1"/>
  <c r="D307" i="33"/>
  <c r="E307" i="33" s="1"/>
  <c r="D286" i="33"/>
  <c r="E286" i="33" s="1"/>
  <c r="D225" i="33"/>
  <c r="E225" i="33" s="1"/>
  <c r="D175" i="33"/>
  <c r="E175" i="33" s="1"/>
  <c r="D278" i="33"/>
  <c r="E278" i="33" s="1"/>
  <c r="D258" i="33"/>
  <c r="E258" i="33" s="1"/>
  <c r="D218" i="33"/>
  <c r="E218" i="33" s="1"/>
  <c r="D236" i="33"/>
  <c r="E236" i="33" s="1"/>
  <c r="D267" i="33"/>
  <c r="E267" i="33" s="1"/>
  <c r="D279" i="33"/>
  <c r="E279" i="33" s="1"/>
  <c r="D338" i="33"/>
  <c r="E338" i="33" s="1"/>
  <c r="D316" i="33"/>
  <c r="E316" i="33" s="1"/>
  <c r="D310" i="33"/>
  <c r="E310" i="33" s="1"/>
  <c r="D319" i="33"/>
  <c r="E319" i="33" s="1"/>
  <c r="D343" i="33"/>
  <c r="E343" i="33" s="1"/>
  <c r="D201" i="33"/>
  <c r="E201" i="33" s="1"/>
  <c r="D177" i="33"/>
  <c r="E177" i="33" s="1"/>
  <c r="D245" i="33"/>
  <c r="E245" i="33" s="1"/>
  <c r="D239" i="33"/>
  <c r="E239" i="33" s="1"/>
  <c r="D295" i="33"/>
  <c r="E295" i="33" s="1"/>
  <c r="D200" i="33"/>
  <c r="E200" i="33" s="1"/>
  <c r="AA3" i="33"/>
  <c r="AA2" i="33"/>
  <c r="H36" i="33"/>
  <c r="G36" i="33"/>
  <c r="E36" i="33"/>
  <c r="D36" i="33"/>
  <c r="I33" i="33"/>
  <c r="H33" i="33"/>
  <c r="G33" i="33"/>
  <c r="F33" i="33"/>
  <c r="E33" i="33"/>
  <c r="D33" i="33"/>
  <c r="C33" i="33"/>
  <c r="B33" i="33"/>
  <c r="B10" i="33"/>
  <c r="D21" i="33"/>
  <c r="D10" i="33" s="1"/>
  <c r="C10" i="33" s="1"/>
  <c r="C20" i="33"/>
  <c r="D20" i="33" s="1"/>
  <c r="B22" i="33"/>
  <c r="I16" i="33"/>
  <c r="I15" i="33"/>
  <c r="D15" i="33"/>
  <c r="E15" i="33" s="1"/>
  <c r="F15" i="33"/>
  <c r="G15" i="33"/>
  <c r="D16" i="33"/>
  <c r="E16" i="33" s="1"/>
  <c r="F16" i="33"/>
  <c r="G16" i="33"/>
  <c r="D14" i="33"/>
  <c r="E14" i="33" s="1"/>
  <c r="G14" i="33"/>
  <c r="F14" i="33"/>
  <c r="G13" i="33"/>
  <c r="F13" i="33"/>
  <c r="H10" i="33"/>
  <c r="E37" i="33" s="1"/>
  <c r="H9" i="33"/>
  <c r="D259" i="23"/>
  <c r="E259" i="23" s="1"/>
  <c r="D209" i="23"/>
  <c r="E209" i="23" s="1"/>
  <c r="D293" i="23"/>
  <c r="E293" i="23" s="1"/>
  <c r="D305" i="23"/>
  <c r="E305" i="23" s="1"/>
  <c r="D271" i="23"/>
  <c r="E271" i="23" s="1"/>
  <c r="D273" i="23"/>
  <c r="E273" i="23" s="1"/>
  <c r="D257" i="23"/>
  <c r="E257" i="23" s="1"/>
  <c r="D235" i="23"/>
  <c r="E235" i="23" s="1"/>
  <c r="D203" i="23"/>
  <c r="E203" i="23" s="1"/>
  <c r="D211" i="23"/>
  <c r="E211" i="23" s="1"/>
  <c r="D199" i="23"/>
  <c r="E199" i="23" s="1"/>
  <c r="D219" i="23"/>
  <c r="E219" i="23" s="1"/>
  <c r="D226" i="23"/>
  <c r="E226" i="23" s="1"/>
  <c r="D262" i="23"/>
  <c r="E262" i="23" s="1"/>
  <c r="D300" i="23"/>
  <c r="E300" i="23" s="1"/>
  <c r="D232" i="23"/>
  <c r="E232" i="23" s="1"/>
  <c r="D329" i="23"/>
  <c r="E329" i="23" s="1"/>
  <c r="D261" i="23"/>
  <c r="E261" i="23" s="1"/>
  <c r="D255" i="23"/>
  <c r="E255" i="23" s="1"/>
  <c r="D281" i="23"/>
  <c r="E281" i="23" s="1"/>
  <c r="D218" i="23"/>
  <c r="E218" i="23" s="1"/>
  <c r="D198" i="23"/>
  <c r="E198" i="23" s="1"/>
  <c r="D201" i="23"/>
  <c r="E201" i="23" s="1"/>
  <c r="D217" i="23"/>
  <c r="E217" i="23" s="1"/>
  <c r="D335" i="23"/>
  <c r="E335" i="23" s="1"/>
  <c r="D342" i="23"/>
  <c r="E342" i="23" s="1"/>
  <c r="D285" i="23"/>
  <c r="E285" i="23" s="1"/>
  <c r="D310" i="23"/>
  <c r="E310" i="23" s="1"/>
  <c r="D287" i="23"/>
  <c r="E287" i="23" s="1"/>
  <c r="D269" i="23"/>
  <c r="E269" i="23" s="1"/>
  <c r="D263" i="23"/>
  <c r="E263" i="23" s="1"/>
  <c r="D268" i="23"/>
  <c r="E268" i="23" s="1"/>
  <c r="D247" i="23"/>
  <c r="E247" i="23" s="1"/>
  <c r="D264" i="23"/>
  <c r="E264" i="23" s="1"/>
  <c r="D200" i="23"/>
  <c r="E200" i="23" s="1"/>
  <c r="D230" i="23"/>
  <c r="E230" i="23" s="1"/>
  <c r="D340" i="23"/>
  <c r="E340" i="23" s="1"/>
  <c r="D292" i="23"/>
  <c r="E292" i="23" s="1"/>
  <c r="D333" i="23"/>
  <c r="E333" i="23" s="1"/>
  <c r="D365" i="23"/>
  <c r="E365" i="23" s="1"/>
  <c r="D345" i="23"/>
  <c r="E345" i="23" s="1"/>
  <c r="D348" i="23"/>
  <c r="E348" i="23" s="1"/>
  <c r="D346" i="23"/>
  <c r="E346" i="23" s="1"/>
  <c r="D349" i="23"/>
  <c r="E349" i="23" s="1"/>
  <c r="D252" i="23"/>
  <c r="E252" i="23" s="1"/>
  <c r="D206" i="23"/>
  <c r="E206" i="23" s="1"/>
  <c r="D202" i="23"/>
  <c r="E202" i="23" s="1"/>
  <c r="D265" i="23"/>
  <c r="E265" i="23" s="1"/>
  <c r="D250" i="23"/>
  <c r="E250" i="23" s="1"/>
  <c r="D318" i="23"/>
  <c r="E318" i="23" s="1"/>
  <c r="D275" i="23"/>
  <c r="E275" i="23" s="1"/>
  <c r="D338" i="23"/>
  <c r="E338" i="23" s="1"/>
  <c r="D334" i="23"/>
  <c r="E334" i="23" s="1"/>
  <c r="D352" i="23"/>
  <c r="E352" i="23" s="1"/>
  <c r="D332" i="23"/>
  <c r="E332" i="23" s="1"/>
  <c r="D351" i="23"/>
  <c r="E351" i="23" s="1"/>
  <c r="D244" i="23"/>
  <c r="E244" i="23" s="1"/>
  <c r="D205" i="23"/>
  <c r="E205" i="23" s="1"/>
  <c r="D210" i="23"/>
  <c r="E210" i="23" s="1"/>
  <c r="D225" i="23"/>
  <c r="E225" i="23" s="1"/>
  <c r="D307" i="23"/>
  <c r="E307" i="23" s="1"/>
  <c r="D291" i="23"/>
  <c r="E291" i="23" s="1"/>
  <c r="D254" i="23"/>
  <c r="E254" i="23" s="1"/>
  <c r="D339" i="23"/>
  <c r="E339" i="23" s="1"/>
  <c r="D297" i="23"/>
  <c r="E297" i="23" s="1"/>
  <c r="D315" i="23"/>
  <c r="E315" i="23"/>
  <c r="D356" i="23"/>
  <c r="E356" i="23" s="1"/>
  <c r="D331" i="23"/>
  <c r="E331" i="23" s="1"/>
  <c r="D240" i="23"/>
  <c r="E240" i="23" s="1"/>
  <c r="D215" i="23"/>
  <c r="E215" i="23" s="1"/>
  <c r="D236" i="23"/>
  <c r="E236" i="23" s="1"/>
  <c r="D324" i="23"/>
  <c r="E324" i="23" s="1"/>
  <c r="D309" i="23"/>
  <c r="E309" i="23" s="1"/>
  <c r="D220" i="23"/>
  <c r="E220" i="23" s="1"/>
  <c r="D322" i="23"/>
  <c r="E322" i="23" s="1"/>
  <c r="D308" i="23"/>
  <c r="E308" i="23" s="1"/>
  <c r="D319" i="23"/>
  <c r="E319" i="23" s="1"/>
  <c r="D363" i="23"/>
  <c r="E363" i="23" s="1"/>
  <c r="D355" i="23"/>
  <c r="E355" i="23" s="1"/>
  <c r="D344" i="23"/>
  <c r="E344" i="23" s="1"/>
  <c r="D289" i="23"/>
  <c r="E289" i="23" s="1"/>
  <c r="D207" i="23"/>
  <c r="E207" i="23" s="1"/>
  <c r="D243" i="23"/>
  <c r="E243" i="23" s="1"/>
  <c r="D314" i="23"/>
  <c r="E314" i="23" s="1"/>
  <c r="D323" i="23"/>
  <c r="E323" i="23" s="1"/>
  <c r="D290" i="23"/>
  <c r="E290" i="23" s="1"/>
  <c r="D278" i="23"/>
  <c r="E278" i="23" s="1"/>
  <c r="D357" i="23"/>
  <c r="E357" i="23" s="1"/>
  <c r="D361" i="23"/>
  <c r="E361" i="23" s="1"/>
  <c r="D336" i="23"/>
  <c r="E336" i="23" s="1"/>
  <c r="D354" i="23"/>
  <c r="E354" i="23" s="1"/>
  <c r="D245" i="23"/>
  <c r="E245" i="23" s="1"/>
  <c r="D229" i="23"/>
  <c r="E229" i="23" s="1"/>
  <c r="D239" i="23"/>
  <c r="E239" i="23" s="1"/>
  <c r="D312" i="23"/>
  <c r="E312" i="23" s="1"/>
  <c r="D227" i="23"/>
  <c r="E227" i="23" s="1"/>
  <c r="D299" i="23"/>
  <c r="E299" i="23" s="1"/>
  <c r="D302" i="23"/>
  <c r="E302" i="23" s="1"/>
  <c r="D317" i="23"/>
  <c r="E317" i="23" s="1"/>
  <c r="D311" i="23"/>
  <c r="E311" i="23" s="1"/>
  <c r="D321" i="23"/>
  <c r="E321" i="23" s="1"/>
  <c r="D366" i="23"/>
  <c r="E366" i="23" s="1"/>
  <c r="D337" i="23"/>
  <c r="E337" i="23" s="1"/>
  <c r="D279" i="23"/>
  <c r="E279" i="23" s="1"/>
  <c r="D327" i="23"/>
  <c r="E327" i="23" s="1"/>
  <c r="D280" i="23"/>
  <c r="E280" i="23" s="1"/>
  <c r="D298" i="23"/>
  <c r="E298" i="23" s="1"/>
  <c r="D213" i="23"/>
  <c r="E213" i="23" s="1"/>
  <c r="D216" i="23"/>
  <c r="E216" i="23" s="1"/>
  <c r="D343" i="23"/>
  <c r="E343" i="23" s="1"/>
  <c r="D304" i="23"/>
  <c r="E304" i="23" s="1"/>
  <c r="D303" i="23"/>
  <c r="E303" i="23" s="1"/>
  <c r="D362" i="23"/>
  <c r="E362" i="23" s="1"/>
  <c r="D341" i="23"/>
  <c r="E341" i="23" s="1"/>
  <c r="D330" i="23"/>
  <c r="E330" i="23" s="1"/>
  <c r="D270" i="23"/>
  <c r="E270" i="23" s="1"/>
  <c r="D306" i="23"/>
  <c r="E306" i="23" s="1"/>
  <c r="D350" i="23"/>
  <c r="E350" i="23" s="1"/>
  <c r="D208" i="23"/>
  <c r="E208" i="23" s="1"/>
  <c r="D228" i="23"/>
  <c r="E228" i="23" s="1"/>
  <c r="D283" i="23"/>
  <c r="E283" i="23" s="1"/>
  <c r="D313" i="23"/>
  <c r="E313" i="23" s="1"/>
  <c r="D295" i="23"/>
  <c r="E295" i="23" s="1"/>
  <c r="D296" i="23"/>
  <c r="E296" i="23" s="1"/>
  <c r="D316" i="23"/>
  <c r="E316" i="23" s="1"/>
  <c r="D364" i="23"/>
  <c r="E364" i="23" s="1"/>
  <c r="D260" i="23"/>
  <c r="E260" i="23" s="1"/>
  <c r="D294" i="23"/>
  <c r="E294" i="23" s="1"/>
  <c r="D288" i="23"/>
  <c r="E288" i="23" s="1"/>
  <c r="D284" i="23"/>
  <c r="E284" i="23" s="1"/>
  <c r="D359" i="23"/>
  <c r="E359" i="23" s="1"/>
  <c r="D212" i="23"/>
  <c r="E212" i="23" s="1"/>
  <c r="D258" i="23"/>
  <c r="E258" i="23" s="1"/>
  <c r="D325" i="23"/>
  <c r="E325" i="23" s="1"/>
  <c r="D353" i="23"/>
  <c r="E353" i="23" s="1"/>
  <c r="D326" i="23"/>
  <c r="E326" i="23" s="1"/>
  <c r="D267" i="23"/>
  <c r="E267" i="23" s="1"/>
  <c r="D360" i="23"/>
  <c r="E360" i="23" s="1"/>
  <c r="D242" i="23"/>
  <c r="E242" i="23" s="1"/>
  <c r="D266" i="23"/>
  <c r="E266" i="23" s="1"/>
  <c r="D253" i="23"/>
  <c r="E253" i="23" s="1"/>
  <c r="D286" i="23"/>
  <c r="E286" i="23" s="1"/>
  <c r="D347" i="23"/>
  <c r="E347" i="23" s="1"/>
  <c r="D368" i="23"/>
  <c r="E368" i="23" s="1"/>
  <c r="D301" i="23"/>
  <c r="E301" i="23" s="1"/>
  <c r="D256" i="23"/>
  <c r="E256" i="23" s="1"/>
  <c r="D358" i="23"/>
  <c r="E358" i="23" s="1"/>
  <c r="D272" i="23"/>
  <c r="E272" i="23" s="1"/>
  <c r="D277" i="23"/>
  <c r="E277" i="23" s="1"/>
  <c r="D248" i="23"/>
  <c r="E248" i="23" s="1"/>
  <c r="D249" i="23"/>
  <c r="E249" i="23" s="1"/>
  <c r="D233" i="23"/>
  <c r="E233" i="23" s="1"/>
  <c r="D237" i="23"/>
  <c r="E237" i="23" s="1"/>
  <c r="D274" i="23"/>
  <c r="E274" i="23" s="1"/>
  <c r="D320" i="23"/>
  <c r="E320" i="23" s="1"/>
  <c r="D196" i="23"/>
  <c r="E196" i="23" s="1"/>
  <c r="D231" i="23"/>
  <c r="E231" i="23" s="1"/>
  <c r="D221" i="23"/>
  <c r="E221" i="23" s="1"/>
  <c r="D328" i="23"/>
  <c r="E328" i="23" s="1"/>
  <c r="D214" i="23"/>
  <c r="E214" i="23" s="1"/>
  <c r="D223" i="23"/>
  <c r="E223" i="23" s="1"/>
  <c r="D224" i="23"/>
  <c r="E224" i="23" s="1"/>
  <c r="D238" i="23"/>
  <c r="E238" i="23" s="1"/>
  <c r="D234" i="23"/>
  <c r="E234" i="23" s="1"/>
  <c r="D251" i="23"/>
  <c r="E251" i="23" s="1"/>
  <c r="D246" i="23"/>
  <c r="E246" i="23" s="1"/>
  <c r="D241" i="23"/>
  <c r="E241" i="23" s="1"/>
  <c r="D204" i="23"/>
  <c r="E204" i="23" s="1"/>
  <c r="D197" i="23"/>
  <c r="E197" i="23" s="1"/>
  <c r="D276" i="23"/>
  <c r="E276" i="23" s="1"/>
  <c r="D282" i="23"/>
  <c r="E282" i="23" s="1"/>
  <c r="D222" i="23"/>
  <c r="E222" i="23" s="1"/>
  <c r="D367" i="23"/>
  <c r="E367" i="23" s="1"/>
  <c r="AA3" i="23"/>
  <c r="AA2" i="23"/>
  <c r="H57" i="23"/>
  <c r="G57" i="23"/>
  <c r="E57" i="23"/>
  <c r="D57" i="23"/>
  <c r="I54" i="23"/>
  <c r="H54" i="23"/>
  <c r="G54" i="23"/>
  <c r="F54" i="23"/>
  <c r="E54" i="23"/>
  <c r="D54" i="23"/>
  <c r="C54" i="23"/>
  <c r="B54" i="23"/>
  <c r="E30" i="23"/>
  <c r="E29" i="23"/>
  <c r="E28" i="23"/>
  <c r="E27" i="23"/>
  <c r="E26" i="23"/>
  <c r="G25" i="23"/>
  <c r="F25" i="23"/>
  <c r="B10" i="23"/>
  <c r="D20" i="23"/>
  <c r="D10" i="23" s="1"/>
  <c r="C19" i="23"/>
  <c r="D19" i="23" s="1"/>
  <c r="B21" i="23"/>
  <c r="I15" i="23"/>
  <c r="D15" i="23"/>
  <c r="E15" i="23" s="1"/>
  <c r="F15" i="23"/>
  <c r="G15" i="23"/>
  <c r="D14" i="23"/>
  <c r="E14" i="23" s="1"/>
  <c r="G14" i="23"/>
  <c r="F14" i="23"/>
  <c r="G13" i="23"/>
  <c r="F13" i="23"/>
  <c r="H10" i="23"/>
  <c r="H9" i="23"/>
  <c r="E32" i="73" l="1"/>
  <c r="F32" i="73" s="1"/>
  <c r="E20" i="41"/>
  <c r="F20" i="41" s="1"/>
  <c r="D54" i="81"/>
  <c r="E57" i="81"/>
  <c r="E32" i="65"/>
  <c r="F32" i="65" s="1"/>
  <c r="H47" i="81"/>
  <c r="E19" i="23"/>
  <c r="F19" i="23" s="1"/>
  <c r="E20" i="33"/>
  <c r="F20" i="33" s="1"/>
  <c r="E21" i="49"/>
  <c r="F21" i="49" s="1"/>
  <c r="CG50" i="81"/>
  <c r="E30" i="81"/>
  <c r="F30" i="81" s="1"/>
  <c r="G48" i="81"/>
  <c r="H51" i="81"/>
  <c r="CG54" i="81"/>
  <c r="D58" i="81"/>
  <c r="E49" i="81"/>
  <c r="G52" i="81"/>
  <c r="H55" i="81"/>
  <c r="CG58" i="81"/>
  <c r="D50" i="81"/>
  <c r="E53" i="81"/>
  <c r="G56" i="81"/>
  <c r="D47" i="81"/>
  <c r="CG47" i="81"/>
  <c r="H48" i="81"/>
  <c r="G49" i="81"/>
  <c r="E50" i="81"/>
  <c r="D51" i="81"/>
  <c r="CG51" i="81"/>
  <c r="H52" i="81"/>
  <c r="G53" i="81"/>
  <c r="E54" i="81"/>
  <c r="D55" i="81"/>
  <c r="CG55" i="81"/>
  <c r="H56" i="81"/>
  <c r="G57" i="81"/>
  <c r="E58" i="81"/>
  <c r="E47" i="81"/>
  <c r="D48" i="81"/>
  <c r="CG48" i="81"/>
  <c r="H49" i="81"/>
  <c r="G50" i="81"/>
  <c r="E51" i="81"/>
  <c r="D52" i="81"/>
  <c r="CG52" i="81"/>
  <c r="H53" i="81"/>
  <c r="G54" i="81"/>
  <c r="E55" i="81"/>
  <c r="D56" i="81"/>
  <c r="CG56" i="81"/>
  <c r="H57" i="81"/>
  <c r="G58" i="81"/>
  <c r="G47" i="81"/>
  <c r="E48" i="81"/>
  <c r="D49" i="81"/>
  <c r="CG49" i="81"/>
  <c r="H50" i="81"/>
  <c r="G51" i="81"/>
  <c r="E52" i="81"/>
  <c r="D53" i="81"/>
  <c r="CG53" i="81"/>
  <c r="H54" i="81"/>
  <c r="G55" i="81"/>
  <c r="E56" i="81"/>
  <c r="D57" i="81"/>
  <c r="CG57" i="81"/>
  <c r="E32" i="57"/>
  <c r="F32" i="57" s="1"/>
  <c r="H49" i="57"/>
  <c r="D49" i="57"/>
  <c r="CG49" i="57"/>
  <c r="E49" i="57"/>
  <c r="D38" i="49"/>
  <c r="CG38" i="49"/>
  <c r="E38" i="49"/>
  <c r="G38" i="49"/>
  <c r="D37" i="41"/>
  <c r="CG37" i="41"/>
  <c r="E37" i="41"/>
  <c r="G37" i="41"/>
  <c r="G37" i="33"/>
  <c r="H37" i="33"/>
  <c r="D37" i="33"/>
  <c r="CG37" i="33"/>
  <c r="C29" i="23"/>
  <c r="D29" i="23" s="1"/>
  <c r="C28" i="23"/>
  <c r="D28" i="23" s="1"/>
  <c r="F58" i="23"/>
  <c r="C58" i="23" s="1"/>
  <c r="CG58" i="23" s="1"/>
  <c r="C27" i="23"/>
  <c r="D27" i="23" s="1"/>
  <c r="C30" i="23"/>
  <c r="D30" i="23" s="1"/>
  <c r="C26" i="23"/>
  <c r="D26" i="23" s="1"/>
  <c r="C10" i="23"/>
  <c r="G29" i="23" l="1"/>
  <c r="F29" i="23"/>
  <c r="H58" i="23"/>
  <c r="G58" i="23"/>
  <c r="D58" i="23"/>
  <c r="E58" i="23"/>
  <c r="G27" i="23"/>
  <c r="F27" i="23"/>
  <c r="G26" i="23"/>
  <c r="F26" i="23"/>
  <c r="F28" i="23"/>
  <c r="G28" i="23"/>
  <c r="F30" i="23"/>
  <c r="G30" i="23"/>
  <c r="P2" i="1"/>
  <c r="Q2" i="1"/>
  <c r="R2" i="1"/>
  <c r="S2" i="1"/>
  <c r="T2" i="1"/>
  <c r="U2" i="1"/>
  <c r="V2" i="1"/>
  <c r="W2" i="1"/>
  <c r="X2" i="1"/>
  <c r="Y2" i="1"/>
  <c r="Z2" i="1"/>
  <c r="AA2" i="1"/>
  <c r="P3" i="1"/>
  <c r="Q3" i="1"/>
  <c r="R3" i="1"/>
  <c r="S3" i="1"/>
  <c r="T3" i="1"/>
  <c r="U3" i="1"/>
  <c r="V3" i="1"/>
  <c r="W3" i="1"/>
  <c r="X3" i="1"/>
  <c r="Y3" i="1"/>
  <c r="Z3" i="1"/>
  <c r="AA3" i="1"/>
  <c r="P4" i="1"/>
  <c r="Q4" i="1"/>
  <c r="R4" i="1"/>
  <c r="S4" i="1"/>
  <c r="T4" i="1"/>
  <c r="U4" i="1"/>
  <c r="V4" i="1"/>
  <c r="W4" i="1"/>
  <c r="X4" i="1"/>
  <c r="Y4" i="1"/>
  <c r="Z4" i="1"/>
  <c r="AA4" i="1"/>
  <c r="P5" i="1"/>
  <c r="Q5" i="1"/>
  <c r="R5" i="1"/>
  <c r="S5" i="1"/>
  <c r="T5" i="1"/>
  <c r="U5" i="1"/>
  <c r="V5" i="1"/>
  <c r="W5" i="1"/>
  <c r="X5" i="1"/>
  <c r="Y5" i="1"/>
  <c r="Z5" i="1"/>
  <c r="AA5" i="1"/>
  <c r="P6" i="1"/>
  <c r="Q6" i="1"/>
  <c r="R6" i="1"/>
  <c r="S6" i="1"/>
  <c r="T6" i="1"/>
  <c r="U6" i="1"/>
  <c r="V6" i="1"/>
  <c r="W6" i="1"/>
  <c r="X6" i="1"/>
  <c r="Y6" i="1"/>
  <c r="Z6" i="1"/>
  <c r="AA6" i="1"/>
  <c r="P7" i="1"/>
  <c r="Q7" i="1"/>
  <c r="R7" i="1"/>
  <c r="S7" i="1"/>
  <c r="T7" i="1"/>
  <c r="U7" i="1"/>
  <c r="V7" i="1"/>
  <c r="W7" i="1"/>
  <c r="X7" i="1"/>
  <c r="Y7" i="1"/>
  <c r="Z7" i="1"/>
  <c r="AA7" i="1"/>
  <c r="P8" i="1"/>
  <c r="Q8" i="1"/>
  <c r="R8" i="1"/>
  <c r="S8" i="1"/>
  <c r="T8" i="1"/>
  <c r="U8" i="1"/>
  <c r="V8" i="1"/>
  <c r="W8" i="1"/>
  <c r="X8" i="1"/>
  <c r="Y8" i="1"/>
  <c r="Z8" i="1"/>
  <c r="AA8" i="1"/>
  <c r="P9" i="1"/>
  <c r="Q9" i="1"/>
  <c r="R9" i="1"/>
  <c r="S9" i="1"/>
  <c r="T9" i="1"/>
  <c r="U9" i="1"/>
  <c r="V9" i="1"/>
  <c r="W9" i="1"/>
  <c r="X9" i="1"/>
  <c r="Y9" i="1"/>
  <c r="Z9" i="1"/>
  <c r="AA9" i="1"/>
  <c r="P10" i="1"/>
  <c r="Q10" i="1"/>
  <c r="R10" i="1"/>
  <c r="S10" i="1"/>
  <c r="T10" i="1"/>
  <c r="U10" i="1"/>
  <c r="V10" i="1"/>
  <c r="W10" i="1"/>
  <c r="X10" i="1"/>
  <c r="Y10" i="1"/>
  <c r="Z10" i="1"/>
  <c r="AA10" i="1"/>
  <c r="P11" i="1"/>
  <c r="Q11" i="1"/>
  <c r="R11" i="1"/>
  <c r="S11" i="1"/>
  <c r="T11" i="1"/>
  <c r="U11" i="1"/>
  <c r="V11" i="1"/>
  <c r="W11" i="1"/>
  <c r="X11" i="1"/>
  <c r="Y11" i="1"/>
  <c r="Z11" i="1"/>
  <c r="AA11" i="1"/>
  <c r="P12" i="1"/>
  <c r="Q12" i="1"/>
  <c r="R12" i="1"/>
  <c r="S12" i="1"/>
  <c r="T12" i="1"/>
  <c r="U12" i="1"/>
  <c r="V12" i="1"/>
  <c r="W12" i="1"/>
  <c r="X12" i="1"/>
  <c r="Y12" i="1"/>
  <c r="Z12" i="1"/>
  <c r="AA12" i="1"/>
  <c r="P13" i="1"/>
  <c r="Q13" i="1"/>
  <c r="R13" i="1"/>
  <c r="S13" i="1"/>
  <c r="T13" i="1"/>
  <c r="U13" i="1"/>
  <c r="V13" i="1"/>
  <c r="W13" i="1"/>
  <c r="X13" i="1"/>
  <c r="Y13" i="1"/>
  <c r="Z13" i="1"/>
  <c r="AA13" i="1"/>
  <c r="P14" i="1"/>
  <c r="Q14" i="1"/>
  <c r="R14" i="1"/>
  <c r="S14" i="1"/>
  <c r="T14" i="1"/>
  <c r="U14" i="1"/>
  <c r="V14" i="1"/>
  <c r="W14" i="1"/>
  <c r="X14" i="1"/>
  <c r="Y14" i="1"/>
  <c r="Z14" i="1"/>
  <c r="AA14" i="1"/>
  <c r="P15" i="1"/>
  <c r="Q15" i="1"/>
  <c r="R15" i="1"/>
  <c r="S15" i="1"/>
  <c r="T15" i="1"/>
  <c r="U15" i="1"/>
  <c r="V15" i="1"/>
  <c r="W15" i="1"/>
  <c r="X15" i="1"/>
  <c r="Y15" i="1"/>
  <c r="Z15" i="1"/>
  <c r="AA15" i="1"/>
  <c r="P16" i="1"/>
  <c r="Q16" i="1"/>
  <c r="R16" i="1"/>
  <c r="S16" i="1"/>
  <c r="T16" i="1"/>
  <c r="U16" i="1"/>
  <c r="V16" i="1"/>
  <c r="W16" i="1"/>
  <c r="X16" i="1"/>
  <c r="Y16" i="1"/>
  <c r="Z16" i="1"/>
  <c r="AA16" i="1"/>
  <c r="P17" i="1"/>
  <c r="Q17" i="1"/>
  <c r="R17" i="1"/>
  <c r="S17" i="1"/>
  <c r="T17" i="1"/>
  <c r="U17" i="1"/>
  <c r="V17" i="1"/>
  <c r="W17" i="1"/>
  <c r="X17" i="1"/>
  <c r="Y17" i="1"/>
  <c r="Z17" i="1"/>
  <c r="AA17" i="1"/>
  <c r="P18" i="1"/>
  <c r="Q18" i="1"/>
  <c r="R18" i="1"/>
  <c r="S18" i="1"/>
  <c r="T18" i="1"/>
  <c r="U18" i="1"/>
  <c r="V18" i="1"/>
  <c r="W18" i="1"/>
  <c r="X18" i="1"/>
  <c r="Y18" i="1"/>
  <c r="Z18" i="1"/>
  <c r="AA18" i="1"/>
  <c r="P19" i="1"/>
  <c r="Q19" i="1"/>
  <c r="R19" i="1"/>
  <c r="S19" i="1"/>
  <c r="T19" i="1"/>
  <c r="U19" i="1"/>
  <c r="V19" i="1"/>
  <c r="W19" i="1"/>
  <c r="X19" i="1"/>
  <c r="Y19" i="1"/>
  <c r="Z19" i="1"/>
  <c r="AA19" i="1"/>
  <c r="P20" i="1"/>
  <c r="Q20" i="1"/>
  <c r="R20" i="1"/>
  <c r="S20" i="1"/>
  <c r="T20" i="1"/>
  <c r="U20" i="1"/>
  <c r="V20" i="1"/>
  <c r="W20" i="1"/>
  <c r="X20" i="1"/>
  <c r="Y20" i="1"/>
  <c r="Z20" i="1"/>
  <c r="AA20" i="1"/>
  <c r="P21" i="1"/>
  <c r="Q21" i="1"/>
  <c r="R21" i="1"/>
  <c r="S21" i="1"/>
  <c r="T21" i="1"/>
  <c r="U21" i="1"/>
  <c r="V21" i="1"/>
  <c r="W21" i="1"/>
  <c r="X21" i="1"/>
  <c r="Y21" i="1"/>
  <c r="Z21" i="1"/>
  <c r="AA21" i="1"/>
  <c r="P22" i="1"/>
  <c r="Q22" i="1"/>
  <c r="R22" i="1"/>
  <c r="S22" i="1"/>
  <c r="T22" i="1"/>
  <c r="U22" i="1"/>
  <c r="V22" i="1"/>
  <c r="W22" i="1"/>
  <c r="X22" i="1"/>
  <c r="Y22" i="1"/>
  <c r="Z22" i="1"/>
  <c r="AA22" i="1"/>
  <c r="P23" i="1"/>
  <c r="Q23" i="1"/>
  <c r="R23" i="1"/>
  <c r="S23" i="1"/>
  <c r="T23" i="1"/>
  <c r="U23" i="1"/>
  <c r="V23" i="1"/>
  <c r="W23" i="1"/>
  <c r="X23" i="1"/>
  <c r="Y23" i="1"/>
  <c r="Z23" i="1"/>
  <c r="AA23" i="1"/>
  <c r="P24" i="1"/>
  <c r="Q24" i="1"/>
  <c r="R24" i="1"/>
  <c r="S24" i="1"/>
  <c r="T24" i="1"/>
  <c r="U24" i="1"/>
  <c r="V24" i="1"/>
  <c r="W24" i="1"/>
  <c r="X24" i="1"/>
  <c r="Y24" i="1"/>
  <c r="Z24" i="1"/>
  <c r="AA24" i="1"/>
  <c r="P25" i="1"/>
  <c r="Q25" i="1"/>
  <c r="R25" i="1"/>
  <c r="S25" i="1"/>
  <c r="T25" i="1"/>
  <c r="U25" i="1"/>
  <c r="V25" i="1"/>
  <c r="W25" i="1"/>
  <c r="X25" i="1"/>
  <c r="Y25" i="1"/>
  <c r="Z25" i="1"/>
  <c r="AA25" i="1"/>
  <c r="P26" i="1"/>
  <c r="Q26" i="1"/>
  <c r="R26" i="1"/>
  <c r="S26" i="1"/>
  <c r="T26" i="1"/>
  <c r="U26" i="1"/>
  <c r="V26" i="1"/>
  <c r="W26" i="1"/>
  <c r="X26" i="1"/>
  <c r="Y26" i="1"/>
  <c r="Z26" i="1"/>
  <c r="AA26" i="1"/>
  <c r="P27" i="1"/>
  <c r="Q27" i="1"/>
  <c r="R27" i="1"/>
  <c r="S27" i="1"/>
  <c r="T27" i="1"/>
  <c r="U27" i="1"/>
  <c r="V27" i="1"/>
  <c r="W27" i="1"/>
  <c r="X27" i="1"/>
  <c r="Y27" i="1"/>
  <c r="Z27" i="1"/>
  <c r="AA27" i="1"/>
  <c r="P28" i="1"/>
  <c r="Q28" i="1"/>
  <c r="R28" i="1"/>
  <c r="S28" i="1"/>
  <c r="T28" i="1"/>
  <c r="U28" i="1"/>
  <c r="V28" i="1"/>
  <c r="W28" i="1"/>
  <c r="X28" i="1"/>
  <c r="Y28" i="1"/>
  <c r="Z28" i="1"/>
  <c r="AA28" i="1"/>
  <c r="P29" i="1"/>
  <c r="Q29" i="1"/>
  <c r="R29" i="1"/>
  <c r="S29" i="1"/>
  <c r="T29" i="1"/>
  <c r="U29" i="1"/>
  <c r="V29" i="1"/>
  <c r="W29" i="1"/>
  <c r="X29" i="1"/>
  <c r="Y29" i="1"/>
  <c r="Z29" i="1"/>
  <c r="AA29" i="1"/>
  <c r="P30" i="1"/>
  <c r="Q30" i="1"/>
  <c r="R30" i="1"/>
  <c r="S30" i="1"/>
  <c r="T30" i="1"/>
  <c r="U30" i="1"/>
  <c r="V30" i="1"/>
  <c r="W30" i="1"/>
  <c r="X30" i="1"/>
  <c r="Y30" i="1"/>
  <c r="Z30" i="1"/>
  <c r="AA30" i="1"/>
  <c r="P31" i="1"/>
  <c r="Q31" i="1"/>
  <c r="R31" i="1"/>
  <c r="S31" i="1"/>
  <c r="T31" i="1"/>
  <c r="U31" i="1"/>
  <c r="V31" i="1"/>
  <c r="W31" i="1"/>
  <c r="X31" i="1"/>
  <c r="Y31" i="1"/>
  <c r="Z31" i="1"/>
  <c r="AA31" i="1"/>
  <c r="P32" i="1"/>
  <c r="Q32" i="1"/>
  <c r="R32" i="1"/>
  <c r="S32" i="1"/>
  <c r="T32" i="1"/>
  <c r="U32" i="1"/>
  <c r="V32" i="1"/>
  <c r="W32" i="1"/>
  <c r="X32" i="1"/>
  <c r="Y32" i="1"/>
  <c r="Z32" i="1"/>
  <c r="AA32" i="1"/>
  <c r="P33" i="1"/>
  <c r="Q33" i="1"/>
  <c r="R33" i="1"/>
  <c r="S33" i="1"/>
  <c r="T33" i="1"/>
  <c r="U33" i="1"/>
  <c r="V33" i="1"/>
  <c r="W33" i="1"/>
  <c r="X33" i="1"/>
  <c r="Y33" i="1"/>
  <c r="Z33" i="1"/>
  <c r="AA33" i="1"/>
  <c r="P34" i="1"/>
  <c r="Q34" i="1"/>
  <c r="R34" i="1"/>
  <c r="S34" i="1"/>
  <c r="T34" i="1"/>
  <c r="U34" i="1"/>
  <c r="V34" i="1"/>
  <c r="W34" i="1"/>
  <c r="X34" i="1"/>
  <c r="Y34" i="1"/>
  <c r="Z34" i="1"/>
  <c r="AA34" i="1"/>
  <c r="P35" i="1"/>
  <c r="Q35" i="1"/>
  <c r="R35" i="1"/>
  <c r="S35" i="1"/>
  <c r="T35" i="1"/>
  <c r="U35" i="1"/>
  <c r="V35" i="1"/>
  <c r="W35" i="1"/>
  <c r="X35" i="1"/>
  <c r="Y35" i="1"/>
  <c r="Z35" i="1"/>
  <c r="AA35" i="1"/>
  <c r="P36" i="1"/>
  <c r="Q36" i="1"/>
  <c r="R36" i="1"/>
  <c r="S36" i="1"/>
  <c r="T36" i="1"/>
  <c r="U36" i="1"/>
  <c r="V36" i="1"/>
  <c r="W36" i="1"/>
  <c r="X36" i="1"/>
  <c r="Y36" i="1"/>
  <c r="Z36" i="1"/>
  <c r="AA36" i="1"/>
  <c r="P37" i="1"/>
  <c r="Q37" i="1"/>
  <c r="R37" i="1"/>
  <c r="S37" i="1"/>
  <c r="T37" i="1"/>
  <c r="U37" i="1"/>
  <c r="V37" i="1"/>
  <c r="W37" i="1"/>
  <c r="X37" i="1"/>
  <c r="Y37" i="1"/>
  <c r="Z37" i="1"/>
  <c r="AA37" i="1"/>
  <c r="P38" i="1"/>
  <c r="Q38" i="1"/>
  <c r="R38" i="1"/>
  <c r="S38" i="1"/>
  <c r="T38" i="1"/>
  <c r="U38" i="1"/>
  <c r="V38" i="1"/>
  <c r="W38" i="1"/>
  <c r="X38" i="1"/>
  <c r="Y38" i="1"/>
  <c r="Z38" i="1"/>
  <c r="AA38" i="1"/>
  <c r="P39" i="1"/>
  <c r="Q39" i="1"/>
  <c r="R39" i="1"/>
  <c r="S39" i="1"/>
  <c r="T39" i="1"/>
  <c r="U39" i="1"/>
  <c r="V39" i="1"/>
  <c r="W39" i="1"/>
  <c r="X39" i="1"/>
  <c r="Y39" i="1"/>
  <c r="Z39" i="1"/>
  <c r="AA39" i="1"/>
  <c r="P40" i="1"/>
  <c r="Q40" i="1"/>
  <c r="R40" i="1"/>
  <c r="S40" i="1"/>
  <c r="T40" i="1"/>
  <c r="U40" i="1"/>
  <c r="V40" i="1"/>
  <c r="W40" i="1"/>
  <c r="X40" i="1"/>
  <c r="Y40" i="1"/>
  <c r="Z40" i="1"/>
  <c r="AA40" i="1"/>
  <c r="P41" i="1"/>
  <c r="Q41" i="1"/>
  <c r="R41" i="1"/>
  <c r="S41" i="1"/>
  <c r="T41" i="1"/>
  <c r="U41" i="1"/>
  <c r="V41" i="1"/>
  <c r="W41" i="1"/>
  <c r="X41" i="1"/>
  <c r="Y41" i="1"/>
  <c r="Z41" i="1"/>
  <c r="AA41" i="1"/>
  <c r="P42" i="1"/>
  <c r="Q42" i="1"/>
  <c r="R42" i="1"/>
  <c r="S42" i="1"/>
  <c r="T42" i="1"/>
  <c r="U42" i="1"/>
  <c r="V42" i="1"/>
  <c r="W42" i="1"/>
  <c r="X42" i="1"/>
  <c r="Y42" i="1"/>
  <c r="Z42" i="1"/>
  <c r="AA42" i="1"/>
  <c r="P43" i="1"/>
  <c r="Q43" i="1"/>
  <c r="R43" i="1"/>
  <c r="S43" i="1"/>
  <c r="T43" i="1"/>
  <c r="U43" i="1"/>
  <c r="V43" i="1"/>
  <c r="W43" i="1"/>
  <c r="X43" i="1"/>
  <c r="Y43" i="1"/>
  <c r="Z43" i="1"/>
  <c r="AA43" i="1"/>
  <c r="P44" i="1"/>
  <c r="Q44" i="1"/>
  <c r="R44" i="1"/>
  <c r="S44" i="1"/>
  <c r="T44" i="1"/>
  <c r="U44" i="1"/>
  <c r="V44" i="1"/>
  <c r="W44" i="1"/>
  <c r="X44" i="1"/>
  <c r="Y44" i="1"/>
  <c r="Z44" i="1"/>
  <c r="AA44" i="1"/>
  <c r="P45" i="1"/>
  <c r="Q45" i="1"/>
  <c r="R45" i="1"/>
  <c r="S45" i="1"/>
  <c r="T45" i="1"/>
  <c r="U45" i="1"/>
  <c r="V45" i="1"/>
  <c r="W45" i="1"/>
  <c r="X45" i="1"/>
  <c r="Y45" i="1"/>
  <c r="Z45" i="1"/>
  <c r="AA45" i="1"/>
  <c r="P46" i="1"/>
  <c r="Q46" i="1"/>
  <c r="R46" i="1"/>
  <c r="S46" i="1"/>
  <c r="T46" i="1"/>
  <c r="U46" i="1"/>
  <c r="V46" i="1"/>
  <c r="W46" i="1"/>
  <c r="X46" i="1"/>
  <c r="Y46" i="1"/>
  <c r="Z46" i="1"/>
  <c r="AA46" i="1"/>
  <c r="P47" i="1"/>
  <c r="Q47" i="1"/>
  <c r="R47" i="1"/>
  <c r="S47" i="1"/>
  <c r="T47" i="1"/>
  <c r="U47" i="1"/>
  <c r="V47" i="1"/>
  <c r="W47" i="1"/>
  <c r="X47" i="1"/>
  <c r="Y47" i="1"/>
  <c r="Z47" i="1"/>
  <c r="AA47" i="1"/>
  <c r="P48" i="1"/>
  <c r="Q48" i="1"/>
  <c r="R48" i="1"/>
  <c r="S48" i="1"/>
  <c r="T48" i="1"/>
  <c r="U48" i="1"/>
  <c r="V48" i="1"/>
  <c r="W48" i="1"/>
  <c r="X48" i="1"/>
  <c r="Y48" i="1"/>
  <c r="Z48" i="1"/>
  <c r="AA48" i="1"/>
  <c r="P49" i="1"/>
  <c r="Q49" i="1"/>
  <c r="R49" i="1"/>
  <c r="S49" i="1"/>
  <c r="T49" i="1"/>
  <c r="U49" i="1"/>
  <c r="V49" i="1"/>
  <c r="W49" i="1"/>
  <c r="X49" i="1"/>
  <c r="Y49" i="1"/>
  <c r="Z49" i="1"/>
  <c r="AA49" i="1"/>
  <c r="P50" i="1"/>
  <c r="Q50" i="1"/>
  <c r="R50" i="1"/>
  <c r="S50" i="1"/>
  <c r="T50" i="1"/>
  <c r="U50" i="1"/>
  <c r="V50" i="1"/>
  <c r="W50" i="1"/>
  <c r="X50" i="1"/>
  <c r="Y50" i="1"/>
  <c r="Z50" i="1"/>
  <c r="AA50" i="1"/>
  <c r="P51" i="1"/>
  <c r="Q51" i="1"/>
  <c r="R51" i="1"/>
  <c r="S51" i="1"/>
  <c r="T51" i="1"/>
  <c r="U51" i="1"/>
  <c r="V51" i="1"/>
  <c r="W51" i="1"/>
  <c r="X51" i="1"/>
  <c r="Y51" i="1"/>
  <c r="Z51" i="1"/>
  <c r="AA51" i="1"/>
  <c r="P52" i="1"/>
  <c r="Q52" i="1"/>
  <c r="R52" i="1"/>
  <c r="S52" i="1"/>
  <c r="T52" i="1"/>
  <c r="U52" i="1"/>
  <c r="V52" i="1"/>
  <c r="W52" i="1"/>
  <c r="X52" i="1"/>
  <c r="Y52" i="1"/>
  <c r="Z52" i="1"/>
  <c r="AA52" i="1"/>
  <c r="P53" i="1"/>
  <c r="Q53" i="1"/>
  <c r="R53" i="1"/>
  <c r="S53" i="1"/>
  <c r="T53" i="1"/>
  <c r="U53" i="1"/>
  <c r="V53" i="1"/>
  <c r="W53" i="1"/>
  <c r="X53" i="1"/>
  <c r="Y53" i="1"/>
  <c r="Z53" i="1"/>
  <c r="AA53" i="1"/>
  <c r="P54" i="1"/>
  <c r="Q54" i="1"/>
  <c r="R54" i="1"/>
  <c r="S54" i="1"/>
  <c r="T54" i="1"/>
  <c r="U54" i="1"/>
  <c r="V54" i="1"/>
  <c r="W54" i="1"/>
  <c r="X54" i="1"/>
  <c r="Y54" i="1"/>
  <c r="Z54" i="1"/>
  <c r="AA54" i="1"/>
  <c r="P55" i="1"/>
  <c r="Q55" i="1"/>
  <c r="R55" i="1"/>
  <c r="S55" i="1"/>
  <c r="T55" i="1"/>
  <c r="U55" i="1"/>
  <c r="V55" i="1"/>
  <c r="W55" i="1"/>
  <c r="X55" i="1"/>
  <c r="Y55" i="1"/>
  <c r="Z55" i="1"/>
  <c r="AA55" i="1"/>
  <c r="P56" i="1"/>
  <c r="Q56" i="1"/>
  <c r="R56" i="1"/>
  <c r="S56" i="1"/>
  <c r="T56" i="1"/>
  <c r="U56" i="1"/>
  <c r="V56" i="1"/>
  <c r="W56" i="1"/>
  <c r="X56" i="1"/>
  <c r="Y56" i="1"/>
  <c r="Z56" i="1"/>
  <c r="AA56" i="1"/>
  <c r="P57" i="1"/>
  <c r="Q57" i="1"/>
  <c r="R57" i="1"/>
  <c r="S57" i="1"/>
  <c r="T57" i="1"/>
  <c r="U57" i="1"/>
  <c r="V57" i="1"/>
  <c r="W57" i="1"/>
  <c r="X57" i="1"/>
  <c r="Y57" i="1"/>
  <c r="Z57" i="1"/>
  <c r="AA57" i="1"/>
  <c r="P58" i="1"/>
  <c r="Q58" i="1"/>
  <c r="R58" i="1"/>
  <c r="S58" i="1"/>
  <c r="T58" i="1"/>
  <c r="U58" i="1"/>
  <c r="V58" i="1"/>
  <c r="W58" i="1"/>
  <c r="X58" i="1"/>
  <c r="Y58" i="1"/>
  <c r="Z58" i="1"/>
  <c r="AA58" i="1"/>
  <c r="P59" i="1"/>
  <c r="Q59" i="1"/>
  <c r="R59" i="1"/>
  <c r="S59" i="1"/>
  <c r="T59" i="1"/>
  <c r="U59" i="1"/>
  <c r="V59" i="1"/>
  <c r="W59" i="1"/>
  <c r="X59" i="1"/>
  <c r="Y59" i="1"/>
  <c r="Z59" i="1"/>
  <c r="AA59" i="1"/>
  <c r="P60" i="1"/>
  <c r="Q60" i="1"/>
  <c r="R60" i="1"/>
  <c r="S60" i="1"/>
  <c r="T60" i="1"/>
  <c r="U60" i="1"/>
  <c r="V60" i="1"/>
  <c r="W60" i="1"/>
  <c r="X60" i="1"/>
  <c r="Y60" i="1"/>
  <c r="Z60" i="1"/>
  <c r="AA60" i="1"/>
  <c r="P61" i="1"/>
  <c r="Q61" i="1"/>
  <c r="R61" i="1"/>
  <c r="S61" i="1"/>
  <c r="T61" i="1"/>
  <c r="U61" i="1"/>
  <c r="V61" i="1"/>
  <c r="W61" i="1"/>
  <c r="X61" i="1"/>
  <c r="Y61" i="1"/>
  <c r="Z61" i="1"/>
  <c r="AA61" i="1"/>
  <c r="P62" i="1"/>
  <c r="Q62" i="1"/>
  <c r="R62" i="1"/>
  <c r="S62" i="1"/>
  <c r="T62" i="1"/>
  <c r="U62" i="1"/>
  <c r="V62" i="1"/>
  <c r="W62" i="1"/>
  <c r="X62" i="1"/>
  <c r="Y62" i="1"/>
  <c r="Z62" i="1"/>
  <c r="AA62" i="1"/>
  <c r="P63" i="1"/>
  <c r="Q63" i="1"/>
  <c r="R63" i="1"/>
  <c r="S63" i="1"/>
  <c r="T63" i="1"/>
  <c r="U63" i="1"/>
  <c r="V63" i="1"/>
  <c r="W63" i="1"/>
  <c r="X63" i="1"/>
  <c r="Y63" i="1"/>
  <c r="Z63" i="1"/>
  <c r="AA63" i="1"/>
  <c r="P64" i="1"/>
  <c r="Q64" i="1"/>
  <c r="R64" i="1"/>
  <c r="S64" i="1"/>
  <c r="T64" i="1"/>
  <c r="U64" i="1"/>
  <c r="V64" i="1"/>
  <c r="W64" i="1"/>
  <c r="X64" i="1"/>
  <c r="Y64" i="1"/>
  <c r="Z64" i="1"/>
  <c r="AA64" i="1"/>
  <c r="P65" i="1"/>
  <c r="Q65" i="1"/>
  <c r="R65" i="1"/>
  <c r="S65" i="1"/>
  <c r="T65" i="1"/>
  <c r="U65" i="1"/>
  <c r="V65" i="1"/>
  <c r="W65" i="1"/>
  <c r="X65" i="1"/>
  <c r="Y65" i="1"/>
  <c r="Z65" i="1"/>
  <c r="AA65" i="1"/>
  <c r="P66" i="1"/>
  <c r="Q66" i="1"/>
  <c r="R66" i="1"/>
  <c r="S66" i="1"/>
  <c r="T66" i="1"/>
  <c r="U66" i="1"/>
  <c r="V66" i="1"/>
  <c r="W66" i="1"/>
  <c r="X66" i="1"/>
  <c r="Y66" i="1"/>
  <c r="Z66" i="1"/>
  <c r="AA66" i="1"/>
  <c r="P67" i="1"/>
  <c r="Q67" i="1"/>
  <c r="R67" i="1"/>
  <c r="S67" i="1"/>
  <c r="T67" i="1"/>
  <c r="U67" i="1"/>
  <c r="V67" i="1"/>
  <c r="W67" i="1"/>
  <c r="X67" i="1"/>
  <c r="Y67" i="1"/>
  <c r="Z67" i="1"/>
  <c r="AA67" i="1"/>
  <c r="P68" i="1"/>
  <c r="Q68" i="1"/>
  <c r="R68" i="1"/>
  <c r="S68" i="1"/>
  <c r="T68" i="1"/>
  <c r="U68" i="1"/>
  <c r="V68" i="1"/>
  <c r="W68" i="1"/>
  <c r="X68" i="1"/>
  <c r="Y68" i="1"/>
  <c r="Z68" i="1"/>
  <c r="AA68" i="1"/>
  <c r="P69" i="1"/>
  <c r="Q69" i="1"/>
  <c r="R69" i="1"/>
  <c r="S69" i="1"/>
  <c r="T69" i="1"/>
  <c r="U69" i="1"/>
  <c r="V69" i="1"/>
  <c r="W69" i="1"/>
  <c r="X69" i="1"/>
  <c r="Y69" i="1"/>
  <c r="Z69" i="1"/>
  <c r="AA69" i="1"/>
  <c r="P70" i="1"/>
  <c r="Q70" i="1"/>
  <c r="R70" i="1"/>
  <c r="S70" i="1"/>
  <c r="T70" i="1"/>
  <c r="U70" i="1"/>
  <c r="V70" i="1"/>
  <c r="W70" i="1"/>
  <c r="X70" i="1"/>
  <c r="Y70" i="1"/>
  <c r="Z70" i="1"/>
  <c r="AA70" i="1"/>
  <c r="P71" i="1"/>
  <c r="Q71" i="1"/>
  <c r="R71" i="1"/>
  <c r="S71" i="1"/>
  <c r="T71" i="1"/>
  <c r="U71" i="1"/>
  <c r="V71" i="1"/>
  <c r="W71" i="1"/>
  <c r="X71" i="1"/>
  <c r="Y71" i="1"/>
  <c r="Z71" i="1"/>
  <c r="AA71" i="1"/>
  <c r="P72" i="1"/>
  <c r="Q72" i="1"/>
  <c r="R72" i="1"/>
  <c r="S72" i="1"/>
  <c r="T72" i="1"/>
  <c r="U72" i="1"/>
  <c r="V72" i="1"/>
  <c r="W72" i="1"/>
  <c r="X72" i="1"/>
  <c r="Y72" i="1"/>
  <c r="Z72" i="1"/>
  <c r="AA72" i="1"/>
  <c r="P73" i="1"/>
  <c r="Q73" i="1"/>
  <c r="R73" i="1"/>
  <c r="S73" i="1"/>
  <c r="T73" i="1"/>
  <c r="U73" i="1"/>
  <c r="V73" i="1"/>
  <c r="W73" i="1"/>
  <c r="X73" i="1"/>
  <c r="Y73" i="1"/>
  <c r="Z73" i="1"/>
  <c r="AA73" i="1"/>
  <c r="P74" i="1"/>
  <c r="Q74" i="1"/>
  <c r="R74" i="1"/>
  <c r="S74" i="1"/>
  <c r="T74" i="1"/>
  <c r="U74" i="1"/>
  <c r="V74" i="1"/>
  <c r="W74" i="1"/>
  <c r="X74" i="1"/>
  <c r="Y74" i="1"/>
  <c r="Z74" i="1"/>
  <c r="AA74" i="1"/>
  <c r="P75" i="1"/>
  <c r="Q75" i="1"/>
  <c r="R75" i="1"/>
  <c r="S75" i="1"/>
  <c r="T75" i="1"/>
  <c r="U75" i="1"/>
  <c r="V75" i="1"/>
  <c r="W75" i="1"/>
  <c r="X75" i="1"/>
  <c r="Y75" i="1"/>
  <c r="Z75" i="1"/>
  <c r="AA75" i="1"/>
  <c r="P76" i="1"/>
  <c r="Q76" i="1"/>
  <c r="R76" i="1"/>
  <c r="S76" i="1"/>
  <c r="T76" i="1"/>
  <c r="U76" i="1"/>
  <c r="V76" i="1"/>
  <c r="W76" i="1"/>
  <c r="X76" i="1"/>
  <c r="Y76" i="1"/>
  <c r="Z76" i="1"/>
  <c r="AA76" i="1"/>
  <c r="P77" i="1"/>
  <c r="Q77" i="1"/>
  <c r="R77" i="1"/>
  <c r="S77" i="1"/>
  <c r="T77" i="1"/>
  <c r="U77" i="1"/>
  <c r="V77" i="1"/>
  <c r="W77" i="1"/>
  <c r="X77" i="1"/>
  <c r="Y77" i="1"/>
  <c r="Z77" i="1"/>
  <c r="AA77" i="1"/>
  <c r="P78" i="1"/>
  <c r="Q78" i="1"/>
  <c r="R78" i="1"/>
  <c r="S78" i="1"/>
  <c r="T78" i="1"/>
  <c r="U78" i="1"/>
  <c r="V78" i="1"/>
  <c r="W78" i="1"/>
  <c r="X78" i="1"/>
  <c r="Y78" i="1"/>
  <c r="Z78" i="1"/>
  <c r="AA78" i="1"/>
  <c r="P79" i="1"/>
  <c r="Q79" i="1"/>
  <c r="R79" i="1"/>
  <c r="S79" i="1"/>
  <c r="T79" i="1"/>
  <c r="U79" i="1"/>
  <c r="V79" i="1"/>
  <c r="W79" i="1"/>
  <c r="X79" i="1"/>
  <c r="Y79" i="1"/>
  <c r="Z79" i="1"/>
  <c r="AA79" i="1"/>
  <c r="P80" i="1"/>
  <c r="Q80" i="1"/>
  <c r="R80" i="1"/>
  <c r="S80" i="1"/>
  <c r="T80" i="1"/>
  <c r="U80" i="1"/>
  <c r="V80" i="1"/>
  <c r="W80" i="1"/>
  <c r="X80" i="1"/>
  <c r="Y80" i="1"/>
  <c r="Z80" i="1"/>
  <c r="AA80" i="1"/>
  <c r="P81" i="1"/>
  <c r="Q81" i="1"/>
  <c r="R81" i="1"/>
  <c r="S81" i="1"/>
  <c r="T81" i="1"/>
  <c r="U81" i="1"/>
  <c r="V81" i="1"/>
  <c r="W81" i="1"/>
  <c r="X81" i="1"/>
  <c r="Y81" i="1"/>
  <c r="Z81" i="1"/>
  <c r="AA81" i="1"/>
  <c r="P82" i="1"/>
  <c r="Q82" i="1"/>
  <c r="R82" i="1"/>
  <c r="S82" i="1"/>
  <c r="T82" i="1"/>
  <c r="U82" i="1"/>
  <c r="V82" i="1"/>
  <c r="W82" i="1"/>
  <c r="X82" i="1"/>
  <c r="Y82" i="1"/>
  <c r="Z82" i="1"/>
  <c r="AA82" i="1"/>
  <c r="P83" i="1"/>
  <c r="Q83" i="1"/>
  <c r="R83" i="1"/>
  <c r="S83" i="1"/>
  <c r="T83" i="1"/>
  <c r="U83" i="1"/>
  <c r="V83" i="1"/>
  <c r="W83" i="1"/>
  <c r="X83" i="1"/>
  <c r="Y83" i="1"/>
  <c r="Z83" i="1"/>
  <c r="AA83" i="1"/>
  <c r="P84" i="1"/>
  <c r="Q84" i="1"/>
  <c r="R84" i="1"/>
  <c r="S84" i="1"/>
  <c r="T84" i="1"/>
  <c r="U84" i="1"/>
  <c r="V84" i="1"/>
  <c r="W84" i="1"/>
  <c r="X84" i="1"/>
  <c r="Y84" i="1"/>
  <c r="Z84" i="1"/>
  <c r="AA84" i="1"/>
  <c r="P85" i="1"/>
  <c r="Q85" i="1"/>
  <c r="R85" i="1"/>
  <c r="S85" i="1"/>
  <c r="T85" i="1"/>
  <c r="U85" i="1"/>
  <c r="V85" i="1"/>
  <c r="W85" i="1"/>
  <c r="X85" i="1"/>
  <c r="Y85" i="1"/>
  <c r="Z85" i="1"/>
  <c r="AA85" i="1"/>
  <c r="P86" i="1"/>
  <c r="Q86" i="1"/>
  <c r="R86" i="1"/>
  <c r="S86" i="1"/>
  <c r="T86" i="1"/>
  <c r="U86" i="1"/>
  <c r="V86" i="1"/>
  <c r="W86" i="1"/>
  <c r="X86" i="1"/>
  <c r="Y86" i="1"/>
  <c r="Z86" i="1"/>
  <c r="AA86" i="1"/>
  <c r="P87" i="1"/>
  <c r="Q87" i="1"/>
  <c r="R87" i="1"/>
  <c r="S87" i="1"/>
  <c r="T87" i="1"/>
  <c r="U87" i="1"/>
  <c r="V87" i="1"/>
  <c r="W87" i="1"/>
  <c r="X87" i="1"/>
  <c r="Y87" i="1"/>
  <c r="Z87" i="1"/>
  <c r="AA87" i="1"/>
  <c r="P88" i="1"/>
  <c r="Q88" i="1"/>
  <c r="R88" i="1"/>
  <c r="S88" i="1"/>
  <c r="T88" i="1"/>
  <c r="U88" i="1"/>
  <c r="V88" i="1"/>
  <c r="W88" i="1"/>
  <c r="X88" i="1"/>
  <c r="Y88" i="1"/>
  <c r="Z88" i="1"/>
  <c r="AA88" i="1"/>
  <c r="P89" i="1"/>
  <c r="Q89" i="1"/>
  <c r="R89" i="1"/>
  <c r="S89" i="1"/>
  <c r="T89" i="1"/>
  <c r="U89" i="1"/>
  <c r="V89" i="1"/>
  <c r="W89" i="1"/>
  <c r="X89" i="1"/>
  <c r="Y89" i="1"/>
  <c r="Z89" i="1"/>
  <c r="AA89" i="1"/>
  <c r="P90" i="1"/>
  <c r="Q90" i="1"/>
  <c r="R90" i="1"/>
  <c r="S90" i="1"/>
  <c r="T90" i="1"/>
  <c r="U90" i="1"/>
  <c r="V90" i="1"/>
  <c r="W90" i="1"/>
  <c r="X90" i="1"/>
  <c r="Y90" i="1"/>
  <c r="Z90" i="1"/>
  <c r="AA90" i="1"/>
  <c r="P91" i="1"/>
  <c r="Q91" i="1"/>
  <c r="R91" i="1"/>
  <c r="S91" i="1"/>
  <c r="T91" i="1"/>
  <c r="U91" i="1"/>
  <c r="V91" i="1"/>
  <c r="W91" i="1"/>
  <c r="X91" i="1"/>
  <c r="Y91" i="1"/>
  <c r="Z91" i="1"/>
  <c r="AA9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Bob Nau</author>
  </authors>
  <commentList>
    <comment ref="B5" authorId="0" shapeId="0" xr:uid="{00000000-0006-0000-0C00-000001000000}">
      <text>
        <r>
          <rPr>
            <sz val="9"/>
            <color indexed="81"/>
            <rFont val="Tahoma"/>
            <family val="2"/>
          </rPr>
          <t>00h:00m:02s</t>
        </r>
      </text>
    </comment>
    <comment ref="C5" authorId="0" shapeId="0" xr:uid="{00000000-0006-0000-0C00-000002000000}">
      <text>
        <r>
          <rPr>
            <sz val="9"/>
            <color indexed="81"/>
            <rFont val="Tahoma"/>
            <family val="2"/>
          </rPr>
          <t>00h:00m:03s</t>
        </r>
      </text>
    </comment>
    <comment ref="D5" authorId="0" shapeId="0" xr:uid="{00000000-0006-0000-0C00-000003000000}">
      <text>
        <r>
          <rPr>
            <sz val="9"/>
            <color indexed="81"/>
            <rFont val="Tahoma"/>
            <family val="2"/>
          </rPr>
          <t>00h:00m:02s</t>
        </r>
      </text>
    </comment>
    <comment ref="E5" authorId="0" shapeId="0" xr:uid="{00000000-0006-0000-0C00-000004000000}">
      <text>
        <r>
          <rPr>
            <sz val="9"/>
            <color indexed="81"/>
            <rFont val="Tahoma"/>
            <family val="2"/>
          </rPr>
          <t>00h:00m:02s</t>
        </r>
      </text>
    </comment>
    <comment ref="F5" authorId="0" shapeId="0" xr:uid="{00000000-0006-0000-0C00-000005000000}">
      <text>
        <r>
          <rPr>
            <sz val="9"/>
            <color indexed="81"/>
            <rFont val="Tahoma"/>
            <family val="2"/>
          </rPr>
          <t>00h:00m:02s</t>
        </r>
      </text>
    </comment>
    <comment ref="B39" authorId="0" shapeId="0" xr:uid="{00000000-0006-0000-0C00-000006000000}">
      <text>
        <r>
          <rPr>
            <sz val="9"/>
            <color indexed="81"/>
            <rFont val="Tahoma"/>
            <family val="2"/>
          </rPr>
          <t>00h:00m:03s</t>
        </r>
      </text>
    </comment>
    <comment ref="C39" authorId="0" shapeId="0" xr:uid="{00000000-0006-0000-0C00-000007000000}">
      <text>
        <r>
          <rPr>
            <sz val="9"/>
            <color indexed="81"/>
            <rFont val="Tahoma"/>
            <family val="2"/>
          </rPr>
          <t>00h:00m:02s</t>
        </r>
      </text>
    </comment>
    <comment ref="D39" authorId="0" shapeId="0" xr:uid="{00000000-0006-0000-0C00-000008000000}">
      <text>
        <r>
          <rPr>
            <sz val="9"/>
            <color indexed="81"/>
            <rFont val="Tahoma"/>
            <family val="2"/>
          </rPr>
          <t>00h:00m:02s</t>
        </r>
      </text>
    </comment>
  </commentList>
</comments>
</file>

<file path=xl/sharedStrings.xml><?xml version="1.0" encoding="utf-8"?>
<sst xmlns="http://schemas.openxmlformats.org/spreadsheetml/2006/main" count="1061" uniqueCount="327">
  <si>
    <t>Date</t>
  </si>
  <si>
    <t>Trend</t>
  </si>
  <si>
    <t>Month</t>
  </si>
  <si>
    <t>_Residential Natural Gas</t>
  </si>
  <si>
    <t>_Commercial Natural Gas</t>
  </si>
  <si>
    <t>_Industrial Natural Gas</t>
  </si>
  <si>
    <t>_Electric Natural Gas</t>
  </si>
  <si>
    <t>Cooling Degree Days</t>
  </si>
  <si>
    <t>Heating Degree Days</t>
  </si>
  <si>
    <t>Mean Maximum Temp</t>
  </si>
  <si>
    <t>Mean MinimumTemp</t>
  </si>
  <si>
    <t>Mean Temp</t>
  </si>
  <si>
    <t>_01</t>
  </si>
  <si>
    <t>_02</t>
  </si>
  <si>
    <t>_03</t>
  </si>
  <si>
    <t>_04</t>
  </si>
  <si>
    <t>_05</t>
  </si>
  <si>
    <t>_06</t>
  </si>
  <si>
    <t>_07</t>
  </si>
  <si>
    <t>_08</t>
  </si>
  <si>
    <t>_09</t>
  </si>
  <si>
    <t>_10</t>
  </si>
  <si>
    <t>_11</t>
  </si>
  <si>
    <t>_12</t>
  </si>
  <si>
    <t>Month_EQ__01</t>
  </si>
  <si>
    <t>Month_EQ__02</t>
  </si>
  <si>
    <t>Month_EQ__03</t>
  </si>
  <si>
    <t>Month_EQ__04</t>
  </si>
  <si>
    <t>Month_EQ__05</t>
  </si>
  <si>
    <t>Month_EQ__06</t>
  </si>
  <si>
    <t>Month_EQ__07</t>
  </si>
  <si>
    <t>Month_EQ__08</t>
  </si>
  <si>
    <t>Month_EQ__09</t>
  </si>
  <si>
    <t>Month_EQ__10</t>
  </si>
  <si>
    <t>Month_EQ__11</t>
  </si>
  <si>
    <t>Month_EQ__12</t>
  </si>
  <si>
    <t>Heating_Degree_Days_POW2</t>
  </si>
  <si>
    <t>Descriptive Statistics</t>
  </si>
  <si>
    <t>Variable</t>
  </si>
  <si>
    <t># Cases</t>
  </si>
  <si>
    <t>Mean</t>
  </si>
  <si>
    <t>Median</t>
  </si>
  <si>
    <t>Std.Dev.</t>
  </si>
  <si>
    <t>Std.Err.Mean</t>
  </si>
  <si>
    <t>Minimum</t>
  </si>
  <si>
    <t>Maximum</t>
  </si>
  <si>
    <t>Skewness</t>
  </si>
  <si>
    <t>Kurtosis</t>
  </si>
  <si>
    <t>_Total_NC_Natural_Gas</t>
  </si>
  <si>
    <t>_Commercial_Natural_Gas</t>
  </si>
  <si>
    <t>_Electric_Natural_Gas</t>
  </si>
  <si>
    <t>_Industrial_Natural_Gas</t>
  </si>
  <si>
    <t>_Residential_Natural_Gas</t>
  </si>
  <si>
    <t>1st Auto</t>
  </si>
  <si>
    <t>2nd Auto</t>
  </si>
  <si>
    <t>3rd Auto</t>
  </si>
  <si>
    <t>4th Auto</t>
  </si>
  <si>
    <t>5th Auto</t>
  </si>
  <si>
    <t>6th Auto</t>
  </si>
  <si>
    <t>7th Auto</t>
  </si>
  <si>
    <t>8th Auto</t>
  </si>
  <si>
    <t>9th Auto</t>
  </si>
  <si>
    <t>10th Auto</t>
  </si>
  <si>
    <t>11th Auto</t>
  </si>
  <si>
    <t>12th Auto</t>
  </si>
  <si>
    <t>Autocorrelations of _Total_NC_Natural_Gas</t>
  </si>
  <si>
    <t>Autocorrelations of _Commercial_Natural_Gas</t>
  </si>
  <si>
    <t>Autocorrelations of _Electric_Natural_Gas</t>
  </si>
  <si>
    <t>Autocorrelations of _Industrial_Natural_Gas</t>
  </si>
  <si>
    <t>Autocorrelations of _Residential_Natural_Gas</t>
  </si>
  <si>
    <t>Correlation Matrix (n=172)</t>
  </si>
  <si>
    <t xml:space="preserve">      _Total_NC_Natural_Gas</t>
  </si>
  <si>
    <t xml:space="preserve">      _Commercial_Natural_Gas</t>
  </si>
  <si>
    <t xml:space="preserve">      _Electric_Natural_Gas</t>
  </si>
  <si>
    <t xml:space="preserve">      _Industrial_Natural_Gas</t>
  </si>
  <si>
    <t xml:space="preserve">      _Residential_Natural_Gas</t>
  </si>
  <si>
    <t>October 2, 2015  9:37 AM  NC Natural Gas Consumption Analysis  All gas statistics</t>
  </si>
  <si>
    <t>Cooling_Degree_Days</t>
  </si>
  <si>
    <t>Heating_Degree_Days</t>
  </si>
  <si>
    <t>Mean_Maximum_Temp</t>
  </si>
  <si>
    <t>Mean_MinimumTemp</t>
  </si>
  <si>
    <t>Mean_Temp</t>
  </si>
  <si>
    <t>Autocorrelations of Cooling_Degree_Days</t>
  </si>
  <si>
    <t>Autocorrelations of Heating_Degree_Days</t>
  </si>
  <si>
    <t>Autocorrelations of Mean_Maximum_Temp</t>
  </si>
  <si>
    <t>Autocorrelations of Mean_MinimumTemp</t>
  </si>
  <si>
    <t>Autocorrelations of Mean_Temp</t>
  </si>
  <si>
    <t>Correlation Matrix (n=173)</t>
  </si>
  <si>
    <t xml:space="preserve">      Cooling_Degree_Days</t>
  </si>
  <si>
    <t xml:space="preserve">      Heating_Degree_Days</t>
  </si>
  <si>
    <t xml:space="preserve">      Mean_Maximum_Temp</t>
  </si>
  <si>
    <t xml:space="preserve">      Mean_MinimumTemp</t>
  </si>
  <si>
    <t xml:space="preserve">      Mean_Temp</t>
  </si>
  <si>
    <t>October 2, 2015  9:43 AM  NC Natural Gas Consumption Analysis  Commercial gas and temp stats</t>
  </si>
  <si>
    <t>Model:</t>
  </si>
  <si>
    <t>Com HDD linear model</t>
  </si>
  <si>
    <t>October 2, 2015  9:49 AM  NC Natural Gas Consumption Analysis  Com HDD linear model</t>
  </si>
  <si>
    <t>Dependent Variable:</t>
  </si>
  <si>
    <t>Independent Variables:</t>
  </si>
  <si>
    <t>Equation:</t>
  </si>
  <si>
    <t>Predicted _Commercial_Natural_Gas = 1,987 + 13.717*Heating_Degree_Days</t>
  </si>
  <si>
    <t>Regression Statistics:    Com HDD linear model for _Commercial_Natural_Gas    (1 variable, n=173)</t>
  </si>
  <si>
    <t>R-Squared</t>
  </si>
  <si>
    <t>Adj.R-Sqr.</t>
  </si>
  <si>
    <t>Std.Err.Reg.</t>
  </si>
  <si>
    <t>Std. Dev.</t>
  </si>
  <si>
    <t># Missing</t>
  </si>
  <si>
    <t>Conf. level</t>
  </si>
  <si>
    <t>Coefficient Estimates:    Com HDD linear model for _Commercial_Natural_Gas    (1 variable, n=173)</t>
  </si>
  <si>
    <t>Coefficient</t>
  </si>
  <si>
    <t>Std.Err.</t>
  </si>
  <si>
    <t>t-Stat.</t>
  </si>
  <si>
    <t>P-value</t>
  </si>
  <si>
    <t>Std. Coeff.</t>
  </si>
  <si>
    <t>Constant</t>
  </si>
  <si>
    <t>Analysis of Variance:    Com HDD linear model for _Commercial_Natural_Gas    (1 variable, n=173)</t>
  </si>
  <si>
    <t>Source</t>
  </si>
  <si>
    <t>Regression</t>
  </si>
  <si>
    <t>Residual</t>
  </si>
  <si>
    <t>Total</t>
  </si>
  <si>
    <t>df</t>
  </si>
  <si>
    <t>Sum Sqrs.</t>
  </si>
  <si>
    <t>Mean Sqr.</t>
  </si>
  <si>
    <t>F</t>
  </si>
  <si>
    <t>Line Fit Plot</t>
  </si>
  <si>
    <t>StdErrMean</t>
  </si>
  <si>
    <t>StdErrFcst</t>
  </si>
  <si>
    <t>Predicted</t>
  </si>
  <si>
    <t>Residual Distribution Statistics:    Com HDD linear model for _Commercial_Natural_Gas    (1 variable, n=173)</t>
  </si>
  <si>
    <t>#Res.&gt;0</t>
  </si>
  <si>
    <t>#Res.&lt;=0</t>
  </si>
  <si>
    <t>A-D* Stat.</t>
  </si>
  <si>
    <t>See the residual histogram, normal quantile plot and residual table for more details of the error distribution.</t>
  </si>
  <si>
    <t>MinStdRes</t>
  </si>
  <si>
    <t>MaxStdRes</t>
  </si>
  <si>
    <t>Durbin-Watson Stat</t>
  </si>
  <si>
    <t>Residual Autocorrelations:    Com HDD linear model for _Commercial_Natural_Gas    (1 variable, n=173)</t>
  </si>
  <si>
    <t>Lag</t>
  </si>
  <si>
    <t>Autocorrelation</t>
  </si>
  <si>
    <t>Std. err.</t>
  </si>
  <si>
    <t>See the Residual-vs-Observation # plot for more details of the time pattern in the errors.</t>
  </si>
  <si>
    <t>Forecasts:  Com HDD linear model for _Commercial_Natural_Gas    (1 variable, n=173)</t>
  </si>
  <si>
    <t>Obs#</t>
  </si>
  <si>
    <t>Forecast</t>
  </si>
  <si>
    <t>StErrFcst</t>
  </si>
  <si>
    <t>StErrMean</t>
  </si>
  <si>
    <t xml:space="preserve">   Heating_Degree_Days</t>
  </si>
  <si>
    <t>Actual and predicted -vs- Observation #</t>
  </si>
  <si>
    <t>Residual -vs- Observation #</t>
  </si>
  <si>
    <t>Residual -vs- Predicted</t>
  </si>
  <si>
    <t>Histogram of Residuals</t>
  </si>
  <si>
    <t>Normal Quantile Plot</t>
  </si>
  <si>
    <t>Residuals sorted from largest to smallest by absolute value: Com HDD linear model for _Commercial_Natural_Gas    (1 variable, n=173)</t>
  </si>
  <si>
    <t>Actual</t>
  </si>
  <si>
    <t>Std.Res.</t>
  </si>
  <si>
    <t>Summary of Regression Model Results</t>
  </si>
  <si>
    <t>Dependent Variable: _Commercial_Natural_Gas</t>
  </si>
  <si>
    <t>Model</t>
  </si>
  <si>
    <t>Run Time</t>
  </si>
  <si>
    <t>Regression Statistics</t>
  </si>
  <si>
    <t>R-squared</t>
  </si>
  <si>
    <t>Adjusted R-squared</t>
  </si>
  <si>
    <t>Standard Error of Regression</t>
  </si>
  <si>
    <t>Coefficient estimates and P-values</t>
  </si>
  <si>
    <t>1987.142  (0.000)</t>
  </si>
  <si>
    <t>13.717  (0.000)</t>
  </si>
  <si>
    <t>Com HDD plus trend model</t>
  </si>
  <si>
    <t>October 2, 2015  9:57 AM  NC Natural Gas Consumption Analysis  Com HDD plus trend model</t>
  </si>
  <si>
    <t>Heating_Degree_Days, Trend</t>
  </si>
  <si>
    <t>Predicted _Commercial_Natural_Gas = 1,205 + 13.71*Heating_Degree_Days + 9*Trend</t>
  </si>
  <si>
    <t>Regression Statistics:    Com HDD plus trend model for _Commercial_Natural_Gas    (2 variables, n=173)</t>
  </si>
  <si>
    <t>Coefficient Estimates:    Com HDD plus trend model for _Commercial_Natural_Gas    (2 variables, n=173)</t>
  </si>
  <si>
    <t>Analysis of Variance:    Com HDD plus trend model for _Commercial_Natural_Gas    (2 variables, n=173)</t>
  </si>
  <si>
    <t>Residual Distribution Statistics:    Com HDD plus trend model for _Commercial_Natural_Gas    (2 variables, n=173)</t>
  </si>
  <si>
    <t>Residual Autocorrelations:    Com HDD plus trend model for _Commercial_Natural_Gas    (2 variables, n=173)</t>
  </si>
  <si>
    <t>Forecasts:  Com HDD plus trend model for _Commercial_Natural_Gas    (2 variables, n=173)</t>
  </si>
  <si>
    <t xml:space="preserve">       Trend</t>
  </si>
  <si>
    <t>Residuals sorted from largest to smallest by absolute value: Com HDD plus trend model for _Commercial_Natural_Gas    (2 variables, n=173)</t>
  </si>
  <si>
    <t>1205.164  (0.000)</t>
  </si>
  <si>
    <t>13.71  (0.000)</t>
  </si>
  <si>
    <t>9  (0.000)</t>
  </si>
  <si>
    <t>Com HDD trend model from 2009</t>
  </si>
  <si>
    <t>October 2, 2015  10:02 AM  NC Natural Gas Consumption Analysis  Com HDD trend model from 2009</t>
  </si>
  <si>
    <t>Predicted _Commercial_Natural_Gas = 809.497 + 15.012*Heating_Degree_Days + 10.365*Trend</t>
  </si>
  <si>
    <t>Regression Statistics:    Com HDD trend model from 2009 for _Commercial_Natural_Gas    (2 variables, n=77)</t>
  </si>
  <si>
    <t>Coefficient Estimates:    Com HDD trend model from 2009 for _Commercial_Natural_Gas    (2 variables, n=77)</t>
  </si>
  <si>
    <t>Analysis of Variance:    Com HDD trend model from 2009 for _Commercial_Natural_Gas    (2 variables, n=77)</t>
  </si>
  <si>
    <t>Residual Distribution Statistics:    Com HDD trend model from 2009 for _Commercial_Natural_Gas    (2 variables, n=77)</t>
  </si>
  <si>
    <t>Residual Autocorrelations:    Com HDD trend model from 2009 for _Commercial_Natural_Gas    (2 variables, n=77)</t>
  </si>
  <si>
    <t>Forecasts:  Com HDD trend model from 2009 for _Commercial_Natural_Gas    (2 variables, n=77)</t>
  </si>
  <si>
    <t>Residuals sorted from largest to smallest by absolute value: Com HDD trend model from 2009 for _Commercial_Natural_Gas    (2 variables, n=77)</t>
  </si>
  <si>
    <t>809.497  (0.008)</t>
  </si>
  <si>
    <t>15.012  (0.000)</t>
  </si>
  <si>
    <t>10.365  (0.000)</t>
  </si>
  <si>
    <t>Com HDD quadratic model</t>
  </si>
  <si>
    <t>October 2, 2015  10:09 AM  NC Natural Gas Consumption Analysis  Com HDD quadratic model</t>
  </si>
  <si>
    <t>Heating_Degree_Days, Heating_Degree_Days_POW2, Trend</t>
  </si>
  <si>
    <t>Predicted _Commercial_Natural_Gas = 998.981 + 9.119*Heating_Degree_Days + 0.014*Heating_Degree_Days_POW2 + 10.427*Trend</t>
  </si>
  <si>
    <t>Regression Statistics:    Com HDD quadratic model for _Commercial_Natural_Gas    (3 variables, n=77)</t>
  </si>
  <si>
    <t>Coefficient Estimates:    Com HDD quadratic model for _Commercial_Natural_Gas    (3 variables, n=77)</t>
  </si>
  <si>
    <t>Analysis of Variance:    Com HDD quadratic model for _Commercial_Natural_Gas    (3 variables, n=77)</t>
  </si>
  <si>
    <t>Residual Distribution Statistics:    Com HDD quadratic model for _Commercial_Natural_Gas    (3 variables, n=77)</t>
  </si>
  <si>
    <t>Residual Autocorrelations:    Com HDD quadratic model for _Commercial_Natural_Gas    (3 variables, n=77)</t>
  </si>
  <si>
    <t>Forecasts:  Com HDD quadratic model for _Commercial_Natural_Gas    (3 variables, n=77)</t>
  </si>
  <si>
    <t xml:space="preserve">   Heating_Degree_Days_POW2</t>
  </si>
  <si>
    <t>Residuals sorted from largest to smallest by absolute value: Com HDD quadratic model for _Commercial_Natural_Gas    (3 variables, n=77)</t>
  </si>
  <si>
    <t>998.981  (0.000)</t>
  </si>
  <si>
    <t>9.119  (0.000)</t>
  </si>
  <si>
    <t>0.014  (0.000)</t>
  </si>
  <si>
    <t>10.427  (0.000)</t>
  </si>
  <si>
    <t>Com HDD model with dummies</t>
  </si>
  <si>
    <t>October 2, 2015  10:15 AM  NC Natural Gas Consumption Analysis  Com HDD model with dummies</t>
  </si>
  <si>
    <t>Heating_Degree_Days, Heating_Degree_Days_POW2, Month_EQ__01, Month_EQ__02, Month_EQ__03, Month_EQ__04, Month_EQ__05, Month_EQ__06, Month_EQ__07, Month_EQ__08, Month_EQ__09, Month_EQ__10, Month_EQ__11, Trend</t>
  </si>
  <si>
    <t>Predicted _Commercial_Natural_Gas = 375.845 + 9.979*Heating_Degree_Days + 0.013*Heating_Degree_Days_POW2 + 374.483*Month_EQ__01 + 556.324*Month_EQ__02 + 568.484*Month_EQ__03 + 359.579*Month_EQ__04 + 578.916*Month_EQ__05 + 516.705*Month_EQ__06 + 421.688*Month_EQ__07 + 617.435*Month_EQ__08 + 701.041*Month_EQ__09 + 796.913*Month_EQ__10 + 193.405*Month_EQ__11 + 10.754*Trend</t>
  </si>
  <si>
    <t>Regression Statistics:    Com HDD model with dummies for _Commercial_Natural_Gas    (14 variables, n=77)</t>
  </si>
  <si>
    <t>Coefficient Estimates:    Com HDD model with dummies for _Commercial_Natural_Gas    (14 variables, n=77)</t>
  </si>
  <si>
    <t>Analysis of Variance:    Com HDD model with dummies for _Commercial_Natural_Gas    (14 variables, n=77)</t>
  </si>
  <si>
    <t>Residual Distribution Statistics:    Com HDD model with dummies for _Commercial_Natural_Gas    (14 variables, n=77)</t>
  </si>
  <si>
    <t>Residual Autocorrelations:    Com HDD model with dummies for _Commercial_Natural_Gas    (14 variables, n=77)</t>
  </si>
  <si>
    <t>Forecasts:  Com HDD model with dummies for _Commercial_Natural_Gas    (14 variables, n=77)</t>
  </si>
  <si>
    <t xml:space="preserve">   Month_EQ__01</t>
  </si>
  <si>
    <t xml:space="preserve">   Month_EQ__02</t>
  </si>
  <si>
    <t xml:space="preserve">   Month_EQ__03</t>
  </si>
  <si>
    <t xml:space="preserve">   Month_EQ__04</t>
  </si>
  <si>
    <t xml:space="preserve">   Month_EQ__05</t>
  </si>
  <si>
    <t xml:space="preserve">   Month_EQ__06</t>
  </si>
  <si>
    <t xml:space="preserve">   Month_EQ__07</t>
  </si>
  <si>
    <t xml:space="preserve">   Month_EQ__08</t>
  </si>
  <si>
    <t xml:space="preserve">   Month_EQ__09</t>
  </si>
  <si>
    <t xml:space="preserve">   Month_EQ__10</t>
  </si>
  <si>
    <t xml:space="preserve">   Month_EQ__11</t>
  </si>
  <si>
    <t>Residuals sorted from largest to smallest by absolute value: Com HDD model with dummies for _Commercial_Natural_Gas    (14 variables, n=77)</t>
  </si>
  <si>
    <t>375.845  (0.423)</t>
  </si>
  <si>
    <t>9.979  (0.000)</t>
  </si>
  <si>
    <t>0.013  (0.000)</t>
  </si>
  <si>
    <t>374.483  (0.015)</t>
  </si>
  <si>
    <t>556.324  (0.000)</t>
  </si>
  <si>
    <t>568.484  (0.001)</t>
  </si>
  <si>
    <t>359.579  (0.235)</t>
  </si>
  <si>
    <t>578.916  (0.171)</t>
  </si>
  <si>
    <t>516.705  (0.266)</t>
  </si>
  <si>
    <t>421.688  (0.365)</t>
  </si>
  <si>
    <t>617.435  (0.186)</t>
  </si>
  <si>
    <t>701.041  (0.124)</t>
  </si>
  <si>
    <t>796.913  (0.009)</t>
  </si>
  <si>
    <t>193.405  (0.250)</t>
  </si>
  <si>
    <t>10.754  (0.000)</t>
  </si>
  <si>
    <t>Elec HDD model with dummies</t>
  </si>
  <si>
    <t>October 2, 2015  10:19 AM  NC Natural Gas Consumption Analysis  Elec HDD model with dummies</t>
  </si>
  <si>
    <t>Predicted _Electric_Natural_Gas = -25,881 + 6.842*Heating_Degree_Days - 0.01*Heating_Degree_Days_POW2 + 954.295*Month_EQ__01 - 1178*Month_EQ__02 - 542.921*Month_EQ__03 - 666.178*Month_EQ__04 + 1898*Month_EQ__05 + 4488*Month_EQ__06 + 6361*Month_EQ__07 + 5011*Month_EQ__08 + 2390*Month_EQ__09 - 2244*Month_EQ__10 - 2000*Month_EQ__11 + 262.691*Trend</t>
  </si>
  <si>
    <t>Regression Statistics:    Elec HDD model with dummies for _Electric_Natural_Gas    (14 variables, n=78)</t>
  </si>
  <si>
    <t>Coefficient Estimates:    Elec HDD model with dummies for _Electric_Natural_Gas    (14 variables, n=78)</t>
  </si>
  <si>
    <t>Analysis of Variance:    Elec HDD model with dummies for _Electric_Natural_Gas    (14 variables, n=78)</t>
  </si>
  <si>
    <t>Residual Distribution Statistics:    Elec HDD model with dummies for _Electric_Natural_Gas    (14 variables, n=78)</t>
  </si>
  <si>
    <t>Residual Autocorrelations:    Elec HDD model with dummies for _Electric_Natural_Gas    (14 variables, n=78)</t>
  </si>
  <si>
    <t>Forecasts:  Elec HDD model with dummies for _Electric_Natural_Gas    (14 variables, n=78)</t>
  </si>
  <si>
    <t>Residuals sorted from largest to smallest by absolute value: Elec HDD model with dummies for _Electric_Natural_Gas    (14 variables, n=78)</t>
  </si>
  <si>
    <t>Dependent Variable: _Electric_Natural_Gas</t>
  </si>
  <si>
    <t>-25881.307  (0.000)</t>
  </si>
  <si>
    <t>6.842  (0.726)</t>
  </si>
  <si>
    <t>-0.01  (0.712)</t>
  </si>
  <si>
    <t>954.295  (0.433)</t>
  </si>
  <si>
    <t>-1178.209  (0.312)</t>
  </si>
  <si>
    <t>-542.921  (0.685)</t>
  </si>
  <si>
    <t>-666.178  (0.783)</t>
  </si>
  <si>
    <t>1897.787  (0.574)</t>
  </si>
  <si>
    <t>4487.558  (0.230)</t>
  </si>
  <si>
    <t>6360.777  (0.092)</t>
  </si>
  <si>
    <t>5010.789  (0.182)</t>
  </si>
  <si>
    <t>2389.991  (0.510)</t>
  </si>
  <si>
    <t>-2243.964  (0.349)</t>
  </si>
  <si>
    <t>-2000.492  (0.141)</t>
  </si>
  <si>
    <t>262.691  (0.000)</t>
  </si>
  <si>
    <t>Cooling_Degree_Days_POW2</t>
  </si>
  <si>
    <t>Elec CDD model with dummies</t>
  </si>
  <si>
    <t>October 2, 2015  10:27 AM  NC Natural Gas Consumption Analysis  Elec CDD model with dummies</t>
  </si>
  <si>
    <t>Cooling_Degree_Days, Cooling_Degree_Days_POW2, Month_EQ__01, Month_EQ__02, Month_EQ__03, Month_EQ__04, Month_EQ__05, Month_EQ__06, Month_EQ__07, Month_EQ__08, Month_EQ__09, Month_EQ__10, Month_EQ__11, Trend</t>
  </si>
  <si>
    <t>Predicted _Electric_Natural_Gas = -25,356 - 56.586*Cooling_Degree_Days + 0.188*Cooling_Degree_Days_POW2 + 863.025*Month_EQ__01 - 1161*Month_EQ__02 - 338.396*Month_EQ__03 + 68.676*Month_EQ__04 + 4724*Month_EQ__05 + 6748*Month_EQ__06 + 7052*Month_EQ__07 + 6958*Month_EQ__08 + 5335*Month_EQ__09 - 1678*Month_EQ__10 - 1981*Month_EQ__11 + 266.86*Trend</t>
  </si>
  <si>
    <t>Regression Statistics:    Elec CDD model with dummies for _Electric_Natural_Gas    (14 variables, n=78)</t>
  </si>
  <si>
    <t>Coefficient Estimates:    Elec CDD model with dummies for _Electric_Natural_Gas    (14 variables, n=78)</t>
  </si>
  <si>
    <t>Analysis of Variance:    Elec CDD model with dummies for _Electric_Natural_Gas    (14 variables, n=78)</t>
  </si>
  <si>
    <t>Residual Distribution Statistics:    Elec CDD model with dummies for _Electric_Natural_Gas    (14 variables, n=78)</t>
  </si>
  <si>
    <t>Residual Autocorrelations:    Elec CDD model with dummies for _Electric_Natural_Gas    (14 variables, n=78)</t>
  </si>
  <si>
    <t>Forecasts:  Elec CDD model with dummies for _Electric_Natural_Gas    (14 variables, n=78)</t>
  </si>
  <si>
    <t xml:space="preserve">   Cooling_Degree_Days</t>
  </si>
  <si>
    <t xml:space="preserve">   Cooling_Degree_Days_POW2</t>
  </si>
  <si>
    <t>Residuals sorted from largest to smallest by absolute value: Elec CDD model with dummies for _Electric_Natural_Gas    (14 variables, n=78)</t>
  </si>
  <si>
    <t>-25356.268  (0.000)</t>
  </si>
  <si>
    <t>-56.586  (0.144)</t>
  </si>
  <si>
    <t>0.188  (0.044)</t>
  </si>
  <si>
    <t>863.025  (0.431)</t>
  </si>
  <si>
    <t>-1160.769  (0.291)</t>
  </si>
  <si>
    <t>-338.396  (0.759)</t>
  </si>
  <si>
    <t>68.676  (0.961)</t>
  </si>
  <si>
    <t>4723.684  (0.142)</t>
  </si>
  <si>
    <t>6748.059  (0.128)</t>
  </si>
  <si>
    <t>7052.205  (0.120)</t>
  </si>
  <si>
    <t>6958.382  (0.123)</t>
  </si>
  <si>
    <t>5335.193  (0.136)</t>
  </si>
  <si>
    <t>-1677.627  (0.218)</t>
  </si>
  <si>
    <t>-1980.639  (0.084)</t>
  </si>
  <si>
    <t>266.86  (0.000)</t>
  </si>
  <si>
    <t>Elec dummy only model</t>
  </si>
  <si>
    <t>October 2, 2015  10:35 AM  NC Natural Gas Consumption Analysis  Elec dummy only model</t>
  </si>
  <si>
    <t>Month_EQ__01, Month_EQ__02, Month_EQ__03, Month_EQ__04, Month_EQ__05, Month_EQ__06, Month_EQ__07, Month_EQ__08, Month_EQ__09, Month_EQ__10, Month_EQ__11, Trend</t>
  </si>
  <si>
    <t>Predicted _Electric_Natural_Gas = -24,889 + 896.769*Month_EQ__01 - 1131*Month_EQ__02 - 580.386*Month_EQ__03 - 1189*Month_EQ__04 + 990.173*Month_EQ__05 + 3444*Month_EQ__06 + 5317*Month_EQ__07 + 3968*Month_EQ__08 + 1388*Month_EQ__09 - 2743*Month_EQ__10 - 1989*Month_EQ__11 + 263.078*Trend</t>
  </si>
  <si>
    <t>Regression Statistics:    Elec dummy only model for _Electric_Natural_Gas    (12 variables, n=78)</t>
  </si>
  <si>
    <t>Coefficient Estimates:    Elec dummy only model for _Electric_Natural_Gas    (12 variables, n=78)</t>
  </si>
  <si>
    <t>Analysis of Variance:    Elec dummy only model for _Electric_Natural_Gas    (12 variables, n=78)</t>
  </si>
  <si>
    <t>Residual Distribution Statistics:    Elec dummy only model for _Electric_Natural_Gas    (12 variables, n=78)</t>
  </si>
  <si>
    <t>Residual Autocorrelations:    Elec dummy only model for _Electric_Natural_Gas    (12 variables, n=78)</t>
  </si>
  <si>
    <t>Forecasts:  Elec dummy only model for _Electric_Natural_Gas    (12 variables, n=78)</t>
  </si>
  <si>
    <t>Residuals sorted from largest to smallest by absolute value: Elec dummy only model for _Electric_Natural_Gas    (12 variables, n=78)</t>
  </si>
  <si>
    <t>-24889.366  (0.000)</t>
  </si>
  <si>
    <t>896.769  (0.430)</t>
  </si>
  <si>
    <t>-1131.023  (0.320)</t>
  </si>
  <si>
    <t>-580.386  (0.608)</t>
  </si>
  <si>
    <t>-1189.035  (0.295)</t>
  </si>
  <si>
    <t>990.173  (0.383)</t>
  </si>
  <si>
    <t>3443.667  (0.003)</t>
  </si>
  <si>
    <t>5317.388  (0.000)</t>
  </si>
  <si>
    <t>3967.81  (0.001)</t>
  </si>
  <si>
    <t>1388.233  (0.240)</t>
  </si>
  <si>
    <t>-2743.178  (0.022)</t>
  </si>
  <si>
    <t>-1989.422  (0.094)</t>
  </si>
  <si>
    <t>263.078  (0.000)</t>
  </si>
  <si>
    <t xml:space="preserve">Total NC Natural Gas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</si>
</sst>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409]mmm\-yy;@"/>
    <numFmt numFmtId="165" formatCode="0.000"/>
    <numFmt numFmtId="166" formatCode="#,###"/>
    <numFmt numFmtId="167" formatCode="#,##0.000"/>
    <numFmt numFmtId="168" formatCode="0.0%"/>
    <numFmt numFmtId="169" formatCode="[$-409]m/d/yy\ h:mm\ AM/PM;@"/>
    <numFmt numFmtId="170" formatCode="0.000000"/>
  </numFmts>
  <fonts count="14" x14ac:knownFonts="1">
    <font>
      <sz val="11"/>
      <color theme="1"/>
      <name val="Calibri"/>
      <family val="2"/>
      <scheme val="minor"/>
    </font>
    <font>
      <sz val="8"/>
      <color theme="1"/>
      <name val="Arial"/>
      <family val="2"/>
    </font>
    <font>
      <b/>
      <u/>
      <sz val="8"/>
      <color theme="1"/>
      <name val="Arial"/>
      <family val="2"/>
    </font>
    <font>
      <sz val="8"/>
      <color rgb="FFB2B2B2"/>
      <name val="Arial"/>
      <family val="2"/>
    </font>
    <font>
      <b/>
      <sz val="8"/>
      <color theme="1"/>
      <name val="Arial"/>
      <family val="2"/>
    </font>
    <font>
      <i/>
      <sz val="8"/>
      <color theme="1"/>
      <name val="Arial"/>
      <family val="2"/>
    </font>
    <font>
      <sz val="8"/>
      <color theme="0"/>
      <name val="Arial"/>
      <family val="2"/>
    </font>
    <font>
      <b/>
      <sz val="7"/>
      <color theme="1"/>
      <name val="Arial"/>
      <family val="2"/>
    </font>
    <font>
      <sz val="8"/>
      <color rgb="FF777777"/>
      <name val="Arial"/>
      <family val="2"/>
    </font>
    <font>
      <sz val="8"/>
      <color rgb="FFF8F8F8"/>
      <name val="Arial"/>
      <family val="2"/>
    </font>
    <font>
      <sz val="9"/>
      <color indexed="81"/>
      <name val="Tahoma"/>
      <family val="2"/>
    </font>
    <font>
      <b/>
      <sz val="8"/>
      <color rgb="FFFF0000"/>
      <name val="Arial"/>
      <family val="2"/>
    </font>
    <font>
      <sz val="8"/>
      <color rgb="FFFFFFFF"/>
      <name val="Arial"/>
      <family val="2"/>
    </font>
    <font>
      <i/>
      <sz val="11"/>
      <color theme="1"/>
      <name val="Calibri"/>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s>
  <borders count="5">
    <border>
      <left/>
      <right/>
      <top/>
      <bottom/>
      <diagonal/>
    </border>
    <border>
      <left/>
      <right/>
      <top/>
      <bottom style="medium">
        <color indexed="18"/>
      </bottom>
      <diagonal/>
    </border>
    <border>
      <left style="medium">
        <color indexed="18"/>
      </left>
      <right/>
      <top/>
      <bottom style="medium">
        <color indexed="18"/>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57">
    <xf numFmtId="0" fontId="0" fillId="0" borderId="0" xfId="0"/>
    <xf numFmtId="1" fontId="0" fillId="0" borderId="0" xfId="0" applyNumberFormat="1"/>
    <xf numFmtId="164" fontId="0" fillId="0" borderId="0" xfId="0" applyNumberFormat="1"/>
    <xf numFmtId="0" fontId="0" fillId="0" borderId="0" xfId="0" applyAlignment="1">
      <alignment horizontal="right"/>
    </xf>
    <xf numFmtId="164" fontId="0" fillId="2" borderId="0" xfId="0" applyNumberFormat="1" applyFill="1"/>
    <xf numFmtId="0" fontId="0" fillId="2" borderId="0" xfId="0" applyFill="1"/>
    <xf numFmtId="0" fontId="0" fillId="2" borderId="0" xfId="0" applyFill="1" applyAlignment="1">
      <alignment horizontal="right"/>
    </xf>
    <xf numFmtId="165" fontId="1" fillId="0" borderId="0" xfId="0" applyNumberFormat="1" applyFont="1"/>
    <xf numFmtId="165" fontId="2" fillId="0" borderId="0" xfId="0" applyNumberFormat="1" applyFont="1"/>
    <xf numFmtId="165" fontId="1" fillId="0" borderId="0" xfId="0" applyNumberFormat="1" applyFont="1" applyAlignment="1">
      <alignment horizontal="right"/>
    </xf>
    <xf numFmtId="165" fontId="1" fillId="0" borderId="1" xfId="0" applyNumberFormat="1" applyFont="1" applyBorder="1" applyAlignment="1">
      <alignment horizontal="right"/>
    </xf>
    <xf numFmtId="165" fontId="1" fillId="0" borderId="1" xfId="0" applyNumberFormat="1" applyFont="1" applyBorder="1"/>
    <xf numFmtId="1" fontId="1" fillId="0" borderId="0" xfId="0" applyNumberFormat="1" applyFont="1"/>
    <xf numFmtId="166" fontId="1" fillId="0" borderId="0" xfId="0" applyNumberFormat="1" applyFont="1"/>
    <xf numFmtId="165" fontId="3" fillId="0" borderId="0" xfId="0" applyNumberFormat="1" applyFont="1"/>
    <xf numFmtId="165" fontId="4" fillId="0" borderId="0" xfId="0" applyNumberFormat="1" applyFont="1"/>
    <xf numFmtId="165" fontId="1" fillId="0" borderId="2" xfId="0" applyNumberFormat="1" applyFont="1" applyBorder="1"/>
    <xf numFmtId="165" fontId="6" fillId="0" borderId="0" xfId="0" applyNumberFormat="1" applyFont="1"/>
    <xf numFmtId="167" fontId="1" fillId="0" borderId="0" xfId="0" applyNumberFormat="1" applyFont="1" applyAlignment="1"/>
    <xf numFmtId="167" fontId="4" fillId="0" borderId="0" xfId="0" applyNumberFormat="1" applyFont="1" applyAlignment="1"/>
    <xf numFmtId="167" fontId="2" fillId="0" borderId="0" xfId="0" applyNumberFormat="1" applyFont="1" applyAlignment="1"/>
    <xf numFmtId="167" fontId="1" fillId="0" borderId="1" xfId="0" applyNumberFormat="1" applyFont="1" applyBorder="1" applyAlignment="1"/>
    <xf numFmtId="167" fontId="4" fillId="0" borderId="1" xfId="0" applyNumberFormat="1" applyFont="1" applyBorder="1" applyAlignment="1"/>
    <xf numFmtId="167" fontId="7" fillId="0" borderId="1" xfId="0" applyNumberFormat="1" applyFont="1" applyBorder="1" applyAlignment="1">
      <alignment horizontal="right"/>
    </xf>
    <xf numFmtId="165" fontId="1" fillId="0" borderId="0" xfId="0" applyNumberFormat="1" applyFont="1" applyAlignment="1"/>
    <xf numFmtId="166" fontId="1" fillId="0" borderId="0" xfId="0" applyNumberFormat="1" applyFont="1" applyAlignment="1"/>
    <xf numFmtId="1" fontId="1" fillId="0" borderId="0" xfId="0" applyNumberFormat="1" applyFont="1" applyAlignment="1"/>
    <xf numFmtId="168" fontId="1" fillId="0" borderId="0" xfId="0" applyNumberFormat="1" applyFont="1" applyAlignment="1"/>
    <xf numFmtId="167" fontId="7" fillId="0" borderId="1" xfId="0" applyNumberFormat="1" applyFont="1" applyBorder="1" applyAlignment="1">
      <alignment horizontal="left"/>
    </xf>
    <xf numFmtId="167" fontId="8" fillId="0" borderId="0" xfId="0" applyNumberFormat="1" applyFont="1" applyAlignment="1"/>
    <xf numFmtId="165" fontId="4" fillId="0" borderId="0" xfId="0" applyNumberFormat="1" applyFont="1" applyAlignment="1"/>
    <xf numFmtId="1" fontId="7" fillId="0" borderId="1" xfId="0" applyNumberFormat="1" applyFont="1" applyBorder="1" applyAlignment="1">
      <alignment horizontal="right"/>
    </xf>
    <xf numFmtId="167" fontId="9" fillId="0" borderId="0" xfId="0" applyNumberFormat="1" applyFont="1" applyAlignment="1"/>
    <xf numFmtId="165" fontId="9" fillId="0" borderId="0" xfId="0" applyNumberFormat="1" applyFont="1" applyAlignment="1"/>
    <xf numFmtId="0" fontId="1" fillId="0" borderId="0" xfId="0" applyNumberFormat="1" applyFont="1" applyAlignment="1"/>
    <xf numFmtId="167" fontId="6" fillId="0" borderId="0" xfId="0" applyNumberFormat="1" applyFont="1" applyAlignment="1"/>
    <xf numFmtId="1" fontId="4" fillId="0" borderId="0" xfId="0" applyNumberFormat="1" applyFont="1" applyAlignment="1"/>
    <xf numFmtId="166" fontId="4" fillId="0" borderId="0" xfId="0" applyNumberFormat="1" applyFont="1" applyAlignment="1"/>
    <xf numFmtId="167" fontId="1" fillId="0" borderId="0" xfId="0" applyNumberFormat="1" applyFont="1" applyAlignment="1">
      <alignment horizontal="right"/>
    </xf>
    <xf numFmtId="167" fontId="2" fillId="0" borderId="0" xfId="0" applyNumberFormat="1" applyFont="1" applyAlignment="1">
      <alignment horizontal="right"/>
    </xf>
    <xf numFmtId="167" fontId="4" fillId="0" borderId="0" xfId="0" applyNumberFormat="1" applyFont="1" applyAlignment="1">
      <alignment horizontal="right"/>
    </xf>
    <xf numFmtId="167" fontId="4" fillId="0" borderId="0" xfId="0" applyNumberFormat="1" applyFont="1" applyAlignment="1">
      <alignment horizontal="left"/>
    </xf>
    <xf numFmtId="167" fontId="5" fillId="0" borderId="0" xfId="0" applyNumberFormat="1" applyFont="1" applyAlignment="1">
      <alignment horizontal="left"/>
    </xf>
    <xf numFmtId="169" fontId="1" fillId="0" borderId="0" xfId="0" applyNumberFormat="1" applyFont="1" applyAlignment="1">
      <alignment horizontal="right"/>
    </xf>
    <xf numFmtId="1" fontId="1" fillId="0" borderId="0" xfId="0" applyNumberFormat="1" applyFont="1" applyAlignment="1">
      <alignment horizontal="right"/>
    </xf>
    <xf numFmtId="165" fontId="3" fillId="0" borderId="0" xfId="0" applyNumberFormat="1" applyFont="1" applyAlignment="1"/>
    <xf numFmtId="170" fontId="1" fillId="0" borderId="0" xfId="0" applyNumberFormat="1" applyFont="1" applyAlignment="1"/>
    <xf numFmtId="170" fontId="3" fillId="0" borderId="0" xfId="0" applyNumberFormat="1" applyFont="1" applyAlignment="1"/>
    <xf numFmtId="165" fontId="4" fillId="3" borderId="0" xfId="0" applyNumberFormat="1" applyFont="1" applyFill="1" applyAlignment="1"/>
    <xf numFmtId="1" fontId="11" fillId="0" borderId="0" xfId="0" applyNumberFormat="1" applyFont="1" applyAlignment="1"/>
    <xf numFmtId="166" fontId="11" fillId="0" borderId="0" xfId="0" applyNumberFormat="1" applyFont="1" applyAlignment="1"/>
    <xf numFmtId="167" fontId="11" fillId="0" borderId="0" xfId="0" applyNumberFormat="1" applyFont="1" applyAlignment="1"/>
    <xf numFmtId="167" fontId="12" fillId="0" borderId="0" xfId="0" applyNumberFormat="1" applyFont="1" applyAlignment="1"/>
    <xf numFmtId="165" fontId="12" fillId="0" borderId="0" xfId="0" applyNumberFormat="1" applyFont="1"/>
    <xf numFmtId="0" fontId="0" fillId="0" borderId="0" xfId="0" applyFill="1" applyBorder="1" applyAlignment="1"/>
    <xf numFmtId="0" fontId="0" fillId="0" borderId="3" xfId="0" applyFill="1" applyBorder="1" applyAlignment="1"/>
    <xf numFmtId="0" fontId="13" fillId="0" borderId="4" xfId="0" applyFont="1" applyFill="1" applyBorder="1" applyAlignment="1">
      <alignment horizontal="center"/>
    </xf>
  </cellXfs>
  <cellStyles count="1">
    <cellStyle name="Normal" xfId="0" builtinId="0"/>
  </cellStyles>
  <dxfs count="0"/>
  <tableStyles count="0" defaultTableStyle="TableStyleMedium2" defaultPivotStyle="PivotStyleLight16"/>
  <colors>
    <mruColors>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hartsheet" Target="chartsheets/sheet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5.0347222222222224E-2"/>
          <c:y val="3.5833333333333335E-2"/>
          <c:w val="0.92720827865266842"/>
          <c:h val="0.96416666666666662"/>
        </c:manualLayout>
      </c:layout>
      <c:scatterChart>
        <c:scatterStyle val="lineMarker"/>
        <c:varyColors val="0"/>
        <c:ser>
          <c:idx val="0"/>
          <c:order val="0"/>
          <c:spPr>
            <a:ln w="9525" cap="rnd" cmpd="sng" algn="ctr">
              <a:solidFill>
                <a:srgbClr val="0000FF"/>
              </a:solidFill>
              <a:prstDash val="solid"/>
              <a:round/>
              <a:headEnd type="none" w="med" len="med"/>
              <a:tailEnd type="none" w="med" len="med"/>
            </a:ln>
            <a:effectLst/>
          </c:spPr>
          <c:marker>
            <c:symbol val="diamond"/>
            <c:size val="5"/>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17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151</c:v>
              </c:pt>
              <c:pt idx="150">
                <c:v>152</c:v>
              </c:pt>
              <c:pt idx="151">
                <c:v>153</c:v>
              </c:pt>
              <c:pt idx="152">
                <c:v>154</c:v>
              </c:pt>
              <c:pt idx="153">
                <c:v>155</c:v>
              </c:pt>
              <c:pt idx="154">
                <c:v>156</c:v>
              </c:pt>
              <c:pt idx="155">
                <c:v>157</c:v>
              </c:pt>
              <c:pt idx="156">
                <c:v>158</c:v>
              </c:pt>
              <c:pt idx="157">
                <c:v>159</c:v>
              </c:pt>
              <c:pt idx="158">
                <c:v>160</c:v>
              </c:pt>
              <c:pt idx="159">
                <c:v>161</c:v>
              </c:pt>
              <c:pt idx="160">
                <c:v>162</c:v>
              </c:pt>
              <c:pt idx="161">
                <c:v>163</c:v>
              </c:pt>
              <c:pt idx="162">
                <c:v>164</c:v>
              </c:pt>
              <c:pt idx="163">
                <c:v>165</c:v>
              </c:pt>
              <c:pt idx="164">
                <c:v>166</c:v>
              </c:pt>
              <c:pt idx="165">
                <c:v>167</c:v>
              </c:pt>
              <c:pt idx="166">
                <c:v>168</c:v>
              </c:pt>
              <c:pt idx="167">
                <c:v>169</c:v>
              </c:pt>
              <c:pt idx="168">
                <c:v>170</c:v>
              </c:pt>
              <c:pt idx="169">
                <c:v>172</c:v>
              </c:pt>
              <c:pt idx="170">
                <c:v>173</c:v>
              </c:pt>
              <c:pt idx="171">
                <c:v>174</c:v>
              </c:pt>
            </c:numLit>
          </c:xVal>
          <c:yVal>
            <c:numLit>
              <c:formatCode>General</c:formatCode>
              <c:ptCount val="172"/>
              <c:pt idx="0">
                <c:v>29800</c:v>
              </c:pt>
              <c:pt idx="1">
                <c:v>21808</c:v>
              </c:pt>
              <c:pt idx="2">
                <c:v>20434</c:v>
              </c:pt>
              <c:pt idx="3">
                <c:v>14585</c:v>
              </c:pt>
              <c:pt idx="4">
                <c:v>11544</c:v>
              </c:pt>
              <c:pt idx="5">
                <c:v>11979</c:v>
              </c:pt>
              <c:pt idx="6">
                <c:v>13229</c:v>
              </c:pt>
              <c:pt idx="7">
                <c:v>15763</c:v>
              </c:pt>
              <c:pt idx="8">
                <c:v>11364</c:v>
              </c:pt>
              <c:pt idx="9">
                <c:v>14905</c:v>
              </c:pt>
              <c:pt idx="10">
                <c:v>15898</c:v>
              </c:pt>
              <c:pt idx="11">
                <c:v>19179</c:v>
              </c:pt>
              <c:pt idx="12">
                <c:v>27750</c:v>
              </c:pt>
              <c:pt idx="13">
                <c:v>25444</c:v>
              </c:pt>
              <c:pt idx="14">
                <c:v>22993</c:v>
              </c:pt>
              <c:pt idx="15">
                <c:v>16550</c:v>
              </c:pt>
              <c:pt idx="16">
                <c:v>13274</c:v>
              </c:pt>
              <c:pt idx="17">
                <c:v>14816</c:v>
              </c:pt>
              <c:pt idx="18">
                <c:v>16400</c:v>
              </c:pt>
              <c:pt idx="19">
                <c:v>17088</c:v>
              </c:pt>
              <c:pt idx="20">
                <c:v>13640</c:v>
              </c:pt>
              <c:pt idx="21">
                <c:v>15047</c:v>
              </c:pt>
              <c:pt idx="22">
                <c:v>19024</c:v>
              </c:pt>
              <c:pt idx="23">
                <c:v>27257</c:v>
              </c:pt>
              <c:pt idx="24">
                <c:v>32135</c:v>
              </c:pt>
              <c:pt idx="25">
                <c:v>30180</c:v>
              </c:pt>
              <c:pt idx="26">
                <c:v>20979</c:v>
              </c:pt>
              <c:pt idx="27">
                <c:v>15717</c:v>
              </c:pt>
              <c:pt idx="28">
                <c:v>12038</c:v>
              </c:pt>
              <c:pt idx="29">
                <c:v>9338</c:v>
              </c:pt>
              <c:pt idx="30">
                <c:v>12359</c:v>
              </c:pt>
              <c:pt idx="31">
                <c:v>13177</c:v>
              </c:pt>
              <c:pt idx="32">
                <c:v>11210</c:v>
              </c:pt>
              <c:pt idx="33">
                <c:v>12814</c:v>
              </c:pt>
              <c:pt idx="34">
                <c:v>16520</c:v>
              </c:pt>
              <c:pt idx="35">
                <c:v>25999</c:v>
              </c:pt>
              <c:pt idx="36">
                <c:v>31785</c:v>
              </c:pt>
              <c:pt idx="37">
                <c:v>30416</c:v>
              </c:pt>
              <c:pt idx="38">
                <c:v>22379</c:v>
              </c:pt>
              <c:pt idx="39">
                <c:v>16242</c:v>
              </c:pt>
              <c:pt idx="40">
                <c:v>16033</c:v>
              </c:pt>
              <c:pt idx="41">
                <c:v>12711</c:v>
              </c:pt>
              <c:pt idx="42">
                <c:v>12866</c:v>
              </c:pt>
              <c:pt idx="43">
                <c:v>13027</c:v>
              </c:pt>
              <c:pt idx="44">
                <c:v>11970</c:v>
              </c:pt>
              <c:pt idx="45">
                <c:v>11729</c:v>
              </c:pt>
              <c:pt idx="46">
                <c:v>15635</c:v>
              </c:pt>
              <c:pt idx="47">
                <c:v>24946</c:v>
              </c:pt>
              <c:pt idx="48">
                <c:v>30538</c:v>
              </c:pt>
              <c:pt idx="49">
                <c:v>27324</c:v>
              </c:pt>
              <c:pt idx="50">
                <c:v>26203</c:v>
              </c:pt>
              <c:pt idx="51">
                <c:v>17851</c:v>
              </c:pt>
              <c:pt idx="52">
                <c:v>13162</c:v>
              </c:pt>
              <c:pt idx="53">
                <c:v>12669</c:v>
              </c:pt>
              <c:pt idx="54">
                <c:v>15688</c:v>
              </c:pt>
              <c:pt idx="55">
                <c:v>16197</c:v>
              </c:pt>
              <c:pt idx="56">
                <c:v>12616</c:v>
              </c:pt>
              <c:pt idx="57">
                <c:v>12082</c:v>
              </c:pt>
              <c:pt idx="58">
                <c:v>15331</c:v>
              </c:pt>
              <c:pt idx="59">
                <c:v>25731</c:v>
              </c:pt>
              <c:pt idx="60">
                <c:v>25596</c:v>
              </c:pt>
              <c:pt idx="61">
                <c:v>23904</c:v>
              </c:pt>
              <c:pt idx="62">
                <c:v>23271</c:v>
              </c:pt>
              <c:pt idx="63">
                <c:v>15873</c:v>
              </c:pt>
              <c:pt idx="64">
                <c:v>13091</c:v>
              </c:pt>
              <c:pt idx="65">
                <c:v>13120</c:v>
              </c:pt>
              <c:pt idx="66">
                <c:v>17476</c:v>
              </c:pt>
              <c:pt idx="67">
                <c:v>19153</c:v>
              </c:pt>
              <c:pt idx="68">
                <c:v>11452</c:v>
              </c:pt>
              <c:pt idx="69">
                <c:v>14070</c:v>
              </c:pt>
              <c:pt idx="70">
                <c:v>18457</c:v>
              </c:pt>
              <c:pt idx="71">
                <c:v>22889</c:v>
              </c:pt>
              <c:pt idx="72">
                <c:v>26988</c:v>
              </c:pt>
              <c:pt idx="73">
                <c:v>29743</c:v>
              </c:pt>
              <c:pt idx="74">
                <c:v>21686</c:v>
              </c:pt>
              <c:pt idx="75">
                <c:v>17606</c:v>
              </c:pt>
              <c:pt idx="76">
                <c:v>13644</c:v>
              </c:pt>
              <c:pt idx="77">
                <c:v>14343</c:v>
              </c:pt>
              <c:pt idx="78">
                <c:v>14640</c:v>
              </c:pt>
              <c:pt idx="79">
                <c:v>22849</c:v>
              </c:pt>
              <c:pt idx="80">
                <c:v>15744</c:v>
              </c:pt>
              <c:pt idx="81">
                <c:v>14159</c:v>
              </c:pt>
              <c:pt idx="82">
                <c:v>17540</c:v>
              </c:pt>
              <c:pt idx="83">
                <c:v>23411</c:v>
              </c:pt>
              <c:pt idx="84">
                <c:v>31923</c:v>
              </c:pt>
              <c:pt idx="85">
                <c:v>25613</c:v>
              </c:pt>
              <c:pt idx="86">
                <c:v>20960</c:v>
              </c:pt>
              <c:pt idx="87">
                <c:v>14500</c:v>
              </c:pt>
              <c:pt idx="88">
                <c:v>11539</c:v>
              </c:pt>
              <c:pt idx="89">
                <c:v>17475</c:v>
              </c:pt>
              <c:pt idx="90">
                <c:v>15799</c:v>
              </c:pt>
              <c:pt idx="91">
                <c:v>16088</c:v>
              </c:pt>
              <c:pt idx="92">
                <c:v>14403</c:v>
              </c:pt>
              <c:pt idx="93">
                <c:v>18408</c:v>
              </c:pt>
              <c:pt idx="94">
                <c:v>25102</c:v>
              </c:pt>
              <c:pt idx="95">
                <c:v>25949</c:v>
              </c:pt>
              <c:pt idx="96">
                <c:v>33360</c:v>
              </c:pt>
              <c:pt idx="97">
                <c:v>26215</c:v>
              </c:pt>
              <c:pt idx="98">
                <c:v>24096</c:v>
              </c:pt>
              <c:pt idx="99">
                <c:v>14130</c:v>
              </c:pt>
              <c:pt idx="100">
                <c:v>11754</c:v>
              </c:pt>
              <c:pt idx="101">
                <c:v>13141</c:v>
              </c:pt>
              <c:pt idx="102">
                <c:v>14301</c:v>
              </c:pt>
              <c:pt idx="103">
                <c:v>17248</c:v>
              </c:pt>
              <c:pt idx="104">
                <c:v>17018</c:v>
              </c:pt>
              <c:pt idx="105">
                <c:v>14783</c:v>
              </c:pt>
              <c:pt idx="106">
                <c:v>20251</c:v>
              </c:pt>
              <c:pt idx="107">
                <c:v>32818</c:v>
              </c:pt>
              <c:pt idx="108">
                <c:v>39947</c:v>
              </c:pt>
              <c:pt idx="109">
                <c:v>35317</c:v>
              </c:pt>
              <c:pt idx="110">
                <c:v>23668</c:v>
              </c:pt>
              <c:pt idx="111">
                <c:v>14667</c:v>
              </c:pt>
              <c:pt idx="112">
                <c:v>16336</c:v>
              </c:pt>
              <c:pt idx="113">
                <c:v>20764</c:v>
              </c:pt>
              <c:pt idx="114">
                <c:v>21588</c:v>
              </c:pt>
              <c:pt idx="115">
                <c:v>20403</c:v>
              </c:pt>
              <c:pt idx="116">
                <c:v>16263</c:v>
              </c:pt>
              <c:pt idx="117">
                <c:v>17376</c:v>
              </c:pt>
              <c:pt idx="118">
                <c:v>24848</c:v>
              </c:pt>
              <c:pt idx="119">
                <c:v>44993</c:v>
              </c:pt>
              <c:pt idx="120">
                <c:v>41316</c:v>
              </c:pt>
              <c:pt idx="121">
                <c:v>28258</c:v>
              </c:pt>
              <c:pt idx="122">
                <c:v>26456</c:v>
              </c:pt>
              <c:pt idx="123">
                <c:v>17165</c:v>
              </c:pt>
              <c:pt idx="124">
                <c:v>19834</c:v>
              </c:pt>
              <c:pt idx="125">
                <c:v>21001</c:v>
              </c:pt>
              <c:pt idx="126">
                <c:v>24168</c:v>
              </c:pt>
              <c:pt idx="127">
                <c:v>22004</c:v>
              </c:pt>
              <c:pt idx="128">
                <c:v>18096</c:v>
              </c:pt>
              <c:pt idx="129">
                <c:v>21311</c:v>
              </c:pt>
              <c:pt idx="130">
                <c:v>27931</c:v>
              </c:pt>
              <c:pt idx="131">
                <c:v>32941</c:v>
              </c:pt>
              <c:pt idx="132">
                <c:v>40964</c:v>
              </c:pt>
              <c:pt idx="133">
                <c:v>38680</c:v>
              </c:pt>
              <c:pt idx="134">
                <c:v>27015</c:v>
              </c:pt>
              <c:pt idx="135">
                <c:v>24502</c:v>
              </c:pt>
              <c:pt idx="136">
                <c:v>24744</c:v>
              </c:pt>
              <c:pt idx="137">
                <c:v>24432</c:v>
              </c:pt>
              <c:pt idx="138">
                <c:v>30979</c:v>
              </c:pt>
              <c:pt idx="139">
                <c:v>28599</c:v>
              </c:pt>
              <c:pt idx="140">
                <c:v>25404</c:v>
              </c:pt>
              <c:pt idx="141">
                <c:v>24849</c:v>
              </c:pt>
              <c:pt idx="142">
                <c:v>32177</c:v>
              </c:pt>
              <c:pt idx="143">
                <c:v>36164</c:v>
              </c:pt>
              <c:pt idx="144">
                <c:v>45430</c:v>
              </c:pt>
              <c:pt idx="145">
                <c:v>43338</c:v>
              </c:pt>
              <c:pt idx="146">
                <c:v>45265</c:v>
              </c:pt>
              <c:pt idx="147">
                <c:v>30601</c:v>
              </c:pt>
              <c:pt idx="148">
                <c:v>29253</c:v>
              </c:pt>
              <c:pt idx="149">
                <c:v>31548</c:v>
              </c:pt>
              <c:pt idx="150">
                <c:v>31664</c:v>
              </c:pt>
              <c:pt idx="151">
                <c:v>30663</c:v>
              </c:pt>
              <c:pt idx="152">
                <c:v>30368</c:v>
              </c:pt>
              <c:pt idx="153">
                <c:v>41209</c:v>
              </c:pt>
              <c:pt idx="154">
                <c:v>47607</c:v>
              </c:pt>
              <c:pt idx="155">
                <c:v>58866</c:v>
              </c:pt>
              <c:pt idx="156">
                <c:v>38021</c:v>
              </c:pt>
              <c:pt idx="157">
                <c:v>43901</c:v>
              </c:pt>
              <c:pt idx="158">
                <c:v>30975</c:v>
              </c:pt>
              <c:pt idx="159">
                <c:v>29591</c:v>
              </c:pt>
              <c:pt idx="160">
                <c:v>32718</c:v>
              </c:pt>
              <c:pt idx="161">
                <c:v>32895</c:v>
              </c:pt>
              <c:pt idx="162">
                <c:v>32577</c:v>
              </c:pt>
              <c:pt idx="163">
                <c:v>31839</c:v>
              </c:pt>
              <c:pt idx="164">
                <c:v>27255</c:v>
              </c:pt>
              <c:pt idx="165">
                <c:v>43197</c:v>
              </c:pt>
              <c:pt idx="166">
                <c:v>51263</c:v>
              </c:pt>
              <c:pt idx="167">
                <c:v>57794</c:v>
              </c:pt>
              <c:pt idx="168">
                <c:v>57835</c:v>
              </c:pt>
              <c:pt idx="169">
                <c:v>34219</c:v>
              </c:pt>
              <c:pt idx="170">
                <c:v>35912</c:v>
              </c:pt>
              <c:pt idx="171">
                <c:v>38406</c:v>
              </c:pt>
            </c:numLit>
          </c:yVal>
          <c:smooth val="0"/>
          <c:extLst>
            <c:ext xmlns:c16="http://schemas.microsoft.com/office/drawing/2014/chart" uri="{C3380CC4-5D6E-409C-BE32-E72D297353CC}">
              <c16:uniqueId val="{00000000-AED3-47A0-87D9-ECF3174478F2}"/>
            </c:ext>
          </c:extLst>
        </c:ser>
        <c:dLbls>
          <c:showLegendKey val="0"/>
          <c:showVal val="0"/>
          <c:showCatName val="0"/>
          <c:showSerName val="0"/>
          <c:showPercent val="0"/>
          <c:showBubbleSize val="0"/>
        </c:dLbls>
        <c:axId val="85406080"/>
        <c:axId val="85643264"/>
      </c:scatterChart>
      <c:valAx>
        <c:axId val="85406080"/>
        <c:scaling>
          <c:orientation val="minMax"/>
          <c:min val="0"/>
        </c:scaling>
        <c:delete val="0"/>
        <c:axPos val="b"/>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85643264"/>
        <c:crossesAt val="5000"/>
        <c:crossBetween val="midCat"/>
      </c:valAx>
      <c:valAx>
        <c:axId val="85643264"/>
        <c:scaling>
          <c:orientation val="minMax"/>
          <c:min val="5000"/>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title>
          <c:tx>
            <c:rich>
              <a:bodyPr/>
              <a:lstStyle/>
              <a:p>
                <a:pPr>
                  <a:defRPr/>
                </a:pPr>
                <a:r>
                  <a:rPr lang="en-US"/>
                  <a:t>_Total_NC_Natural_Gas</a:t>
                </a:r>
              </a:p>
            </c:rich>
          </c:tx>
          <c:overlay val="0"/>
        </c:title>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85406080"/>
        <c:crossesAt val="0"/>
        <c:crossBetween val="midCat"/>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5.0347222222222224E-2"/>
          <c:y val="3.5833333333333335E-2"/>
          <c:w val="0.92720827865266842"/>
          <c:h val="0.96416666666666662"/>
        </c:manualLayout>
      </c:layout>
      <c:scatterChart>
        <c:scatterStyle val="lineMarker"/>
        <c:varyColors val="0"/>
        <c:ser>
          <c:idx val="0"/>
          <c:order val="0"/>
          <c:spPr>
            <a:ln w="9525" cap="rnd" cmpd="sng" algn="ctr">
              <a:solidFill>
                <a:srgbClr val="0000FF"/>
              </a:solidFill>
              <a:prstDash val="solid"/>
              <a:round/>
              <a:headEnd type="none" w="med" len="med"/>
              <a:tailEnd type="none" w="med" len="med"/>
            </a:ln>
            <a:effectLst/>
          </c:spPr>
          <c:marker>
            <c:symbol val="diamond"/>
            <c:size val="5"/>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17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172</c:v>
              </c:pt>
              <c:pt idx="171">
                <c:v>173</c:v>
              </c:pt>
              <c:pt idx="172">
                <c:v>174</c:v>
              </c:pt>
            </c:numLit>
          </c:xVal>
          <c:yVal>
            <c:numLit>
              <c:formatCode>General</c:formatCode>
              <c:ptCount val="173"/>
              <c:pt idx="0">
                <c:v>-1.5333333333333334</c:v>
              </c:pt>
              <c:pt idx="1">
                <c:v>1.9666666666666668</c:v>
              </c:pt>
              <c:pt idx="2">
                <c:v>3</c:v>
              </c:pt>
              <c:pt idx="3">
                <c:v>9.1</c:v>
              </c:pt>
              <c:pt idx="4">
                <c:v>13.3</c:v>
              </c:pt>
              <c:pt idx="5">
                <c:v>18.833333333333336</c:v>
              </c:pt>
              <c:pt idx="6">
                <c:v>19</c:v>
              </c:pt>
              <c:pt idx="7">
                <c:v>20.266666666666666</c:v>
              </c:pt>
              <c:pt idx="8">
                <c:v>14.366666666666665</c:v>
              </c:pt>
              <c:pt idx="9">
                <c:v>6.8</c:v>
              </c:pt>
              <c:pt idx="10">
                <c:v>5.6333333333333337</c:v>
              </c:pt>
              <c:pt idx="11">
                <c:v>2.4666666666666668</c:v>
              </c:pt>
              <c:pt idx="12">
                <c:v>-0.3</c:v>
              </c:pt>
              <c:pt idx="13">
                <c:v>-6.6666666666666666E-2</c:v>
              </c:pt>
              <c:pt idx="14">
                <c:v>4.2333333333333334</c:v>
              </c:pt>
              <c:pt idx="15">
                <c:v>10.633333333333333</c:v>
              </c:pt>
              <c:pt idx="16">
                <c:v>12.333333333333332</c:v>
              </c:pt>
              <c:pt idx="17">
                <c:v>18.100000000000001</c:v>
              </c:pt>
              <c:pt idx="18">
                <c:v>20.833333333333336</c:v>
              </c:pt>
              <c:pt idx="19">
                <c:v>19.533333333333335</c:v>
              </c:pt>
              <c:pt idx="20">
                <c:v>17.866666666666667</c:v>
              </c:pt>
              <c:pt idx="21">
                <c:v>12.033333333333333</c:v>
              </c:pt>
              <c:pt idx="22">
                <c:v>3.3333333333333335</c:v>
              </c:pt>
              <c:pt idx="23">
                <c:v>-0.6333333333333333</c:v>
              </c:pt>
              <c:pt idx="24">
                <c:v>-2.6</c:v>
              </c:pt>
              <c:pt idx="25">
                <c:v>-0.23333333333333334</c:v>
              </c:pt>
              <c:pt idx="26">
                <c:v>6.2333333333333334</c:v>
              </c:pt>
              <c:pt idx="27">
                <c:v>8.6999999999999993</c:v>
              </c:pt>
              <c:pt idx="28">
                <c:v>13.9</c:v>
              </c:pt>
              <c:pt idx="29">
                <c:v>17.399999999999999</c:v>
              </c:pt>
              <c:pt idx="30">
                <c:v>20</c:v>
              </c:pt>
              <c:pt idx="31">
                <c:v>20.8</c:v>
              </c:pt>
              <c:pt idx="32">
                <c:v>15.466666666666665</c:v>
              </c:pt>
              <c:pt idx="33">
                <c:v>9.1999999999999993</c:v>
              </c:pt>
              <c:pt idx="34">
                <c:v>6.1666666666666661</c:v>
              </c:pt>
              <c:pt idx="35">
                <c:v>-1.6333333333333333</c:v>
              </c:pt>
              <c:pt idx="36">
                <c:v>-2.4</c:v>
              </c:pt>
              <c:pt idx="37">
                <c:v>-1.0333333333333334</c:v>
              </c:pt>
              <c:pt idx="38">
                <c:v>5.0999999999999996</c:v>
              </c:pt>
              <c:pt idx="39">
                <c:v>8.4</c:v>
              </c:pt>
              <c:pt idx="40">
                <c:v>16.333333333333336</c:v>
              </c:pt>
              <c:pt idx="41">
                <c:v>19.166666666666664</c:v>
              </c:pt>
              <c:pt idx="42">
                <c:v>20.366666666666667</c:v>
              </c:pt>
              <c:pt idx="43">
                <c:v>18.899999999999999</c:v>
              </c:pt>
              <c:pt idx="44">
                <c:v>16.666666666666664</c:v>
              </c:pt>
              <c:pt idx="45">
                <c:v>12</c:v>
              </c:pt>
              <c:pt idx="46">
                <c:v>5.8</c:v>
              </c:pt>
              <c:pt idx="47">
                <c:v>-0.4</c:v>
              </c:pt>
              <c:pt idx="48">
                <c:v>0.96666666666666656</c:v>
              </c:pt>
              <c:pt idx="49">
                <c:v>1.2666666666666666</c:v>
              </c:pt>
              <c:pt idx="50">
                <c:v>2.2666666666666666</c:v>
              </c:pt>
              <c:pt idx="51">
                <c:v>8.1</c:v>
              </c:pt>
              <c:pt idx="52">
                <c:v>11.666666666666668</c:v>
              </c:pt>
              <c:pt idx="53">
                <c:v>18.666666666666664</c:v>
              </c:pt>
              <c:pt idx="54">
                <c:v>21.733333333333334</c:v>
              </c:pt>
              <c:pt idx="55">
                <c:v>21.266666666666666</c:v>
              </c:pt>
              <c:pt idx="56">
                <c:v>17.633333333333333</c:v>
              </c:pt>
              <c:pt idx="57">
                <c:v>10.966666666666667</c:v>
              </c:pt>
              <c:pt idx="58">
                <c:v>4.2</c:v>
              </c:pt>
              <c:pt idx="59">
                <c:v>-1.2333333333333334</c:v>
              </c:pt>
              <c:pt idx="60">
                <c:v>2.5666666666666669</c:v>
              </c:pt>
              <c:pt idx="61">
                <c:v>-6.6666666666666666E-2</c:v>
              </c:pt>
              <c:pt idx="62">
                <c:v>4.3333333333333339</c:v>
              </c:pt>
              <c:pt idx="63">
                <c:v>9.9666666666666668</c:v>
              </c:pt>
              <c:pt idx="64">
                <c:v>11.766666666666667</c:v>
              </c:pt>
              <c:pt idx="65">
                <c:v>17.7</c:v>
              </c:pt>
              <c:pt idx="66">
                <c:v>20.466666666666665</c:v>
              </c:pt>
              <c:pt idx="67">
                <c:v>21.133333333333333</c:v>
              </c:pt>
              <c:pt idx="68">
                <c:v>15.466666666666665</c:v>
              </c:pt>
              <c:pt idx="69">
                <c:v>8.1666666666666679</c:v>
              </c:pt>
              <c:pt idx="70">
                <c:v>4.6666666666666661</c:v>
              </c:pt>
              <c:pt idx="71">
                <c:v>1.7666666666666668</c:v>
              </c:pt>
              <c:pt idx="72">
                <c:v>1.1333333333333333</c:v>
              </c:pt>
              <c:pt idx="73">
                <c:v>-1.5666666666666667</c:v>
              </c:pt>
              <c:pt idx="74">
                <c:v>6.2666666666666666</c:v>
              </c:pt>
              <c:pt idx="75">
                <c:v>8.1333333333333329</c:v>
              </c:pt>
              <c:pt idx="76">
                <c:v>13.233333333333334</c:v>
              </c:pt>
              <c:pt idx="77">
                <c:v>18.366666666666667</c:v>
              </c:pt>
              <c:pt idx="78">
                <c:v>19.333333333333336</c:v>
              </c:pt>
              <c:pt idx="79">
                <c:v>22.066666666666666</c:v>
              </c:pt>
              <c:pt idx="80">
                <c:v>17.033333333333335</c:v>
              </c:pt>
              <c:pt idx="81">
                <c:v>12.833333333333334</c:v>
              </c:pt>
              <c:pt idx="82">
                <c:v>3.2666666666666666</c:v>
              </c:pt>
              <c:pt idx="83">
                <c:v>3.3</c:v>
              </c:pt>
              <c:pt idx="84">
                <c:v>-0.56666666666666665</c:v>
              </c:pt>
              <c:pt idx="85">
                <c:v>1.8333333333333333</c:v>
              </c:pt>
              <c:pt idx="86">
                <c:v>4.8</c:v>
              </c:pt>
              <c:pt idx="87">
                <c:v>9.0666666666666664</c:v>
              </c:pt>
              <c:pt idx="88">
                <c:v>12.866666666666665</c:v>
              </c:pt>
              <c:pt idx="89">
                <c:v>19.8</c:v>
              </c:pt>
              <c:pt idx="90">
                <c:v>20.066666666666666</c:v>
              </c:pt>
              <c:pt idx="91">
                <c:v>19.600000000000001</c:v>
              </c:pt>
              <c:pt idx="92">
                <c:v>17.3</c:v>
              </c:pt>
              <c:pt idx="93">
                <c:v>8.1999999999999993</c:v>
              </c:pt>
              <c:pt idx="94">
                <c:v>2.4333333333333331</c:v>
              </c:pt>
              <c:pt idx="95">
                <c:v>2.7</c:v>
              </c:pt>
              <c:pt idx="96">
                <c:v>-1.2</c:v>
              </c:pt>
              <c:pt idx="97">
                <c:v>0.6</c:v>
              </c:pt>
              <c:pt idx="98">
                <c:v>4.8333333333333339</c:v>
              </c:pt>
              <c:pt idx="99">
                <c:v>9.1333333333333329</c:v>
              </c:pt>
              <c:pt idx="100">
                <c:v>15.466666666666665</c:v>
              </c:pt>
              <c:pt idx="101">
                <c:v>19.366666666666667</c:v>
              </c:pt>
              <c:pt idx="102">
                <c:v>19.7</c:v>
              </c:pt>
              <c:pt idx="103">
                <c:v>20.866666666666667</c:v>
              </c:pt>
              <c:pt idx="104">
                <c:v>16.233333333333334</c:v>
              </c:pt>
              <c:pt idx="105">
                <c:v>9.8666666666666671</c:v>
              </c:pt>
              <c:pt idx="106">
                <c:v>6</c:v>
              </c:pt>
              <c:pt idx="107">
                <c:v>-0.76666666666666672</c:v>
              </c:pt>
              <c:pt idx="108">
                <c:v>-3.0666666666666669</c:v>
              </c:pt>
              <c:pt idx="109">
                <c:v>-1.8333333333333333</c:v>
              </c:pt>
              <c:pt idx="110">
                <c:v>4.0999999999999996</c:v>
              </c:pt>
              <c:pt idx="111">
                <c:v>9.6999999999999993</c:v>
              </c:pt>
              <c:pt idx="112">
                <c:v>16.333333333333336</c:v>
              </c:pt>
              <c:pt idx="113">
                <c:v>21.2</c:v>
              </c:pt>
              <c:pt idx="114">
                <c:v>21.733333333333334</c:v>
              </c:pt>
              <c:pt idx="115">
                <c:v>21.666666666666664</c:v>
              </c:pt>
              <c:pt idx="116">
                <c:v>17.666666666666664</c:v>
              </c:pt>
              <c:pt idx="117">
                <c:v>9.6</c:v>
              </c:pt>
              <c:pt idx="118">
                <c:v>3.6666666666666665</c:v>
              </c:pt>
              <c:pt idx="119">
                <c:v>-3.9</c:v>
              </c:pt>
              <c:pt idx="120">
                <c:v>-2.8666666666666667</c:v>
              </c:pt>
              <c:pt idx="121">
                <c:v>1.5666666666666667</c:v>
              </c:pt>
              <c:pt idx="122">
                <c:v>4.7333333333333334</c:v>
              </c:pt>
              <c:pt idx="123">
                <c:v>10.233333333333333</c:v>
              </c:pt>
              <c:pt idx="124">
                <c:v>14.666666666666666</c:v>
              </c:pt>
              <c:pt idx="125">
                <c:v>19.600000000000001</c:v>
              </c:pt>
              <c:pt idx="126">
                <c:v>21.833333333333336</c:v>
              </c:pt>
              <c:pt idx="127">
                <c:v>20.533333333333335</c:v>
              </c:pt>
              <c:pt idx="128">
                <c:v>17.233333333333334</c:v>
              </c:pt>
              <c:pt idx="129">
                <c:v>8.2666666666666675</c:v>
              </c:pt>
              <c:pt idx="130">
                <c:v>4.9000000000000004</c:v>
              </c:pt>
              <c:pt idx="131">
                <c:v>2.8666666666666667</c:v>
              </c:pt>
              <c:pt idx="132">
                <c:v>0.9</c:v>
              </c:pt>
              <c:pt idx="133">
                <c:v>1.8</c:v>
              </c:pt>
              <c:pt idx="134">
                <c:v>9.3666666666666671</c:v>
              </c:pt>
              <c:pt idx="135">
                <c:v>9.1333333333333329</c:v>
              </c:pt>
              <c:pt idx="136">
                <c:v>16.133333333333333</c:v>
              </c:pt>
              <c:pt idx="137">
                <c:v>17.133333333333333</c:v>
              </c:pt>
              <c:pt idx="138">
                <c:v>21.933333333333334</c:v>
              </c:pt>
              <c:pt idx="139">
                <c:v>19.966666666666665</c:v>
              </c:pt>
              <c:pt idx="140">
                <c:v>16.066666666666666</c:v>
              </c:pt>
              <c:pt idx="141">
                <c:v>9.7333333333333325</c:v>
              </c:pt>
              <c:pt idx="142">
                <c:v>1.7</c:v>
              </c:pt>
              <c:pt idx="143">
                <c:v>3.9</c:v>
              </c:pt>
              <c:pt idx="144">
                <c:v>1.3666666666666667</c:v>
              </c:pt>
              <c:pt idx="145">
                <c:v>-0.13333333333333333</c:v>
              </c:pt>
              <c:pt idx="146">
                <c:v>0.93333333333333335</c:v>
              </c:pt>
              <c:pt idx="147">
                <c:v>9.6333333333333329</c:v>
              </c:pt>
              <c:pt idx="148">
                <c:v>13.333333333333334</c:v>
              </c:pt>
              <c:pt idx="149">
                <c:v>19.2</c:v>
              </c:pt>
              <c:pt idx="150">
                <c:v>21.333333333333336</c:v>
              </c:pt>
              <c:pt idx="151">
                <c:v>19.433333333333334</c:v>
              </c:pt>
              <c:pt idx="152">
                <c:v>16.033333333333335</c:v>
              </c:pt>
              <c:pt idx="153">
                <c:v>11.066666666666666</c:v>
              </c:pt>
              <c:pt idx="154">
                <c:v>2.2666666666666666</c:v>
              </c:pt>
              <c:pt idx="155">
                <c:v>1.8666666666666667</c:v>
              </c:pt>
              <c:pt idx="156">
                <c:v>-4.4000000000000004</c:v>
              </c:pt>
              <c:pt idx="157">
                <c:v>0.6333333333333333</c:v>
              </c:pt>
              <c:pt idx="158">
                <c:v>0.96666666666666656</c:v>
              </c:pt>
              <c:pt idx="159">
                <c:v>8.9666666666666668</c:v>
              </c:pt>
              <c:pt idx="160">
                <c:v>14.366666666666665</c:v>
              </c:pt>
              <c:pt idx="161">
                <c:v>19.233333333333334</c:v>
              </c:pt>
              <c:pt idx="162">
                <c:v>20</c:v>
              </c:pt>
              <c:pt idx="163">
                <c:v>19.333333333333336</c:v>
              </c:pt>
              <c:pt idx="164">
                <c:v>17.633333333333333</c:v>
              </c:pt>
              <c:pt idx="165">
                <c:v>10.233333333333333</c:v>
              </c:pt>
              <c:pt idx="166">
                <c:v>1.7666666666666668</c:v>
              </c:pt>
              <c:pt idx="167">
                <c:v>1.9</c:v>
              </c:pt>
              <c:pt idx="168">
                <c:v>-1.5</c:v>
              </c:pt>
              <c:pt idx="169">
                <c:v>-3.7333333333333334</c:v>
              </c:pt>
              <c:pt idx="170">
                <c:v>10.5</c:v>
              </c:pt>
              <c:pt idx="171">
                <c:v>15.4</c:v>
              </c:pt>
              <c:pt idx="172">
                <c:v>20.233333333333334</c:v>
              </c:pt>
            </c:numLit>
          </c:yVal>
          <c:smooth val="0"/>
          <c:extLst>
            <c:ext xmlns:c16="http://schemas.microsoft.com/office/drawing/2014/chart" uri="{C3380CC4-5D6E-409C-BE32-E72D297353CC}">
              <c16:uniqueId val="{00000000-AD52-4490-959F-362BAC3424E3}"/>
            </c:ext>
          </c:extLst>
        </c:ser>
        <c:dLbls>
          <c:showLegendKey val="0"/>
          <c:showVal val="0"/>
          <c:showCatName val="0"/>
          <c:showSerName val="0"/>
          <c:showPercent val="0"/>
          <c:showBubbleSize val="0"/>
        </c:dLbls>
        <c:axId val="204774784"/>
        <c:axId val="204782208"/>
      </c:scatterChart>
      <c:valAx>
        <c:axId val="204774784"/>
        <c:scaling>
          <c:orientation val="minMax"/>
          <c:min val="0"/>
        </c:scaling>
        <c:delete val="0"/>
        <c:axPos val="b"/>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204782208"/>
        <c:crossesAt val="-10"/>
        <c:crossBetween val="midCat"/>
      </c:valAx>
      <c:valAx>
        <c:axId val="204782208"/>
        <c:scaling>
          <c:orientation val="minMax"/>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title>
          <c:tx>
            <c:rich>
              <a:bodyPr/>
              <a:lstStyle/>
              <a:p>
                <a:pPr>
                  <a:defRPr/>
                </a:pPr>
                <a:r>
                  <a:rPr lang="en-US"/>
                  <a:t>Mean_MinimumTemp</a:t>
                </a:r>
              </a:p>
            </c:rich>
          </c:tx>
          <c:overlay val="0"/>
        </c:title>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204774784"/>
        <c:crossesAt val="0"/>
        <c:crossBetween val="midCat"/>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5.0347222222222224E-2"/>
          <c:y val="3.5833333333333335E-2"/>
          <c:w val="0.92720827865266842"/>
          <c:h val="0.96416666666666662"/>
        </c:manualLayout>
      </c:layout>
      <c:scatterChart>
        <c:scatterStyle val="lineMarker"/>
        <c:varyColors val="0"/>
        <c:ser>
          <c:idx val="0"/>
          <c:order val="0"/>
          <c:spPr>
            <a:ln w="9525" cap="rnd" cmpd="sng" algn="ctr">
              <a:solidFill>
                <a:srgbClr val="0000FF"/>
              </a:solidFill>
              <a:prstDash val="solid"/>
              <a:round/>
              <a:headEnd type="none" w="med" len="med"/>
              <a:tailEnd type="none" w="med" len="med"/>
            </a:ln>
            <a:effectLst/>
          </c:spPr>
          <c:marker>
            <c:symbol val="diamond"/>
            <c:size val="5"/>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17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172</c:v>
              </c:pt>
              <c:pt idx="171">
                <c:v>173</c:v>
              </c:pt>
              <c:pt idx="172">
                <c:v>174</c:v>
              </c:pt>
            </c:numLit>
          </c:xVal>
          <c:yVal>
            <c:numLit>
              <c:formatCode>General</c:formatCode>
              <c:ptCount val="173"/>
              <c:pt idx="0">
                <c:v>4.5999999999999996</c:v>
              </c:pt>
              <c:pt idx="1">
                <c:v>8.1666666666666679</c:v>
              </c:pt>
              <c:pt idx="2">
                <c:v>8.8333333333333321</c:v>
              </c:pt>
              <c:pt idx="3">
                <c:v>15.866666666666665</c:v>
              </c:pt>
              <c:pt idx="4">
                <c:v>19.733333333333334</c:v>
              </c:pt>
              <c:pt idx="5">
                <c:v>24.366666666666667</c:v>
              </c:pt>
              <c:pt idx="6">
                <c:v>24.233333333333334</c:v>
              </c:pt>
              <c:pt idx="7">
                <c:v>25.93333333333333</c:v>
              </c:pt>
              <c:pt idx="8">
                <c:v>20.233333333333334</c:v>
              </c:pt>
              <c:pt idx="9">
                <c:v>14.6</c:v>
              </c:pt>
              <c:pt idx="10">
                <c:v>13.133333333333335</c:v>
              </c:pt>
              <c:pt idx="11">
                <c:v>8.5</c:v>
              </c:pt>
              <c:pt idx="12">
                <c:v>5.8</c:v>
              </c:pt>
              <c:pt idx="13">
                <c:v>6.5333333333333332</c:v>
              </c:pt>
              <c:pt idx="14">
                <c:v>10.7</c:v>
              </c:pt>
              <c:pt idx="15">
                <c:v>17.3</c:v>
              </c:pt>
              <c:pt idx="16">
                <c:v>18.966666666666665</c:v>
              </c:pt>
              <c:pt idx="17">
                <c:v>24.766666666666666</c:v>
              </c:pt>
              <c:pt idx="18">
                <c:v>26.666666666666668</c:v>
              </c:pt>
              <c:pt idx="19">
                <c:v>25.4</c:v>
              </c:pt>
              <c:pt idx="20">
                <c:v>22.6</c:v>
              </c:pt>
              <c:pt idx="21">
                <c:v>16.166666666666664</c:v>
              </c:pt>
              <c:pt idx="22">
                <c:v>9.1999999999999993</c:v>
              </c:pt>
              <c:pt idx="23">
                <c:v>4.6333333333333337</c:v>
              </c:pt>
              <c:pt idx="24">
                <c:v>2.6333333333333333</c:v>
              </c:pt>
              <c:pt idx="25">
                <c:v>5.1333333333333337</c:v>
              </c:pt>
              <c:pt idx="26">
                <c:v>11.933333333333334</c:v>
              </c:pt>
              <c:pt idx="27">
                <c:v>14.7</c:v>
              </c:pt>
              <c:pt idx="28">
                <c:v>18.733333333333334</c:v>
              </c:pt>
              <c:pt idx="29">
                <c:v>22.666666666666664</c:v>
              </c:pt>
              <c:pt idx="30">
                <c:v>24.966666666666665</c:v>
              </c:pt>
              <c:pt idx="31">
                <c:v>25.533333333333335</c:v>
              </c:pt>
              <c:pt idx="32">
                <c:v>20.8</c:v>
              </c:pt>
              <c:pt idx="33">
                <c:v>15.2</c:v>
              </c:pt>
              <c:pt idx="34">
                <c:v>13.033333333333335</c:v>
              </c:pt>
              <c:pt idx="35">
                <c:v>4.5666666666666664</c:v>
              </c:pt>
              <c:pt idx="36">
                <c:v>3.4</c:v>
              </c:pt>
              <c:pt idx="37">
                <c:v>4.4333333333333336</c:v>
              </c:pt>
              <c:pt idx="38">
                <c:v>11.4</c:v>
              </c:pt>
              <c:pt idx="39">
                <c:v>15.333333333333334</c:v>
              </c:pt>
              <c:pt idx="40">
                <c:v>22.433333333333334</c:v>
              </c:pt>
              <c:pt idx="41">
                <c:v>24.033333333333335</c:v>
              </c:pt>
              <c:pt idx="42">
                <c:v>25.766666666666669</c:v>
              </c:pt>
              <c:pt idx="43">
                <c:v>23.866666666666667</c:v>
              </c:pt>
              <c:pt idx="44">
                <c:v>21.6</c:v>
              </c:pt>
              <c:pt idx="45">
                <c:v>16.866666666666667</c:v>
              </c:pt>
              <c:pt idx="46">
                <c:v>11.666666666666668</c:v>
              </c:pt>
              <c:pt idx="47">
                <c:v>5.7333333333333334</c:v>
              </c:pt>
              <c:pt idx="48">
                <c:v>6.3333333333333339</c:v>
              </c:pt>
              <c:pt idx="49">
                <c:v>6.9666666666666668</c:v>
              </c:pt>
              <c:pt idx="50">
                <c:v>8.8333333333333321</c:v>
              </c:pt>
              <c:pt idx="51">
                <c:v>14.8</c:v>
              </c:pt>
              <c:pt idx="52">
                <c:v>18.100000000000001</c:v>
              </c:pt>
              <c:pt idx="53">
                <c:v>23.933333333333334</c:v>
              </c:pt>
              <c:pt idx="54">
                <c:v>26.966666666666669</c:v>
              </c:pt>
              <c:pt idx="55">
                <c:v>26.5</c:v>
              </c:pt>
              <c:pt idx="56">
                <c:v>23.833333333333336</c:v>
              </c:pt>
              <c:pt idx="57">
                <c:v>16.666666666666664</c:v>
              </c:pt>
              <c:pt idx="58">
                <c:v>11.166666666666668</c:v>
              </c:pt>
              <c:pt idx="59">
                <c:v>4.4333333333333336</c:v>
              </c:pt>
              <c:pt idx="60">
                <c:v>8.3666666666666671</c:v>
              </c:pt>
              <c:pt idx="61">
                <c:v>6.2</c:v>
              </c:pt>
              <c:pt idx="62">
                <c:v>10.8</c:v>
              </c:pt>
              <c:pt idx="63">
                <c:v>17.100000000000001</c:v>
              </c:pt>
              <c:pt idx="64">
                <c:v>18.566666666666666</c:v>
              </c:pt>
              <c:pt idx="65">
                <c:v>23.566666666666666</c:v>
              </c:pt>
              <c:pt idx="66">
                <c:v>26.06666666666667</c:v>
              </c:pt>
              <c:pt idx="67">
                <c:v>26.4</c:v>
              </c:pt>
              <c:pt idx="68">
                <c:v>20.666666666666664</c:v>
              </c:pt>
              <c:pt idx="69">
                <c:v>14.4</c:v>
              </c:pt>
              <c:pt idx="70">
                <c:v>11.133333333333333</c:v>
              </c:pt>
              <c:pt idx="71">
                <c:v>8.4</c:v>
              </c:pt>
              <c:pt idx="72">
                <c:v>6.8</c:v>
              </c:pt>
              <c:pt idx="73">
                <c:v>4.5333333333333332</c:v>
              </c:pt>
              <c:pt idx="74">
                <c:v>13.4</c:v>
              </c:pt>
              <c:pt idx="75">
                <c:v>14.966666666666665</c:v>
              </c:pt>
              <c:pt idx="76">
                <c:v>19.933333333333334</c:v>
              </c:pt>
              <c:pt idx="77">
                <c:v>24.366666666666667</c:v>
              </c:pt>
              <c:pt idx="78">
                <c:v>25.266666666666666</c:v>
              </c:pt>
              <c:pt idx="79">
                <c:v>28.7</c:v>
              </c:pt>
              <c:pt idx="80">
                <c:v>23.7</c:v>
              </c:pt>
              <c:pt idx="81">
                <c:v>19.166666666666664</c:v>
              </c:pt>
              <c:pt idx="82">
                <c:v>10.166666666666668</c:v>
              </c:pt>
              <c:pt idx="83">
                <c:v>8.9</c:v>
              </c:pt>
              <c:pt idx="84">
                <c:v>4.7666666666666666</c:v>
              </c:pt>
              <c:pt idx="85">
                <c:v>8.1</c:v>
              </c:pt>
              <c:pt idx="86">
                <c:v>11.3</c:v>
              </c:pt>
              <c:pt idx="87">
                <c:v>15</c:v>
              </c:pt>
              <c:pt idx="88">
                <c:v>19.233333333333334</c:v>
              </c:pt>
              <c:pt idx="89">
                <c:v>26.366666666666667</c:v>
              </c:pt>
              <c:pt idx="90">
                <c:v>25.866666666666667</c:v>
              </c:pt>
              <c:pt idx="91">
                <c:v>25.3</c:v>
              </c:pt>
              <c:pt idx="92">
                <c:v>22.033333333333335</c:v>
              </c:pt>
              <c:pt idx="93">
                <c:v>14.7</c:v>
              </c:pt>
              <c:pt idx="94">
                <c:v>8.6333333333333329</c:v>
              </c:pt>
              <c:pt idx="95">
                <c:v>7.9333333333333327</c:v>
              </c:pt>
              <c:pt idx="96">
                <c:v>4.0333333333333332</c:v>
              </c:pt>
              <c:pt idx="97">
                <c:v>6.9666666666666668</c:v>
              </c:pt>
              <c:pt idx="98">
                <c:v>10.333333333333332</c:v>
              </c:pt>
              <c:pt idx="99">
                <c:v>15.9</c:v>
              </c:pt>
              <c:pt idx="100">
                <c:v>20.866666666666667</c:v>
              </c:pt>
              <c:pt idx="101">
                <c:v>25</c:v>
              </c:pt>
              <c:pt idx="102">
                <c:v>25.4</c:v>
              </c:pt>
              <c:pt idx="103">
                <c:v>26.2</c:v>
              </c:pt>
              <c:pt idx="104">
                <c:v>21.566666666666666</c:v>
              </c:pt>
              <c:pt idx="105">
                <c:v>15.2</c:v>
              </c:pt>
              <c:pt idx="106">
                <c:v>11.6</c:v>
              </c:pt>
              <c:pt idx="107">
                <c:v>4.3333333333333339</c:v>
              </c:pt>
              <c:pt idx="108">
                <c:v>2.833333333333333</c:v>
              </c:pt>
              <c:pt idx="109">
                <c:v>3.0333333333333332</c:v>
              </c:pt>
              <c:pt idx="110">
                <c:v>10.733333333333333</c:v>
              </c:pt>
              <c:pt idx="111">
                <c:v>17.133333333333333</c:v>
              </c:pt>
              <c:pt idx="112">
                <c:v>21.833333333333336</c:v>
              </c:pt>
              <c:pt idx="113">
                <c:v>26.966666666666669</c:v>
              </c:pt>
              <c:pt idx="114">
                <c:v>27.633333333333333</c:v>
              </c:pt>
              <c:pt idx="115">
                <c:v>27</c:v>
              </c:pt>
              <c:pt idx="116">
                <c:v>24.3</c:v>
              </c:pt>
              <c:pt idx="117">
                <c:v>16.866666666666667</c:v>
              </c:pt>
              <c:pt idx="118">
                <c:v>10.433333333333334</c:v>
              </c:pt>
              <c:pt idx="119">
                <c:v>1.2333333333333334</c:v>
              </c:pt>
              <c:pt idx="120">
                <c:v>2.7</c:v>
              </c:pt>
              <c:pt idx="121">
                <c:v>8.3666666666666671</c:v>
              </c:pt>
              <c:pt idx="122">
                <c:v>10.666666666666668</c:v>
              </c:pt>
              <c:pt idx="123">
                <c:v>17.100000000000001</c:v>
              </c:pt>
              <c:pt idx="124">
                <c:v>20.7</c:v>
              </c:pt>
              <c:pt idx="125">
                <c:v>26.06666666666667</c:v>
              </c:pt>
              <c:pt idx="126">
                <c:v>27.866666666666667</c:v>
              </c:pt>
              <c:pt idx="127">
                <c:v>26.3</c:v>
              </c:pt>
              <c:pt idx="128">
                <c:v>22.333333333333336</c:v>
              </c:pt>
              <c:pt idx="129">
                <c:v>14.766666666666666</c:v>
              </c:pt>
              <c:pt idx="130">
                <c:v>11.7</c:v>
              </c:pt>
              <c:pt idx="131">
                <c:v>8.7333333333333325</c:v>
              </c:pt>
              <c:pt idx="132">
                <c:v>6.8666666666666671</c:v>
              </c:pt>
              <c:pt idx="133">
                <c:v>8</c:v>
              </c:pt>
              <c:pt idx="134">
                <c:v>15.666666666666666</c:v>
              </c:pt>
              <c:pt idx="135">
                <c:v>15.6</c:v>
              </c:pt>
              <c:pt idx="136">
                <c:v>21.833333333333336</c:v>
              </c:pt>
              <c:pt idx="137">
                <c:v>23.566666666666666</c:v>
              </c:pt>
              <c:pt idx="138">
                <c:v>27.966666666666669</c:v>
              </c:pt>
              <c:pt idx="139">
                <c:v>25.133333333333333</c:v>
              </c:pt>
              <c:pt idx="140">
                <c:v>21.566666666666666</c:v>
              </c:pt>
              <c:pt idx="141">
                <c:v>15.533333333333335</c:v>
              </c:pt>
              <c:pt idx="142">
                <c:v>8.5</c:v>
              </c:pt>
              <c:pt idx="143">
                <c:v>9.0666666666666664</c:v>
              </c:pt>
              <c:pt idx="144">
                <c:v>6.7</c:v>
              </c:pt>
              <c:pt idx="145">
                <c:v>5.3666666666666663</c:v>
              </c:pt>
              <c:pt idx="146">
                <c:v>7.2333333333333325</c:v>
              </c:pt>
              <c:pt idx="147">
                <c:v>15.7</c:v>
              </c:pt>
              <c:pt idx="148">
                <c:v>18.866666666666667</c:v>
              </c:pt>
              <c:pt idx="149">
                <c:v>24.2</c:v>
              </c:pt>
              <c:pt idx="150">
                <c:v>25.7</c:v>
              </c:pt>
              <c:pt idx="151">
                <c:v>24.266666666666666</c:v>
              </c:pt>
              <c:pt idx="152">
                <c:v>21.666666666666664</c:v>
              </c:pt>
              <c:pt idx="153">
                <c:v>16.533333333333335</c:v>
              </c:pt>
              <c:pt idx="154">
                <c:v>8.5333333333333332</c:v>
              </c:pt>
              <c:pt idx="155">
                <c:v>7.7</c:v>
              </c:pt>
              <c:pt idx="156">
                <c:v>1.8333333333333333</c:v>
              </c:pt>
              <c:pt idx="157">
                <c:v>6.4666666666666668</c:v>
              </c:pt>
              <c:pt idx="158">
                <c:v>7.7666666666666675</c:v>
              </c:pt>
              <c:pt idx="159">
                <c:v>15.733333333333334</c:v>
              </c:pt>
              <c:pt idx="160">
                <c:v>20.9</c:v>
              </c:pt>
              <c:pt idx="161">
                <c:v>25.033333333333335</c:v>
              </c:pt>
              <c:pt idx="162">
                <c:v>25.4</c:v>
              </c:pt>
              <c:pt idx="163">
                <c:v>24.266666666666666</c:v>
              </c:pt>
              <c:pt idx="164">
                <c:v>22.066666666666666</c:v>
              </c:pt>
              <c:pt idx="165">
                <c:v>16.899999999999999</c:v>
              </c:pt>
              <c:pt idx="166">
                <c:v>8.0666666666666664</c:v>
              </c:pt>
              <c:pt idx="167">
                <c:v>7.1</c:v>
              </c:pt>
              <c:pt idx="168">
                <c:v>4.2</c:v>
              </c:pt>
              <c:pt idx="169">
                <c:v>1.9</c:v>
              </c:pt>
              <c:pt idx="170">
                <c:v>16.333333333333336</c:v>
              </c:pt>
              <c:pt idx="171">
                <c:v>21.7</c:v>
              </c:pt>
              <c:pt idx="172">
                <c:v>26.3</c:v>
              </c:pt>
            </c:numLit>
          </c:yVal>
          <c:smooth val="0"/>
          <c:extLst>
            <c:ext xmlns:c16="http://schemas.microsoft.com/office/drawing/2014/chart" uri="{C3380CC4-5D6E-409C-BE32-E72D297353CC}">
              <c16:uniqueId val="{00000000-C4F6-4E68-99E9-C7A102CAACA7}"/>
            </c:ext>
          </c:extLst>
        </c:ser>
        <c:dLbls>
          <c:showLegendKey val="0"/>
          <c:showVal val="0"/>
          <c:showCatName val="0"/>
          <c:showSerName val="0"/>
          <c:showPercent val="0"/>
          <c:showBubbleSize val="0"/>
        </c:dLbls>
        <c:axId val="205044736"/>
        <c:axId val="205055104"/>
      </c:scatterChart>
      <c:valAx>
        <c:axId val="205044736"/>
        <c:scaling>
          <c:orientation val="minMax"/>
          <c:min val="0"/>
        </c:scaling>
        <c:delete val="0"/>
        <c:axPos val="b"/>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205055104"/>
        <c:crossesAt val="0"/>
        <c:crossBetween val="midCat"/>
      </c:valAx>
      <c:valAx>
        <c:axId val="205055104"/>
        <c:scaling>
          <c:orientation val="minMax"/>
          <c:min val="0"/>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title>
          <c:tx>
            <c:rich>
              <a:bodyPr/>
              <a:lstStyle/>
              <a:p>
                <a:pPr>
                  <a:defRPr/>
                </a:pPr>
                <a:r>
                  <a:rPr lang="en-US"/>
                  <a:t>Mean_Temp</a:t>
                </a:r>
              </a:p>
            </c:rich>
          </c:tx>
          <c:overlay val="0"/>
        </c:title>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205044736"/>
        <c:crossesAt val="0"/>
        <c:crossBetween val="midCat"/>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5"/>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173"/>
              <c:pt idx="0">
                <c:v>0</c:v>
              </c:pt>
              <c:pt idx="1">
                <c:v>0</c:v>
              </c:pt>
              <c:pt idx="2">
                <c:v>0.56666666666666665</c:v>
              </c:pt>
              <c:pt idx="3">
                <c:v>37.5</c:v>
              </c:pt>
              <c:pt idx="4">
                <c:v>60.86666666666666</c:v>
              </c:pt>
              <c:pt idx="5">
                <c:v>183.13333333333333</c:v>
              </c:pt>
              <c:pt idx="6">
                <c:v>185.13333333333333</c:v>
              </c:pt>
              <c:pt idx="7">
                <c:v>237.53333333333336</c:v>
              </c:pt>
              <c:pt idx="8">
                <c:v>87.7</c:v>
              </c:pt>
              <c:pt idx="9">
                <c:v>15.433333333333334</c:v>
              </c:pt>
              <c:pt idx="10">
                <c:v>5.1333333333333337</c:v>
              </c:pt>
              <c:pt idx="11">
                <c:v>0.3</c:v>
              </c:pt>
              <c:pt idx="12">
                <c:v>0.83333333333333337</c:v>
              </c:pt>
              <c:pt idx="13">
                <c:v>0</c:v>
              </c:pt>
              <c:pt idx="14">
                <c:v>3.5333333333333337</c:v>
              </c:pt>
              <c:pt idx="15">
                <c:v>50.866666666666667</c:v>
              </c:pt>
              <c:pt idx="16">
                <c:v>73.900000000000006</c:v>
              </c:pt>
              <c:pt idx="17">
                <c:v>193.93333333333334</c:v>
              </c:pt>
              <c:pt idx="18">
                <c:v>259.2</c:v>
              </c:pt>
              <c:pt idx="19">
                <c:v>220.26666666666665</c:v>
              </c:pt>
              <c:pt idx="20">
                <c:v>130.30000000000001</c:v>
              </c:pt>
              <c:pt idx="21">
                <c:v>42.93333333333333</c:v>
              </c:pt>
              <c:pt idx="22">
                <c:v>1.3</c:v>
              </c:pt>
              <c:pt idx="23">
                <c:v>0</c:v>
              </c:pt>
              <c:pt idx="24">
                <c:v>0</c:v>
              </c:pt>
              <c:pt idx="25">
                <c:v>0</c:v>
              </c:pt>
              <c:pt idx="26">
                <c:v>3.8</c:v>
              </c:pt>
              <c:pt idx="27">
                <c:v>8.2333333333333325</c:v>
              </c:pt>
              <c:pt idx="28">
                <c:v>45.6</c:v>
              </c:pt>
              <c:pt idx="29">
                <c:v>132.96666666666667</c:v>
              </c:pt>
              <c:pt idx="30">
                <c:v>207.33333333333334</c:v>
              </c:pt>
              <c:pt idx="31">
                <c:v>224.33333333333334</c:v>
              </c:pt>
              <c:pt idx="32">
                <c:v>86.033333333333331</c:v>
              </c:pt>
              <c:pt idx="33">
                <c:v>6.1666666666666661</c:v>
              </c:pt>
              <c:pt idx="34">
                <c:v>12.366666666666667</c:v>
              </c:pt>
              <c:pt idx="35">
                <c:v>0</c:v>
              </c:pt>
              <c:pt idx="36">
                <c:v>0.1</c:v>
              </c:pt>
              <c:pt idx="37">
                <c:v>0</c:v>
              </c:pt>
              <c:pt idx="38">
                <c:v>4.5</c:v>
              </c:pt>
              <c:pt idx="39">
                <c:v>25.533333333333335</c:v>
              </c:pt>
              <c:pt idx="40">
                <c:v>143.96666666666667</c:v>
              </c:pt>
              <c:pt idx="41">
                <c:v>172.56666666666666</c:v>
              </c:pt>
              <c:pt idx="42">
                <c:v>232</c:v>
              </c:pt>
              <c:pt idx="43">
                <c:v>172.43333333333334</c:v>
              </c:pt>
              <c:pt idx="44">
                <c:v>103.73333333333332</c:v>
              </c:pt>
              <c:pt idx="45">
                <c:v>21.533333333333335</c:v>
              </c:pt>
              <c:pt idx="46">
                <c:v>7.1</c:v>
              </c:pt>
              <c:pt idx="47">
                <c:v>0</c:v>
              </c:pt>
              <c:pt idx="48">
                <c:v>1.3</c:v>
              </c:pt>
              <c:pt idx="49">
                <c:v>0</c:v>
              </c:pt>
              <c:pt idx="50">
                <c:v>0</c:v>
              </c:pt>
              <c:pt idx="51">
                <c:v>8.8333333333333321</c:v>
              </c:pt>
              <c:pt idx="52">
                <c:v>35.4</c:v>
              </c:pt>
              <c:pt idx="53">
                <c:v>172.13333333333333</c:v>
              </c:pt>
              <c:pt idx="54">
                <c:v>268.56666666666666</c:v>
              </c:pt>
              <c:pt idx="55">
                <c:v>253.56666666666666</c:v>
              </c:pt>
              <c:pt idx="56">
                <c:v>166.86666666666667</c:v>
              </c:pt>
              <c:pt idx="57">
                <c:v>40.133333333333333</c:v>
              </c:pt>
              <c:pt idx="58">
                <c:v>3.166666666666667</c:v>
              </c:pt>
              <c:pt idx="59">
                <c:v>0</c:v>
              </c:pt>
              <c:pt idx="60">
                <c:v>0</c:v>
              </c:pt>
              <c:pt idx="61">
                <c:v>0</c:v>
              </c:pt>
              <c:pt idx="62">
                <c:v>6.9</c:v>
              </c:pt>
              <c:pt idx="63">
                <c:v>35.299999999999997</c:v>
              </c:pt>
              <c:pt idx="64">
                <c:v>55.13333333333334</c:v>
              </c:pt>
              <c:pt idx="65">
                <c:v>158.80000000000001</c:v>
              </c:pt>
              <c:pt idx="66">
                <c:v>240.5</c:v>
              </c:pt>
              <c:pt idx="67">
                <c:v>251.9</c:v>
              </c:pt>
              <c:pt idx="68">
                <c:v>85.933333333333337</c:v>
              </c:pt>
              <c:pt idx="69">
                <c:v>12.333333333333332</c:v>
              </c:pt>
              <c:pt idx="70">
                <c:v>1.5</c:v>
              </c:pt>
              <c:pt idx="71">
                <c:v>0</c:v>
              </c:pt>
              <c:pt idx="72">
                <c:v>0.1</c:v>
              </c:pt>
              <c:pt idx="73">
                <c:v>0</c:v>
              </c:pt>
              <c:pt idx="74">
                <c:v>16.8</c:v>
              </c:pt>
              <c:pt idx="75">
                <c:v>26.366666666666667</c:v>
              </c:pt>
              <c:pt idx="76">
                <c:v>82.733333333333334</c:v>
              </c:pt>
              <c:pt idx="77">
                <c:v>183.26666666666668</c:v>
              </c:pt>
              <c:pt idx="78">
                <c:v>215.2</c:v>
              </c:pt>
              <c:pt idx="79">
                <c:v>322.7</c:v>
              </c:pt>
              <c:pt idx="80">
                <c:v>163.6</c:v>
              </c:pt>
              <c:pt idx="81">
                <c:v>76.266666666666666</c:v>
              </c:pt>
              <c:pt idx="82">
                <c:v>0.13333333333333333</c:v>
              </c:pt>
              <c:pt idx="83">
                <c:v>2.5333333333333332</c:v>
              </c:pt>
              <c:pt idx="84">
                <c:v>0</c:v>
              </c:pt>
              <c:pt idx="85">
                <c:v>0.76666666666666672</c:v>
              </c:pt>
              <c:pt idx="86">
                <c:v>1.8333333333333333</c:v>
              </c:pt>
              <c:pt idx="87">
                <c:v>12.133333333333333</c:v>
              </c:pt>
              <c:pt idx="88">
                <c:v>48.93333333333333</c:v>
              </c:pt>
              <c:pt idx="89">
                <c:v>242.73333333333335</c:v>
              </c:pt>
              <c:pt idx="90">
                <c:v>235.33333333333334</c:v>
              </c:pt>
              <c:pt idx="91">
                <c:v>217</c:v>
              </c:pt>
              <c:pt idx="92">
                <c:v>118</c:v>
              </c:pt>
              <c:pt idx="93">
                <c:v>14.533333333333335</c:v>
              </c:pt>
              <c:pt idx="94">
                <c:v>0</c:v>
              </c:pt>
              <c:pt idx="95">
                <c:v>0.2</c:v>
              </c:pt>
              <c:pt idx="96">
                <c:v>0</c:v>
              </c:pt>
              <c:pt idx="97">
                <c:v>0</c:v>
              </c:pt>
              <c:pt idx="98">
                <c:v>6.0666666666666664</c:v>
              </c:pt>
              <c:pt idx="99">
                <c:v>23.166666666666664</c:v>
              </c:pt>
              <c:pt idx="100">
                <c:v>102.4</c:v>
              </c:pt>
              <c:pt idx="101">
                <c:v>201.4</c:v>
              </c:pt>
              <c:pt idx="102">
                <c:v>219.66666666666666</c:v>
              </c:pt>
              <c:pt idx="103">
                <c:v>244.73333333333335</c:v>
              </c:pt>
              <c:pt idx="104">
                <c:v>103.93333333333332</c:v>
              </c:pt>
              <c:pt idx="105">
                <c:v>13.4</c:v>
              </c:pt>
              <c:pt idx="106">
                <c:v>0.1</c:v>
              </c:pt>
              <c:pt idx="107">
                <c:v>0</c:v>
              </c:pt>
              <c:pt idx="108">
                <c:v>0</c:v>
              </c:pt>
              <c:pt idx="109">
                <c:v>0</c:v>
              </c:pt>
              <c:pt idx="110">
                <c:v>0</c:v>
              </c:pt>
              <c:pt idx="111">
                <c:v>30.6</c:v>
              </c:pt>
              <c:pt idx="112">
                <c:v>124.4</c:v>
              </c:pt>
              <c:pt idx="113">
                <c:v>259.8</c:v>
              </c:pt>
              <c:pt idx="114">
                <c:v>289.13333333333333</c:v>
              </c:pt>
              <c:pt idx="115">
                <c:v>268.76666666666665</c:v>
              </c:pt>
              <c:pt idx="116">
                <c:v>181.16666666666669</c:v>
              </c:pt>
              <c:pt idx="117">
                <c:v>25.466666666666665</c:v>
              </c:pt>
              <c:pt idx="118">
                <c:v>0.1</c:v>
              </c:pt>
              <c:pt idx="119">
                <c:v>0</c:v>
              </c:pt>
              <c:pt idx="120">
                <c:v>0</c:v>
              </c:pt>
              <c:pt idx="121">
                <c:v>1.1666666666666665</c:v>
              </c:pt>
              <c:pt idx="122">
                <c:v>4.6666666666666661</c:v>
              </c:pt>
              <c:pt idx="123">
                <c:v>39.200000000000003</c:v>
              </c:pt>
              <c:pt idx="124">
                <c:v>99.566666666666663</c:v>
              </c:pt>
              <c:pt idx="125">
                <c:v>233</c:v>
              </c:pt>
              <c:pt idx="126">
                <c:v>296.53333333333336</c:v>
              </c:pt>
              <c:pt idx="127">
                <c:v>248.06666666666666</c:v>
              </c:pt>
              <c:pt idx="128">
                <c:v>131.03333333333333</c:v>
              </c:pt>
              <c:pt idx="129">
                <c:v>9.3000000000000007</c:v>
              </c:pt>
              <c:pt idx="130">
                <c:v>5.3333333333333339</c:v>
              </c:pt>
              <c:pt idx="131">
                <c:v>0.2</c:v>
              </c:pt>
              <c:pt idx="132">
                <c:v>0</c:v>
              </c:pt>
              <c:pt idx="133">
                <c:v>0</c:v>
              </c:pt>
              <c:pt idx="134">
                <c:v>24.166666666666664</c:v>
              </c:pt>
              <c:pt idx="135">
                <c:v>21.9</c:v>
              </c:pt>
              <c:pt idx="136">
                <c:v>118.5</c:v>
              </c:pt>
              <c:pt idx="137">
                <c:v>159.06666666666666</c:v>
              </c:pt>
              <c:pt idx="138">
                <c:v>299.83333333333337</c:v>
              </c:pt>
              <c:pt idx="139">
                <c:v>212.3</c:v>
              </c:pt>
              <c:pt idx="140">
                <c:v>105.06666666666668</c:v>
              </c:pt>
              <c:pt idx="141">
                <c:v>19.833333333333336</c:v>
              </c:pt>
              <c:pt idx="142">
                <c:v>0</c:v>
              </c:pt>
              <c:pt idx="143">
                <c:v>0.46666666666666667</c:v>
              </c:pt>
              <c:pt idx="144">
                <c:v>0.3</c:v>
              </c:pt>
              <c:pt idx="145">
                <c:v>0</c:v>
              </c:pt>
              <c:pt idx="146">
                <c:v>0.46666666666666667</c:v>
              </c:pt>
              <c:pt idx="147">
                <c:v>22.4</c:v>
              </c:pt>
              <c:pt idx="148">
                <c:v>66.666666666666657</c:v>
              </c:pt>
              <c:pt idx="149">
                <c:v>177.96666666666667</c:v>
              </c:pt>
              <c:pt idx="150">
                <c:v>229.76666666666665</c:v>
              </c:pt>
              <c:pt idx="151">
                <c:v>185.06666666666666</c:v>
              </c:pt>
              <c:pt idx="152">
                <c:v>107.06666666666668</c:v>
              </c:pt>
              <c:pt idx="153">
                <c:v>29.233333333333331</c:v>
              </c:pt>
              <c:pt idx="154">
                <c:v>0.43333333333333329</c:v>
              </c:pt>
              <c:pt idx="155">
                <c:v>5.2666666666666666</c:v>
              </c:pt>
              <c:pt idx="156">
                <c:v>0</c:v>
              </c:pt>
              <c:pt idx="157">
                <c:v>0.1</c:v>
              </c:pt>
              <c:pt idx="158">
                <c:v>0</c:v>
              </c:pt>
              <c:pt idx="159">
                <c:v>15.066666666666666</c:v>
              </c:pt>
              <c:pt idx="160">
                <c:v>98.833333333333343</c:v>
              </c:pt>
              <c:pt idx="161">
                <c:v>201.76666666666668</c:v>
              </c:pt>
              <c:pt idx="162">
                <c:v>219.13333333333335</c:v>
              </c:pt>
              <c:pt idx="163">
                <c:v>185.33333333333331</c:v>
              </c:pt>
              <c:pt idx="164">
                <c:v>120.23333333333332</c:v>
              </c:pt>
              <c:pt idx="165">
                <c:v>31.233333333333331</c:v>
              </c:pt>
              <c:pt idx="166">
                <c:v>0.5</c:v>
              </c:pt>
              <c:pt idx="167">
                <c:v>0</c:v>
              </c:pt>
              <c:pt idx="168">
                <c:v>0</c:v>
              </c:pt>
              <c:pt idx="169">
                <c:v>0</c:v>
              </c:pt>
              <c:pt idx="170">
                <c:v>25.3</c:v>
              </c:pt>
              <c:pt idx="171">
                <c:v>116.3</c:v>
              </c:pt>
              <c:pt idx="172">
                <c:v>240.36666666666665</c:v>
              </c:pt>
            </c:numLit>
          </c:xVal>
          <c:yVal>
            <c:numLit>
              <c:formatCode>General</c:formatCode>
              <c:ptCount val="173"/>
              <c:pt idx="0">
                <c:v>7812</c:v>
              </c:pt>
              <c:pt idx="1">
                <c:v>5397</c:v>
              </c:pt>
              <c:pt idx="2">
                <c:v>4696</c:v>
              </c:pt>
              <c:pt idx="3">
                <c:v>3203</c:v>
              </c:pt>
              <c:pt idx="4">
                <c:v>2024</c:v>
              </c:pt>
              <c:pt idx="5">
                <c:v>1564</c:v>
              </c:pt>
              <c:pt idx="6">
                <c:v>1569</c:v>
              </c:pt>
              <c:pt idx="7">
                <c:v>1445</c:v>
              </c:pt>
              <c:pt idx="8">
                <c:v>1626</c:v>
              </c:pt>
              <c:pt idx="9">
                <c:v>2264</c:v>
              </c:pt>
              <c:pt idx="10">
                <c:v>2946</c:v>
              </c:pt>
              <c:pt idx="11">
                <c:v>4038</c:v>
              </c:pt>
              <c:pt idx="12">
                <c:v>6314</c:v>
              </c:pt>
              <c:pt idx="13">
                <c:v>5606</c:v>
              </c:pt>
              <c:pt idx="14">
                <c:v>4787</c:v>
              </c:pt>
              <c:pt idx="15">
                <c:v>2861</c:v>
              </c:pt>
              <c:pt idx="16">
                <c:v>1902</c:v>
              </c:pt>
              <c:pt idx="17">
                <c:v>1882</c:v>
              </c:pt>
              <c:pt idx="18">
                <c:v>1511</c:v>
              </c:pt>
              <c:pt idx="19">
                <c:v>1437</c:v>
              </c:pt>
              <c:pt idx="20">
                <c:v>1624</c:v>
              </c:pt>
              <c:pt idx="21">
                <c:v>2429</c:v>
              </c:pt>
              <c:pt idx="22">
                <c:v>3620</c:v>
              </c:pt>
              <c:pt idx="23">
                <c:v>6225</c:v>
              </c:pt>
              <c:pt idx="24">
                <c:v>7576</c:v>
              </c:pt>
              <c:pt idx="25">
                <c:v>7127</c:v>
              </c:pt>
              <c:pt idx="26">
                <c:v>4812</c:v>
              </c:pt>
              <c:pt idx="27">
                <c:v>3255</c:v>
              </c:pt>
              <c:pt idx="28">
                <c:v>2268</c:v>
              </c:pt>
              <c:pt idx="29">
                <c:v>1693</c:v>
              </c:pt>
              <c:pt idx="30">
                <c:v>1560</c:v>
              </c:pt>
              <c:pt idx="31">
                <c:v>1521</c:v>
              </c:pt>
              <c:pt idx="32">
                <c:v>1698</c:v>
              </c:pt>
              <c:pt idx="33">
                <c:v>2758</c:v>
              </c:pt>
              <c:pt idx="34">
                <c:v>3854</c:v>
              </c:pt>
              <c:pt idx="35">
                <c:v>6140</c:v>
              </c:pt>
              <c:pt idx="36">
                <c:v>7463</c:v>
              </c:pt>
              <c:pt idx="37">
                <c:v>7438</c:v>
              </c:pt>
              <c:pt idx="38">
                <c:v>5282</c:v>
              </c:pt>
              <c:pt idx="39">
                <c:v>3483</c:v>
              </c:pt>
              <c:pt idx="40">
                <c:v>2214</c:v>
              </c:pt>
              <c:pt idx="41">
                <c:v>2035</c:v>
              </c:pt>
              <c:pt idx="42">
                <c:v>1949</c:v>
              </c:pt>
              <c:pt idx="43">
                <c:v>2038</c:v>
              </c:pt>
              <c:pt idx="44">
                <c:v>2017</c:v>
              </c:pt>
              <c:pt idx="45">
                <c:v>2305</c:v>
              </c:pt>
              <c:pt idx="46">
                <c:v>3377</c:v>
              </c:pt>
              <c:pt idx="47">
                <c:v>5782</c:v>
              </c:pt>
              <c:pt idx="48">
                <c:v>7551</c:v>
              </c:pt>
              <c:pt idx="49">
                <c:v>6951</c:v>
              </c:pt>
              <c:pt idx="50">
                <c:v>6156</c:v>
              </c:pt>
              <c:pt idx="51">
                <c:v>3951</c:v>
              </c:pt>
              <c:pt idx="52">
                <c:v>2488</c:v>
              </c:pt>
              <c:pt idx="53">
                <c:v>2108</c:v>
              </c:pt>
              <c:pt idx="54">
                <c:v>1958</c:v>
              </c:pt>
              <c:pt idx="55">
                <c:v>1889</c:v>
              </c:pt>
              <c:pt idx="56">
                <c:v>2026</c:v>
              </c:pt>
              <c:pt idx="57">
                <c:v>2564</c:v>
              </c:pt>
              <c:pt idx="58">
                <c:v>3466</c:v>
              </c:pt>
              <c:pt idx="59">
                <c:v>6590</c:v>
              </c:pt>
              <c:pt idx="60">
                <c:v>7102</c:v>
              </c:pt>
              <c:pt idx="61">
                <c:v>6464</c:v>
              </c:pt>
              <c:pt idx="62">
                <c:v>5564</c:v>
              </c:pt>
              <c:pt idx="63">
                <c:v>3540</c:v>
              </c:pt>
              <c:pt idx="64">
                <c:v>2561</c:v>
              </c:pt>
              <c:pt idx="65">
                <c:v>2232</c:v>
              </c:pt>
              <c:pt idx="66">
                <c:v>2138</c:v>
              </c:pt>
              <c:pt idx="67">
                <c:v>2008</c:v>
              </c:pt>
              <c:pt idx="68">
                <c:v>2285</c:v>
              </c:pt>
              <c:pt idx="69">
                <c:v>3093</c:v>
              </c:pt>
              <c:pt idx="70">
                <c:v>3884</c:v>
              </c:pt>
              <c:pt idx="71">
                <c:v>5449</c:v>
              </c:pt>
              <c:pt idx="72">
                <c:v>6772</c:v>
              </c:pt>
              <c:pt idx="73">
                <c:v>7443</c:v>
              </c:pt>
              <c:pt idx="74">
                <c:v>5270</c:v>
              </c:pt>
              <c:pt idx="75">
                <c:v>3597</c:v>
              </c:pt>
              <c:pt idx="76">
                <c:v>2602</c:v>
              </c:pt>
              <c:pt idx="77">
                <c:v>2131</c:v>
              </c:pt>
              <c:pt idx="78">
                <c:v>1997</c:v>
              </c:pt>
              <c:pt idx="79">
                <c:v>1965</c:v>
              </c:pt>
              <c:pt idx="80">
                <c:v>2068</c:v>
              </c:pt>
              <c:pt idx="81">
                <c:v>2352</c:v>
              </c:pt>
              <c:pt idx="82">
                <c:v>3902</c:v>
              </c:pt>
              <c:pt idx="83">
                <c:v>5335</c:v>
              </c:pt>
              <c:pt idx="84">
                <c:v>7577</c:v>
              </c:pt>
              <c:pt idx="85">
                <c:v>6186</c:v>
              </c:pt>
              <c:pt idx="86">
                <c:v>4686</c:v>
              </c:pt>
              <c:pt idx="87">
                <c:v>3120</c:v>
              </c:pt>
              <c:pt idx="88">
                <c:v>2280</c:v>
              </c:pt>
              <c:pt idx="89">
                <c:v>1998</c:v>
              </c:pt>
              <c:pt idx="90">
                <c:v>1909</c:v>
              </c:pt>
              <c:pt idx="91">
                <c:v>2010</c:v>
              </c:pt>
              <c:pt idx="92">
                <c:v>2707</c:v>
              </c:pt>
              <c:pt idx="93">
                <c:v>4602</c:v>
              </c:pt>
              <c:pt idx="94">
                <c:v>5251</c:v>
              </c:pt>
              <c:pt idx="95">
                <c:v>6241</c:v>
              </c:pt>
              <c:pt idx="96">
                <c:v>8960</c:v>
              </c:pt>
              <c:pt idx="97">
                <c:v>6565</c:v>
              </c:pt>
              <c:pt idx="98">
                <c:v>5670</c:v>
              </c:pt>
              <c:pt idx="99">
                <c:v>3161</c:v>
              </c:pt>
              <c:pt idx="100">
                <c:v>2464</c:v>
              </c:pt>
              <c:pt idx="101">
                <c:v>1853</c:v>
              </c:pt>
              <c:pt idx="102">
                <c:v>1983</c:v>
              </c:pt>
              <c:pt idx="103">
                <c:v>2064</c:v>
              </c:pt>
              <c:pt idx="104">
                <c:v>2450</c:v>
              </c:pt>
              <c:pt idx="105">
                <c:v>3598</c:v>
              </c:pt>
              <c:pt idx="106">
                <c:v>4375</c:v>
              </c:pt>
              <c:pt idx="107">
                <c:v>8161</c:v>
              </c:pt>
              <c:pt idx="108">
                <c:v>9701</c:v>
              </c:pt>
              <c:pt idx="109">
                <c:v>8911</c:v>
              </c:pt>
              <c:pt idx="110">
                <c:v>5153</c:v>
              </c:pt>
              <c:pt idx="111">
                <c:v>2691</c:v>
              </c:pt>
              <c:pt idx="112">
                <c:v>2389</c:v>
              </c:pt>
              <c:pt idx="113">
                <c:v>1977</c:v>
              </c:pt>
              <c:pt idx="114">
                <c:v>1926</c:v>
              </c:pt>
              <c:pt idx="115">
                <c:v>2092</c:v>
              </c:pt>
              <c:pt idx="116">
                <c:v>2433</c:v>
              </c:pt>
              <c:pt idx="117">
                <c:v>3117</c:v>
              </c:pt>
              <c:pt idx="118">
                <c:v>5190</c:v>
              </c:pt>
              <c:pt idx="119">
                <c:v>10645</c:v>
              </c:pt>
              <c:pt idx="120">
                <c:v>9522</c:v>
              </c:pt>
              <c:pt idx="121">
                <c:v>6169</c:v>
              </c:pt>
              <c:pt idx="122">
                <c:v>5460</c:v>
              </c:pt>
              <c:pt idx="123">
                <c:v>2761</c:v>
              </c:pt>
              <c:pt idx="124">
                <c:v>2568</c:v>
              </c:pt>
              <c:pt idx="125">
                <c:v>2133</c:v>
              </c:pt>
              <c:pt idx="126">
                <c:v>1980</c:v>
              </c:pt>
              <c:pt idx="127">
                <c:v>2465</c:v>
              </c:pt>
              <c:pt idx="128">
                <c:v>2382</c:v>
              </c:pt>
              <c:pt idx="129">
                <c:v>3931</c:v>
              </c:pt>
              <c:pt idx="130">
                <c:v>4446</c:v>
              </c:pt>
              <c:pt idx="131">
                <c:v>6081</c:v>
              </c:pt>
              <c:pt idx="132">
                <c:v>8072</c:v>
              </c:pt>
              <c:pt idx="133">
                <c:v>6583</c:v>
              </c:pt>
              <c:pt idx="134">
                <c:v>3545</c:v>
              </c:pt>
              <c:pt idx="135">
                <c:v>3370</c:v>
              </c:pt>
              <c:pt idx="136">
                <c:v>2205</c:v>
              </c:pt>
              <c:pt idx="137">
                <c:v>2433</c:v>
              </c:pt>
              <c:pt idx="138">
                <c:v>1976</c:v>
              </c:pt>
              <c:pt idx="139">
                <c:v>2673</c:v>
              </c:pt>
              <c:pt idx="140">
                <c:v>2529</c:v>
              </c:pt>
              <c:pt idx="141">
                <c:v>4003</c:v>
              </c:pt>
              <c:pt idx="142">
                <c:v>5686</c:v>
              </c:pt>
              <c:pt idx="143">
                <c:v>5878</c:v>
              </c:pt>
              <c:pt idx="144">
                <c:v>6935</c:v>
              </c:pt>
              <c:pt idx="145">
                <c:v>7155</c:v>
              </c:pt>
              <c:pt idx="146">
                <c:v>7253</c:v>
              </c:pt>
              <c:pt idx="147">
                <c:v>3390</c:v>
              </c:pt>
              <c:pt idx="148">
                <c:v>3075</c:v>
              </c:pt>
              <c:pt idx="149">
                <c:v>2381</c:v>
              </c:pt>
              <c:pt idx="150">
                <c:v>2613</c:v>
              </c:pt>
              <c:pt idx="151">
                <c:v>2611</c:v>
              </c:pt>
              <c:pt idx="152">
                <c:v>2873</c:v>
              </c:pt>
              <c:pt idx="153">
                <c:v>3869</c:v>
              </c:pt>
              <c:pt idx="154">
                <c:v>6415</c:v>
              </c:pt>
              <c:pt idx="155">
                <c:v>6700</c:v>
              </c:pt>
              <c:pt idx="156">
                <c:v>11381</c:v>
              </c:pt>
              <c:pt idx="157">
                <c:v>7396</c:v>
              </c:pt>
              <c:pt idx="158">
                <c:v>7426</c:v>
              </c:pt>
              <c:pt idx="159">
                <c:v>3372</c:v>
              </c:pt>
              <c:pt idx="160">
                <c:v>3314</c:v>
              </c:pt>
              <c:pt idx="161">
                <c:v>2930</c:v>
              </c:pt>
              <c:pt idx="162">
                <c:v>2889</c:v>
              </c:pt>
              <c:pt idx="163">
                <c:v>2708</c:v>
              </c:pt>
              <c:pt idx="164">
                <c:v>2884</c:v>
              </c:pt>
              <c:pt idx="165">
                <c:v>3606</c:v>
              </c:pt>
              <c:pt idx="166">
                <c:v>6843</c:v>
              </c:pt>
              <c:pt idx="167">
                <c:v>7464</c:v>
              </c:pt>
              <c:pt idx="168">
                <c:v>9500</c:v>
              </c:pt>
              <c:pt idx="169">
                <c:v>10511</c:v>
              </c:pt>
              <c:pt idx="170">
                <c:v>3543</c:v>
              </c:pt>
              <c:pt idx="171">
                <c:v>2502</c:v>
              </c:pt>
              <c:pt idx="172">
                <c:v>2944</c:v>
              </c:pt>
            </c:numLit>
          </c:yVal>
          <c:smooth val="0"/>
          <c:extLst>
            <c:ext xmlns:c16="http://schemas.microsoft.com/office/drawing/2014/chart" uri="{C3380CC4-5D6E-409C-BE32-E72D297353CC}">
              <c16:uniqueId val="{00000000-CB4F-4FEC-B83B-467E1BA63F29}"/>
            </c:ext>
          </c:extLst>
        </c:ser>
        <c:dLbls>
          <c:showLegendKey val="0"/>
          <c:showVal val="0"/>
          <c:showCatName val="0"/>
          <c:showSerName val="0"/>
          <c:showPercent val="0"/>
          <c:showBubbleSize val="0"/>
        </c:dLbls>
        <c:axId val="205344768"/>
        <c:axId val="205347072"/>
      </c:scatterChart>
      <c:valAx>
        <c:axId val="205344768"/>
        <c:scaling>
          <c:orientation val="minMax"/>
          <c:max val="322.7"/>
          <c:min val="0"/>
        </c:scaling>
        <c:delete val="0"/>
        <c:axPos val="b"/>
        <c:title>
          <c:tx>
            <c:rich>
              <a:bodyPr/>
              <a:lstStyle/>
              <a:p>
                <a:pPr>
                  <a:defRPr/>
                </a:pPr>
                <a:r>
                  <a:rPr lang="en-US"/>
                  <a:t>_Commercial_Natural_Gas vs.
Cooling_Degree_Days
r = -0.682,  r-squared = 0.465</a:t>
                </a:r>
              </a:p>
            </c:rich>
          </c:tx>
          <c:overlay val="0"/>
        </c:title>
        <c:numFmt formatCode="#,##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205347072"/>
        <c:crossesAt val="1437"/>
        <c:crossBetween val="midCat"/>
        <c:majorUnit val="161.35"/>
      </c:valAx>
      <c:valAx>
        <c:axId val="205347072"/>
        <c:scaling>
          <c:orientation val="minMax"/>
          <c:max val="11381"/>
          <c:min val="1437"/>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205344768"/>
        <c:crossesAt val="0"/>
        <c:crossBetween val="midCat"/>
        <c:majorUnit val="4972"/>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5"/>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173"/>
              <c:pt idx="0">
                <c:v>424.36666666666667</c:v>
              </c:pt>
              <c:pt idx="1">
                <c:v>284.10000000000002</c:v>
              </c:pt>
              <c:pt idx="2">
                <c:v>294.89999999999998</c:v>
              </c:pt>
              <c:pt idx="3">
                <c:v>109.86666666666667</c:v>
              </c:pt>
              <c:pt idx="4">
                <c:v>16.766666666666666</c:v>
              </c:pt>
              <c:pt idx="5">
                <c:v>0</c:v>
              </c:pt>
              <c:pt idx="6">
                <c:v>0</c:v>
              </c:pt>
              <c:pt idx="7">
                <c:v>0</c:v>
              </c:pt>
              <c:pt idx="8">
                <c:v>29.733333333333331</c:v>
              </c:pt>
              <c:pt idx="9">
                <c:v>130.53333333333333</c:v>
              </c:pt>
              <c:pt idx="10">
                <c:v>159.83333333333331</c:v>
              </c:pt>
              <c:pt idx="11">
                <c:v>303.93333333333334</c:v>
              </c:pt>
              <c:pt idx="12">
                <c:v>388.46666666666664</c:v>
              </c:pt>
              <c:pt idx="13">
                <c:v>329.26666666666665</c:v>
              </c:pt>
              <c:pt idx="14">
                <c:v>238.53333333333336</c:v>
              </c:pt>
              <c:pt idx="15">
                <c:v>80</c:v>
              </c:pt>
              <c:pt idx="16">
                <c:v>53.8</c:v>
              </c:pt>
              <c:pt idx="17">
                <c:v>0</c:v>
              </c:pt>
              <c:pt idx="18">
                <c:v>0</c:v>
              </c:pt>
              <c:pt idx="19">
                <c:v>0.1</c:v>
              </c:pt>
              <c:pt idx="20">
                <c:v>0.26666666666666666</c:v>
              </c:pt>
              <c:pt idx="21">
                <c:v>108.33333333333333</c:v>
              </c:pt>
              <c:pt idx="22">
                <c:v>274.26666666666665</c:v>
              </c:pt>
              <c:pt idx="23">
                <c:v>424.6</c:v>
              </c:pt>
              <c:pt idx="24">
                <c:v>484.9</c:v>
              </c:pt>
              <c:pt idx="25">
                <c:v>369</c:v>
              </c:pt>
              <c:pt idx="26">
                <c:v>201.96666666666667</c:v>
              </c:pt>
              <c:pt idx="27">
                <c:v>117</c:v>
              </c:pt>
              <c:pt idx="28">
                <c:v>32.966666666666669</c:v>
              </c:pt>
              <c:pt idx="29">
                <c:v>2.5333333333333332</c:v>
              </c:pt>
              <c:pt idx="30">
                <c:v>0</c:v>
              </c:pt>
              <c:pt idx="31">
                <c:v>0</c:v>
              </c:pt>
              <c:pt idx="32">
                <c:v>10.533333333333333</c:v>
              </c:pt>
              <c:pt idx="33">
                <c:v>102.56666666666668</c:v>
              </c:pt>
              <c:pt idx="34">
                <c:v>169.63333333333333</c:v>
              </c:pt>
              <c:pt idx="35">
                <c:v>426.0333333333333</c:v>
              </c:pt>
              <c:pt idx="36">
                <c:v>462.16666666666669</c:v>
              </c:pt>
              <c:pt idx="37">
                <c:v>402.1</c:v>
              </c:pt>
              <c:pt idx="38">
                <c:v>218.8</c:v>
              </c:pt>
              <c:pt idx="39">
                <c:v>115.46666666666667</c:v>
              </c:pt>
              <c:pt idx="40">
                <c:v>16.166666666666664</c:v>
              </c:pt>
              <c:pt idx="41">
                <c:v>0</c:v>
              </c:pt>
              <c:pt idx="42">
                <c:v>0</c:v>
              </c:pt>
              <c:pt idx="43">
                <c:v>0.26666666666666666</c:v>
              </c:pt>
              <c:pt idx="44">
                <c:v>4.5333333333333332</c:v>
              </c:pt>
              <c:pt idx="45">
                <c:v>65.8</c:v>
              </c:pt>
              <c:pt idx="46">
                <c:v>205.63333333333335</c:v>
              </c:pt>
              <c:pt idx="47">
                <c:v>389.76666666666665</c:v>
              </c:pt>
              <c:pt idx="48">
                <c:v>372.36666666666667</c:v>
              </c:pt>
              <c:pt idx="49">
                <c:v>317.5</c:v>
              </c:pt>
              <c:pt idx="50">
                <c:v>293.96666666666664</c:v>
              </c:pt>
              <c:pt idx="51">
                <c:v>113.46666666666667</c:v>
              </c:pt>
              <c:pt idx="52">
                <c:v>41.833333333333329</c:v>
              </c:pt>
              <c:pt idx="53">
                <c:v>3.0333333333333332</c:v>
              </c:pt>
              <c:pt idx="54">
                <c:v>0</c:v>
              </c:pt>
              <c:pt idx="55">
                <c:v>0</c:v>
              </c:pt>
              <c:pt idx="56">
                <c:v>0.56666666666666665</c:v>
              </c:pt>
              <c:pt idx="57">
                <c:v>90.2</c:v>
              </c:pt>
              <c:pt idx="58">
                <c:v>217.3</c:v>
              </c:pt>
              <c:pt idx="59">
                <c:v>429.3</c:v>
              </c:pt>
              <c:pt idx="60">
                <c:v>307.36666666666667</c:v>
              </c:pt>
              <c:pt idx="61">
                <c:v>339.36666666666667</c:v>
              </c:pt>
              <c:pt idx="62">
                <c:v>239</c:v>
              </c:pt>
              <c:pt idx="63">
                <c:v>72.3</c:v>
              </c:pt>
              <c:pt idx="64">
                <c:v>46.6</c:v>
              </c:pt>
              <c:pt idx="65">
                <c:v>0.26666666666666666</c:v>
              </c:pt>
              <c:pt idx="66">
                <c:v>0</c:v>
              </c:pt>
              <c:pt idx="67">
                <c:v>0</c:v>
              </c:pt>
              <c:pt idx="68">
                <c:v>14.133333333333335</c:v>
              </c:pt>
              <c:pt idx="69">
                <c:v>132.80000000000001</c:v>
              </c:pt>
              <c:pt idx="70">
                <c:v>216.4</c:v>
              </c:pt>
              <c:pt idx="71">
                <c:v>306.73333333333335</c:v>
              </c:pt>
              <c:pt idx="72">
                <c:v>357.43333333333334</c:v>
              </c:pt>
              <c:pt idx="73">
                <c:v>385.2</c:v>
              </c:pt>
              <c:pt idx="74">
                <c:v>169.26666666666668</c:v>
              </c:pt>
              <c:pt idx="75">
                <c:v>126.2</c:v>
              </c:pt>
              <c:pt idx="76">
                <c:v>32.133333333333333</c:v>
              </c:pt>
              <c:pt idx="77">
                <c:v>0.6333333333333333</c:v>
              </c:pt>
              <c:pt idx="78">
                <c:v>0</c:v>
              </c:pt>
              <c:pt idx="79">
                <c:v>0</c:v>
              </c:pt>
              <c:pt idx="80">
                <c:v>2.2333333333333334</c:v>
              </c:pt>
              <c:pt idx="81">
                <c:v>49.333333333333329</c:v>
              </c:pt>
              <c:pt idx="82">
                <c:v>243.9</c:v>
              </c:pt>
              <c:pt idx="83">
                <c:v>293.23333333333335</c:v>
              </c:pt>
              <c:pt idx="84">
                <c:v>419.13333333333333</c:v>
              </c:pt>
              <c:pt idx="85">
                <c:v>297.3</c:v>
              </c:pt>
              <c:pt idx="86">
                <c:v>218.7</c:v>
              </c:pt>
              <c:pt idx="87">
                <c:v>110.7</c:v>
              </c:pt>
              <c:pt idx="88">
                <c:v>19.833333333333336</c:v>
              </c:pt>
              <c:pt idx="89">
                <c:v>0</c:v>
              </c:pt>
              <c:pt idx="90">
                <c:v>0</c:v>
              </c:pt>
              <c:pt idx="91">
                <c:v>0</c:v>
              </c:pt>
              <c:pt idx="92">
                <c:v>5.7</c:v>
              </c:pt>
              <c:pt idx="93">
                <c:v>126.06666666666668</c:v>
              </c:pt>
              <c:pt idx="94">
                <c:v>290.43333333333334</c:v>
              </c:pt>
              <c:pt idx="95">
                <c:v>322</c:v>
              </c:pt>
              <c:pt idx="96">
                <c:v>442.9</c:v>
              </c:pt>
              <c:pt idx="97">
                <c:v>317.2</c:v>
              </c:pt>
              <c:pt idx="98">
                <c:v>253.06666666666666</c:v>
              </c:pt>
              <c:pt idx="99">
                <c:v>95.833333333333343</c:v>
              </c:pt>
              <c:pt idx="100">
                <c:v>22.666666666666664</c:v>
              </c:pt>
              <c:pt idx="101">
                <c:v>0</c:v>
              </c:pt>
              <c:pt idx="102">
                <c:v>0</c:v>
              </c:pt>
              <c:pt idx="103">
                <c:v>0</c:v>
              </c:pt>
              <c:pt idx="104">
                <c:v>6.2333333333333334</c:v>
              </c:pt>
              <c:pt idx="105">
                <c:v>109.43333333333332</c:v>
              </c:pt>
              <c:pt idx="106">
                <c:v>201.56666666666666</c:v>
              </c:pt>
              <c:pt idx="107">
                <c:v>433.06666666666672</c:v>
              </c:pt>
              <c:pt idx="108">
                <c:v>479.0333333333333</c:v>
              </c:pt>
              <c:pt idx="109">
                <c:v>427.16666666666669</c:v>
              </c:pt>
              <c:pt idx="110">
                <c:v>234.46666666666664</c:v>
              </c:pt>
              <c:pt idx="111">
                <c:v>65.599999999999994</c:v>
              </c:pt>
              <c:pt idx="112">
                <c:v>14.833333333333334</c:v>
              </c:pt>
              <c:pt idx="113">
                <c:v>0</c:v>
              </c:pt>
              <c:pt idx="114">
                <c:v>0</c:v>
              </c:pt>
              <c:pt idx="115">
                <c:v>0</c:v>
              </c:pt>
              <c:pt idx="116">
                <c:v>1.4</c:v>
              </c:pt>
              <c:pt idx="117">
                <c:v>69.333333333333343</c:v>
              </c:pt>
              <c:pt idx="118">
                <c:v>235.83333333333334</c:v>
              </c:pt>
              <c:pt idx="119">
                <c:v>528.33333333333326</c:v>
              </c:pt>
              <c:pt idx="120">
                <c:v>484.1</c:v>
              </c:pt>
              <c:pt idx="121">
                <c:v>279.46666666666664</c:v>
              </c:pt>
              <c:pt idx="122">
                <c:v>241.3</c:v>
              </c:pt>
              <c:pt idx="123">
                <c:v>75.266666666666666</c:v>
              </c:pt>
              <c:pt idx="124">
                <c:v>24.266666666666666</c:v>
              </c:pt>
              <c:pt idx="125">
                <c:v>0</c:v>
              </c:pt>
              <c:pt idx="126">
                <c:v>0</c:v>
              </c:pt>
              <c:pt idx="127">
                <c:v>0</c:v>
              </c:pt>
              <c:pt idx="128">
                <c:v>9.7333333333333325</c:v>
              </c:pt>
              <c:pt idx="129">
                <c:v>118.56666666666668</c:v>
              </c:pt>
              <c:pt idx="130">
                <c:v>203.9</c:v>
              </c:pt>
              <c:pt idx="131">
                <c:v>297.03333333333336</c:v>
              </c:pt>
              <c:pt idx="132">
                <c:v>354.13333333333333</c:v>
              </c:pt>
              <c:pt idx="133">
                <c:v>298.89999999999998</c:v>
              </c:pt>
              <c:pt idx="134">
                <c:v>105.36666666666667</c:v>
              </c:pt>
              <c:pt idx="135">
                <c:v>102.56666666666668</c:v>
              </c:pt>
              <c:pt idx="136">
                <c:v>7.833333333333333</c:v>
              </c:pt>
              <c:pt idx="137">
                <c:v>0.73333333333333328</c:v>
              </c:pt>
              <c:pt idx="138">
                <c:v>0</c:v>
              </c:pt>
              <c:pt idx="139">
                <c:v>0</c:v>
              </c:pt>
              <c:pt idx="140">
                <c:v>6.8666666666666671</c:v>
              </c:pt>
              <c:pt idx="141">
                <c:v>104.73333333333332</c:v>
              </c:pt>
              <c:pt idx="142">
                <c:v>294.16666666666663</c:v>
              </c:pt>
              <c:pt idx="143">
                <c:v>286.5</c:v>
              </c:pt>
              <c:pt idx="144">
                <c:v>360.93333333333334</c:v>
              </c:pt>
              <c:pt idx="145">
                <c:v>360.96666666666664</c:v>
              </c:pt>
              <c:pt idx="146">
                <c:v>343.93333333333334</c:v>
              </c:pt>
              <c:pt idx="147">
                <c:v>100.76666666666667</c:v>
              </c:pt>
              <c:pt idx="148">
                <c:v>48.633333333333333</c:v>
              </c:pt>
              <c:pt idx="149">
                <c:v>0</c:v>
              </c:pt>
              <c:pt idx="150">
                <c:v>0</c:v>
              </c:pt>
              <c:pt idx="151">
                <c:v>0.7</c:v>
              </c:pt>
              <c:pt idx="152">
                <c:v>5.8333333333333339</c:v>
              </c:pt>
              <c:pt idx="153">
                <c:v>83.933333333333337</c:v>
              </c:pt>
              <c:pt idx="154">
                <c:v>292.73333333333335</c:v>
              </c:pt>
              <c:pt idx="155">
                <c:v>333.76666666666665</c:v>
              </c:pt>
              <c:pt idx="156">
                <c:v>510.1</c:v>
              </c:pt>
              <c:pt idx="157">
                <c:v>331.83333333333337</c:v>
              </c:pt>
              <c:pt idx="158">
                <c:v>326.93333333333334</c:v>
              </c:pt>
              <c:pt idx="159">
                <c:v>93.066666666666663</c:v>
              </c:pt>
              <c:pt idx="160">
                <c:v>17.733333333333334</c:v>
              </c:pt>
              <c:pt idx="161">
                <c:v>0</c:v>
              </c:pt>
              <c:pt idx="162">
                <c:v>0</c:v>
              </c:pt>
              <c:pt idx="163">
                <c:v>0</c:v>
              </c:pt>
              <c:pt idx="164">
                <c:v>7.5333333333333332</c:v>
              </c:pt>
              <c:pt idx="165">
                <c:v>74.13333333333334</c:v>
              </c:pt>
              <c:pt idx="166">
                <c:v>307.23333333333335</c:v>
              </c:pt>
              <c:pt idx="167">
                <c:v>347.36666666666667</c:v>
              </c:pt>
              <c:pt idx="168">
                <c:v>437.66666666666669</c:v>
              </c:pt>
              <c:pt idx="169">
                <c:v>458.8</c:v>
              </c:pt>
              <c:pt idx="170">
                <c:v>84.466666666666669</c:v>
              </c:pt>
              <c:pt idx="171">
                <c:v>10.833333333333332</c:v>
              </c:pt>
              <c:pt idx="172">
                <c:v>0.73333333333333328</c:v>
              </c:pt>
            </c:numLit>
          </c:xVal>
          <c:yVal>
            <c:numLit>
              <c:formatCode>General</c:formatCode>
              <c:ptCount val="173"/>
              <c:pt idx="0">
                <c:v>7812</c:v>
              </c:pt>
              <c:pt idx="1">
                <c:v>5397</c:v>
              </c:pt>
              <c:pt idx="2">
                <c:v>4696</c:v>
              </c:pt>
              <c:pt idx="3">
                <c:v>3203</c:v>
              </c:pt>
              <c:pt idx="4">
                <c:v>2024</c:v>
              </c:pt>
              <c:pt idx="5">
                <c:v>1564</c:v>
              </c:pt>
              <c:pt idx="6">
                <c:v>1569</c:v>
              </c:pt>
              <c:pt idx="7">
                <c:v>1445</c:v>
              </c:pt>
              <c:pt idx="8">
                <c:v>1626</c:v>
              </c:pt>
              <c:pt idx="9">
                <c:v>2264</c:v>
              </c:pt>
              <c:pt idx="10">
                <c:v>2946</c:v>
              </c:pt>
              <c:pt idx="11">
                <c:v>4038</c:v>
              </c:pt>
              <c:pt idx="12">
                <c:v>6314</c:v>
              </c:pt>
              <c:pt idx="13">
                <c:v>5606</c:v>
              </c:pt>
              <c:pt idx="14">
                <c:v>4787</c:v>
              </c:pt>
              <c:pt idx="15">
                <c:v>2861</c:v>
              </c:pt>
              <c:pt idx="16">
                <c:v>1902</c:v>
              </c:pt>
              <c:pt idx="17">
                <c:v>1882</c:v>
              </c:pt>
              <c:pt idx="18">
                <c:v>1511</c:v>
              </c:pt>
              <c:pt idx="19">
                <c:v>1437</c:v>
              </c:pt>
              <c:pt idx="20">
                <c:v>1624</c:v>
              </c:pt>
              <c:pt idx="21">
                <c:v>2429</c:v>
              </c:pt>
              <c:pt idx="22">
                <c:v>3620</c:v>
              </c:pt>
              <c:pt idx="23">
                <c:v>6225</c:v>
              </c:pt>
              <c:pt idx="24">
                <c:v>7576</c:v>
              </c:pt>
              <c:pt idx="25">
                <c:v>7127</c:v>
              </c:pt>
              <c:pt idx="26">
                <c:v>4812</c:v>
              </c:pt>
              <c:pt idx="27">
                <c:v>3255</c:v>
              </c:pt>
              <c:pt idx="28">
                <c:v>2268</c:v>
              </c:pt>
              <c:pt idx="29">
                <c:v>1693</c:v>
              </c:pt>
              <c:pt idx="30">
                <c:v>1560</c:v>
              </c:pt>
              <c:pt idx="31">
                <c:v>1521</c:v>
              </c:pt>
              <c:pt idx="32">
                <c:v>1698</c:v>
              </c:pt>
              <c:pt idx="33">
                <c:v>2758</c:v>
              </c:pt>
              <c:pt idx="34">
                <c:v>3854</c:v>
              </c:pt>
              <c:pt idx="35">
                <c:v>6140</c:v>
              </c:pt>
              <c:pt idx="36">
                <c:v>7463</c:v>
              </c:pt>
              <c:pt idx="37">
                <c:v>7438</c:v>
              </c:pt>
              <c:pt idx="38">
                <c:v>5282</c:v>
              </c:pt>
              <c:pt idx="39">
                <c:v>3483</c:v>
              </c:pt>
              <c:pt idx="40">
                <c:v>2214</c:v>
              </c:pt>
              <c:pt idx="41">
                <c:v>2035</c:v>
              </c:pt>
              <c:pt idx="42">
                <c:v>1949</c:v>
              </c:pt>
              <c:pt idx="43">
                <c:v>2038</c:v>
              </c:pt>
              <c:pt idx="44">
                <c:v>2017</c:v>
              </c:pt>
              <c:pt idx="45">
                <c:v>2305</c:v>
              </c:pt>
              <c:pt idx="46">
                <c:v>3377</c:v>
              </c:pt>
              <c:pt idx="47">
                <c:v>5782</c:v>
              </c:pt>
              <c:pt idx="48">
                <c:v>7551</c:v>
              </c:pt>
              <c:pt idx="49">
                <c:v>6951</c:v>
              </c:pt>
              <c:pt idx="50">
                <c:v>6156</c:v>
              </c:pt>
              <c:pt idx="51">
                <c:v>3951</c:v>
              </c:pt>
              <c:pt idx="52">
                <c:v>2488</c:v>
              </c:pt>
              <c:pt idx="53">
                <c:v>2108</c:v>
              </c:pt>
              <c:pt idx="54">
                <c:v>1958</c:v>
              </c:pt>
              <c:pt idx="55">
                <c:v>1889</c:v>
              </c:pt>
              <c:pt idx="56">
                <c:v>2026</c:v>
              </c:pt>
              <c:pt idx="57">
                <c:v>2564</c:v>
              </c:pt>
              <c:pt idx="58">
                <c:v>3466</c:v>
              </c:pt>
              <c:pt idx="59">
                <c:v>6590</c:v>
              </c:pt>
              <c:pt idx="60">
                <c:v>7102</c:v>
              </c:pt>
              <c:pt idx="61">
                <c:v>6464</c:v>
              </c:pt>
              <c:pt idx="62">
                <c:v>5564</c:v>
              </c:pt>
              <c:pt idx="63">
                <c:v>3540</c:v>
              </c:pt>
              <c:pt idx="64">
                <c:v>2561</c:v>
              </c:pt>
              <c:pt idx="65">
                <c:v>2232</c:v>
              </c:pt>
              <c:pt idx="66">
                <c:v>2138</c:v>
              </c:pt>
              <c:pt idx="67">
                <c:v>2008</c:v>
              </c:pt>
              <c:pt idx="68">
                <c:v>2285</c:v>
              </c:pt>
              <c:pt idx="69">
                <c:v>3093</c:v>
              </c:pt>
              <c:pt idx="70">
                <c:v>3884</c:v>
              </c:pt>
              <c:pt idx="71">
                <c:v>5449</c:v>
              </c:pt>
              <c:pt idx="72">
                <c:v>6772</c:v>
              </c:pt>
              <c:pt idx="73">
                <c:v>7443</c:v>
              </c:pt>
              <c:pt idx="74">
                <c:v>5270</c:v>
              </c:pt>
              <c:pt idx="75">
                <c:v>3597</c:v>
              </c:pt>
              <c:pt idx="76">
                <c:v>2602</c:v>
              </c:pt>
              <c:pt idx="77">
                <c:v>2131</c:v>
              </c:pt>
              <c:pt idx="78">
                <c:v>1997</c:v>
              </c:pt>
              <c:pt idx="79">
                <c:v>1965</c:v>
              </c:pt>
              <c:pt idx="80">
                <c:v>2068</c:v>
              </c:pt>
              <c:pt idx="81">
                <c:v>2352</c:v>
              </c:pt>
              <c:pt idx="82">
                <c:v>3902</c:v>
              </c:pt>
              <c:pt idx="83">
                <c:v>5335</c:v>
              </c:pt>
              <c:pt idx="84">
                <c:v>7577</c:v>
              </c:pt>
              <c:pt idx="85">
                <c:v>6186</c:v>
              </c:pt>
              <c:pt idx="86">
                <c:v>4686</c:v>
              </c:pt>
              <c:pt idx="87">
                <c:v>3120</c:v>
              </c:pt>
              <c:pt idx="88">
                <c:v>2280</c:v>
              </c:pt>
              <c:pt idx="89">
                <c:v>1998</c:v>
              </c:pt>
              <c:pt idx="90">
                <c:v>1909</c:v>
              </c:pt>
              <c:pt idx="91">
                <c:v>2010</c:v>
              </c:pt>
              <c:pt idx="92">
                <c:v>2707</c:v>
              </c:pt>
              <c:pt idx="93">
                <c:v>4602</c:v>
              </c:pt>
              <c:pt idx="94">
                <c:v>5251</c:v>
              </c:pt>
              <c:pt idx="95">
                <c:v>6241</c:v>
              </c:pt>
              <c:pt idx="96">
                <c:v>8960</c:v>
              </c:pt>
              <c:pt idx="97">
                <c:v>6565</c:v>
              </c:pt>
              <c:pt idx="98">
                <c:v>5670</c:v>
              </c:pt>
              <c:pt idx="99">
                <c:v>3161</c:v>
              </c:pt>
              <c:pt idx="100">
                <c:v>2464</c:v>
              </c:pt>
              <c:pt idx="101">
                <c:v>1853</c:v>
              </c:pt>
              <c:pt idx="102">
                <c:v>1983</c:v>
              </c:pt>
              <c:pt idx="103">
                <c:v>2064</c:v>
              </c:pt>
              <c:pt idx="104">
                <c:v>2450</c:v>
              </c:pt>
              <c:pt idx="105">
                <c:v>3598</c:v>
              </c:pt>
              <c:pt idx="106">
                <c:v>4375</c:v>
              </c:pt>
              <c:pt idx="107">
                <c:v>8161</c:v>
              </c:pt>
              <c:pt idx="108">
                <c:v>9701</c:v>
              </c:pt>
              <c:pt idx="109">
                <c:v>8911</c:v>
              </c:pt>
              <c:pt idx="110">
                <c:v>5153</c:v>
              </c:pt>
              <c:pt idx="111">
                <c:v>2691</c:v>
              </c:pt>
              <c:pt idx="112">
                <c:v>2389</c:v>
              </c:pt>
              <c:pt idx="113">
                <c:v>1977</c:v>
              </c:pt>
              <c:pt idx="114">
                <c:v>1926</c:v>
              </c:pt>
              <c:pt idx="115">
                <c:v>2092</c:v>
              </c:pt>
              <c:pt idx="116">
                <c:v>2433</c:v>
              </c:pt>
              <c:pt idx="117">
                <c:v>3117</c:v>
              </c:pt>
              <c:pt idx="118">
                <c:v>5190</c:v>
              </c:pt>
              <c:pt idx="119">
                <c:v>10645</c:v>
              </c:pt>
              <c:pt idx="120">
                <c:v>9522</c:v>
              </c:pt>
              <c:pt idx="121">
                <c:v>6169</c:v>
              </c:pt>
              <c:pt idx="122">
                <c:v>5460</c:v>
              </c:pt>
              <c:pt idx="123">
                <c:v>2761</c:v>
              </c:pt>
              <c:pt idx="124">
                <c:v>2568</c:v>
              </c:pt>
              <c:pt idx="125">
                <c:v>2133</c:v>
              </c:pt>
              <c:pt idx="126">
                <c:v>1980</c:v>
              </c:pt>
              <c:pt idx="127">
                <c:v>2465</c:v>
              </c:pt>
              <c:pt idx="128">
                <c:v>2382</c:v>
              </c:pt>
              <c:pt idx="129">
                <c:v>3931</c:v>
              </c:pt>
              <c:pt idx="130">
                <c:v>4446</c:v>
              </c:pt>
              <c:pt idx="131">
                <c:v>6081</c:v>
              </c:pt>
              <c:pt idx="132">
                <c:v>8072</c:v>
              </c:pt>
              <c:pt idx="133">
                <c:v>6583</c:v>
              </c:pt>
              <c:pt idx="134">
                <c:v>3545</c:v>
              </c:pt>
              <c:pt idx="135">
                <c:v>3370</c:v>
              </c:pt>
              <c:pt idx="136">
                <c:v>2205</c:v>
              </c:pt>
              <c:pt idx="137">
                <c:v>2433</c:v>
              </c:pt>
              <c:pt idx="138">
                <c:v>1976</c:v>
              </c:pt>
              <c:pt idx="139">
                <c:v>2673</c:v>
              </c:pt>
              <c:pt idx="140">
                <c:v>2529</c:v>
              </c:pt>
              <c:pt idx="141">
                <c:v>4003</c:v>
              </c:pt>
              <c:pt idx="142">
                <c:v>5686</c:v>
              </c:pt>
              <c:pt idx="143">
                <c:v>5878</c:v>
              </c:pt>
              <c:pt idx="144">
                <c:v>6935</c:v>
              </c:pt>
              <c:pt idx="145">
                <c:v>7155</c:v>
              </c:pt>
              <c:pt idx="146">
                <c:v>7253</c:v>
              </c:pt>
              <c:pt idx="147">
                <c:v>3390</c:v>
              </c:pt>
              <c:pt idx="148">
                <c:v>3075</c:v>
              </c:pt>
              <c:pt idx="149">
                <c:v>2381</c:v>
              </c:pt>
              <c:pt idx="150">
                <c:v>2613</c:v>
              </c:pt>
              <c:pt idx="151">
                <c:v>2611</c:v>
              </c:pt>
              <c:pt idx="152">
                <c:v>2873</c:v>
              </c:pt>
              <c:pt idx="153">
                <c:v>3869</c:v>
              </c:pt>
              <c:pt idx="154">
                <c:v>6415</c:v>
              </c:pt>
              <c:pt idx="155">
                <c:v>6700</c:v>
              </c:pt>
              <c:pt idx="156">
                <c:v>11381</c:v>
              </c:pt>
              <c:pt idx="157">
                <c:v>7396</c:v>
              </c:pt>
              <c:pt idx="158">
                <c:v>7426</c:v>
              </c:pt>
              <c:pt idx="159">
                <c:v>3372</c:v>
              </c:pt>
              <c:pt idx="160">
                <c:v>3314</c:v>
              </c:pt>
              <c:pt idx="161">
                <c:v>2930</c:v>
              </c:pt>
              <c:pt idx="162">
                <c:v>2889</c:v>
              </c:pt>
              <c:pt idx="163">
                <c:v>2708</c:v>
              </c:pt>
              <c:pt idx="164">
                <c:v>2884</c:v>
              </c:pt>
              <c:pt idx="165">
                <c:v>3606</c:v>
              </c:pt>
              <c:pt idx="166">
                <c:v>6843</c:v>
              </c:pt>
              <c:pt idx="167">
                <c:v>7464</c:v>
              </c:pt>
              <c:pt idx="168">
                <c:v>9500</c:v>
              </c:pt>
              <c:pt idx="169">
                <c:v>10511</c:v>
              </c:pt>
              <c:pt idx="170">
                <c:v>3543</c:v>
              </c:pt>
              <c:pt idx="171">
                <c:v>2502</c:v>
              </c:pt>
              <c:pt idx="172">
                <c:v>2944</c:v>
              </c:pt>
            </c:numLit>
          </c:yVal>
          <c:smooth val="0"/>
          <c:extLst>
            <c:ext xmlns:c16="http://schemas.microsoft.com/office/drawing/2014/chart" uri="{C3380CC4-5D6E-409C-BE32-E72D297353CC}">
              <c16:uniqueId val="{00000000-7A26-475D-AABC-454C5FA5B213}"/>
            </c:ext>
          </c:extLst>
        </c:ser>
        <c:dLbls>
          <c:showLegendKey val="0"/>
          <c:showVal val="0"/>
          <c:showCatName val="0"/>
          <c:showSerName val="0"/>
          <c:showPercent val="0"/>
          <c:showBubbleSize val="0"/>
        </c:dLbls>
        <c:axId val="205403264"/>
        <c:axId val="205447552"/>
      </c:scatterChart>
      <c:valAx>
        <c:axId val="205403264"/>
        <c:scaling>
          <c:orientation val="minMax"/>
          <c:max val="528.33333333333303"/>
          <c:min val="0"/>
        </c:scaling>
        <c:delete val="0"/>
        <c:axPos val="b"/>
        <c:title>
          <c:tx>
            <c:rich>
              <a:bodyPr/>
              <a:lstStyle/>
              <a:p>
                <a:pPr>
                  <a:defRPr/>
                </a:pPr>
                <a:r>
                  <a:rPr lang="en-US"/>
                  <a:t>_Commercial_Natural_Gas vs.
Heating_Degree_Days
r = 0.953,  r-squared = 0.907</a:t>
                </a:r>
              </a:p>
            </c:rich>
          </c:tx>
          <c:overlay val="0"/>
        </c:title>
        <c:numFmt formatCode="#,##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205447552"/>
        <c:crossesAt val="1437"/>
        <c:crossBetween val="midCat"/>
        <c:majorUnit val="264.16666666666652"/>
      </c:valAx>
      <c:valAx>
        <c:axId val="205447552"/>
        <c:scaling>
          <c:orientation val="minMax"/>
          <c:max val="11381"/>
          <c:min val="1437"/>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205403264"/>
        <c:crossesAt val="0"/>
        <c:crossBetween val="midCat"/>
        <c:majorUnit val="4972"/>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5"/>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173"/>
              <c:pt idx="0">
                <c:v>10.766666666666667</c:v>
              </c:pt>
              <c:pt idx="1">
                <c:v>14.366666666666665</c:v>
              </c:pt>
              <c:pt idx="2">
                <c:v>14.633333333333335</c:v>
              </c:pt>
              <c:pt idx="3">
                <c:v>22.666666666666664</c:v>
              </c:pt>
              <c:pt idx="4">
                <c:v>26.166666666666668</c:v>
              </c:pt>
              <c:pt idx="5">
                <c:v>30</c:v>
              </c:pt>
              <c:pt idx="6">
                <c:v>29.5</c:v>
              </c:pt>
              <c:pt idx="7">
                <c:v>31.633333333333333</c:v>
              </c:pt>
              <c:pt idx="8">
                <c:v>26.1</c:v>
              </c:pt>
              <c:pt idx="9">
                <c:v>22.366666666666667</c:v>
              </c:pt>
              <c:pt idx="10">
                <c:v>20.666666666666664</c:v>
              </c:pt>
              <c:pt idx="11">
                <c:v>14.533333333333335</c:v>
              </c:pt>
              <c:pt idx="12">
                <c:v>11.933333333333334</c:v>
              </c:pt>
              <c:pt idx="13">
                <c:v>13.133333333333335</c:v>
              </c:pt>
              <c:pt idx="14">
                <c:v>17.2</c:v>
              </c:pt>
              <c:pt idx="15">
                <c:v>24.033333333333335</c:v>
              </c:pt>
              <c:pt idx="16">
                <c:v>25.566666666666666</c:v>
              </c:pt>
              <c:pt idx="17">
                <c:v>31.4</c:v>
              </c:pt>
              <c:pt idx="18">
                <c:v>32.466666666666669</c:v>
              </c:pt>
              <c:pt idx="19">
                <c:v>31.266666666666669</c:v>
              </c:pt>
              <c:pt idx="20">
                <c:v>27.366666666666667</c:v>
              </c:pt>
              <c:pt idx="21">
                <c:v>20.333333333333336</c:v>
              </c:pt>
              <c:pt idx="22">
                <c:v>15.1</c:v>
              </c:pt>
              <c:pt idx="23">
                <c:v>9.8000000000000007</c:v>
              </c:pt>
              <c:pt idx="24">
                <c:v>7.9333333333333327</c:v>
              </c:pt>
              <c:pt idx="25">
                <c:v>10.466666666666667</c:v>
              </c:pt>
              <c:pt idx="26">
                <c:v>17.600000000000001</c:v>
              </c:pt>
              <c:pt idx="27">
                <c:v>20.633333333333333</c:v>
              </c:pt>
              <c:pt idx="28">
                <c:v>23.533333333333335</c:v>
              </c:pt>
              <c:pt idx="29">
                <c:v>27.9</c:v>
              </c:pt>
              <c:pt idx="30">
                <c:v>29.966666666666669</c:v>
              </c:pt>
              <c:pt idx="31">
                <c:v>30.233333333333331</c:v>
              </c:pt>
              <c:pt idx="32">
                <c:v>26.2</c:v>
              </c:pt>
              <c:pt idx="33">
                <c:v>21.166666666666664</c:v>
              </c:pt>
              <c:pt idx="34">
                <c:v>19.966666666666665</c:v>
              </c:pt>
              <c:pt idx="35">
                <c:v>10.766666666666667</c:v>
              </c:pt>
              <c:pt idx="36">
                <c:v>9.1999999999999993</c:v>
              </c:pt>
              <c:pt idx="37">
                <c:v>9.9</c:v>
              </c:pt>
              <c:pt idx="38">
                <c:v>17.7</c:v>
              </c:pt>
              <c:pt idx="39">
                <c:v>22.233333333333334</c:v>
              </c:pt>
              <c:pt idx="40">
                <c:v>28.5</c:v>
              </c:pt>
              <c:pt idx="41">
                <c:v>28.93333333333333</c:v>
              </c:pt>
              <c:pt idx="42">
                <c:v>31.233333333333331</c:v>
              </c:pt>
              <c:pt idx="43">
                <c:v>28.8</c:v>
              </c:pt>
              <c:pt idx="44">
                <c:v>26.56666666666667</c:v>
              </c:pt>
              <c:pt idx="45">
                <c:v>21.733333333333334</c:v>
              </c:pt>
              <c:pt idx="46">
                <c:v>17.533333333333335</c:v>
              </c:pt>
              <c:pt idx="47">
                <c:v>11.833333333333332</c:v>
              </c:pt>
              <c:pt idx="48">
                <c:v>11.666666666666668</c:v>
              </c:pt>
              <c:pt idx="49">
                <c:v>12.666666666666668</c:v>
              </c:pt>
              <c:pt idx="50">
                <c:v>15.366666666666665</c:v>
              </c:pt>
              <c:pt idx="51">
                <c:v>21.566666666666666</c:v>
              </c:pt>
              <c:pt idx="52">
                <c:v>24.5</c:v>
              </c:pt>
              <c:pt idx="53">
                <c:v>29.266666666666669</c:v>
              </c:pt>
              <c:pt idx="54">
                <c:v>32.200000000000003</c:v>
              </c:pt>
              <c:pt idx="55">
                <c:v>31.7</c:v>
              </c:pt>
              <c:pt idx="56">
                <c:v>30.033333333333331</c:v>
              </c:pt>
              <c:pt idx="57">
                <c:v>22.433333333333334</c:v>
              </c:pt>
              <c:pt idx="58">
                <c:v>18.133333333333333</c:v>
              </c:pt>
              <c:pt idx="59">
                <c:v>10.133333333333333</c:v>
              </c:pt>
              <c:pt idx="60">
                <c:v>14.166666666666666</c:v>
              </c:pt>
              <c:pt idx="61">
                <c:v>12.433333333333334</c:v>
              </c:pt>
              <c:pt idx="62">
                <c:v>17.266666666666666</c:v>
              </c:pt>
              <c:pt idx="63">
                <c:v>24.2</c:v>
              </c:pt>
              <c:pt idx="64">
                <c:v>25.4</c:v>
              </c:pt>
              <c:pt idx="65">
                <c:v>29.466666666666669</c:v>
              </c:pt>
              <c:pt idx="66">
                <c:v>31.633333333333333</c:v>
              </c:pt>
              <c:pt idx="67">
                <c:v>31.7</c:v>
              </c:pt>
              <c:pt idx="68">
                <c:v>25.9</c:v>
              </c:pt>
              <c:pt idx="69">
                <c:v>20.6</c:v>
              </c:pt>
              <c:pt idx="70">
                <c:v>17.600000000000001</c:v>
              </c:pt>
              <c:pt idx="71">
                <c:v>15.066666666666666</c:v>
              </c:pt>
              <c:pt idx="72">
                <c:v>12.4</c:v>
              </c:pt>
              <c:pt idx="73">
                <c:v>10.666666666666668</c:v>
              </c:pt>
              <c:pt idx="74">
                <c:v>20.5</c:v>
              </c:pt>
              <c:pt idx="75">
                <c:v>21.8</c:v>
              </c:pt>
              <c:pt idx="76">
                <c:v>26.633333333333333</c:v>
              </c:pt>
              <c:pt idx="77">
                <c:v>30.4</c:v>
              </c:pt>
              <c:pt idx="78">
                <c:v>31.166666666666668</c:v>
              </c:pt>
              <c:pt idx="79">
                <c:v>35.299999999999997</c:v>
              </c:pt>
              <c:pt idx="80">
                <c:v>30.3</c:v>
              </c:pt>
              <c:pt idx="81">
                <c:v>25.533333333333335</c:v>
              </c:pt>
              <c:pt idx="82">
                <c:v>17.066666666666666</c:v>
              </c:pt>
              <c:pt idx="83">
                <c:v>14.533333333333335</c:v>
              </c:pt>
              <c:pt idx="84">
                <c:v>10.133333333333333</c:v>
              </c:pt>
              <c:pt idx="85">
                <c:v>14.3</c:v>
              </c:pt>
              <c:pt idx="86">
                <c:v>17.8</c:v>
              </c:pt>
              <c:pt idx="87">
                <c:v>20.966666666666665</c:v>
              </c:pt>
              <c:pt idx="88">
                <c:v>25.6</c:v>
              </c:pt>
              <c:pt idx="89">
                <c:v>33</c:v>
              </c:pt>
              <c:pt idx="90">
                <c:v>31.733333333333331</c:v>
              </c:pt>
              <c:pt idx="91">
                <c:v>31</c:v>
              </c:pt>
              <c:pt idx="92">
                <c:v>26.8</c:v>
              </c:pt>
              <c:pt idx="93">
                <c:v>21.2</c:v>
              </c:pt>
              <c:pt idx="94">
                <c:v>14.833333333333334</c:v>
              </c:pt>
              <c:pt idx="95">
                <c:v>13.133333333333335</c:v>
              </c:pt>
              <c:pt idx="96">
                <c:v>9.1999999999999993</c:v>
              </c:pt>
              <c:pt idx="97">
                <c:v>13.366666666666665</c:v>
              </c:pt>
              <c:pt idx="98">
                <c:v>15.833333333333334</c:v>
              </c:pt>
              <c:pt idx="99">
                <c:v>22.633333333333333</c:v>
              </c:pt>
              <c:pt idx="100">
                <c:v>26.3</c:v>
              </c:pt>
              <c:pt idx="101">
                <c:v>30.7</c:v>
              </c:pt>
              <c:pt idx="102">
                <c:v>31.1</c:v>
              </c:pt>
              <c:pt idx="103">
                <c:v>31.533333333333331</c:v>
              </c:pt>
              <c:pt idx="104">
                <c:v>26.9</c:v>
              </c:pt>
              <c:pt idx="105">
                <c:v>20.533333333333335</c:v>
              </c:pt>
              <c:pt idx="106">
                <c:v>17.233333333333334</c:v>
              </c:pt>
              <c:pt idx="107">
                <c:v>9.4333333333333336</c:v>
              </c:pt>
              <c:pt idx="108">
                <c:v>8.7666666666666675</c:v>
              </c:pt>
              <c:pt idx="109">
                <c:v>7.9666666666666668</c:v>
              </c:pt>
              <c:pt idx="110">
                <c:v>17.399999999999999</c:v>
              </c:pt>
              <c:pt idx="111">
                <c:v>24.566666666666666</c:v>
              </c:pt>
              <c:pt idx="112">
                <c:v>27.366666666666667</c:v>
              </c:pt>
              <c:pt idx="113">
                <c:v>32.700000000000003</c:v>
              </c:pt>
              <c:pt idx="114">
                <c:v>33.5</c:v>
              </c:pt>
              <c:pt idx="115">
                <c:v>32.266666666666666</c:v>
              </c:pt>
              <c:pt idx="116">
                <c:v>30.93333333333333</c:v>
              </c:pt>
              <c:pt idx="117">
                <c:v>24.133333333333333</c:v>
              </c:pt>
              <c:pt idx="118">
                <c:v>17.233333333333334</c:v>
              </c:pt>
              <c:pt idx="119">
                <c:v>6.4</c:v>
              </c:pt>
              <c:pt idx="120">
                <c:v>8.2333333333333325</c:v>
              </c:pt>
              <c:pt idx="121">
                <c:v>15.166666666666666</c:v>
              </c:pt>
              <c:pt idx="122">
                <c:v>16.600000000000001</c:v>
              </c:pt>
              <c:pt idx="123">
                <c:v>24</c:v>
              </c:pt>
              <c:pt idx="124">
                <c:v>26.8</c:v>
              </c:pt>
              <c:pt idx="125">
                <c:v>32.533333333333331</c:v>
              </c:pt>
              <c:pt idx="126">
                <c:v>33.9</c:v>
              </c:pt>
              <c:pt idx="127">
                <c:v>32.1</c:v>
              </c:pt>
              <c:pt idx="128">
                <c:v>27.466666666666669</c:v>
              </c:pt>
              <c:pt idx="129">
                <c:v>21.266666666666666</c:v>
              </c:pt>
              <c:pt idx="130">
                <c:v>18.433333333333334</c:v>
              </c:pt>
              <c:pt idx="131">
                <c:v>14.6</c:v>
              </c:pt>
              <c:pt idx="132">
                <c:v>12.866666666666665</c:v>
              </c:pt>
              <c:pt idx="133">
                <c:v>14.233333333333334</c:v>
              </c:pt>
              <c:pt idx="134">
                <c:v>22</c:v>
              </c:pt>
              <c:pt idx="135">
                <c:v>22.1</c:v>
              </c:pt>
              <c:pt idx="136">
                <c:v>27.6</c:v>
              </c:pt>
              <c:pt idx="137">
                <c:v>30.033333333333331</c:v>
              </c:pt>
              <c:pt idx="138">
                <c:v>33.966666666666669</c:v>
              </c:pt>
              <c:pt idx="139">
                <c:v>30.3</c:v>
              </c:pt>
              <c:pt idx="140">
                <c:v>27.06666666666667</c:v>
              </c:pt>
              <c:pt idx="141">
                <c:v>21.366666666666667</c:v>
              </c:pt>
              <c:pt idx="142">
                <c:v>15.3</c:v>
              </c:pt>
              <c:pt idx="143">
                <c:v>14.233333333333334</c:v>
              </c:pt>
              <c:pt idx="144">
                <c:v>11.966666666666667</c:v>
              </c:pt>
              <c:pt idx="145">
                <c:v>10.966666666666667</c:v>
              </c:pt>
              <c:pt idx="146">
                <c:v>13.466666666666665</c:v>
              </c:pt>
              <c:pt idx="147">
                <c:v>21.766666666666666</c:v>
              </c:pt>
              <c:pt idx="148">
                <c:v>24.433333333333334</c:v>
              </c:pt>
              <c:pt idx="149">
                <c:v>29.3</c:v>
              </c:pt>
              <c:pt idx="150">
                <c:v>30.133333333333333</c:v>
              </c:pt>
              <c:pt idx="151">
                <c:v>29.1</c:v>
              </c:pt>
              <c:pt idx="152">
                <c:v>27.333333333333332</c:v>
              </c:pt>
              <c:pt idx="153">
                <c:v>22</c:v>
              </c:pt>
              <c:pt idx="154">
                <c:v>14.8</c:v>
              </c:pt>
              <c:pt idx="155">
                <c:v>13.566666666666666</c:v>
              </c:pt>
              <c:pt idx="156">
                <c:v>8.1</c:v>
              </c:pt>
              <c:pt idx="157">
                <c:v>12.233333333333333</c:v>
              </c:pt>
              <c:pt idx="158">
                <c:v>14.566666666666666</c:v>
              </c:pt>
              <c:pt idx="159">
                <c:v>22.433333333333334</c:v>
              </c:pt>
              <c:pt idx="160">
                <c:v>27.43333333333333</c:v>
              </c:pt>
              <c:pt idx="161">
                <c:v>30.866666666666667</c:v>
              </c:pt>
              <c:pt idx="162">
                <c:v>30.766666666666669</c:v>
              </c:pt>
              <c:pt idx="163">
                <c:v>29.2</c:v>
              </c:pt>
              <c:pt idx="164">
                <c:v>26.466666666666669</c:v>
              </c:pt>
              <c:pt idx="165">
                <c:v>23.666666666666664</c:v>
              </c:pt>
              <c:pt idx="166">
                <c:v>14.4</c:v>
              </c:pt>
              <c:pt idx="167">
                <c:v>12.266666666666667</c:v>
              </c:pt>
              <c:pt idx="168">
                <c:v>9.9</c:v>
              </c:pt>
              <c:pt idx="169">
                <c:v>7.5333333333333332</c:v>
              </c:pt>
              <c:pt idx="170">
                <c:v>22.166666666666664</c:v>
              </c:pt>
              <c:pt idx="171">
                <c:v>28</c:v>
              </c:pt>
              <c:pt idx="172">
                <c:v>32.333333333333329</c:v>
              </c:pt>
            </c:numLit>
          </c:xVal>
          <c:yVal>
            <c:numLit>
              <c:formatCode>General</c:formatCode>
              <c:ptCount val="173"/>
              <c:pt idx="0">
                <c:v>7812</c:v>
              </c:pt>
              <c:pt idx="1">
                <c:v>5397</c:v>
              </c:pt>
              <c:pt idx="2">
                <c:v>4696</c:v>
              </c:pt>
              <c:pt idx="3">
                <c:v>3203</c:v>
              </c:pt>
              <c:pt idx="4">
                <c:v>2024</c:v>
              </c:pt>
              <c:pt idx="5">
                <c:v>1564</c:v>
              </c:pt>
              <c:pt idx="6">
                <c:v>1569</c:v>
              </c:pt>
              <c:pt idx="7">
                <c:v>1445</c:v>
              </c:pt>
              <c:pt idx="8">
                <c:v>1626</c:v>
              </c:pt>
              <c:pt idx="9">
                <c:v>2264</c:v>
              </c:pt>
              <c:pt idx="10">
                <c:v>2946</c:v>
              </c:pt>
              <c:pt idx="11">
                <c:v>4038</c:v>
              </c:pt>
              <c:pt idx="12">
                <c:v>6314</c:v>
              </c:pt>
              <c:pt idx="13">
                <c:v>5606</c:v>
              </c:pt>
              <c:pt idx="14">
                <c:v>4787</c:v>
              </c:pt>
              <c:pt idx="15">
                <c:v>2861</c:v>
              </c:pt>
              <c:pt idx="16">
                <c:v>1902</c:v>
              </c:pt>
              <c:pt idx="17">
                <c:v>1882</c:v>
              </c:pt>
              <c:pt idx="18">
                <c:v>1511</c:v>
              </c:pt>
              <c:pt idx="19">
                <c:v>1437</c:v>
              </c:pt>
              <c:pt idx="20">
                <c:v>1624</c:v>
              </c:pt>
              <c:pt idx="21">
                <c:v>2429</c:v>
              </c:pt>
              <c:pt idx="22">
                <c:v>3620</c:v>
              </c:pt>
              <c:pt idx="23">
                <c:v>6225</c:v>
              </c:pt>
              <c:pt idx="24">
                <c:v>7576</c:v>
              </c:pt>
              <c:pt idx="25">
                <c:v>7127</c:v>
              </c:pt>
              <c:pt idx="26">
                <c:v>4812</c:v>
              </c:pt>
              <c:pt idx="27">
                <c:v>3255</c:v>
              </c:pt>
              <c:pt idx="28">
                <c:v>2268</c:v>
              </c:pt>
              <c:pt idx="29">
                <c:v>1693</c:v>
              </c:pt>
              <c:pt idx="30">
                <c:v>1560</c:v>
              </c:pt>
              <c:pt idx="31">
                <c:v>1521</c:v>
              </c:pt>
              <c:pt idx="32">
                <c:v>1698</c:v>
              </c:pt>
              <c:pt idx="33">
                <c:v>2758</c:v>
              </c:pt>
              <c:pt idx="34">
                <c:v>3854</c:v>
              </c:pt>
              <c:pt idx="35">
                <c:v>6140</c:v>
              </c:pt>
              <c:pt idx="36">
                <c:v>7463</c:v>
              </c:pt>
              <c:pt idx="37">
                <c:v>7438</c:v>
              </c:pt>
              <c:pt idx="38">
                <c:v>5282</c:v>
              </c:pt>
              <c:pt idx="39">
                <c:v>3483</c:v>
              </c:pt>
              <c:pt idx="40">
                <c:v>2214</c:v>
              </c:pt>
              <c:pt idx="41">
                <c:v>2035</c:v>
              </c:pt>
              <c:pt idx="42">
                <c:v>1949</c:v>
              </c:pt>
              <c:pt idx="43">
                <c:v>2038</c:v>
              </c:pt>
              <c:pt idx="44">
                <c:v>2017</c:v>
              </c:pt>
              <c:pt idx="45">
                <c:v>2305</c:v>
              </c:pt>
              <c:pt idx="46">
                <c:v>3377</c:v>
              </c:pt>
              <c:pt idx="47">
                <c:v>5782</c:v>
              </c:pt>
              <c:pt idx="48">
                <c:v>7551</c:v>
              </c:pt>
              <c:pt idx="49">
                <c:v>6951</c:v>
              </c:pt>
              <c:pt idx="50">
                <c:v>6156</c:v>
              </c:pt>
              <c:pt idx="51">
                <c:v>3951</c:v>
              </c:pt>
              <c:pt idx="52">
                <c:v>2488</c:v>
              </c:pt>
              <c:pt idx="53">
                <c:v>2108</c:v>
              </c:pt>
              <c:pt idx="54">
                <c:v>1958</c:v>
              </c:pt>
              <c:pt idx="55">
                <c:v>1889</c:v>
              </c:pt>
              <c:pt idx="56">
                <c:v>2026</c:v>
              </c:pt>
              <c:pt idx="57">
                <c:v>2564</c:v>
              </c:pt>
              <c:pt idx="58">
                <c:v>3466</c:v>
              </c:pt>
              <c:pt idx="59">
                <c:v>6590</c:v>
              </c:pt>
              <c:pt idx="60">
                <c:v>7102</c:v>
              </c:pt>
              <c:pt idx="61">
                <c:v>6464</c:v>
              </c:pt>
              <c:pt idx="62">
                <c:v>5564</c:v>
              </c:pt>
              <c:pt idx="63">
                <c:v>3540</c:v>
              </c:pt>
              <c:pt idx="64">
                <c:v>2561</c:v>
              </c:pt>
              <c:pt idx="65">
                <c:v>2232</c:v>
              </c:pt>
              <c:pt idx="66">
                <c:v>2138</c:v>
              </c:pt>
              <c:pt idx="67">
                <c:v>2008</c:v>
              </c:pt>
              <c:pt idx="68">
                <c:v>2285</c:v>
              </c:pt>
              <c:pt idx="69">
                <c:v>3093</c:v>
              </c:pt>
              <c:pt idx="70">
                <c:v>3884</c:v>
              </c:pt>
              <c:pt idx="71">
                <c:v>5449</c:v>
              </c:pt>
              <c:pt idx="72">
                <c:v>6772</c:v>
              </c:pt>
              <c:pt idx="73">
                <c:v>7443</c:v>
              </c:pt>
              <c:pt idx="74">
                <c:v>5270</c:v>
              </c:pt>
              <c:pt idx="75">
                <c:v>3597</c:v>
              </c:pt>
              <c:pt idx="76">
                <c:v>2602</c:v>
              </c:pt>
              <c:pt idx="77">
                <c:v>2131</c:v>
              </c:pt>
              <c:pt idx="78">
                <c:v>1997</c:v>
              </c:pt>
              <c:pt idx="79">
                <c:v>1965</c:v>
              </c:pt>
              <c:pt idx="80">
                <c:v>2068</c:v>
              </c:pt>
              <c:pt idx="81">
                <c:v>2352</c:v>
              </c:pt>
              <c:pt idx="82">
                <c:v>3902</c:v>
              </c:pt>
              <c:pt idx="83">
                <c:v>5335</c:v>
              </c:pt>
              <c:pt idx="84">
                <c:v>7577</c:v>
              </c:pt>
              <c:pt idx="85">
                <c:v>6186</c:v>
              </c:pt>
              <c:pt idx="86">
                <c:v>4686</c:v>
              </c:pt>
              <c:pt idx="87">
                <c:v>3120</c:v>
              </c:pt>
              <c:pt idx="88">
                <c:v>2280</c:v>
              </c:pt>
              <c:pt idx="89">
                <c:v>1998</c:v>
              </c:pt>
              <c:pt idx="90">
                <c:v>1909</c:v>
              </c:pt>
              <c:pt idx="91">
                <c:v>2010</c:v>
              </c:pt>
              <c:pt idx="92">
                <c:v>2707</c:v>
              </c:pt>
              <c:pt idx="93">
                <c:v>4602</c:v>
              </c:pt>
              <c:pt idx="94">
                <c:v>5251</c:v>
              </c:pt>
              <c:pt idx="95">
                <c:v>6241</c:v>
              </c:pt>
              <c:pt idx="96">
                <c:v>8960</c:v>
              </c:pt>
              <c:pt idx="97">
                <c:v>6565</c:v>
              </c:pt>
              <c:pt idx="98">
                <c:v>5670</c:v>
              </c:pt>
              <c:pt idx="99">
                <c:v>3161</c:v>
              </c:pt>
              <c:pt idx="100">
                <c:v>2464</c:v>
              </c:pt>
              <c:pt idx="101">
                <c:v>1853</c:v>
              </c:pt>
              <c:pt idx="102">
                <c:v>1983</c:v>
              </c:pt>
              <c:pt idx="103">
                <c:v>2064</c:v>
              </c:pt>
              <c:pt idx="104">
                <c:v>2450</c:v>
              </c:pt>
              <c:pt idx="105">
                <c:v>3598</c:v>
              </c:pt>
              <c:pt idx="106">
                <c:v>4375</c:v>
              </c:pt>
              <c:pt idx="107">
                <c:v>8161</c:v>
              </c:pt>
              <c:pt idx="108">
                <c:v>9701</c:v>
              </c:pt>
              <c:pt idx="109">
                <c:v>8911</c:v>
              </c:pt>
              <c:pt idx="110">
                <c:v>5153</c:v>
              </c:pt>
              <c:pt idx="111">
                <c:v>2691</c:v>
              </c:pt>
              <c:pt idx="112">
                <c:v>2389</c:v>
              </c:pt>
              <c:pt idx="113">
                <c:v>1977</c:v>
              </c:pt>
              <c:pt idx="114">
                <c:v>1926</c:v>
              </c:pt>
              <c:pt idx="115">
                <c:v>2092</c:v>
              </c:pt>
              <c:pt idx="116">
                <c:v>2433</c:v>
              </c:pt>
              <c:pt idx="117">
                <c:v>3117</c:v>
              </c:pt>
              <c:pt idx="118">
                <c:v>5190</c:v>
              </c:pt>
              <c:pt idx="119">
                <c:v>10645</c:v>
              </c:pt>
              <c:pt idx="120">
                <c:v>9522</c:v>
              </c:pt>
              <c:pt idx="121">
                <c:v>6169</c:v>
              </c:pt>
              <c:pt idx="122">
                <c:v>5460</c:v>
              </c:pt>
              <c:pt idx="123">
                <c:v>2761</c:v>
              </c:pt>
              <c:pt idx="124">
                <c:v>2568</c:v>
              </c:pt>
              <c:pt idx="125">
                <c:v>2133</c:v>
              </c:pt>
              <c:pt idx="126">
                <c:v>1980</c:v>
              </c:pt>
              <c:pt idx="127">
                <c:v>2465</c:v>
              </c:pt>
              <c:pt idx="128">
                <c:v>2382</c:v>
              </c:pt>
              <c:pt idx="129">
                <c:v>3931</c:v>
              </c:pt>
              <c:pt idx="130">
                <c:v>4446</c:v>
              </c:pt>
              <c:pt idx="131">
                <c:v>6081</c:v>
              </c:pt>
              <c:pt idx="132">
                <c:v>8072</c:v>
              </c:pt>
              <c:pt idx="133">
                <c:v>6583</c:v>
              </c:pt>
              <c:pt idx="134">
                <c:v>3545</c:v>
              </c:pt>
              <c:pt idx="135">
                <c:v>3370</c:v>
              </c:pt>
              <c:pt idx="136">
                <c:v>2205</c:v>
              </c:pt>
              <c:pt idx="137">
                <c:v>2433</c:v>
              </c:pt>
              <c:pt idx="138">
                <c:v>1976</c:v>
              </c:pt>
              <c:pt idx="139">
                <c:v>2673</c:v>
              </c:pt>
              <c:pt idx="140">
                <c:v>2529</c:v>
              </c:pt>
              <c:pt idx="141">
                <c:v>4003</c:v>
              </c:pt>
              <c:pt idx="142">
                <c:v>5686</c:v>
              </c:pt>
              <c:pt idx="143">
                <c:v>5878</c:v>
              </c:pt>
              <c:pt idx="144">
                <c:v>6935</c:v>
              </c:pt>
              <c:pt idx="145">
                <c:v>7155</c:v>
              </c:pt>
              <c:pt idx="146">
                <c:v>7253</c:v>
              </c:pt>
              <c:pt idx="147">
                <c:v>3390</c:v>
              </c:pt>
              <c:pt idx="148">
                <c:v>3075</c:v>
              </c:pt>
              <c:pt idx="149">
                <c:v>2381</c:v>
              </c:pt>
              <c:pt idx="150">
                <c:v>2613</c:v>
              </c:pt>
              <c:pt idx="151">
                <c:v>2611</c:v>
              </c:pt>
              <c:pt idx="152">
                <c:v>2873</c:v>
              </c:pt>
              <c:pt idx="153">
                <c:v>3869</c:v>
              </c:pt>
              <c:pt idx="154">
                <c:v>6415</c:v>
              </c:pt>
              <c:pt idx="155">
                <c:v>6700</c:v>
              </c:pt>
              <c:pt idx="156">
                <c:v>11381</c:v>
              </c:pt>
              <c:pt idx="157">
                <c:v>7396</c:v>
              </c:pt>
              <c:pt idx="158">
                <c:v>7426</c:v>
              </c:pt>
              <c:pt idx="159">
                <c:v>3372</c:v>
              </c:pt>
              <c:pt idx="160">
                <c:v>3314</c:v>
              </c:pt>
              <c:pt idx="161">
                <c:v>2930</c:v>
              </c:pt>
              <c:pt idx="162">
                <c:v>2889</c:v>
              </c:pt>
              <c:pt idx="163">
                <c:v>2708</c:v>
              </c:pt>
              <c:pt idx="164">
                <c:v>2884</c:v>
              </c:pt>
              <c:pt idx="165">
                <c:v>3606</c:v>
              </c:pt>
              <c:pt idx="166">
                <c:v>6843</c:v>
              </c:pt>
              <c:pt idx="167">
                <c:v>7464</c:v>
              </c:pt>
              <c:pt idx="168">
                <c:v>9500</c:v>
              </c:pt>
              <c:pt idx="169">
                <c:v>10511</c:v>
              </c:pt>
              <c:pt idx="170">
                <c:v>3543</c:v>
              </c:pt>
              <c:pt idx="171">
                <c:v>2502</c:v>
              </c:pt>
              <c:pt idx="172">
                <c:v>2944</c:v>
              </c:pt>
            </c:numLit>
          </c:yVal>
          <c:smooth val="0"/>
          <c:extLst>
            <c:ext xmlns:c16="http://schemas.microsoft.com/office/drawing/2014/chart" uri="{C3380CC4-5D6E-409C-BE32-E72D297353CC}">
              <c16:uniqueId val="{00000000-CB81-4F26-ACEC-7E64666EBBF0}"/>
            </c:ext>
          </c:extLst>
        </c:ser>
        <c:dLbls>
          <c:showLegendKey val="0"/>
          <c:showVal val="0"/>
          <c:showCatName val="0"/>
          <c:showSerName val="0"/>
          <c:showPercent val="0"/>
          <c:showBubbleSize val="0"/>
        </c:dLbls>
        <c:axId val="212512768"/>
        <c:axId val="212514688"/>
      </c:scatterChart>
      <c:valAx>
        <c:axId val="212512768"/>
        <c:scaling>
          <c:orientation val="minMax"/>
          <c:max val="35.299999999999997"/>
          <c:min val="6.4"/>
        </c:scaling>
        <c:delete val="0"/>
        <c:axPos val="b"/>
        <c:title>
          <c:tx>
            <c:rich>
              <a:bodyPr/>
              <a:lstStyle/>
              <a:p>
                <a:pPr>
                  <a:defRPr/>
                </a:pPr>
                <a:r>
                  <a:rPr lang="en-US"/>
                  <a:t>_Commercial_Natural_Gas vs.
Mean_Maximum_Temp
r = -0.916,  r-squared = 0.839</a:t>
                </a:r>
              </a:p>
            </c:rich>
          </c:tx>
          <c:overlay val="0"/>
        </c:title>
        <c:numFmt formatCode="#,##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212514688"/>
        <c:crossesAt val="1437"/>
        <c:crossBetween val="midCat"/>
        <c:majorUnit val="14.45"/>
      </c:valAx>
      <c:valAx>
        <c:axId val="212514688"/>
        <c:scaling>
          <c:orientation val="minMax"/>
          <c:max val="11381"/>
          <c:min val="1437"/>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212512768"/>
        <c:crossesAt val="6.4"/>
        <c:crossBetween val="midCat"/>
        <c:majorUnit val="4972"/>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5"/>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173"/>
              <c:pt idx="0">
                <c:v>-1.5333333333333334</c:v>
              </c:pt>
              <c:pt idx="1">
                <c:v>1.9666666666666668</c:v>
              </c:pt>
              <c:pt idx="2">
                <c:v>3</c:v>
              </c:pt>
              <c:pt idx="3">
                <c:v>9.1</c:v>
              </c:pt>
              <c:pt idx="4">
                <c:v>13.3</c:v>
              </c:pt>
              <c:pt idx="5">
                <c:v>18.833333333333336</c:v>
              </c:pt>
              <c:pt idx="6">
                <c:v>19</c:v>
              </c:pt>
              <c:pt idx="7">
                <c:v>20.266666666666666</c:v>
              </c:pt>
              <c:pt idx="8">
                <c:v>14.366666666666665</c:v>
              </c:pt>
              <c:pt idx="9">
                <c:v>6.8</c:v>
              </c:pt>
              <c:pt idx="10">
                <c:v>5.6333333333333337</c:v>
              </c:pt>
              <c:pt idx="11">
                <c:v>2.4666666666666668</c:v>
              </c:pt>
              <c:pt idx="12">
                <c:v>-0.3</c:v>
              </c:pt>
              <c:pt idx="13">
                <c:v>-6.6666666666666666E-2</c:v>
              </c:pt>
              <c:pt idx="14">
                <c:v>4.2333333333333334</c:v>
              </c:pt>
              <c:pt idx="15">
                <c:v>10.633333333333333</c:v>
              </c:pt>
              <c:pt idx="16">
                <c:v>12.333333333333332</c:v>
              </c:pt>
              <c:pt idx="17">
                <c:v>18.100000000000001</c:v>
              </c:pt>
              <c:pt idx="18">
                <c:v>20.833333333333336</c:v>
              </c:pt>
              <c:pt idx="19">
                <c:v>19.533333333333335</c:v>
              </c:pt>
              <c:pt idx="20">
                <c:v>17.866666666666667</c:v>
              </c:pt>
              <c:pt idx="21">
                <c:v>12.033333333333333</c:v>
              </c:pt>
              <c:pt idx="22">
                <c:v>3.3333333333333335</c:v>
              </c:pt>
              <c:pt idx="23">
                <c:v>-0.6333333333333333</c:v>
              </c:pt>
              <c:pt idx="24">
                <c:v>-2.6</c:v>
              </c:pt>
              <c:pt idx="25">
                <c:v>-0.23333333333333334</c:v>
              </c:pt>
              <c:pt idx="26">
                <c:v>6.2333333333333334</c:v>
              </c:pt>
              <c:pt idx="27">
                <c:v>8.6999999999999993</c:v>
              </c:pt>
              <c:pt idx="28">
                <c:v>13.9</c:v>
              </c:pt>
              <c:pt idx="29">
                <c:v>17.399999999999999</c:v>
              </c:pt>
              <c:pt idx="30">
                <c:v>20</c:v>
              </c:pt>
              <c:pt idx="31">
                <c:v>20.8</c:v>
              </c:pt>
              <c:pt idx="32">
                <c:v>15.466666666666665</c:v>
              </c:pt>
              <c:pt idx="33">
                <c:v>9.1999999999999993</c:v>
              </c:pt>
              <c:pt idx="34">
                <c:v>6.1666666666666661</c:v>
              </c:pt>
              <c:pt idx="35">
                <c:v>-1.6333333333333333</c:v>
              </c:pt>
              <c:pt idx="36">
                <c:v>-2.4</c:v>
              </c:pt>
              <c:pt idx="37">
                <c:v>-1.0333333333333334</c:v>
              </c:pt>
              <c:pt idx="38">
                <c:v>5.0999999999999996</c:v>
              </c:pt>
              <c:pt idx="39">
                <c:v>8.4</c:v>
              </c:pt>
              <c:pt idx="40">
                <c:v>16.333333333333336</c:v>
              </c:pt>
              <c:pt idx="41">
                <c:v>19.166666666666664</c:v>
              </c:pt>
              <c:pt idx="42">
                <c:v>20.366666666666667</c:v>
              </c:pt>
              <c:pt idx="43">
                <c:v>18.899999999999999</c:v>
              </c:pt>
              <c:pt idx="44">
                <c:v>16.666666666666664</c:v>
              </c:pt>
              <c:pt idx="45">
                <c:v>12</c:v>
              </c:pt>
              <c:pt idx="46">
                <c:v>5.8</c:v>
              </c:pt>
              <c:pt idx="47">
                <c:v>-0.4</c:v>
              </c:pt>
              <c:pt idx="48">
                <c:v>0.96666666666666656</c:v>
              </c:pt>
              <c:pt idx="49">
                <c:v>1.2666666666666666</c:v>
              </c:pt>
              <c:pt idx="50">
                <c:v>2.2666666666666666</c:v>
              </c:pt>
              <c:pt idx="51">
                <c:v>8.1</c:v>
              </c:pt>
              <c:pt idx="52">
                <c:v>11.666666666666668</c:v>
              </c:pt>
              <c:pt idx="53">
                <c:v>18.666666666666664</c:v>
              </c:pt>
              <c:pt idx="54">
                <c:v>21.733333333333334</c:v>
              </c:pt>
              <c:pt idx="55">
                <c:v>21.266666666666666</c:v>
              </c:pt>
              <c:pt idx="56">
                <c:v>17.633333333333333</c:v>
              </c:pt>
              <c:pt idx="57">
                <c:v>10.966666666666667</c:v>
              </c:pt>
              <c:pt idx="58">
                <c:v>4.2</c:v>
              </c:pt>
              <c:pt idx="59">
                <c:v>-1.2333333333333334</c:v>
              </c:pt>
              <c:pt idx="60">
                <c:v>2.5666666666666669</c:v>
              </c:pt>
              <c:pt idx="61">
                <c:v>-6.6666666666666666E-2</c:v>
              </c:pt>
              <c:pt idx="62">
                <c:v>4.3333333333333339</c:v>
              </c:pt>
              <c:pt idx="63">
                <c:v>9.9666666666666668</c:v>
              </c:pt>
              <c:pt idx="64">
                <c:v>11.766666666666667</c:v>
              </c:pt>
              <c:pt idx="65">
                <c:v>17.7</c:v>
              </c:pt>
              <c:pt idx="66">
                <c:v>20.466666666666665</c:v>
              </c:pt>
              <c:pt idx="67">
                <c:v>21.133333333333333</c:v>
              </c:pt>
              <c:pt idx="68">
                <c:v>15.466666666666665</c:v>
              </c:pt>
              <c:pt idx="69">
                <c:v>8.1666666666666679</c:v>
              </c:pt>
              <c:pt idx="70">
                <c:v>4.6666666666666661</c:v>
              </c:pt>
              <c:pt idx="71">
                <c:v>1.7666666666666668</c:v>
              </c:pt>
              <c:pt idx="72">
                <c:v>1.1333333333333333</c:v>
              </c:pt>
              <c:pt idx="73">
                <c:v>-1.5666666666666667</c:v>
              </c:pt>
              <c:pt idx="74">
                <c:v>6.2666666666666666</c:v>
              </c:pt>
              <c:pt idx="75">
                <c:v>8.1333333333333329</c:v>
              </c:pt>
              <c:pt idx="76">
                <c:v>13.233333333333334</c:v>
              </c:pt>
              <c:pt idx="77">
                <c:v>18.366666666666667</c:v>
              </c:pt>
              <c:pt idx="78">
                <c:v>19.333333333333336</c:v>
              </c:pt>
              <c:pt idx="79">
                <c:v>22.066666666666666</c:v>
              </c:pt>
              <c:pt idx="80">
                <c:v>17.033333333333335</c:v>
              </c:pt>
              <c:pt idx="81">
                <c:v>12.833333333333334</c:v>
              </c:pt>
              <c:pt idx="82">
                <c:v>3.2666666666666666</c:v>
              </c:pt>
              <c:pt idx="83">
                <c:v>3.3</c:v>
              </c:pt>
              <c:pt idx="84">
                <c:v>-0.56666666666666665</c:v>
              </c:pt>
              <c:pt idx="85">
                <c:v>1.8333333333333333</c:v>
              </c:pt>
              <c:pt idx="86">
                <c:v>4.8</c:v>
              </c:pt>
              <c:pt idx="87">
                <c:v>9.0666666666666664</c:v>
              </c:pt>
              <c:pt idx="88">
                <c:v>12.866666666666665</c:v>
              </c:pt>
              <c:pt idx="89">
                <c:v>19.8</c:v>
              </c:pt>
              <c:pt idx="90">
                <c:v>20.066666666666666</c:v>
              </c:pt>
              <c:pt idx="91">
                <c:v>19.600000000000001</c:v>
              </c:pt>
              <c:pt idx="92">
                <c:v>17.3</c:v>
              </c:pt>
              <c:pt idx="93">
                <c:v>8.1999999999999993</c:v>
              </c:pt>
              <c:pt idx="94">
                <c:v>2.4333333333333331</c:v>
              </c:pt>
              <c:pt idx="95">
                <c:v>2.7</c:v>
              </c:pt>
              <c:pt idx="96">
                <c:v>-1.2</c:v>
              </c:pt>
              <c:pt idx="97">
                <c:v>0.6</c:v>
              </c:pt>
              <c:pt idx="98">
                <c:v>4.8333333333333339</c:v>
              </c:pt>
              <c:pt idx="99">
                <c:v>9.1333333333333329</c:v>
              </c:pt>
              <c:pt idx="100">
                <c:v>15.466666666666665</c:v>
              </c:pt>
              <c:pt idx="101">
                <c:v>19.366666666666667</c:v>
              </c:pt>
              <c:pt idx="102">
                <c:v>19.7</c:v>
              </c:pt>
              <c:pt idx="103">
                <c:v>20.866666666666667</c:v>
              </c:pt>
              <c:pt idx="104">
                <c:v>16.233333333333334</c:v>
              </c:pt>
              <c:pt idx="105">
                <c:v>9.8666666666666671</c:v>
              </c:pt>
              <c:pt idx="106">
                <c:v>6</c:v>
              </c:pt>
              <c:pt idx="107">
                <c:v>-0.76666666666666672</c:v>
              </c:pt>
              <c:pt idx="108">
                <c:v>-3.0666666666666669</c:v>
              </c:pt>
              <c:pt idx="109">
                <c:v>-1.8333333333333333</c:v>
              </c:pt>
              <c:pt idx="110">
                <c:v>4.0999999999999996</c:v>
              </c:pt>
              <c:pt idx="111">
                <c:v>9.6999999999999993</c:v>
              </c:pt>
              <c:pt idx="112">
                <c:v>16.333333333333336</c:v>
              </c:pt>
              <c:pt idx="113">
                <c:v>21.2</c:v>
              </c:pt>
              <c:pt idx="114">
                <c:v>21.733333333333334</c:v>
              </c:pt>
              <c:pt idx="115">
                <c:v>21.666666666666664</c:v>
              </c:pt>
              <c:pt idx="116">
                <c:v>17.666666666666664</c:v>
              </c:pt>
              <c:pt idx="117">
                <c:v>9.6</c:v>
              </c:pt>
              <c:pt idx="118">
                <c:v>3.6666666666666665</c:v>
              </c:pt>
              <c:pt idx="119">
                <c:v>-3.9</c:v>
              </c:pt>
              <c:pt idx="120">
                <c:v>-2.8666666666666667</c:v>
              </c:pt>
              <c:pt idx="121">
                <c:v>1.5666666666666667</c:v>
              </c:pt>
              <c:pt idx="122">
                <c:v>4.7333333333333334</c:v>
              </c:pt>
              <c:pt idx="123">
                <c:v>10.233333333333333</c:v>
              </c:pt>
              <c:pt idx="124">
                <c:v>14.666666666666666</c:v>
              </c:pt>
              <c:pt idx="125">
                <c:v>19.600000000000001</c:v>
              </c:pt>
              <c:pt idx="126">
                <c:v>21.833333333333336</c:v>
              </c:pt>
              <c:pt idx="127">
                <c:v>20.533333333333335</c:v>
              </c:pt>
              <c:pt idx="128">
                <c:v>17.233333333333334</c:v>
              </c:pt>
              <c:pt idx="129">
                <c:v>8.2666666666666675</c:v>
              </c:pt>
              <c:pt idx="130">
                <c:v>4.9000000000000004</c:v>
              </c:pt>
              <c:pt idx="131">
                <c:v>2.8666666666666667</c:v>
              </c:pt>
              <c:pt idx="132">
                <c:v>0.9</c:v>
              </c:pt>
              <c:pt idx="133">
                <c:v>1.8</c:v>
              </c:pt>
              <c:pt idx="134">
                <c:v>9.3666666666666671</c:v>
              </c:pt>
              <c:pt idx="135">
                <c:v>9.1333333333333329</c:v>
              </c:pt>
              <c:pt idx="136">
                <c:v>16.133333333333333</c:v>
              </c:pt>
              <c:pt idx="137">
                <c:v>17.133333333333333</c:v>
              </c:pt>
              <c:pt idx="138">
                <c:v>21.933333333333334</c:v>
              </c:pt>
              <c:pt idx="139">
                <c:v>19.966666666666665</c:v>
              </c:pt>
              <c:pt idx="140">
                <c:v>16.066666666666666</c:v>
              </c:pt>
              <c:pt idx="141">
                <c:v>9.7333333333333325</c:v>
              </c:pt>
              <c:pt idx="142">
                <c:v>1.7</c:v>
              </c:pt>
              <c:pt idx="143">
                <c:v>3.9</c:v>
              </c:pt>
              <c:pt idx="144">
                <c:v>1.3666666666666667</c:v>
              </c:pt>
              <c:pt idx="145">
                <c:v>-0.13333333333333333</c:v>
              </c:pt>
              <c:pt idx="146">
                <c:v>0.93333333333333335</c:v>
              </c:pt>
              <c:pt idx="147">
                <c:v>9.6333333333333329</c:v>
              </c:pt>
              <c:pt idx="148">
                <c:v>13.333333333333334</c:v>
              </c:pt>
              <c:pt idx="149">
                <c:v>19.2</c:v>
              </c:pt>
              <c:pt idx="150">
                <c:v>21.333333333333336</c:v>
              </c:pt>
              <c:pt idx="151">
                <c:v>19.433333333333334</c:v>
              </c:pt>
              <c:pt idx="152">
                <c:v>16.033333333333335</c:v>
              </c:pt>
              <c:pt idx="153">
                <c:v>11.066666666666666</c:v>
              </c:pt>
              <c:pt idx="154">
                <c:v>2.2666666666666666</c:v>
              </c:pt>
              <c:pt idx="155">
                <c:v>1.8666666666666667</c:v>
              </c:pt>
              <c:pt idx="156">
                <c:v>-4.4000000000000004</c:v>
              </c:pt>
              <c:pt idx="157">
                <c:v>0.6333333333333333</c:v>
              </c:pt>
              <c:pt idx="158">
                <c:v>0.96666666666666656</c:v>
              </c:pt>
              <c:pt idx="159">
                <c:v>8.9666666666666668</c:v>
              </c:pt>
              <c:pt idx="160">
                <c:v>14.366666666666665</c:v>
              </c:pt>
              <c:pt idx="161">
                <c:v>19.233333333333334</c:v>
              </c:pt>
              <c:pt idx="162">
                <c:v>20</c:v>
              </c:pt>
              <c:pt idx="163">
                <c:v>19.333333333333336</c:v>
              </c:pt>
              <c:pt idx="164">
                <c:v>17.633333333333333</c:v>
              </c:pt>
              <c:pt idx="165">
                <c:v>10.233333333333333</c:v>
              </c:pt>
              <c:pt idx="166">
                <c:v>1.7666666666666668</c:v>
              </c:pt>
              <c:pt idx="167">
                <c:v>1.9</c:v>
              </c:pt>
              <c:pt idx="168">
                <c:v>-1.5</c:v>
              </c:pt>
              <c:pt idx="169">
                <c:v>-3.7333333333333334</c:v>
              </c:pt>
              <c:pt idx="170">
                <c:v>10.5</c:v>
              </c:pt>
              <c:pt idx="171">
                <c:v>15.4</c:v>
              </c:pt>
              <c:pt idx="172">
                <c:v>20.233333333333334</c:v>
              </c:pt>
            </c:numLit>
          </c:xVal>
          <c:yVal>
            <c:numLit>
              <c:formatCode>General</c:formatCode>
              <c:ptCount val="173"/>
              <c:pt idx="0">
                <c:v>7812</c:v>
              </c:pt>
              <c:pt idx="1">
                <c:v>5397</c:v>
              </c:pt>
              <c:pt idx="2">
                <c:v>4696</c:v>
              </c:pt>
              <c:pt idx="3">
                <c:v>3203</c:v>
              </c:pt>
              <c:pt idx="4">
                <c:v>2024</c:v>
              </c:pt>
              <c:pt idx="5">
                <c:v>1564</c:v>
              </c:pt>
              <c:pt idx="6">
                <c:v>1569</c:v>
              </c:pt>
              <c:pt idx="7">
                <c:v>1445</c:v>
              </c:pt>
              <c:pt idx="8">
                <c:v>1626</c:v>
              </c:pt>
              <c:pt idx="9">
                <c:v>2264</c:v>
              </c:pt>
              <c:pt idx="10">
                <c:v>2946</c:v>
              </c:pt>
              <c:pt idx="11">
                <c:v>4038</c:v>
              </c:pt>
              <c:pt idx="12">
                <c:v>6314</c:v>
              </c:pt>
              <c:pt idx="13">
                <c:v>5606</c:v>
              </c:pt>
              <c:pt idx="14">
                <c:v>4787</c:v>
              </c:pt>
              <c:pt idx="15">
                <c:v>2861</c:v>
              </c:pt>
              <c:pt idx="16">
                <c:v>1902</c:v>
              </c:pt>
              <c:pt idx="17">
                <c:v>1882</c:v>
              </c:pt>
              <c:pt idx="18">
                <c:v>1511</c:v>
              </c:pt>
              <c:pt idx="19">
                <c:v>1437</c:v>
              </c:pt>
              <c:pt idx="20">
                <c:v>1624</c:v>
              </c:pt>
              <c:pt idx="21">
                <c:v>2429</c:v>
              </c:pt>
              <c:pt idx="22">
                <c:v>3620</c:v>
              </c:pt>
              <c:pt idx="23">
                <c:v>6225</c:v>
              </c:pt>
              <c:pt idx="24">
                <c:v>7576</c:v>
              </c:pt>
              <c:pt idx="25">
                <c:v>7127</c:v>
              </c:pt>
              <c:pt idx="26">
                <c:v>4812</c:v>
              </c:pt>
              <c:pt idx="27">
                <c:v>3255</c:v>
              </c:pt>
              <c:pt idx="28">
                <c:v>2268</c:v>
              </c:pt>
              <c:pt idx="29">
                <c:v>1693</c:v>
              </c:pt>
              <c:pt idx="30">
                <c:v>1560</c:v>
              </c:pt>
              <c:pt idx="31">
                <c:v>1521</c:v>
              </c:pt>
              <c:pt idx="32">
                <c:v>1698</c:v>
              </c:pt>
              <c:pt idx="33">
                <c:v>2758</c:v>
              </c:pt>
              <c:pt idx="34">
                <c:v>3854</c:v>
              </c:pt>
              <c:pt idx="35">
                <c:v>6140</c:v>
              </c:pt>
              <c:pt idx="36">
                <c:v>7463</c:v>
              </c:pt>
              <c:pt idx="37">
                <c:v>7438</c:v>
              </c:pt>
              <c:pt idx="38">
                <c:v>5282</c:v>
              </c:pt>
              <c:pt idx="39">
                <c:v>3483</c:v>
              </c:pt>
              <c:pt idx="40">
                <c:v>2214</c:v>
              </c:pt>
              <c:pt idx="41">
                <c:v>2035</c:v>
              </c:pt>
              <c:pt idx="42">
                <c:v>1949</c:v>
              </c:pt>
              <c:pt idx="43">
                <c:v>2038</c:v>
              </c:pt>
              <c:pt idx="44">
                <c:v>2017</c:v>
              </c:pt>
              <c:pt idx="45">
                <c:v>2305</c:v>
              </c:pt>
              <c:pt idx="46">
                <c:v>3377</c:v>
              </c:pt>
              <c:pt idx="47">
                <c:v>5782</c:v>
              </c:pt>
              <c:pt idx="48">
                <c:v>7551</c:v>
              </c:pt>
              <c:pt idx="49">
                <c:v>6951</c:v>
              </c:pt>
              <c:pt idx="50">
                <c:v>6156</c:v>
              </c:pt>
              <c:pt idx="51">
                <c:v>3951</c:v>
              </c:pt>
              <c:pt idx="52">
                <c:v>2488</c:v>
              </c:pt>
              <c:pt idx="53">
                <c:v>2108</c:v>
              </c:pt>
              <c:pt idx="54">
                <c:v>1958</c:v>
              </c:pt>
              <c:pt idx="55">
                <c:v>1889</c:v>
              </c:pt>
              <c:pt idx="56">
                <c:v>2026</c:v>
              </c:pt>
              <c:pt idx="57">
                <c:v>2564</c:v>
              </c:pt>
              <c:pt idx="58">
                <c:v>3466</c:v>
              </c:pt>
              <c:pt idx="59">
                <c:v>6590</c:v>
              </c:pt>
              <c:pt idx="60">
                <c:v>7102</c:v>
              </c:pt>
              <c:pt idx="61">
                <c:v>6464</c:v>
              </c:pt>
              <c:pt idx="62">
                <c:v>5564</c:v>
              </c:pt>
              <c:pt idx="63">
                <c:v>3540</c:v>
              </c:pt>
              <c:pt idx="64">
                <c:v>2561</c:v>
              </c:pt>
              <c:pt idx="65">
                <c:v>2232</c:v>
              </c:pt>
              <c:pt idx="66">
                <c:v>2138</c:v>
              </c:pt>
              <c:pt idx="67">
                <c:v>2008</c:v>
              </c:pt>
              <c:pt idx="68">
                <c:v>2285</c:v>
              </c:pt>
              <c:pt idx="69">
                <c:v>3093</c:v>
              </c:pt>
              <c:pt idx="70">
                <c:v>3884</c:v>
              </c:pt>
              <c:pt idx="71">
                <c:v>5449</c:v>
              </c:pt>
              <c:pt idx="72">
                <c:v>6772</c:v>
              </c:pt>
              <c:pt idx="73">
                <c:v>7443</c:v>
              </c:pt>
              <c:pt idx="74">
                <c:v>5270</c:v>
              </c:pt>
              <c:pt idx="75">
                <c:v>3597</c:v>
              </c:pt>
              <c:pt idx="76">
                <c:v>2602</c:v>
              </c:pt>
              <c:pt idx="77">
                <c:v>2131</c:v>
              </c:pt>
              <c:pt idx="78">
                <c:v>1997</c:v>
              </c:pt>
              <c:pt idx="79">
                <c:v>1965</c:v>
              </c:pt>
              <c:pt idx="80">
                <c:v>2068</c:v>
              </c:pt>
              <c:pt idx="81">
                <c:v>2352</c:v>
              </c:pt>
              <c:pt idx="82">
                <c:v>3902</c:v>
              </c:pt>
              <c:pt idx="83">
                <c:v>5335</c:v>
              </c:pt>
              <c:pt idx="84">
                <c:v>7577</c:v>
              </c:pt>
              <c:pt idx="85">
                <c:v>6186</c:v>
              </c:pt>
              <c:pt idx="86">
                <c:v>4686</c:v>
              </c:pt>
              <c:pt idx="87">
                <c:v>3120</c:v>
              </c:pt>
              <c:pt idx="88">
                <c:v>2280</c:v>
              </c:pt>
              <c:pt idx="89">
                <c:v>1998</c:v>
              </c:pt>
              <c:pt idx="90">
                <c:v>1909</c:v>
              </c:pt>
              <c:pt idx="91">
                <c:v>2010</c:v>
              </c:pt>
              <c:pt idx="92">
                <c:v>2707</c:v>
              </c:pt>
              <c:pt idx="93">
                <c:v>4602</c:v>
              </c:pt>
              <c:pt idx="94">
                <c:v>5251</c:v>
              </c:pt>
              <c:pt idx="95">
                <c:v>6241</c:v>
              </c:pt>
              <c:pt idx="96">
                <c:v>8960</c:v>
              </c:pt>
              <c:pt idx="97">
                <c:v>6565</c:v>
              </c:pt>
              <c:pt idx="98">
                <c:v>5670</c:v>
              </c:pt>
              <c:pt idx="99">
                <c:v>3161</c:v>
              </c:pt>
              <c:pt idx="100">
                <c:v>2464</c:v>
              </c:pt>
              <c:pt idx="101">
                <c:v>1853</c:v>
              </c:pt>
              <c:pt idx="102">
                <c:v>1983</c:v>
              </c:pt>
              <c:pt idx="103">
                <c:v>2064</c:v>
              </c:pt>
              <c:pt idx="104">
                <c:v>2450</c:v>
              </c:pt>
              <c:pt idx="105">
                <c:v>3598</c:v>
              </c:pt>
              <c:pt idx="106">
                <c:v>4375</c:v>
              </c:pt>
              <c:pt idx="107">
                <c:v>8161</c:v>
              </c:pt>
              <c:pt idx="108">
                <c:v>9701</c:v>
              </c:pt>
              <c:pt idx="109">
                <c:v>8911</c:v>
              </c:pt>
              <c:pt idx="110">
                <c:v>5153</c:v>
              </c:pt>
              <c:pt idx="111">
                <c:v>2691</c:v>
              </c:pt>
              <c:pt idx="112">
                <c:v>2389</c:v>
              </c:pt>
              <c:pt idx="113">
                <c:v>1977</c:v>
              </c:pt>
              <c:pt idx="114">
                <c:v>1926</c:v>
              </c:pt>
              <c:pt idx="115">
                <c:v>2092</c:v>
              </c:pt>
              <c:pt idx="116">
                <c:v>2433</c:v>
              </c:pt>
              <c:pt idx="117">
                <c:v>3117</c:v>
              </c:pt>
              <c:pt idx="118">
                <c:v>5190</c:v>
              </c:pt>
              <c:pt idx="119">
                <c:v>10645</c:v>
              </c:pt>
              <c:pt idx="120">
                <c:v>9522</c:v>
              </c:pt>
              <c:pt idx="121">
                <c:v>6169</c:v>
              </c:pt>
              <c:pt idx="122">
                <c:v>5460</c:v>
              </c:pt>
              <c:pt idx="123">
                <c:v>2761</c:v>
              </c:pt>
              <c:pt idx="124">
                <c:v>2568</c:v>
              </c:pt>
              <c:pt idx="125">
                <c:v>2133</c:v>
              </c:pt>
              <c:pt idx="126">
                <c:v>1980</c:v>
              </c:pt>
              <c:pt idx="127">
                <c:v>2465</c:v>
              </c:pt>
              <c:pt idx="128">
                <c:v>2382</c:v>
              </c:pt>
              <c:pt idx="129">
                <c:v>3931</c:v>
              </c:pt>
              <c:pt idx="130">
                <c:v>4446</c:v>
              </c:pt>
              <c:pt idx="131">
                <c:v>6081</c:v>
              </c:pt>
              <c:pt idx="132">
                <c:v>8072</c:v>
              </c:pt>
              <c:pt idx="133">
                <c:v>6583</c:v>
              </c:pt>
              <c:pt idx="134">
                <c:v>3545</c:v>
              </c:pt>
              <c:pt idx="135">
                <c:v>3370</c:v>
              </c:pt>
              <c:pt idx="136">
                <c:v>2205</c:v>
              </c:pt>
              <c:pt idx="137">
                <c:v>2433</c:v>
              </c:pt>
              <c:pt idx="138">
                <c:v>1976</c:v>
              </c:pt>
              <c:pt idx="139">
                <c:v>2673</c:v>
              </c:pt>
              <c:pt idx="140">
                <c:v>2529</c:v>
              </c:pt>
              <c:pt idx="141">
                <c:v>4003</c:v>
              </c:pt>
              <c:pt idx="142">
                <c:v>5686</c:v>
              </c:pt>
              <c:pt idx="143">
                <c:v>5878</c:v>
              </c:pt>
              <c:pt idx="144">
                <c:v>6935</c:v>
              </c:pt>
              <c:pt idx="145">
                <c:v>7155</c:v>
              </c:pt>
              <c:pt idx="146">
                <c:v>7253</c:v>
              </c:pt>
              <c:pt idx="147">
                <c:v>3390</c:v>
              </c:pt>
              <c:pt idx="148">
                <c:v>3075</c:v>
              </c:pt>
              <c:pt idx="149">
                <c:v>2381</c:v>
              </c:pt>
              <c:pt idx="150">
                <c:v>2613</c:v>
              </c:pt>
              <c:pt idx="151">
                <c:v>2611</c:v>
              </c:pt>
              <c:pt idx="152">
                <c:v>2873</c:v>
              </c:pt>
              <c:pt idx="153">
                <c:v>3869</c:v>
              </c:pt>
              <c:pt idx="154">
                <c:v>6415</c:v>
              </c:pt>
              <c:pt idx="155">
                <c:v>6700</c:v>
              </c:pt>
              <c:pt idx="156">
                <c:v>11381</c:v>
              </c:pt>
              <c:pt idx="157">
                <c:v>7396</c:v>
              </c:pt>
              <c:pt idx="158">
                <c:v>7426</c:v>
              </c:pt>
              <c:pt idx="159">
                <c:v>3372</c:v>
              </c:pt>
              <c:pt idx="160">
                <c:v>3314</c:v>
              </c:pt>
              <c:pt idx="161">
                <c:v>2930</c:v>
              </c:pt>
              <c:pt idx="162">
                <c:v>2889</c:v>
              </c:pt>
              <c:pt idx="163">
                <c:v>2708</c:v>
              </c:pt>
              <c:pt idx="164">
                <c:v>2884</c:v>
              </c:pt>
              <c:pt idx="165">
                <c:v>3606</c:v>
              </c:pt>
              <c:pt idx="166">
                <c:v>6843</c:v>
              </c:pt>
              <c:pt idx="167">
                <c:v>7464</c:v>
              </c:pt>
              <c:pt idx="168">
                <c:v>9500</c:v>
              </c:pt>
              <c:pt idx="169">
                <c:v>10511</c:v>
              </c:pt>
              <c:pt idx="170">
                <c:v>3543</c:v>
              </c:pt>
              <c:pt idx="171">
                <c:v>2502</c:v>
              </c:pt>
              <c:pt idx="172">
                <c:v>2944</c:v>
              </c:pt>
            </c:numLit>
          </c:yVal>
          <c:smooth val="0"/>
          <c:extLst>
            <c:ext xmlns:c16="http://schemas.microsoft.com/office/drawing/2014/chart" uri="{C3380CC4-5D6E-409C-BE32-E72D297353CC}">
              <c16:uniqueId val="{00000000-2A11-45A3-87A0-603865A51467}"/>
            </c:ext>
          </c:extLst>
        </c:ser>
        <c:dLbls>
          <c:showLegendKey val="0"/>
          <c:showVal val="0"/>
          <c:showCatName val="0"/>
          <c:showSerName val="0"/>
          <c:showPercent val="0"/>
          <c:showBubbleSize val="0"/>
        </c:dLbls>
        <c:axId val="213584896"/>
        <c:axId val="213591168"/>
      </c:scatterChart>
      <c:valAx>
        <c:axId val="213584896"/>
        <c:scaling>
          <c:orientation val="minMax"/>
          <c:max val="22.066666666666698"/>
          <c:min val="-4.4000000000000004"/>
        </c:scaling>
        <c:delete val="0"/>
        <c:axPos val="b"/>
        <c:title>
          <c:tx>
            <c:rich>
              <a:bodyPr/>
              <a:lstStyle/>
              <a:p>
                <a:pPr>
                  <a:defRPr/>
                </a:pPr>
                <a:r>
                  <a:rPr lang="en-US"/>
                  <a:t>_Commercial_Natural_Gas vs.
Mean_MinimumTemp
r = -0.895,  r-squared = 0.801</a:t>
                </a:r>
              </a:p>
            </c:rich>
          </c:tx>
          <c:overlay val="0"/>
        </c:title>
        <c:numFmt formatCode="#,##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213591168"/>
        <c:crossesAt val="1437"/>
        <c:crossBetween val="midCat"/>
        <c:majorUnit val="13.233333333333348"/>
      </c:valAx>
      <c:valAx>
        <c:axId val="213591168"/>
        <c:scaling>
          <c:orientation val="minMax"/>
          <c:max val="11381"/>
          <c:min val="1437"/>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213584896"/>
        <c:crossesAt val="-4.4000000000000004"/>
        <c:crossBetween val="midCat"/>
        <c:majorUnit val="4972"/>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5"/>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173"/>
              <c:pt idx="0">
                <c:v>4.5999999999999996</c:v>
              </c:pt>
              <c:pt idx="1">
                <c:v>8.1666666666666679</c:v>
              </c:pt>
              <c:pt idx="2">
                <c:v>8.8333333333333321</c:v>
              </c:pt>
              <c:pt idx="3">
                <c:v>15.866666666666665</c:v>
              </c:pt>
              <c:pt idx="4">
                <c:v>19.733333333333334</c:v>
              </c:pt>
              <c:pt idx="5">
                <c:v>24.366666666666667</c:v>
              </c:pt>
              <c:pt idx="6">
                <c:v>24.233333333333334</c:v>
              </c:pt>
              <c:pt idx="7">
                <c:v>25.93333333333333</c:v>
              </c:pt>
              <c:pt idx="8">
                <c:v>20.233333333333334</c:v>
              </c:pt>
              <c:pt idx="9">
                <c:v>14.6</c:v>
              </c:pt>
              <c:pt idx="10">
                <c:v>13.133333333333335</c:v>
              </c:pt>
              <c:pt idx="11">
                <c:v>8.5</c:v>
              </c:pt>
              <c:pt idx="12">
                <c:v>5.8</c:v>
              </c:pt>
              <c:pt idx="13">
                <c:v>6.5333333333333332</c:v>
              </c:pt>
              <c:pt idx="14">
                <c:v>10.7</c:v>
              </c:pt>
              <c:pt idx="15">
                <c:v>17.3</c:v>
              </c:pt>
              <c:pt idx="16">
                <c:v>18.966666666666665</c:v>
              </c:pt>
              <c:pt idx="17">
                <c:v>24.766666666666666</c:v>
              </c:pt>
              <c:pt idx="18">
                <c:v>26.666666666666668</c:v>
              </c:pt>
              <c:pt idx="19">
                <c:v>25.4</c:v>
              </c:pt>
              <c:pt idx="20">
                <c:v>22.6</c:v>
              </c:pt>
              <c:pt idx="21">
                <c:v>16.166666666666664</c:v>
              </c:pt>
              <c:pt idx="22">
                <c:v>9.1999999999999993</c:v>
              </c:pt>
              <c:pt idx="23">
                <c:v>4.6333333333333337</c:v>
              </c:pt>
              <c:pt idx="24">
                <c:v>2.6333333333333333</c:v>
              </c:pt>
              <c:pt idx="25">
                <c:v>5.1333333333333337</c:v>
              </c:pt>
              <c:pt idx="26">
                <c:v>11.933333333333334</c:v>
              </c:pt>
              <c:pt idx="27">
                <c:v>14.7</c:v>
              </c:pt>
              <c:pt idx="28">
                <c:v>18.733333333333334</c:v>
              </c:pt>
              <c:pt idx="29">
                <c:v>22.666666666666664</c:v>
              </c:pt>
              <c:pt idx="30">
                <c:v>24.966666666666665</c:v>
              </c:pt>
              <c:pt idx="31">
                <c:v>25.533333333333335</c:v>
              </c:pt>
              <c:pt idx="32">
                <c:v>20.8</c:v>
              </c:pt>
              <c:pt idx="33">
                <c:v>15.2</c:v>
              </c:pt>
              <c:pt idx="34">
                <c:v>13.033333333333335</c:v>
              </c:pt>
              <c:pt idx="35">
                <c:v>4.5666666666666664</c:v>
              </c:pt>
              <c:pt idx="36">
                <c:v>3.4</c:v>
              </c:pt>
              <c:pt idx="37">
                <c:v>4.4333333333333336</c:v>
              </c:pt>
              <c:pt idx="38">
                <c:v>11.4</c:v>
              </c:pt>
              <c:pt idx="39">
                <c:v>15.333333333333334</c:v>
              </c:pt>
              <c:pt idx="40">
                <c:v>22.433333333333334</c:v>
              </c:pt>
              <c:pt idx="41">
                <c:v>24.033333333333335</c:v>
              </c:pt>
              <c:pt idx="42">
                <c:v>25.766666666666669</c:v>
              </c:pt>
              <c:pt idx="43">
                <c:v>23.866666666666667</c:v>
              </c:pt>
              <c:pt idx="44">
                <c:v>21.6</c:v>
              </c:pt>
              <c:pt idx="45">
                <c:v>16.866666666666667</c:v>
              </c:pt>
              <c:pt idx="46">
                <c:v>11.666666666666668</c:v>
              </c:pt>
              <c:pt idx="47">
                <c:v>5.7333333333333334</c:v>
              </c:pt>
              <c:pt idx="48">
                <c:v>6.3333333333333339</c:v>
              </c:pt>
              <c:pt idx="49">
                <c:v>6.9666666666666668</c:v>
              </c:pt>
              <c:pt idx="50">
                <c:v>8.8333333333333321</c:v>
              </c:pt>
              <c:pt idx="51">
                <c:v>14.8</c:v>
              </c:pt>
              <c:pt idx="52">
                <c:v>18.100000000000001</c:v>
              </c:pt>
              <c:pt idx="53">
                <c:v>23.933333333333334</c:v>
              </c:pt>
              <c:pt idx="54">
                <c:v>26.966666666666669</c:v>
              </c:pt>
              <c:pt idx="55">
                <c:v>26.5</c:v>
              </c:pt>
              <c:pt idx="56">
                <c:v>23.833333333333336</c:v>
              </c:pt>
              <c:pt idx="57">
                <c:v>16.666666666666664</c:v>
              </c:pt>
              <c:pt idx="58">
                <c:v>11.166666666666668</c:v>
              </c:pt>
              <c:pt idx="59">
                <c:v>4.4333333333333336</c:v>
              </c:pt>
              <c:pt idx="60">
                <c:v>8.3666666666666671</c:v>
              </c:pt>
              <c:pt idx="61">
                <c:v>6.2</c:v>
              </c:pt>
              <c:pt idx="62">
                <c:v>10.8</c:v>
              </c:pt>
              <c:pt idx="63">
                <c:v>17.100000000000001</c:v>
              </c:pt>
              <c:pt idx="64">
                <c:v>18.566666666666666</c:v>
              </c:pt>
              <c:pt idx="65">
                <c:v>23.566666666666666</c:v>
              </c:pt>
              <c:pt idx="66">
                <c:v>26.06666666666667</c:v>
              </c:pt>
              <c:pt idx="67">
                <c:v>26.4</c:v>
              </c:pt>
              <c:pt idx="68">
                <c:v>20.666666666666664</c:v>
              </c:pt>
              <c:pt idx="69">
                <c:v>14.4</c:v>
              </c:pt>
              <c:pt idx="70">
                <c:v>11.133333333333333</c:v>
              </c:pt>
              <c:pt idx="71">
                <c:v>8.4</c:v>
              </c:pt>
              <c:pt idx="72">
                <c:v>6.8</c:v>
              </c:pt>
              <c:pt idx="73">
                <c:v>4.5333333333333332</c:v>
              </c:pt>
              <c:pt idx="74">
                <c:v>13.4</c:v>
              </c:pt>
              <c:pt idx="75">
                <c:v>14.966666666666665</c:v>
              </c:pt>
              <c:pt idx="76">
                <c:v>19.933333333333334</c:v>
              </c:pt>
              <c:pt idx="77">
                <c:v>24.366666666666667</c:v>
              </c:pt>
              <c:pt idx="78">
                <c:v>25.266666666666666</c:v>
              </c:pt>
              <c:pt idx="79">
                <c:v>28.7</c:v>
              </c:pt>
              <c:pt idx="80">
                <c:v>23.7</c:v>
              </c:pt>
              <c:pt idx="81">
                <c:v>19.166666666666664</c:v>
              </c:pt>
              <c:pt idx="82">
                <c:v>10.166666666666668</c:v>
              </c:pt>
              <c:pt idx="83">
                <c:v>8.9</c:v>
              </c:pt>
              <c:pt idx="84">
                <c:v>4.7666666666666666</c:v>
              </c:pt>
              <c:pt idx="85">
                <c:v>8.1</c:v>
              </c:pt>
              <c:pt idx="86">
                <c:v>11.3</c:v>
              </c:pt>
              <c:pt idx="87">
                <c:v>15</c:v>
              </c:pt>
              <c:pt idx="88">
                <c:v>19.233333333333334</c:v>
              </c:pt>
              <c:pt idx="89">
                <c:v>26.366666666666667</c:v>
              </c:pt>
              <c:pt idx="90">
                <c:v>25.866666666666667</c:v>
              </c:pt>
              <c:pt idx="91">
                <c:v>25.3</c:v>
              </c:pt>
              <c:pt idx="92">
                <c:v>22.033333333333335</c:v>
              </c:pt>
              <c:pt idx="93">
                <c:v>14.7</c:v>
              </c:pt>
              <c:pt idx="94">
                <c:v>8.6333333333333329</c:v>
              </c:pt>
              <c:pt idx="95">
                <c:v>7.9333333333333327</c:v>
              </c:pt>
              <c:pt idx="96">
                <c:v>4.0333333333333332</c:v>
              </c:pt>
              <c:pt idx="97">
                <c:v>6.9666666666666668</c:v>
              </c:pt>
              <c:pt idx="98">
                <c:v>10.333333333333332</c:v>
              </c:pt>
              <c:pt idx="99">
                <c:v>15.9</c:v>
              </c:pt>
              <c:pt idx="100">
                <c:v>20.866666666666667</c:v>
              </c:pt>
              <c:pt idx="101">
                <c:v>25</c:v>
              </c:pt>
              <c:pt idx="102">
                <c:v>25.4</c:v>
              </c:pt>
              <c:pt idx="103">
                <c:v>26.2</c:v>
              </c:pt>
              <c:pt idx="104">
                <c:v>21.566666666666666</c:v>
              </c:pt>
              <c:pt idx="105">
                <c:v>15.2</c:v>
              </c:pt>
              <c:pt idx="106">
                <c:v>11.6</c:v>
              </c:pt>
              <c:pt idx="107">
                <c:v>4.3333333333333339</c:v>
              </c:pt>
              <c:pt idx="108">
                <c:v>2.833333333333333</c:v>
              </c:pt>
              <c:pt idx="109">
                <c:v>3.0333333333333332</c:v>
              </c:pt>
              <c:pt idx="110">
                <c:v>10.733333333333333</c:v>
              </c:pt>
              <c:pt idx="111">
                <c:v>17.133333333333333</c:v>
              </c:pt>
              <c:pt idx="112">
                <c:v>21.833333333333336</c:v>
              </c:pt>
              <c:pt idx="113">
                <c:v>26.966666666666669</c:v>
              </c:pt>
              <c:pt idx="114">
                <c:v>27.633333333333333</c:v>
              </c:pt>
              <c:pt idx="115">
                <c:v>27</c:v>
              </c:pt>
              <c:pt idx="116">
                <c:v>24.3</c:v>
              </c:pt>
              <c:pt idx="117">
                <c:v>16.866666666666667</c:v>
              </c:pt>
              <c:pt idx="118">
                <c:v>10.433333333333334</c:v>
              </c:pt>
              <c:pt idx="119">
                <c:v>1.2333333333333334</c:v>
              </c:pt>
              <c:pt idx="120">
                <c:v>2.7</c:v>
              </c:pt>
              <c:pt idx="121">
                <c:v>8.3666666666666671</c:v>
              </c:pt>
              <c:pt idx="122">
                <c:v>10.666666666666668</c:v>
              </c:pt>
              <c:pt idx="123">
                <c:v>17.100000000000001</c:v>
              </c:pt>
              <c:pt idx="124">
                <c:v>20.7</c:v>
              </c:pt>
              <c:pt idx="125">
                <c:v>26.06666666666667</c:v>
              </c:pt>
              <c:pt idx="126">
                <c:v>27.866666666666667</c:v>
              </c:pt>
              <c:pt idx="127">
                <c:v>26.3</c:v>
              </c:pt>
              <c:pt idx="128">
                <c:v>22.333333333333336</c:v>
              </c:pt>
              <c:pt idx="129">
                <c:v>14.766666666666666</c:v>
              </c:pt>
              <c:pt idx="130">
                <c:v>11.7</c:v>
              </c:pt>
              <c:pt idx="131">
                <c:v>8.7333333333333325</c:v>
              </c:pt>
              <c:pt idx="132">
                <c:v>6.8666666666666671</c:v>
              </c:pt>
              <c:pt idx="133">
                <c:v>8</c:v>
              </c:pt>
              <c:pt idx="134">
                <c:v>15.666666666666666</c:v>
              </c:pt>
              <c:pt idx="135">
                <c:v>15.6</c:v>
              </c:pt>
              <c:pt idx="136">
                <c:v>21.833333333333336</c:v>
              </c:pt>
              <c:pt idx="137">
                <c:v>23.566666666666666</c:v>
              </c:pt>
              <c:pt idx="138">
                <c:v>27.966666666666669</c:v>
              </c:pt>
              <c:pt idx="139">
                <c:v>25.133333333333333</c:v>
              </c:pt>
              <c:pt idx="140">
                <c:v>21.566666666666666</c:v>
              </c:pt>
              <c:pt idx="141">
                <c:v>15.533333333333335</c:v>
              </c:pt>
              <c:pt idx="142">
                <c:v>8.5</c:v>
              </c:pt>
              <c:pt idx="143">
                <c:v>9.0666666666666664</c:v>
              </c:pt>
              <c:pt idx="144">
                <c:v>6.7</c:v>
              </c:pt>
              <c:pt idx="145">
                <c:v>5.3666666666666663</c:v>
              </c:pt>
              <c:pt idx="146">
                <c:v>7.2333333333333325</c:v>
              </c:pt>
              <c:pt idx="147">
                <c:v>15.7</c:v>
              </c:pt>
              <c:pt idx="148">
                <c:v>18.866666666666667</c:v>
              </c:pt>
              <c:pt idx="149">
                <c:v>24.2</c:v>
              </c:pt>
              <c:pt idx="150">
                <c:v>25.7</c:v>
              </c:pt>
              <c:pt idx="151">
                <c:v>24.266666666666666</c:v>
              </c:pt>
              <c:pt idx="152">
                <c:v>21.666666666666664</c:v>
              </c:pt>
              <c:pt idx="153">
                <c:v>16.533333333333335</c:v>
              </c:pt>
              <c:pt idx="154">
                <c:v>8.5333333333333332</c:v>
              </c:pt>
              <c:pt idx="155">
                <c:v>7.7</c:v>
              </c:pt>
              <c:pt idx="156">
                <c:v>1.8333333333333333</c:v>
              </c:pt>
              <c:pt idx="157">
                <c:v>6.4666666666666668</c:v>
              </c:pt>
              <c:pt idx="158">
                <c:v>7.7666666666666675</c:v>
              </c:pt>
              <c:pt idx="159">
                <c:v>15.733333333333334</c:v>
              </c:pt>
              <c:pt idx="160">
                <c:v>20.9</c:v>
              </c:pt>
              <c:pt idx="161">
                <c:v>25.033333333333335</c:v>
              </c:pt>
              <c:pt idx="162">
                <c:v>25.4</c:v>
              </c:pt>
              <c:pt idx="163">
                <c:v>24.266666666666666</c:v>
              </c:pt>
              <c:pt idx="164">
                <c:v>22.066666666666666</c:v>
              </c:pt>
              <c:pt idx="165">
                <c:v>16.899999999999999</c:v>
              </c:pt>
              <c:pt idx="166">
                <c:v>8.0666666666666664</c:v>
              </c:pt>
              <c:pt idx="167">
                <c:v>7.1</c:v>
              </c:pt>
              <c:pt idx="168">
                <c:v>4.2</c:v>
              </c:pt>
              <c:pt idx="169">
                <c:v>1.9</c:v>
              </c:pt>
              <c:pt idx="170">
                <c:v>16.333333333333336</c:v>
              </c:pt>
              <c:pt idx="171">
                <c:v>21.7</c:v>
              </c:pt>
              <c:pt idx="172">
                <c:v>26.3</c:v>
              </c:pt>
            </c:numLit>
          </c:xVal>
          <c:yVal>
            <c:numLit>
              <c:formatCode>General</c:formatCode>
              <c:ptCount val="173"/>
              <c:pt idx="0">
                <c:v>7812</c:v>
              </c:pt>
              <c:pt idx="1">
                <c:v>5397</c:v>
              </c:pt>
              <c:pt idx="2">
                <c:v>4696</c:v>
              </c:pt>
              <c:pt idx="3">
                <c:v>3203</c:v>
              </c:pt>
              <c:pt idx="4">
                <c:v>2024</c:v>
              </c:pt>
              <c:pt idx="5">
                <c:v>1564</c:v>
              </c:pt>
              <c:pt idx="6">
                <c:v>1569</c:v>
              </c:pt>
              <c:pt idx="7">
                <c:v>1445</c:v>
              </c:pt>
              <c:pt idx="8">
                <c:v>1626</c:v>
              </c:pt>
              <c:pt idx="9">
                <c:v>2264</c:v>
              </c:pt>
              <c:pt idx="10">
                <c:v>2946</c:v>
              </c:pt>
              <c:pt idx="11">
                <c:v>4038</c:v>
              </c:pt>
              <c:pt idx="12">
                <c:v>6314</c:v>
              </c:pt>
              <c:pt idx="13">
                <c:v>5606</c:v>
              </c:pt>
              <c:pt idx="14">
                <c:v>4787</c:v>
              </c:pt>
              <c:pt idx="15">
                <c:v>2861</c:v>
              </c:pt>
              <c:pt idx="16">
                <c:v>1902</c:v>
              </c:pt>
              <c:pt idx="17">
                <c:v>1882</c:v>
              </c:pt>
              <c:pt idx="18">
                <c:v>1511</c:v>
              </c:pt>
              <c:pt idx="19">
                <c:v>1437</c:v>
              </c:pt>
              <c:pt idx="20">
                <c:v>1624</c:v>
              </c:pt>
              <c:pt idx="21">
                <c:v>2429</c:v>
              </c:pt>
              <c:pt idx="22">
                <c:v>3620</c:v>
              </c:pt>
              <c:pt idx="23">
                <c:v>6225</c:v>
              </c:pt>
              <c:pt idx="24">
                <c:v>7576</c:v>
              </c:pt>
              <c:pt idx="25">
                <c:v>7127</c:v>
              </c:pt>
              <c:pt idx="26">
                <c:v>4812</c:v>
              </c:pt>
              <c:pt idx="27">
                <c:v>3255</c:v>
              </c:pt>
              <c:pt idx="28">
                <c:v>2268</c:v>
              </c:pt>
              <c:pt idx="29">
                <c:v>1693</c:v>
              </c:pt>
              <c:pt idx="30">
                <c:v>1560</c:v>
              </c:pt>
              <c:pt idx="31">
                <c:v>1521</c:v>
              </c:pt>
              <c:pt idx="32">
                <c:v>1698</c:v>
              </c:pt>
              <c:pt idx="33">
                <c:v>2758</c:v>
              </c:pt>
              <c:pt idx="34">
                <c:v>3854</c:v>
              </c:pt>
              <c:pt idx="35">
                <c:v>6140</c:v>
              </c:pt>
              <c:pt idx="36">
                <c:v>7463</c:v>
              </c:pt>
              <c:pt idx="37">
                <c:v>7438</c:v>
              </c:pt>
              <c:pt idx="38">
                <c:v>5282</c:v>
              </c:pt>
              <c:pt idx="39">
                <c:v>3483</c:v>
              </c:pt>
              <c:pt idx="40">
                <c:v>2214</c:v>
              </c:pt>
              <c:pt idx="41">
                <c:v>2035</c:v>
              </c:pt>
              <c:pt idx="42">
                <c:v>1949</c:v>
              </c:pt>
              <c:pt idx="43">
                <c:v>2038</c:v>
              </c:pt>
              <c:pt idx="44">
                <c:v>2017</c:v>
              </c:pt>
              <c:pt idx="45">
                <c:v>2305</c:v>
              </c:pt>
              <c:pt idx="46">
                <c:v>3377</c:v>
              </c:pt>
              <c:pt idx="47">
                <c:v>5782</c:v>
              </c:pt>
              <c:pt idx="48">
                <c:v>7551</c:v>
              </c:pt>
              <c:pt idx="49">
                <c:v>6951</c:v>
              </c:pt>
              <c:pt idx="50">
                <c:v>6156</c:v>
              </c:pt>
              <c:pt idx="51">
                <c:v>3951</c:v>
              </c:pt>
              <c:pt idx="52">
                <c:v>2488</c:v>
              </c:pt>
              <c:pt idx="53">
                <c:v>2108</c:v>
              </c:pt>
              <c:pt idx="54">
                <c:v>1958</c:v>
              </c:pt>
              <c:pt idx="55">
                <c:v>1889</c:v>
              </c:pt>
              <c:pt idx="56">
                <c:v>2026</c:v>
              </c:pt>
              <c:pt idx="57">
                <c:v>2564</c:v>
              </c:pt>
              <c:pt idx="58">
                <c:v>3466</c:v>
              </c:pt>
              <c:pt idx="59">
                <c:v>6590</c:v>
              </c:pt>
              <c:pt idx="60">
                <c:v>7102</c:v>
              </c:pt>
              <c:pt idx="61">
                <c:v>6464</c:v>
              </c:pt>
              <c:pt idx="62">
                <c:v>5564</c:v>
              </c:pt>
              <c:pt idx="63">
                <c:v>3540</c:v>
              </c:pt>
              <c:pt idx="64">
                <c:v>2561</c:v>
              </c:pt>
              <c:pt idx="65">
                <c:v>2232</c:v>
              </c:pt>
              <c:pt idx="66">
                <c:v>2138</c:v>
              </c:pt>
              <c:pt idx="67">
                <c:v>2008</c:v>
              </c:pt>
              <c:pt idx="68">
                <c:v>2285</c:v>
              </c:pt>
              <c:pt idx="69">
                <c:v>3093</c:v>
              </c:pt>
              <c:pt idx="70">
                <c:v>3884</c:v>
              </c:pt>
              <c:pt idx="71">
                <c:v>5449</c:v>
              </c:pt>
              <c:pt idx="72">
                <c:v>6772</c:v>
              </c:pt>
              <c:pt idx="73">
                <c:v>7443</c:v>
              </c:pt>
              <c:pt idx="74">
                <c:v>5270</c:v>
              </c:pt>
              <c:pt idx="75">
                <c:v>3597</c:v>
              </c:pt>
              <c:pt idx="76">
                <c:v>2602</c:v>
              </c:pt>
              <c:pt idx="77">
                <c:v>2131</c:v>
              </c:pt>
              <c:pt idx="78">
                <c:v>1997</c:v>
              </c:pt>
              <c:pt idx="79">
                <c:v>1965</c:v>
              </c:pt>
              <c:pt idx="80">
                <c:v>2068</c:v>
              </c:pt>
              <c:pt idx="81">
                <c:v>2352</c:v>
              </c:pt>
              <c:pt idx="82">
                <c:v>3902</c:v>
              </c:pt>
              <c:pt idx="83">
                <c:v>5335</c:v>
              </c:pt>
              <c:pt idx="84">
                <c:v>7577</c:v>
              </c:pt>
              <c:pt idx="85">
                <c:v>6186</c:v>
              </c:pt>
              <c:pt idx="86">
                <c:v>4686</c:v>
              </c:pt>
              <c:pt idx="87">
                <c:v>3120</c:v>
              </c:pt>
              <c:pt idx="88">
                <c:v>2280</c:v>
              </c:pt>
              <c:pt idx="89">
                <c:v>1998</c:v>
              </c:pt>
              <c:pt idx="90">
                <c:v>1909</c:v>
              </c:pt>
              <c:pt idx="91">
                <c:v>2010</c:v>
              </c:pt>
              <c:pt idx="92">
                <c:v>2707</c:v>
              </c:pt>
              <c:pt idx="93">
                <c:v>4602</c:v>
              </c:pt>
              <c:pt idx="94">
                <c:v>5251</c:v>
              </c:pt>
              <c:pt idx="95">
                <c:v>6241</c:v>
              </c:pt>
              <c:pt idx="96">
                <c:v>8960</c:v>
              </c:pt>
              <c:pt idx="97">
                <c:v>6565</c:v>
              </c:pt>
              <c:pt idx="98">
                <c:v>5670</c:v>
              </c:pt>
              <c:pt idx="99">
                <c:v>3161</c:v>
              </c:pt>
              <c:pt idx="100">
                <c:v>2464</c:v>
              </c:pt>
              <c:pt idx="101">
                <c:v>1853</c:v>
              </c:pt>
              <c:pt idx="102">
                <c:v>1983</c:v>
              </c:pt>
              <c:pt idx="103">
                <c:v>2064</c:v>
              </c:pt>
              <c:pt idx="104">
                <c:v>2450</c:v>
              </c:pt>
              <c:pt idx="105">
                <c:v>3598</c:v>
              </c:pt>
              <c:pt idx="106">
                <c:v>4375</c:v>
              </c:pt>
              <c:pt idx="107">
                <c:v>8161</c:v>
              </c:pt>
              <c:pt idx="108">
                <c:v>9701</c:v>
              </c:pt>
              <c:pt idx="109">
                <c:v>8911</c:v>
              </c:pt>
              <c:pt idx="110">
                <c:v>5153</c:v>
              </c:pt>
              <c:pt idx="111">
                <c:v>2691</c:v>
              </c:pt>
              <c:pt idx="112">
                <c:v>2389</c:v>
              </c:pt>
              <c:pt idx="113">
                <c:v>1977</c:v>
              </c:pt>
              <c:pt idx="114">
                <c:v>1926</c:v>
              </c:pt>
              <c:pt idx="115">
                <c:v>2092</c:v>
              </c:pt>
              <c:pt idx="116">
                <c:v>2433</c:v>
              </c:pt>
              <c:pt idx="117">
                <c:v>3117</c:v>
              </c:pt>
              <c:pt idx="118">
                <c:v>5190</c:v>
              </c:pt>
              <c:pt idx="119">
                <c:v>10645</c:v>
              </c:pt>
              <c:pt idx="120">
                <c:v>9522</c:v>
              </c:pt>
              <c:pt idx="121">
                <c:v>6169</c:v>
              </c:pt>
              <c:pt idx="122">
                <c:v>5460</c:v>
              </c:pt>
              <c:pt idx="123">
                <c:v>2761</c:v>
              </c:pt>
              <c:pt idx="124">
                <c:v>2568</c:v>
              </c:pt>
              <c:pt idx="125">
                <c:v>2133</c:v>
              </c:pt>
              <c:pt idx="126">
                <c:v>1980</c:v>
              </c:pt>
              <c:pt idx="127">
                <c:v>2465</c:v>
              </c:pt>
              <c:pt idx="128">
                <c:v>2382</c:v>
              </c:pt>
              <c:pt idx="129">
                <c:v>3931</c:v>
              </c:pt>
              <c:pt idx="130">
                <c:v>4446</c:v>
              </c:pt>
              <c:pt idx="131">
                <c:v>6081</c:v>
              </c:pt>
              <c:pt idx="132">
                <c:v>8072</c:v>
              </c:pt>
              <c:pt idx="133">
                <c:v>6583</c:v>
              </c:pt>
              <c:pt idx="134">
                <c:v>3545</c:v>
              </c:pt>
              <c:pt idx="135">
                <c:v>3370</c:v>
              </c:pt>
              <c:pt idx="136">
                <c:v>2205</c:v>
              </c:pt>
              <c:pt idx="137">
                <c:v>2433</c:v>
              </c:pt>
              <c:pt idx="138">
                <c:v>1976</c:v>
              </c:pt>
              <c:pt idx="139">
                <c:v>2673</c:v>
              </c:pt>
              <c:pt idx="140">
                <c:v>2529</c:v>
              </c:pt>
              <c:pt idx="141">
                <c:v>4003</c:v>
              </c:pt>
              <c:pt idx="142">
                <c:v>5686</c:v>
              </c:pt>
              <c:pt idx="143">
                <c:v>5878</c:v>
              </c:pt>
              <c:pt idx="144">
                <c:v>6935</c:v>
              </c:pt>
              <c:pt idx="145">
                <c:v>7155</c:v>
              </c:pt>
              <c:pt idx="146">
                <c:v>7253</c:v>
              </c:pt>
              <c:pt idx="147">
                <c:v>3390</c:v>
              </c:pt>
              <c:pt idx="148">
                <c:v>3075</c:v>
              </c:pt>
              <c:pt idx="149">
                <c:v>2381</c:v>
              </c:pt>
              <c:pt idx="150">
                <c:v>2613</c:v>
              </c:pt>
              <c:pt idx="151">
                <c:v>2611</c:v>
              </c:pt>
              <c:pt idx="152">
                <c:v>2873</c:v>
              </c:pt>
              <c:pt idx="153">
                <c:v>3869</c:v>
              </c:pt>
              <c:pt idx="154">
                <c:v>6415</c:v>
              </c:pt>
              <c:pt idx="155">
                <c:v>6700</c:v>
              </c:pt>
              <c:pt idx="156">
                <c:v>11381</c:v>
              </c:pt>
              <c:pt idx="157">
                <c:v>7396</c:v>
              </c:pt>
              <c:pt idx="158">
                <c:v>7426</c:v>
              </c:pt>
              <c:pt idx="159">
                <c:v>3372</c:v>
              </c:pt>
              <c:pt idx="160">
                <c:v>3314</c:v>
              </c:pt>
              <c:pt idx="161">
                <c:v>2930</c:v>
              </c:pt>
              <c:pt idx="162">
                <c:v>2889</c:v>
              </c:pt>
              <c:pt idx="163">
                <c:v>2708</c:v>
              </c:pt>
              <c:pt idx="164">
                <c:v>2884</c:v>
              </c:pt>
              <c:pt idx="165">
                <c:v>3606</c:v>
              </c:pt>
              <c:pt idx="166">
                <c:v>6843</c:v>
              </c:pt>
              <c:pt idx="167">
                <c:v>7464</c:v>
              </c:pt>
              <c:pt idx="168">
                <c:v>9500</c:v>
              </c:pt>
              <c:pt idx="169">
                <c:v>10511</c:v>
              </c:pt>
              <c:pt idx="170">
                <c:v>3543</c:v>
              </c:pt>
              <c:pt idx="171">
                <c:v>2502</c:v>
              </c:pt>
              <c:pt idx="172">
                <c:v>2944</c:v>
              </c:pt>
            </c:numLit>
          </c:yVal>
          <c:smooth val="0"/>
          <c:extLst>
            <c:ext xmlns:c16="http://schemas.microsoft.com/office/drawing/2014/chart" uri="{C3380CC4-5D6E-409C-BE32-E72D297353CC}">
              <c16:uniqueId val="{00000000-5F59-49D3-AF0F-4FCFFA0D338E}"/>
            </c:ext>
          </c:extLst>
        </c:ser>
        <c:dLbls>
          <c:showLegendKey val="0"/>
          <c:showVal val="0"/>
          <c:showCatName val="0"/>
          <c:showSerName val="0"/>
          <c:showPercent val="0"/>
          <c:showBubbleSize val="0"/>
        </c:dLbls>
        <c:axId val="214011264"/>
        <c:axId val="225076736"/>
      </c:scatterChart>
      <c:valAx>
        <c:axId val="214011264"/>
        <c:scaling>
          <c:orientation val="minMax"/>
          <c:max val="28.7"/>
          <c:min val="1.2333333333333301"/>
        </c:scaling>
        <c:delete val="0"/>
        <c:axPos val="b"/>
        <c:title>
          <c:tx>
            <c:rich>
              <a:bodyPr/>
              <a:lstStyle/>
              <a:p>
                <a:pPr>
                  <a:defRPr/>
                </a:pPr>
                <a:r>
                  <a:rPr lang="en-US"/>
                  <a:t>_Commercial_Natural_Gas vs.
Mean_Temp
r = -0.909,  r-squared = 0.825</a:t>
                </a:r>
              </a:p>
            </c:rich>
          </c:tx>
          <c:overlay val="0"/>
        </c:title>
        <c:numFmt formatCode="#,##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225076736"/>
        <c:crossesAt val="1437"/>
        <c:crossBetween val="midCat"/>
        <c:majorUnit val="13.733333333333334"/>
      </c:valAx>
      <c:valAx>
        <c:axId val="225076736"/>
        <c:scaling>
          <c:orientation val="minMax"/>
          <c:max val="11381"/>
          <c:min val="1437"/>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214011264"/>
        <c:crossesAt val="1.2333333333333301"/>
        <c:crossBetween val="midCat"/>
        <c:majorUnit val="4972"/>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'Commercial gas and temp stats'!$A$11</c:f>
              <c:strCache>
                <c:ptCount val="1"/>
                <c:pt idx="0">
                  <c:v>Autocorrelations of _Commercial_Natural_Gas</c:v>
                </c:pt>
              </c:strCache>
            </c:strRef>
          </c:tx>
          <c:spPr>
            <a:solidFill>
              <a:srgbClr val="CCCCFF"/>
            </a:solidFill>
            <a:ln>
              <a:solidFill>
                <a:srgbClr val="0000FF"/>
              </a:solidFill>
            </a:ln>
          </c:spPr>
          <c:invertIfNegative val="0"/>
          <c:val>
            <c:numRef>
              <c:f>'Commercial gas and temp stats'!$B$11:$M$11</c:f>
              <c:numCache>
                <c:formatCode>0.000</c:formatCode>
                <c:ptCount val="12"/>
                <c:pt idx="0">
                  <c:v>0.75995931231917702</c:v>
                </c:pt>
                <c:pt idx="1">
                  <c:v>0.39278719311516136</c:v>
                </c:pt>
                <c:pt idx="2">
                  <c:v>-4.2934963391464721E-2</c:v>
                </c:pt>
                <c:pt idx="3">
                  <c:v>-0.38193459688836928</c:v>
                </c:pt>
                <c:pt idx="4">
                  <c:v>-0.57504384456710678</c:v>
                </c:pt>
                <c:pt idx="5">
                  <c:v>-0.632738299863429</c:v>
                </c:pt>
                <c:pt idx="6">
                  <c:v>-0.56475449254638999</c:v>
                </c:pt>
                <c:pt idx="7">
                  <c:v>-0.3610460441041714</c:v>
                </c:pt>
                <c:pt idx="8">
                  <c:v>-3.5298468400581234E-2</c:v>
                </c:pt>
                <c:pt idx="9">
                  <c:v>0.38013001298394333</c:v>
                </c:pt>
                <c:pt idx="10">
                  <c:v>0.7070563472537168</c:v>
                </c:pt>
                <c:pt idx="11">
                  <c:v>0.8303522768942162</c:v>
                </c:pt>
              </c:numCache>
            </c:numRef>
          </c:val>
          <c:extLst>
            <c:ext xmlns:c16="http://schemas.microsoft.com/office/drawing/2014/chart" uri="{C3380CC4-5D6E-409C-BE32-E72D297353CC}">
              <c16:uniqueId val="{00000000-7DA9-40C6-8DA5-3FBA3343D0F9}"/>
            </c:ext>
          </c:extLst>
        </c:ser>
        <c:dLbls>
          <c:showLegendKey val="0"/>
          <c:showVal val="0"/>
          <c:showCatName val="0"/>
          <c:showSerName val="0"/>
          <c:showPercent val="0"/>
          <c:showBubbleSize val="0"/>
        </c:dLbls>
        <c:gapWidth val="150"/>
        <c:axId val="226937088"/>
        <c:axId val="227019776"/>
      </c:barChart>
      <c:catAx>
        <c:axId val="226937088"/>
        <c:scaling>
          <c:orientation val="minMax"/>
        </c:scaling>
        <c:delete val="0"/>
        <c:axPos val="b"/>
        <c:majorTickMark val="out"/>
        <c:minorTickMark val="none"/>
        <c:tickLblPos val="nextTo"/>
        <c:crossAx val="227019776"/>
        <c:crossesAt val="0"/>
        <c:auto val="1"/>
        <c:lblAlgn val="ctr"/>
        <c:lblOffset val="100"/>
        <c:noMultiLvlLbl val="0"/>
      </c:catAx>
      <c:valAx>
        <c:axId val="227019776"/>
        <c:scaling>
          <c:orientation val="minMax"/>
          <c:min val="-1"/>
        </c:scaling>
        <c:delete val="0"/>
        <c:axPos val="l"/>
        <c:majorGridlines/>
        <c:numFmt formatCode="0.000" sourceLinked="1"/>
        <c:majorTickMark val="out"/>
        <c:minorTickMark val="none"/>
        <c:tickLblPos val="nextTo"/>
        <c:crossAx val="226937088"/>
        <c:crosses val="autoZero"/>
        <c:crossBetween val="between"/>
      </c:valAx>
    </c:plotArea>
    <c:plotVisOnly val="1"/>
    <c:dispBlanksAs val="gap"/>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US"/>
              <a:t>Com HDD linear model for _Commercial_Natural_Gas    (1 variable, n=173)
Predicted _Commercial_Natural_Gas = 1,987 + 13.717*Heating_Degree_Days</a:t>
            </a:r>
          </a:p>
        </c:rich>
      </c:tx>
      <c:overlay val="0"/>
    </c:title>
    <c:autoTitleDeleted val="0"/>
    <c:plotArea>
      <c:layout/>
      <c:scatterChart>
        <c:scatterStyle val="lineMarker"/>
        <c:varyColors val="0"/>
        <c:ser>
          <c:idx val="0"/>
          <c:order val="0"/>
          <c:tx>
            <c:v>Actual</c:v>
          </c:tx>
          <c:spPr>
            <a:ln w="25400">
              <a:noFill/>
            </a:ln>
          </c:spPr>
          <c:marker>
            <c:symbol val="diamond"/>
            <c:size val="5"/>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173"/>
              <c:pt idx="0">
                <c:v>424.36666666666667</c:v>
              </c:pt>
              <c:pt idx="1">
                <c:v>284.10000000000002</c:v>
              </c:pt>
              <c:pt idx="2">
                <c:v>294.89999999999998</c:v>
              </c:pt>
              <c:pt idx="3">
                <c:v>109.86666666666667</c:v>
              </c:pt>
              <c:pt idx="4">
                <c:v>16.766666666666666</c:v>
              </c:pt>
              <c:pt idx="5">
                <c:v>0</c:v>
              </c:pt>
              <c:pt idx="6">
                <c:v>0</c:v>
              </c:pt>
              <c:pt idx="7">
                <c:v>0</c:v>
              </c:pt>
              <c:pt idx="8">
                <c:v>29.733333333333331</c:v>
              </c:pt>
              <c:pt idx="9">
                <c:v>130.53333333333333</c:v>
              </c:pt>
              <c:pt idx="10">
                <c:v>159.83333333333331</c:v>
              </c:pt>
              <c:pt idx="11">
                <c:v>303.93333333333334</c:v>
              </c:pt>
              <c:pt idx="12">
                <c:v>388.46666666666664</c:v>
              </c:pt>
              <c:pt idx="13">
                <c:v>329.26666666666665</c:v>
              </c:pt>
              <c:pt idx="14">
                <c:v>238.53333333333336</c:v>
              </c:pt>
              <c:pt idx="15">
                <c:v>80</c:v>
              </c:pt>
              <c:pt idx="16">
                <c:v>53.8</c:v>
              </c:pt>
              <c:pt idx="17">
                <c:v>0</c:v>
              </c:pt>
              <c:pt idx="18">
                <c:v>0</c:v>
              </c:pt>
              <c:pt idx="19">
                <c:v>0.1</c:v>
              </c:pt>
              <c:pt idx="20">
                <c:v>0.26666666666666666</c:v>
              </c:pt>
              <c:pt idx="21">
                <c:v>108.33333333333333</c:v>
              </c:pt>
              <c:pt idx="22">
                <c:v>274.26666666666665</c:v>
              </c:pt>
              <c:pt idx="23">
                <c:v>424.6</c:v>
              </c:pt>
              <c:pt idx="24">
                <c:v>484.9</c:v>
              </c:pt>
              <c:pt idx="25">
                <c:v>369</c:v>
              </c:pt>
              <c:pt idx="26">
                <c:v>201.96666666666667</c:v>
              </c:pt>
              <c:pt idx="27">
                <c:v>117</c:v>
              </c:pt>
              <c:pt idx="28">
                <c:v>32.966666666666669</c:v>
              </c:pt>
              <c:pt idx="29">
                <c:v>2.5333333333333332</c:v>
              </c:pt>
              <c:pt idx="30">
                <c:v>0</c:v>
              </c:pt>
              <c:pt idx="31">
                <c:v>0</c:v>
              </c:pt>
              <c:pt idx="32">
                <c:v>10.533333333333333</c:v>
              </c:pt>
              <c:pt idx="33">
                <c:v>102.56666666666668</c:v>
              </c:pt>
              <c:pt idx="34">
                <c:v>169.63333333333333</c:v>
              </c:pt>
              <c:pt idx="35">
                <c:v>426.0333333333333</c:v>
              </c:pt>
              <c:pt idx="36">
                <c:v>462.16666666666669</c:v>
              </c:pt>
              <c:pt idx="37">
                <c:v>402.1</c:v>
              </c:pt>
              <c:pt idx="38">
                <c:v>218.8</c:v>
              </c:pt>
              <c:pt idx="39">
                <c:v>115.46666666666667</c:v>
              </c:pt>
              <c:pt idx="40">
                <c:v>16.166666666666664</c:v>
              </c:pt>
              <c:pt idx="41">
                <c:v>0</c:v>
              </c:pt>
              <c:pt idx="42">
                <c:v>0</c:v>
              </c:pt>
              <c:pt idx="43">
                <c:v>0.26666666666666666</c:v>
              </c:pt>
              <c:pt idx="44">
                <c:v>4.5333333333333332</c:v>
              </c:pt>
              <c:pt idx="45">
                <c:v>65.8</c:v>
              </c:pt>
              <c:pt idx="46">
                <c:v>205.63333333333335</c:v>
              </c:pt>
              <c:pt idx="47">
                <c:v>389.76666666666665</c:v>
              </c:pt>
              <c:pt idx="48">
                <c:v>372.36666666666667</c:v>
              </c:pt>
              <c:pt idx="49">
                <c:v>317.5</c:v>
              </c:pt>
              <c:pt idx="50">
                <c:v>293.96666666666664</c:v>
              </c:pt>
              <c:pt idx="51">
                <c:v>113.46666666666667</c:v>
              </c:pt>
              <c:pt idx="52">
                <c:v>41.833333333333329</c:v>
              </c:pt>
              <c:pt idx="53">
                <c:v>3.0333333333333332</c:v>
              </c:pt>
              <c:pt idx="54">
                <c:v>0</c:v>
              </c:pt>
              <c:pt idx="55">
                <c:v>0</c:v>
              </c:pt>
              <c:pt idx="56">
                <c:v>0.56666666666666665</c:v>
              </c:pt>
              <c:pt idx="57">
                <c:v>90.2</c:v>
              </c:pt>
              <c:pt idx="58">
                <c:v>217.3</c:v>
              </c:pt>
              <c:pt idx="59">
                <c:v>429.3</c:v>
              </c:pt>
              <c:pt idx="60">
                <c:v>307.36666666666667</c:v>
              </c:pt>
              <c:pt idx="61">
                <c:v>339.36666666666667</c:v>
              </c:pt>
              <c:pt idx="62">
                <c:v>239</c:v>
              </c:pt>
              <c:pt idx="63">
                <c:v>72.3</c:v>
              </c:pt>
              <c:pt idx="64">
                <c:v>46.6</c:v>
              </c:pt>
              <c:pt idx="65">
                <c:v>0.26666666666666666</c:v>
              </c:pt>
              <c:pt idx="66">
                <c:v>0</c:v>
              </c:pt>
              <c:pt idx="67">
                <c:v>0</c:v>
              </c:pt>
              <c:pt idx="68">
                <c:v>14.133333333333335</c:v>
              </c:pt>
              <c:pt idx="69">
                <c:v>132.80000000000001</c:v>
              </c:pt>
              <c:pt idx="70">
                <c:v>216.4</c:v>
              </c:pt>
              <c:pt idx="71">
                <c:v>306.73333333333335</c:v>
              </c:pt>
              <c:pt idx="72">
                <c:v>357.43333333333334</c:v>
              </c:pt>
              <c:pt idx="73">
                <c:v>385.2</c:v>
              </c:pt>
              <c:pt idx="74">
                <c:v>169.26666666666668</c:v>
              </c:pt>
              <c:pt idx="75">
                <c:v>126.2</c:v>
              </c:pt>
              <c:pt idx="76">
                <c:v>32.133333333333333</c:v>
              </c:pt>
              <c:pt idx="77">
                <c:v>0.6333333333333333</c:v>
              </c:pt>
              <c:pt idx="78">
                <c:v>0</c:v>
              </c:pt>
              <c:pt idx="79">
                <c:v>0</c:v>
              </c:pt>
              <c:pt idx="80">
                <c:v>2.2333333333333334</c:v>
              </c:pt>
              <c:pt idx="81">
                <c:v>49.333333333333329</c:v>
              </c:pt>
              <c:pt idx="82">
                <c:v>243.9</c:v>
              </c:pt>
              <c:pt idx="83">
                <c:v>293.23333333333335</c:v>
              </c:pt>
              <c:pt idx="84">
                <c:v>419.13333333333333</c:v>
              </c:pt>
              <c:pt idx="85">
                <c:v>297.3</c:v>
              </c:pt>
              <c:pt idx="86">
                <c:v>218.7</c:v>
              </c:pt>
              <c:pt idx="87">
                <c:v>110.7</c:v>
              </c:pt>
              <c:pt idx="88">
                <c:v>19.833333333333336</c:v>
              </c:pt>
              <c:pt idx="89">
                <c:v>0</c:v>
              </c:pt>
              <c:pt idx="90">
                <c:v>0</c:v>
              </c:pt>
              <c:pt idx="91">
                <c:v>0</c:v>
              </c:pt>
              <c:pt idx="92">
                <c:v>5.7</c:v>
              </c:pt>
              <c:pt idx="93">
                <c:v>126.06666666666668</c:v>
              </c:pt>
              <c:pt idx="94">
                <c:v>290.43333333333334</c:v>
              </c:pt>
              <c:pt idx="95">
                <c:v>322</c:v>
              </c:pt>
              <c:pt idx="96">
                <c:v>442.9</c:v>
              </c:pt>
              <c:pt idx="97">
                <c:v>317.2</c:v>
              </c:pt>
              <c:pt idx="98">
                <c:v>253.06666666666666</c:v>
              </c:pt>
              <c:pt idx="99">
                <c:v>95.833333333333343</c:v>
              </c:pt>
              <c:pt idx="100">
                <c:v>22.666666666666664</c:v>
              </c:pt>
              <c:pt idx="101">
                <c:v>0</c:v>
              </c:pt>
              <c:pt idx="102">
                <c:v>0</c:v>
              </c:pt>
              <c:pt idx="103">
                <c:v>0</c:v>
              </c:pt>
              <c:pt idx="104">
                <c:v>6.2333333333333334</c:v>
              </c:pt>
              <c:pt idx="105">
                <c:v>109.43333333333332</c:v>
              </c:pt>
              <c:pt idx="106">
                <c:v>201.56666666666666</c:v>
              </c:pt>
              <c:pt idx="107">
                <c:v>433.06666666666672</c:v>
              </c:pt>
              <c:pt idx="108">
                <c:v>479.0333333333333</c:v>
              </c:pt>
              <c:pt idx="109">
                <c:v>427.16666666666669</c:v>
              </c:pt>
              <c:pt idx="110">
                <c:v>234.46666666666664</c:v>
              </c:pt>
              <c:pt idx="111">
                <c:v>65.599999999999994</c:v>
              </c:pt>
              <c:pt idx="112">
                <c:v>14.833333333333334</c:v>
              </c:pt>
              <c:pt idx="113">
                <c:v>0</c:v>
              </c:pt>
              <c:pt idx="114">
                <c:v>0</c:v>
              </c:pt>
              <c:pt idx="115">
                <c:v>0</c:v>
              </c:pt>
              <c:pt idx="116">
                <c:v>1.4</c:v>
              </c:pt>
              <c:pt idx="117">
                <c:v>69.333333333333343</c:v>
              </c:pt>
              <c:pt idx="118">
                <c:v>235.83333333333334</c:v>
              </c:pt>
              <c:pt idx="119">
                <c:v>528.33333333333326</c:v>
              </c:pt>
              <c:pt idx="120">
                <c:v>484.1</c:v>
              </c:pt>
              <c:pt idx="121">
                <c:v>279.46666666666664</c:v>
              </c:pt>
              <c:pt idx="122">
                <c:v>241.3</c:v>
              </c:pt>
              <c:pt idx="123">
                <c:v>75.266666666666666</c:v>
              </c:pt>
              <c:pt idx="124">
                <c:v>24.266666666666666</c:v>
              </c:pt>
              <c:pt idx="125">
                <c:v>0</c:v>
              </c:pt>
              <c:pt idx="126">
                <c:v>0</c:v>
              </c:pt>
              <c:pt idx="127">
                <c:v>0</c:v>
              </c:pt>
              <c:pt idx="128">
                <c:v>9.7333333333333325</c:v>
              </c:pt>
              <c:pt idx="129">
                <c:v>118.56666666666668</c:v>
              </c:pt>
              <c:pt idx="130">
                <c:v>203.9</c:v>
              </c:pt>
              <c:pt idx="131">
                <c:v>297.03333333333336</c:v>
              </c:pt>
              <c:pt idx="132">
                <c:v>354.13333333333333</c:v>
              </c:pt>
              <c:pt idx="133">
                <c:v>298.89999999999998</c:v>
              </c:pt>
              <c:pt idx="134">
                <c:v>105.36666666666667</c:v>
              </c:pt>
              <c:pt idx="135">
                <c:v>102.56666666666668</c:v>
              </c:pt>
              <c:pt idx="136">
                <c:v>7.833333333333333</c:v>
              </c:pt>
              <c:pt idx="137">
                <c:v>0.73333333333333328</c:v>
              </c:pt>
              <c:pt idx="138">
                <c:v>0</c:v>
              </c:pt>
              <c:pt idx="139">
                <c:v>0</c:v>
              </c:pt>
              <c:pt idx="140">
                <c:v>6.8666666666666671</c:v>
              </c:pt>
              <c:pt idx="141">
                <c:v>104.73333333333332</c:v>
              </c:pt>
              <c:pt idx="142">
                <c:v>294.16666666666663</c:v>
              </c:pt>
              <c:pt idx="143">
                <c:v>286.5</c:v>
              </c:pt>
              <c:pt idx="144">
                <c:v>360.93333333333334</c:v>
              </c:pt>
              <c:pt idx="145">
                <c:v>360.96666666666664</c:v>
              </c:pt>
              <c:pt idx="146">
                <c:v>343.93333333333334</c:v>
              </c:pt>
              <c:pt idx="147">
                <c:v>100.76666666666667</c:v>
              </c:pt>
              <c:pt idx="148">
                <c:v>48.633333333333333</c:v>
              </c:pt>
              <c:pt idx="149">
                <c:v>0</c:v>
              </c:pt>
              <c:pt idx="150">
                <c:v>0</c:v>
              </c:pt>
              <c:pt idx="151">
                <c:v>0.7</c:v>
              </c:pt>
              <c:pt idx="152">
                <c:v>5.8333333333333339</c:v>
              </c:pt>
              <c:pt idx="153">
                <c:v>83.933333333333337</c:v>
              </c:pt>
              <c:pt idx="154">
                <c:v>292.73333333333335</c:v>
              </c:pt>
              <c:pt idx="155">
                <c:v>333.76666666666665</c:v>
              </c:pt>
              <c:pt idx="156">
                <c:v>510.1</c:v>
              </c:pt>
              <c:pt idx="157">
                <c:v>331.83333333333337</c:v>
              </c:pt>
              <c:pt idx="158">
                <c:v>326.93333333333334</c:v>
              </c:pt>
              <c:pt idx="159">
                <c:v>93.066666666666663</c:v>
              </c:pt>
              <c:pt idx="160">
                <c:v>17.733333333333334</c:v>
              </c:pt>
              <c:pt idx="161">
                <c:v>0</c:v>
              </c:pt>
              <c:pt idx="162">
                <c:v>0</c:v>
              </c:pt>
              <c:pt idx="163">
                <c:v>0</c:v>
              </c:pt>
              <c:pt idx="164">
                <c:v>7.5333333333333332</c:v>
              </c:pt>
              <c:pt idx="165">
                <c:v>74.13333333333334</c:v>
              </c:pt>
              <c:pt idx="166">
                <c:v>307.23333333333335</c:v>
              </c:pt>
              <c:pt idx="167">
                <c:v>347.36666666666667</c:v>
              </c:pt>
              <c:pt idx="168">
                <c:v>437.66666666666669</c:v>
              </c:pt>
              <c:pt idx="169">
                <c:v>458.8</c:v>
              </c:pt>
              <c:pt idx="170">
                <c:v>84.466666666666669</c:v>
              </c:pt>
              <c:pt idx="171">
                <c:v>10.833333333333332</c:v>
              </c:pt>
              <c:pt idx="172">
                <c:v>0.73333333333333328</c:v>
              </c:pt>
            </c:numLit>
          </c:xVal>
          <c:yVal>
            <c:numLit>
              <c:formatCode>General</c:formatCode>
              <c:ptCount val="173"/>
              <c:pt idx="0">
                <c:v>7812</c:v>
              </c:pt>
              <c:pt idx="1">
                <c:v>5397</c:v>
              </c:pt>
              <c:pt idx="2">
                <c:v>4696</c:v>
              </c:pt>
              <c:pt idx="3">
                <c:v>3203</c:v>
              </c:pt>
              <c:pt idx="4">
                <c:v>2024</c:v>
              </c:pt>
              <c:pt idx="5">
                <c:v>1564</c:v>
              </c:pt>
              <c:pt idx="6">
                <c:v>1569</c:v>
              </c:pt>
              <c:pt idx="7">
                <c:v>1445</c:v>
              </c:pt>
              <c:pt idx="8">
                <c:v>1626</c:v>
              </c:pt>
              <c:pt idx="9">
                <c:v>2264</c:v>
              </c:pt>
              <c:pt idx="10">
                <c:v>2946</c:v>
              </c:pt>
              <c:pt idx="11">
                <c:v>4038</c:v>
              </c:pt>
              <c:pt idx="12">
                <c:v>6314</c:v>
              </c:pt>
              <c:pt idx="13">
                <c:v>5606</c:v>
              </c:pt>
              <c:pt idx="14">
                <c:v>4787</c:v>
              </c:pt>
              <c:pt idx="15">
                <c:v>2861</c:v>
              </c:pt>
              <c:pt idx="16">
                <c:v>1902</c:v>
              </c:pt>
              <c:pt idx="17">
                <c:v>1882</c:v>
              </c:pt>
              <c:pt idx="18">
                <c:v>1511</c:v>
              </c:pt>
              <c:pt idx="19">
                <c:v>1437</c:v>
              </c:pt>
              <c:pt idx="20">
                <c:v>1624</c:v>
              </c:pt>
              <c:pt idx="21">
                <c:v>2429</c:v>
              </c:pt>
              <c:pt idx="22">
                <c:v>3620</c:v>
              </c:pt>
              <c:pt idx="23">
                <c:v>6225</c:v>
              </c:pt>
              <c:pt idx="24">
                <c:v>7576</c:v>
              </c:pt>
              <c:pt idx="25">
                <c:v>7127</c:v>
              </c:pt>
              <c:pt idx="26">
                <c:v>4812</c:v>
              </c:pt>
              <c:pt idx="27">
                <c:v>3255</c:v>
              </c:pt>
              <c:pt idx="28">
                <c:v>2268</c:v>
              </c:pt>
              <c:pt idx="29">
                <c:v>1693</c:v>
              </c:pt>
              <c:pt idx="30">
                <c:v>1560</c:v>
              </c:pt>
              <c:pt idx="31">
                <c:v>1521</c:v>
              </c:pt>
              <c:pt idx="32">
                <c:v>1698</c:v>
              </c:pt>
              <c:pt idx="33">
                <c:v>2758</c:v>
              </c:pt>
              <c:pt idx="34">
                <c:v>3854</c:v>
              </c:pt>
              <c:pt idx="35">
                <c:v>6140</c:v>
              </c:pt>
              <c:pt idx="36">
                <c:v>7463</c:v>
              </c:pt>
              <c:pt idx="37">
                <c:v>7438</c:v>
              </c:pt>
              <c:pt idx="38">
                <c:v>5282</c:v>
              </c:pt>
              <c:pt idx="39">
                <c:v>3483</c:v>
              </c:pt>
              <c:pt idx="40">
                <c:v>2214</c:v>
              </c:pt>
              <c:pt idx="41">
                <c:v>2035</c:v>
              </c:pt>
              <c:pt idx="42">
                <c:v>1949</c:v>
              </c:pt>
              <c:pt idx="43">
                <c:v>2038</c:v>
              </c:pt>
              <c:pt idx="44">
                <c:v>2017</c:v>
              </c:pt>
              <c:pt idx="45">
                <c:v>2305</c:v>
              </c:pt>
              <c:pt idx="46">
                <c:v>3377</c:v>
              </c:pt>
              <c:pt idx="47">
                <c:v>5782</c:v>
              </c:pt>
              <c:pt idx="48">
                <c:v>7551</c:v>
              </c:pt>
              <c:pt idx="49">
                <c:v>6951</c:v>
              </c:pt>
              <c:pt idx="50">
                <c:v>6156</c:v>
              </c:pt>
              <c:pt idx="51">
                <c:v>3951</c:v>
              </c:pt>
              <c:pt idx="52">
                <c:v>2488</c:v>
              </c:pt>
              <c:pt idx="53">
                <c:v>2108</c:v>
              </c:pt>
              <c:pt idx="54">
                <c:v>1958</c:v>
              </c:pt>
              <c:pt idx="55">
                <c:v>1889</c:v>
              </c:pt>
              <c:pt idx="56">
                <c:v>2026</c:v>
              </c:pt>
              <c:pt idx="57">
                <c:v>2564</c:v>
              </c:pt>
              <c:pt idx="58">
                <c:v>3466</c:v>
              </c:pt>
              <c:pt idx="59">
                <c:v>6590</c:v>
              </c:pt>
              <c:pt idx="60">
                <c:v>7102</c:v>
              </c:pt>
              <c:pt idx="61">
                <c:v>6464</c:v>
              </c:pt>
              <c:pt idx="62">
                <c:v>5564</c:v>
              </c:pt>
              <c:pt idx="63">
                <c:v>3540</c:v>
              </c:pt>
              <c:pt idx="64">
                <c:v>2561</c:v>
              </c:pt>
              <c:pt idx="65">
                <c:v>2232</c:v>
              </c:pt>
              <c:pt idx="66">
                <c:v>2138</c:v>
              </c:pt>
              <c:pt idx="67">
                <c:v>2008</c:v>
              </c:pt>
              <c:pt idx="68">
                <c:v>2285</c:v>
              </c:pt>
              <c:pt idx="69">
                <c:v>3093</c:v>
              </c:pt>
              <c:pt idx="70">
                <c:v>3884</c:v>
              </c:pt>
              <c:pt idx="71">
                <c:v>5449</c:v>
              </c:pt>
              <c:pt idx="72">
                <c:v>6772</c:v>
              </c:pt>
              <c:pt idx="73">
                <c:v>7443</c:v>
              </c:pt>
              <c:pt idx="74">
                <c:v>5270</c:v>
              </c:pt>
              <c:pt idx="75">
                <c:v>3597</c:v>
              </c:pt>
              <c:pt idx="76">
                <c:v>2602</c:v>
              </c:pt>
              <c:pt idx="77">
                <c:v>2131</c:v>
              </c:pt>
              <c:pt idx="78">
                <c:v>1997</c:v>
              </c:pt>
              <c:pt idx="79">
                <c:v>1965</c:v>
              </c:pt>
              <c:pt idx="80">
                <c:v>2068</c:v>
              </c:pt>
              <c:pt idx="81">
                <c:v>2352</c:v>
              </c:pt>
              <c:pt idx="82">
                <c:v>3902</c:v>
              </c:pt>
              <c:pt idx="83">
                <c:v>5335</c:v>
              </c:pt>
              <c:pt idx="84">
                <c:v>7577</c:v>
              </c:pt>
              <c:pt idx="85">
                <c:v>6186</c:v>
              </c:pt>
              <c:pt idx="86">
                <c:v>4686</c:v>
              </c:pt>
              <c:pt idx="87">
                <c:v>3120</c:v>
              </c:pt>
              <c:pt idx="88">
                <c:v>2280</c:v>
              </c:pt>
              <c:pt idx="89">
                <c:v>1998</c:v>
              </c:pt>
              <c:pt idx="90">
                <c:v>1909</c:v>
              </c:pt>
              <c:pt idx="91">
                <c:v>2010</c:v>
              </c:pt>
              <c:pt idx="92">
                <c:v>2707</c:v>
              </c:pt>
              <c:pt idx="93">
                <c:v>4602</c:v>
              </c:pt>
              <c:pt idx="94">
                <c:v>5251</c:v>
              </c:pt>
              <c:pt idx="95">
                <c:v>6241</c:v>
              </c:pt>
              <c:pt idx="96">
                <c:v>8960</c:v>
              </c:pt>
              <c:pt idx="97">
                <c:v>6565</c:v>
              </c:pt>
              <c:pt idx="98">
                <c:v>5670</c:v>
              </c:pt>
              <c:pt idx="99">
                <c:v>3161</c:v>
              </c:pt>
              <c:pt idx="100">
                <c:v>2464</c:v>
              </c:pt>
              <c:pt idx="101">
                <c:v>1853</c:v>
              </c:pt>
              <c:pt idx="102">
                <c:v>1983</c:v>
              </c:pt>
              <c:pt idx="103">
                <c:v>2064</c:v>
              </c:pt>
              <c:pt idx="104">
                <c:v>2450</c:v>
              </c:pt>
              <c:pt idx="105">
                <c:v>3598</c:v>
              </c:pt>
              <c:pt idx="106">
                <c:v>4375</c:v>
              </c:pt>
              <c:pt idx="107">
                <c:v>8161</c:v>
              </c:pt>
              <c:pt idx="108">
                <c:v>9701</c:v>
              </c:pt>
              <c:pt idx="109">
                <c:v>8911</c:v>
              </c:pt>
              <c:pt idx="110">
                <c:v>5153</c:v>
              </c:pt>
              <c:pt idx="111">
                <c:v>2691</c:v>
              </c:pt>
              <c:pt idx="112">
                <c:v>2389</c:v>
              </c:pt>
              <c:pt idx="113">
                <c:v>1977</c:v>
              </c:pt>
              <c:pt idx="114">
                <c:v>1926</c:v>
              </c:pt>
              <c:pt idx="115">
                <c:v>2092</c:v>
              </c:pt>
              <c:pt idx="116">
                <c:v>2433</c:v>
              </c:pt>
              <c:pt idx="117">
                <c:v>3117</c:v>
              </c:pt>
              <c:pt idx="118">
                <c:v>5190</c:v>
              </c:pt>
              <c:pt idx="119">
                <c:v>10645</c:v>
              </c:pt>
              <c:pt idx="120">
                <c:v>9522</c:v>
              </c:pt>
              <c:pt idx="121">
                <c:v>6169</c:v>
              </c:pt>
              <c:pt idx="122">
                <c:v>5460</c:v>
              </c:pt>
              <c:pt idx="123">
                <c:v>2761</c:v>
              </c:pt>
              <c:pt idx="124">
                <c:v>2568</c:v>
              </c:pt>
              <c:pt idx="125">
                <c:v>2133</c:v>
              </c:pt>
              <c:pt idx="126">
                <c:v>1980</c:v>
              </c:pt>
              <c:pt idx="127">
                <c:v>2465</c:v>
              </c:pt>
              <c:pt idx="128">
                <c:v>2382</c:v>
              </c:pt>
              <c:pt idx="129">
                <c:v>3931</c:v>
              </c:pt>
              <c:pt idx="130">
                <c:v>4446</c:v>
              </c:pt>
              <c:pt idx="131">
                <c:v>6081</c:v>
              </c:pt>
              <c:pt idx="132">
                <c:v>8072</c:v>
              </c:pt>
              <c:pt idx="133">
                <c:v>6583</c:v>
              </c:pt>
              <c:pt idx="134">
                <c:v>3545</c:v>
              </c:pt>
              <c:pt idx="135">
                <c:v>3370</c:v>
              </c:pt>
              <c:pt idx="136">
                <c:v>2205</c:v>
              </c:pt>
              <c:pt idx="137">
                <c:v>2433</c:v>
              </c:pt>
              <c:pt idx="138">
                <c:v>1976</c:v>
              </c:pt>
              <c:pt idx="139">
                <c:v>2673</c:v>
              </c:pt>
              <c:pt idx="140">
                <c:v>2529</c:v>
              </c:pt>
              <c:pt idx="141">
                <c:v>4003</c:v>
              </c:pt>
              <c:pt idx="142">
                <c:v>5686</c:v>
              </c:pt>
              <c:pt idx="143">
                <c:v>5878</c:v>
              </c:pt>
              <c:pt idx="144">
                <c:v>6935</c:v>
              </c:pt>
              <c:pt idx="145">
                <c:v>7155</c:v>
              </c:pt>
              <c:pt idx="146">
                <c:v>7253</c:v>
              </c:pt>
              <c:pt idx="147">
                <c:v>3390</c:v>
              </c:pt>
              <c:pt idx="148">
                <c:v>3075</c:v>
              </c:pt>
              <c:pt idx="149">
                <c:v>2381</c:v>
              </c:pt>
              <c:pt idx="150">
                <c:v>2613</c:v>
              </c:pt>
              <c:pt idx="151">
                <c:v>2611</c:v>
              </c:pt>
              <c:pt idx="152">
                <c:v>2873</c:v>
              </c:pt>
              <c:pt idx="153">
                <c:v>3869</c:v>
              </c:pt>
              <c:pt idx="154">
                <c:v>6415</c:v>
              </c:pt>
              <c:pt idx="155">
                <c:v>6700</c:v>
              </c:pt>
              <c:pt idx="156">
                <c:v>11381</c:v>
              </c:pt>
              <c:pt idx="157">
                <c:v>7396</c:v>
              </c:pt>
              <c:pt idx="158">
                <c:v>7426</c:v>
              </c:pt>
              <c:pt idx="159">
                <c:v>3372</c:v>
              </c:pt>
              <c:pt idx="160">
                <c:v>3314</c:v>
              </c:pt>
              <c:pt idx="161">
                <c:v>2930</c:v>
              </c:pt>
              <c:pt idx="162">
                <c:v>2889</c:v>
              </c:pt>
              <c:pt idx="163">
                <c:v>2708</c:v>
              </c:pt>
              <c:pt idx="164">
                <c:v>2884</c:v>
              </c:pt>
              <c:pt idx="165">
                <c:v>3606</c:v>
              </c:pt>
              <c:pt idx="166">
                <c:v>6843</c:v>
              </c:pt>
              <c:pt idx="167">
                <c:v>7464</c:v>
              </c:pt>
              <c:pt idx="168">
                <c:v>9500</c:v>
              </c:pt>
              <c:pt idx="169">
                <c:v>10511</c:v>
              </c:pt>
              <c:pt idx="170">
                <c:v>3543</c:v>
              </c:pt>
              <c:pt idx="171">
                <c:v>2502</c:v>
              </c:pt>
              <c:pt idx="172">
                <c:v>2944</c:v>
              </c:pt>
            </c:numLit>
          </c:yVal>
          <c:smooth val="0"/>
          <c:extLst>
            <c:ext xmlns:c16="http://schemas.microsoft.com/office/drawing/2014/chart" uri="{C3380CC4-5D6E-409C-BE32-E72D297353CC}">
              <c16:uniqueId val="{00000000-7BFC-46A8-9924-E3C54707C4C3}"/>
            </c:ext>
          </c:extLst>
        </c:ser>
        <c:dLbls>
          <c:showLegendKey val="0"/>
          <c:showVal val="0"/>
          <c:showCatName val="0"/>
          <c:showSerName val="0"/>
          <c:showPercent val="0"/>
          <c:showBubbleSize val="0"/>
        </c:dLbls>
        <c:axId val="228002816"/>
        <c:axId val="228063872"/>
      </c:scatterChart>
      <c:scatterChart>
        <c:scatterStyle val="lineMarker"/>
        <c:varyColors val="0"/>
        <c:ser>
          <c:idx val="1"/>
          <c:order val="1"/>
          <c:tx>
            <c:strRef>
              <c:f>'Com HDD linear model'!$G$25</c:f>
              <c:strCache>
                <c:ptCount val="1"/>
                <c:pt idx="0">
                  <c:v>Upper 95%</c:v>
                </c:pt>
              </c:strCache>
            </c:strRef>
          </c:tx>
          <c:spPr>
            <a:ln w="15875">
              <a:solidFill>
                <a:srgbClr val="FF0000"/>
              </a:solidFill>
              <a:prstDash val="sysDash"/>
            </a:ln>
          </c:spPr>
          <c:marker>
            <c:symbol val="none"/>
          </c:marker>
          <c:xVal>
            <c:numRef>
              <c:f>'Com HDD linear model'!$B$26:$B$30</c:f>
              <c:numCache>
                <c:formatCode>#,##0.000</c:formatCode>
                <c:ptCount val="5"/>
                <c:pt idx="0">
                  <c:v>0</c:v>
                </c:pt>
                <c:pt idx="1">
                  <c:v>132.08333333333326</c:v>
                </c:pt>
                <c:pt idx="2">
                  <c:v>264.16666666666652</c:v>
                </c:pt>
                <c:pt idx="3">
                  <c:v>396.24999999999977</c:v>
                </c:pt>
                <c:pt idx="4">
                  <c:v>528.33333333333303</c:v>
                </c:pt>
              </c:numCache>
            </c:numRef>
          </c:xVal>
          <c:yVal>
            <c:numRef>
              <c:f>'Com HDD linear model'!$G$26:$G$30</c:f>
              <c:numCache>
                <c:formatCode>#,##0.000</c:formatCode>
                <c:ptCount val="5"/>
                <c:pt idx="0">
                  <c:v>3373.7403243514582</c:v>
                </c:pt>
                <c:pt idx="1">
                  <c:v>5181.9080481177489</c:v>
                </c:pt>
                <c:pt idx="2">
                  <c:v>6995.5850660227306</c:v>
                </c:pt>
                <c:pt idx="3">
                  <c:v>8814.7495328039149</c:v>
                </c:pt>
                <c:pt idx="4">
                  <c:v>10639.315585133967</c:v>
                </c:pt>
              </c:numCache>
            </c:numRef>
          </c:yVal>
          <c:smooth val="1"/>
          <c:extLst>
            <c:ext xmlns:c16="http://schemas.microsoft.com/office/drawing/2014/chart" uri="{C3380CC4-5D6E-409C-BE32-E72D297353CC}">
              <c16:uniqueId val="{00000001-7BFC-46A8-9924-E3C54707C4C3}"/>
            </c:ext>
          </c:extLst>
        </c:ser>
        <c:ser>
          <c:idx val="2"/>
          <c:order val="2"/>
          <c:tx>
            <c:strRef>
              <c:f>'Com HDD linear model'!$E$25</c:f>
              <c:strCache>
                <c:ptCount val="1"/>
                <c:pt idx="0">
                  <c:v>Predicted</c:v>
                </c:pt>
              </c:strCache>
            </c:strRef>
          </c:tx>
          <c:spPr>
            <a:ln w="19050">
              <a:solidFill>
                <a:srgbClr val="FF0000"/>
              </a:solidFill>
              <a:prstDash val="solid"/>
            </a:ln>
          </c:spPr>
          <c:marker>
            <c:symbol val="none"/>
          </c:marker>
          <c:xVal>
            <c:numRef>
              <c:f>'Com HDD linear model'!$B$26:$B$30</c:f>
              <c:numCache>
                <c:formatCode>#,##0.000</c:formatCode>
                <c:ptCount val="5"/>
                <c:pt idx="0">
                  <c:v>0</c:v>
                </c:pt>
                <c:pt idx="1">
                  <c:v>132.08333333333326</c:v>
                </c:pt>
                <c:pt idx="2">
                  <c:v>264.16666666666652</c:v>
                </c:pt>
                <c:pt idx="3">
                  <c:v>396.24999999999977</c:v>
                </c:pt>
                <c:pt idx="4">
                  <c:v>528.33333333333303</c:v>
                </c:pt>
              </c:numCache>
            </c:numRef>
          </c:xVal>
          <c:yVal>
            <c:numRef>
              <c:f>'Com HDD linear model'!$E$26:$E$30</c:f>
              <c:numCache>
                <c:formatCode>#,##0.000</c:formatCode>
                <c:ptCount val="5"/>
                <c:pt idx="0">
                  <c:v>1987.1423188705201</c:v>
                </c:pt>
                <c:pt idx="1">
                  <c:v>3798.9793585831994</c:v>
                </c:pt>
                <c:pt idx="2">
                  <c:v>5610.8163982958786</c:v>
                </c:pt>
                <c:pt idx="3">
                  <c:v>7422.6534380085586</c:v>
                </c:pt>
                <c:pt idx="4">
                  <c:v>9234.4904777212378</c:v>
                </c:pt>
              </c:numCache>
            </c:numRef>
          </c:yVal>
          <c:smooth val="0"/>
          <c:extLst>
            <c:ext xmlns:c16="http://schemas.microsoft.com/office/drawing/2014/chart" uri="{C3380CC4-5D6E-409C-BE32-E72D297353CC}">
              <c16:uniqueId val="{00000002-7BFC-46A8-9924-E3C54707C4C3}"/>
            </c:ext>
          </c:extLst>
        </c:ser>
        <c:ser>
          <c:idx val="3"/>
          <c:order val="3"/>
          <c:tx>
            <c:strRef>
              <c:f>'Com HDD linear model'!$F$25</c:f>
              <c:strCache>
                <c:ptCount val="1"/>
                <c:pt idx="0">
                  <c:v>Lower 95%</c:v>
                </c:pt>
              </c:strCache>
            </c:strRef>
          </c:tx>
          <c:spPr>
            <a:ln w="15875">
              <a:solidFill>
                <a:srgbClr val="FF0000"/>
              </a:solidFill>
              <a:prstDash val="sysDash"/>
            </a:ln>
          </c:spPr>
          <c:marker>
            <c:symbol val="none"/>
          </c:marker>
          <c:xVal>
            <c:numRef>
              <c:f>'Com HDD linear model'!$B$26:$B$30</c:f>
              <c:numCache>
                <c:formatCode>#,##0.000</c:formatCode>
                <c:ptCount val="5"/>
                <c:pt idx="0">
                  <c:v>0</c:v>
                </c:pt>
                <c:pt idx="1">
                  <c:v>132.08333333333326</c:v>
                </c:pt>
                <c:pt idx="2">
                  <c:v>264.16666666666652</c:v>
                </c:pt>
                <c:pt idx="3">
                  <c:v>396.24999999999977</c:v>
                </c:pt>
                <c:pt idx="4">
                  <c:v>528.33333333333303</c:v>
                </c:pt>
              </c:numCache>
            </c:numRef>
          </c:xVal>
          <c:yVal>
            <c:numRef>
              <c:f>'Com HDD linear model'!$F$26:$F$30</c:f>
              <c:numCache>
                <c:formatCode>#,##0.000</c:formatCode>
                <c:ptCount val="5"/>
                <c:pt idx="0">
                  <c:v>600.5443133895817</c:v>
                </c:pt>
                <c:pt idx="1">
                  <c:v>2416.05066904865</c:v>
                </c:pt>
                <c:pt idx="2">
                  <c:v>4226.0477305690265</c:v>
                </c:pt>
                <c:pt idx="3">
                  <c:v>6030.5573432132023</c:v>
                </c:pt>
                <c:pt idx="4">
                  <c:v>7829.6653703085085</c:v>
                </c:pt>
              </c:numCache>
            </c:numRef>
          </c:yVal>
          <c:smooth val="1"/>
          <c:extLst>
            <c:ext xmlns:c16="http://schemas.microsoft.com/office/drawing/2014/chart" uri="{C3380CC4-5D6E-409C-BE32-E72D297353CC}">
              <c16:uniqueId val="{00000003-7BFC-46A8-9924-E3C54707C4C3}"/>
            </c:ext>
          </c:extLst>
        </c:ser>
        <c:dLbls>
          <c:showLegendKey val="0"/>
          <c:showVal val="0"/>
          <c:showCatName val="0"/>
          <c:showSerName val="0"/>
          <c:showPercent val="0"/>
          <c:showBubbleSize val="0"/>
        </c:dLbls>
        <c:axId val="229285248"/>
        <c:axId val="229255040"/>
      </c:scatterChart>
      <c:valAx>
        <c:axId val="228002816"/>
        <c:scaling>
          <c:orientation val="minMax"/>
        </c:scaling>
        <c:delete val="0"/>
        <c:axPos val="b"/>
        <c:title>
          <c:tx>
            <c:rich>
              <a:bodyPr/>
              <a:lstStyle/>
              <a:p>
                <a:pPr>
                  <a:defRPr/>
                </a:pPr>
                <a:r>
                  <a:rPr lang="en-US"/>
                  <a:t>Heating_Degree_Days</a:t>
                </a:r>
              </a:p>
            </c:rich>
          </c:tx>
          <c:overlay val="0"/>
        </c:title>
        <c:numFmt formatCode="General" sourceLinked="1"/>
        <c:majorTickMark val="out"/>
        <c:minorTickMark val="none"/>
        <c:tickLblPos val="nextTo"/>
        <c:crossAx val="228063872"/>
        <c:crossesAt val="0"/>
        <c:crossBetween val="midCat"/>
      </c:valAx>
      <c:valAx>
        <c:axId val="228063872"/>
        <c:scaling>
          <c:orientation val="minMax"/>
          <c:min val="0"/>
        </c:scaling>
        <c:delete val="0"/>
        <c:axPos val="l"/>
        <c:majorGridlines>
          <c:spPr>
            <a:ln w="3175">
              <a:solidFill>
                <a:srgbClr val="C0C0C0"/>
              </a:solidFill>
              <a:prstDash val="solid"/>
            </a:ln>
          </c:spPr>
        </c:majorGridlines>
        <c:title>
          <c:tx>
            <c:rich>
              <a:bodyPr/>
              <a:lstStyle/>
              <a:p>
                <a:pPr>
                  <a:defRPr/>
                </a:pPr>
                <a:r>
                  <a:rPr lang="en-US"/>
                  <a:t>_Commercial_Natural_Gas</a:t>
                </a:r>
              </a:p>
            </c:rich>
          </c:tx>
          <c:layout>
            <c:manualLayout>
              <c:xMode val="edge"/>
              <c:yMode val="edge"/>
              <c:x val="2.5685931115002919E-2"/>
              <c:y val="0.21829629629629629"/>
            </c:manualLayout>
          </c:layout>
          <c:overlay val="0"/>
        </c:title>
        <c:numFmt formatCode="General" sourceLinked="1"/>
        <c:majorTickMark val="out"/>
        <c:minorTickMark val="none"/>
        <c:tickLblPos val="nextTo"/>
        <c:crossAx val="228002816"/>
        <c:crossesAt val="0"/>
        <c:crossBetween val="midCat"/>
      </c:valAx>
      <c:valAx>
        <c:axId val="229255040"/>
        <c:scaling>
          <c:orientation val="minMax"/>
          <c:min val="0"/>
        </c:scaling>
        <c:delete val="1"/>
        <c:axPos val="r"/>
        <c:numFmt formatCode="#,##0.000" sourceLinked="1"/>
        <c:majorTickMark val="out"/>
        <c:minorTickMark val="none"/>
        <c:tickLblPos val="nextTo"/>
        <c:crossAx val="229285248"/>
        <c:crosses val="max"/>
        <c:crossBetween val="midCat"/>
      </c:valAx>
      <c:valAx>
        <c:axId val="229285248"/>
        <c:scaling>
          <c:orientation val="minMax"/>
        </c:scaling>
        <c:delete val="1"/>
        <c:axPos val="b"/>
        <c:numFmt formatCode="#,##0.000" sourceLinked="1"/>
        <c:majorTickMark val="out"/>
        <c:minorTickMark val="none"/>
        <c:tickLblPos val="nextTo"/>
        <c:crossAx val="229255040"/>
        <c:crosses val="autoZero"/>
        <c:crossBetween val="midCat"/>
      </c:valAx>
      <c:spPr>
        <a:ln w="6350">
          <a:solidFill>
            <a:srgbClr val="808080"/>
          </a:solidFill>
          <a:prstDash val="solid"/>
        </a:ln>
      </c:spPr>
    </c:plotArea>
    <c:legend>
      <c:legendPos val="r"/>
      <c:overlay val="0"/>
    </c:legend>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'Com HDD linear model'!$AA$2</c:f>
          <c:strCache>
            <c:ptCount val="1"/>
            <c:pt idx="0">
              <c:v>Forecasts and 95.0% confidence limits for means and forecasts
Com HDD linear model for _Commercial_Natural_Gas    (1 variable, n=173)</c:v>
            </c:pt>
          </c:strCache>
        </c:strRef>
      </c:tx>
      <c:overlay val="0"/>
      <c:txPr>
        <a:bodyPr/>
        <a:lstStyle/>
        <a:p>
          <a:pPr>
            <a:defRPr sz="1000"/>
          </a:pPr>
          <a:endParaRPr lang="en-US"/>
        </a:p>
      </c:txPr>
    </c:title>
    <c:autoTitleDeleted val="0"/>
    <c:plotArea>
      <c:layout/>
      <c:lineChart>
        <c:grouping val="standard"/>
        <c:varyColors val="0"/>
        <c:ser>
          <c:idx val="0"/>
          <c:order val="0"/>
          <c:tx>
            <c:v>Forecast</c:v>
          </c:tx>
          <c:spPr>
            <a:ln w="25400">
              <a:noFill/>
            </a:ln>
          </c:spPr>
          <c:marker>
            <c:symbol val="circle"/>
            <c:size val="7"/>
            <c:spPr>
              <a:solidFill>
                <a:srgbClr val="FF9999"/>
              </a:solidFill>
              <a:ln w="12700">
                <a:solidFill>
                  <a:srgbClr val="FF0000"/>
                </a:solidFill>
                <a:prstDash val="solid"/>
              </a:ln>
            </c:spPr>
          </c:marker>
          <c:errBars>
            <c:errDir val="y"/>
            <c:errBarType val="both"/>
            <c:errValType val="cust"/>
            <c:noEndCap val="0"/>
            <c:plus>
              <c:numRef>
                <c:f>'Com HDD linear model'!$CG$58</c:f>
              </c:numRef>
            </c:plus>
            <c:minus>
              <c:numRef>
                <c:f>'Com HDD linear model'!$CG$58</c:f>
              </c:numRef>
            </c:minus>
          </c:errBars>
          <c:val>
            <c:numRef>
              <c:f>'Com HDD linear model'!$B$58</c:f>
            </c:numRef>
          </c:val>
          <c:smooth val="0"/>
          <c:extLst>
            <c:ext xmlns:c15="http://schemas.microsoft.com/office/drawing/2012/chart" uri="{02D57815-91ED-43cb-92C2-25804820EDAC}">
              <c15:filteredCategoryTitle>
                <c15:cat>
                  <c:multiLvlStrRef>
                    <c:extLst>
                      <c:ext uri="{02D57815-91ED-43cb-92C2-25804820EDAC}">
                        <c15:formulaRef>
                          <c15:sqref>'Com HDD linear model'!$A$58</c15:sqref>
                        </c15:formulaRef>
                      </c:ext>
                    </c:extLst>
                  </c:multiLvlStrRef>
                </c15:cat>
              </c15:filteredCategoryTitle>
            </c:ext>
            <c:ext xmlns:c16="http://schemas.microsoft.com/office/drawing/2014/chart" uri="{C3380CC4-5D6E-409C-BE32-E72D297353CC}">
              <c16:uniqueId val="{00000000-6571-4E89-8376-7C07E0921E01}"/>
            </c:ext>
          </c:extLst>
        </c:ser>
        <c:ser>
          <c:idx val="1"/>
          <c:order val="1"/>
          <c:tx>
            <c:strRef>
              <c:f>'Com HDD linear model'!$H$57</c:f>
              <c:strCache>
                <c:ptCount val="1"/>
                <c:pt idx="0">
                  <c:v>Upper95%M</c:v>
                </c:pt>
              </c:strCache>
            </c:strRef>
          </c:tx>
          <c:spPr>
            <a:ln w="25400">
              <a:noFill/>
            </a:ln>
          </c:spPr>
          <c:marker>
            <c:symbol val="dash"/>
            <c:size val="7"/>
            <c:spPr>
              <a:noFill/>
              <a:ln w="12700">
                <a:solidFill>
                  <a:srgbClr val="000000"/>
                </a:solidFill>
              </a:ln>
              <a:extLst>
                <a:ext uri="{909E8E84-426E-40DD-AFC4-6F175D3DCCD1}">
                  <a14:hiddenFill xmlns:a14="http://schemas.microsoft.com/office/drawing/2010/main">
                    <a:solidFill>
                      <a:srgbClr val="ED7D31"/>
                    </a:solidFill>
                  </a14:hiddenFill>
                </a:ext>
              </a:extLst>
            </c:spPr>
          </c:marker>
          <c:val>
            <c:numRef>
              <c:f>'Com HDD linear model'!$H$58</c:f>
            </c:numRef>
          </c:val>
          <c:smooth val="0"/>
          <c:extLst>
            <c:ext xmlns:c15="http://schemas.microsoft.com/office/drawing/2012/chart" uri="{02D57815-91ED-43cb-92C2-25804820EDAC}">
              <c15:filteredCategoryTitle>
                <c15:cat>
                  <c:multiLvlStrRef>
                    <c:extLst>
                      <c:ext uri="{02D57815-91ED-43cb-92C2-25804820EDAC}">
                        <c15:formulaRef>
                          <c15:sqref>'Com HDD linear model'!$A$58</c15:sqref>
                        </c15:formulaRef>
                      </c:ext>
                    </c:extLst>
                  </c:multiLvlStrRef>
                </c15:cat>
              </c15:filteredCategoryTitle>
            </c:ext>
            <c:ext xmlns:c16="http://schemas.microsoft.com/office/drawing/2014/chart" uri="{C3380CC4-5D6E-409C-BE32-E72D297353CC}">
              <c16:uniqueId val="{00000001-6571-4E89-8376-7C07E0921E01}"/>
            </c:ext>
          </c:extLst>
        </c:ser>
        <c:ser>
          <c:idx val="2"/>
          <c:order val="2"/>
          <c:tx>
            <c:strRef>
              <c:f>'Com HDD linear model'!$G$57</c:f>
              <c:strCache>
                <c:ptCount val="1"/>
                <c:pt idx="0">
                  <c:v>Lower95%M</c:v>
                </c:pt>
              </c:strCache>
            </c:strRef>
          </c:tx>
          <c:spPr>
            <a:ln w="25400">
              <a:noFill/>
            </a:ln>
          </c:spPr>
          <c:marker>
            <c:symbol val="dash"/>
            <c:size val="7"/>
            <c:spPr>
              <a:noFill/>
              <a:ln w="12700">
                <a:solidFill>
                  <a:srgbClr val="000000"/>
                </a:solidFill>
              </a:ln>
              <a:extLst>
                <a:ext uri="{909E8E84-426E-40DD-AFC4-6F175D3DCCD1}">
                  <a14:hiddenFill xmlns:a14="http://schemas.microsoft.com/office/drawing/2010/main">
                    <a:solidFill>
                      <a:srgbClr val="A5A5A5"/>
                    </a:solidFill>
                  </a14:hiddenFill>
                </a:ext>
              </a:extLst>
            </c:spPr>
          </c:marker>
          <c:val>
            <c:numRef>
              <c:f>'Com HDD linear model'!$G$58</c:f>
            </c:numRef>
          </c:val>
          <c:smooth val="0"/>
          <c:extLst>
            <c:ext xmlns:c15="http://schemas.microsoft.com/office/drawing/2012/chart" uri="{02D57815-91ED-43cb-92C2-25804820EDAC}">
              <c15:filteredCategoryTitle>
                <c15:cat>
                  <c:multiLvlStrRef>
                    <c:extLst>
                      <c:ext uri="{02D57815-91ED-43cb-92C2-25804820EDAC}">
                        <c15:formulaRef>
                          <c15:sqref>'Com HDD linear model'!$A$58</c15:sqref>
                        </c15:formulaRef>
                      </c:ext>
                    </c:extLst>
                  </c:multiLvlStrRef>
                </c15:cat>
              </c15:filteredCategoryTitle>
            </c:ext>
            <c:ext xmlns:c16="http://schemas.microsoft.com/office/drawing/2014/chart" uri="{C3380CC4-5D6E-409C-BE32-E72D297353CC}">
              <c16:uniqueId val="{00000002-6571-4E89-8376-7C07E0921E01}"/>
            </c:ext>
          </c:extLst>
        </c:ser>
        <c:dLbls>
          <c:showLegendKey val="0"/>
          <c:showVal val="0"/>
          <c:showCatName val="0"/>
          <c:showSerName val="0"/>
          <c:showPercent val="0"/>
          <c:showBubbleSize val="0"/>
        </c:dLbls>
        <c:marker val="1"/>
        <c:smooth val="0"/>
        <c:axId val="229536128"/>
        <c:axId val="229545472"/>
      </c:lineChart>
      <c:catAx>
        <c:axId val="229536128"/>
        <c:scaling>
          <c:orientation val="minMax"/>
        </c:scaling>
        <c:delete val="0"/>
        <c:axPos val="b"/>
        <c:title>
          <c:tx>
            <c:rich>
              <a:bodyPr/>
              <a:lstStyle/>
              <a:p>
                <a:pPr>
                  <a:defRPr/>
                </a:pPr>
                <a:r>
                  <a:rPr lang="en-US"/>
                  <a:t>Observation #</a:t>
                </a:r>
              </a:p>
            </c:rich>
          </c:tx>
          <c:overlay val="0"/>
        </c:title>
        <c:numFmt formatCode="0" sourceLinked="1"/>
        <c:majorTickMark val="out"/>
        <c:minorTickMark val="none"/>
        <c:tickLblPos val="nextTo"/>
        <c:crossAx val="229545472"/>
        <c:crossesAt val="3500"/>
        <c:auto val="1"/>
        <c:lblAlgn val="ctr"/>
        <c:lblOffset val="100"/>
        <c:noMultiLvlLbl val="0"/>
      </c:catAx>
      <c:valAx>
        <c:axId val="229545472"/>
        <c:scaling>
          <c:orientation val="minMax"/>
          <c:min val="3500"/>
        </c:scaling>
        <c:delete val="0"/>
        <c:axPos val="l"/>
        <c:majorGridlines>
          <c:spPr>
            <a:ln w="3175">
              <a:solidFill>
                <a:srgbClr val="C0C0C0"/>
              </a:solidFill>
              <a:prstDash val="solid"/>
            </a:ln>
          </c:spPr>
        </c:majorGridlines>
        <c:title>
          <c:tx>
            <c:rich>
              <a:bodyPr/>
              <a:lstStyle/>
              <a:p>
                <a:pPr>
                  <a:defRPr/>
                </a:pPr>
                <a:r>
                  <a:rPr lang="en-US"/>
                  <a:t>_Commercial_Natural_Gas</a:t>
                </a:r>
              </a:p>
            </c:rich>
          </c:tx>
          <c:layout>
            <c:manualLayout>
              <c:xMode val="edge"/>
              <c:yMode val="edge"/>
              <c:x val="2.5685931115002919E-2"/>
              <c:y val="0.21829629629629629"/>
            </c:manualLayout>
          </c:layout>
          <c:overlay val="0"/>
        </c:title>
        <c:numFmt formatCode="General" sourceLinked="0"/>
        <c:majorTickMark val="out"/>
        <c:minorTickMark val="none"/>
        <c:tickLblPos val="nextTo"/>
        <c:crossAx val="229536128"/>
        <c:crosses val="autoZero"/>
        <c:crossBetween val="between"/>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txPr>
    <a:bodyPr/>
    <a:lstStyle/>
    <a:p>
      <a:pPr>
        <a:defRPr sz="1000">
          <a:latin typeface="Calibri"/>
          <a:ea typeface="Calibri"/>
          <a:cs typeface="Calibri"/>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5.0347222222222224E-2"/>
          <c:y val="3.5833333333333335E-2"/>
          <c:w val="0.92720827865266842"/>
          <c:h val="0.96416666666666662"/>
        </c:manualLayout>
      </c:layout>
      <c:scatterChart>
        <c:scatterStyle val="lineMarker"/>
        <c:varyColors val="0"/>
        <c:ser>
          <c:idx val="0"/>
          <c:order val="0"/>
          <c:spPr>
            <a:ln w="9525" cap="rnd" cmpd="sng" algn="ctr">
              <a:solidFill>
                <a:srgbClr val="0000FF"/>
              </a:solidFill>
              <a:prstDash val="solid"/>
              <a:round/>
              <a:headEnd type="none" w="med" len="med"/>
              <a:tailEnd type="none" w="med" len="med"/>
            </a:ln>
            <a:effectLst/>
          </c:spPr>
          <c:marker>
            <c:symbol val="diamond"/>
            <c:size val="5"/>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17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151</c:v>
              </c:pt>
              <c:pt idx="150">
                <c:v>152</c:v>
              </c:pt>
              <c:pt idx="151">
                <c:v>153</c:v>
              </c:pt>
              <c:pt idx="152">
                <c:v>154</c:v>
              </c:pt>
              <c:pt idx="153">
                <c:v>155</c:v>
              </c:pt>
              <c:pt idx="154">
                <c:v>156</c:v>
              </c:pt>
              <c:pt idx="155">
                <c:v>157</c:v>
              </c:pt>
              <c:pt idx="156">
                <c:v>158</c:v>
              </c:pt>
              <c:pt idx="157">
                <c:v>159</c:v>
              </c:pt>
              <c:pt idx="158">
                <c:v>160</c:v>
              </c:pt>
              <c:pt idx="159">
                <c:v>161</c:v>
              </c:pt>
              <c:pt idx="160">
                <c:v>162</c:v>
              </c:pt>
              <c:pt idx="161">
                <c:v>163</c:v>
              </c:pt>
              <c:pt idx="162">
                <c:v>164</c:v>
              </c:pt>
              <c:pt idx="163">
                <c:v>165</c:v>
              </c:pt>
              <c:pt idx="164">
                <c:v>166</c:v>
              </c:pt>
              <c:pt idx="165">
                <c:v>167</c:v>
              </c:pt>
              <c:pt idx="166">
                <c:v>168</c:v>
              </c:pt>
              <c:pt idx="167">
                <c:v>169</c:v>
              </c:pt>
              <c:pt idx="168">
                <c:v>170</c:v>
              </c:pt>
              <c:pt idx="169">
                <c:v>172</c:v>
              </c:pt>
              <c:pt idx="170">
                <c:v>173</c:v>
              </c:pt>
              <c:pt idx="171">
                <c:v>174</c:v>
              </c:pt>
            </c:numLit>
          </c:xVal>
          <c:yVal>
            <c:numLit>
              <c:formatCode>General</c:formatCode>
              <c:ptCount val="172"/>
              <c:pt idx="0">
                <c:v>7812</c:v>
              </c:pt>
              <c:pt idx="1">
                <c:v>5397</c:v>
              </c:pt>
              <c:pt idx="2">
                <c:v>4696</c:v>
              </c:pt>
              <c:pt idx="3">
                <c:v>3203</c:v>
              </c:pt>
              <c:pt idx="4">
                <c:v>2024</c:v>
              </c:pt>
              <c:pt idx="5">
                <c:v>1564</c:v>
              </c:pt>
              <c:pt idx="6">
                <c:v>1569</c:v>
              </c:pt>
              <c:pt idx="7">
                <c:v>1445</c:v>
              </c:pt>
              <c:pt idx="8">
                <c:v>1626</c:v>
              </c:pt>
              <c:pt idx="9">
                <c:v>2264</c:v>
              </c:pt>
              <c:pt idx="10">
                <c:v>2946</c:v>
              </c:pt>
              <c:pt idx="11">
                <c:v>4038</c:v>
              </c:pt>
              <c:pt idx="12">
                <c:v>6314</c:v>
              </c:pt>
              <c:pt idx="13">
                <c:v>5606</c:v>
              </c:pt>
              <c:pt idx="14">
                <c:v>4787</c:v>
              </c:pt>
              <c:pt idx="15">
                <c:v>2861</c:v>
              </c:pt>
              <c:pt idx="16">
                <c:v>1902</c:v>
              </c:pt>
              <c:pt idx="17">
                <c:v>1882</c:v>
              </c:pt>
              <c:pt idx="18">
                <c:v>1511</c:v>
              </c:pt>
              <c:pt idx="19">
                <c:v>1437</c:v>
              </c:pt>
              <c:pt idx="20">
                <c:v>1624</c:v>
              </c:pt>
              <c:pt idx="21">
                <c:v>2429</c:v>
              </c:pt>
              <c:pt idx="22">
                <c:v>3620</c:v>
              </c:pt>
              <c:pt idx="23">
                <c:v>6225</c:v>
              </c:pt>
              <c:pt idx="24">
                <c:v>7576</c:v>
              </c:pt>
              <c:pt idx="25">
                <c:v>7127</c:v>
              </c:pt>
              <c:pt idx="26">
                <c:v>4812</c:v>
              </c:pt>
              <c:pt idx="27">
                <c:v>3255</c:v>
              </c:pt>
              <c:pt idx="28">
                <c:v>2268</c:v>
              </c:pt>
              <c:pt idx="29">
                <c:v>1693</c:v>
              </c:pt>
              <c:pt idx="30">
                <c:v>1560</c:v>
              </c:pt>
              <c:pt idx="31">
                <c:v>1521</c:v>
              </c:pt>
              <c:pt idx="32">
                <c:v>1698</c:v>
              </c:pt>
              <c:pt idx="33">
                <c:v>2758</c:v>
              </c:pt>
              <c:pt idx="34">
                <c:v>3854</c:v>
              </c:pt>
              <c:pt idx="35">
                <c:v>6140</c:v>
              </c:pt>
              <c:pt idx="36">
                <c:v>7463</c:v>
              </c:pt>
              <c:pt idx="37">
                <c:v>7438</c:v>
              </c:pt>
              <c:pt idx="38">
                <c:v>5282</c:v>
              </c:pt>
              <c:pt idx="39">
                <c:v>3483</c:v>
              </c:pt>
              <c:pt idx="40">
                <c:v>2214</c:v>
              </c:pt>
              <c:pt idx="41">
                <c:v>2035</c:v>
              </c:pt>
              <c:pt idx="42">
                <c:v>1949</c:v>
              </c:pt>
              <c:pt idx="43">
                <c:v>2038</c:v>
              </c:pt>
              <c:pt idx="44">
                <c:v>2017</c:v>
              </c:pt>
              <c:pt idx="45">
                <c:v>2305</c:v>
              </c:pt>
              <c:pt idx="46">
                <c:v>3377</c:v>
              </c:pt>
              <c:pt idx="47">
                <c:v>5782</c:v>
              </c:pt>
              <c:pt idx="48">
                <c:v>7551</c:v>
              </c:pt>
              <c:pt idx="49">
                <c:v>6951</c:v>
              </c:pt>
              <c:pt idx="50">
                <c:v>6156</c:v>
              </c:pt>
              <c:pt idx="51">
                <c:v>3951</c:v>
              </c:pt>
              <c:pt idx="52">
                <c:v>2488</c:v>
              </c:pt>
              <c:pt idx="53">
                <c:v>2108</c:v>
              </c:pt>
              <c:pt idx="54">
                <c:v>1958</c:v>
              </c:pt>
              <c:pt idx="55">
                <c:v>1889</c:v>
              </c:pt>
              <c:pt idx="56">
                <c:v>2026</c:v>
              </c:pt>
              <c:pt idx="57">
                <c:v>2564</c:v>
              </c:pt>
              <c:pt idx="58">
                <c:v>3466</c:v>
              </c:pt>
              <c:pt idx="59">
                <c:v>6590</c:v>
              </c:pt>
              <c:pt idx="60">
                <c:v>7102</c:v>
              </c:pt>
              <c:pt idx="61">
                <c:v>6464</c:v>
              </c:pt>
              <c:pt idx="62">
                <c:v>5564</c:v>
              </c:pt>
              <c:pt idx="63">
                <c:v>3540</c:v>
              </c:pt>
              <c:pt idx="64">
                <c:v>2561</c:v>
              </c:pt>
              <c:pt idx="65">
                <c:v>2232</c:v>
              </c:pt>
              <c:pt idx="66">
                <c:v>2138</c:v>
              </c:pt>
              <c:pt idx="67">
                <c:v>2008</c:v>
              </c:pt>
              <c:pt idx="68">
                <c:v>2285</c:v>
              </c:pt>
              <c:pt idx="69">
                <c:v>3093</c:v>
              </c:pt>
              <c:pt idx="70">
                <c:v>3884</c:v>
              </c:pt>
              <c:pt idx="71">
                <c:v>5449</c:v>
              </c:pt>
              <c:pt idx="72">
                <c:v>6772</c:v>
              </c:pt>
              <c:pt idx="73">
                <c:v>7443</c:v>
              </c:pt>
              <c:pt idx="74">
                <c:v>5270</c:v>
              </c:pt>
              <c:pt idx="75">
                <c:v>3597</c:v>
              </c:pt>
              <c:pt idx="76">
                <c:v>2602</c:v>
              </c:pt>
              <c:pt idx="77">
                <c:v>2131</c:v>
              </c:pt>
              <c:pt idx="78">
                <c:v>1997</c:v>
              </c:pt>
              <c:pt idx="79">
                <c:v>1965</c:v>
              </c:pt>
              <c:pt idx="80">
                <c:v>2068</c:v>
              </c:pt>
              <c:pt idx="81">
                <c:v>2352</c:v>
              </c:pt>
              <c:pt idx="82">
                <c:v>3902</c:v>
              </c:pt>
              <c:pt idx="83">
                <c:v>5335</c:v>
              </c:pt>
              <c:pt idx="84">
                <c:v>7577</c:v>
              </c:pt>
              <c:pt idx="85">
                <c:v>6186</c:v>
              </c:pt>
              <c:pt idx="86">
                <c:v>4686</c:v>
              </c:pt>
              <c:pt idx="87">
                <c:v>3120</c:v>
              </c:pt>
              <c:pt idx="88">
                <c:v>2280</c:v>
              </c:pt>
              <c:pt idx="89">
                <c:v>1998</c:v>
              </c:pt>
              <c:pt idx="90">
                <c:v>1909</c:v>
              </c:pt>
              <c:pt idx="91">
                <c:v>2010</c:v>
              </c:pt>
              <c:pt idx="92">
                <c:v>2707</c:v>
              </c:pt>
              <c:pt idx="93">
                <c:v>4602</c:v>
              </c:pt>
              <c:pt idx="94">
                <c:v>5251</c:v>
              </c:pt>
              <c:pt idx="95">
                <c:v>6241</c:v>
              </c:pt>
              <c:pt idx="96">
                <c:v>8960</c:v>
              </c:pt>
              <c:pt idx="97">
                <c:v>6565</c:v>
              </c:pt>
              <c:pt idx="98">
                <c:v>5670</c:v>
              </c:pt>
              <c:pt idx="99">
                <c:v>3161</c:v>
              </c:pt>
              <c:pt idx="100">
                <c:v>2464</c:v>
              </c:pt>
              <c:pt idx="101">
                <c:v>1853</c:v>
              </c:pt>
              <c:pt idx="102">
                <c:v>1983</c:v>
              </c:pt>
              <c:pt idx="103">
                <c:v>2064</c:v>
              </c:pt>
              <c:pt idx="104">
                <c:v>2450</c:v>
              </c:pt>
              <c:pt idx="105">
                <c:v>3598</c:v>
              </c:pt>
              <c:pt idx="106">
                <c:v>4375</c:v>
              </c:pt>
              <c:pt idx="107">
                <c:v>8161</c:v>
              </c:pt>
              <c:pt idx="108">
                <c:v>9701</c:v>
              </c:pt>
              <c:pt idx="109">
                <c:v>8911</c:v>
              </c:pt>
              <c:pt idx="110">
                <c:v>5153</c:v>
              </c:pt>
              <c:pt idx="111">
                <c:v>2691</c:v>
              </c:pt>
              <c:pt idx="112">
                <c:v>2389</c:v>
              </c:pt>
              <c:pt idx="113">
                <c:v>1977</c:v>
              </c:pt>
              <c:pt idx="114">
                <c:v>1926</c:v>
              </c:pt>
              <c:pt idx="115">
                <c:v>2092</c:v>
              </c:pt>
              <c:pt idx="116">
                <c:v>2433</c:v>
              </c:pt>
              <c:pt idx="117">
                <c:v>3117</c:v>
              </c:pt>
              <c:pt idx="118">
                <c:v>5190</c:v>
              </c:pt>
              <c:pt idx="119">
                <c:v>10645</c:v>
              </c:pt>
              <c:pt idx="120">
                <c:v>9522</c:v>
              </c:pt>
              <c:pt idx="121">
                <c:v>6169</c:v>
              </c:pt>
              <c:pt idx="122">
                <c:v>5460</c:v>
              </c:pt>
              <c:pt idx="123">
                <c:v>2761</c:v>
              </c:pt>
              <c:pt idx="124">
                <c:v>2568</c:v>
              </c:pt>
              <c:pt idx="125">
                <c:v>2133</c:v>
              </c:pt>
              <c:pt idx="126">
                <c:v>1980</c:v>
              </c:pt>
              <c:pt idx="127">
                <c:v>2465</c:v>
              </c:pt>
              <c:pt idx="128">
                <c:v>2382</c:v>
              </c:pt>
              <c:pt idx="129">
                <c:v>3931</c:v>
              </c:pt>
              <c:pt idx="130">
                <c:v>4446</c:v>
              </c:pt>
              <c:pt idx="131">
                <c:v>6081</c:v>
              </c:pt>
              <c:pt idx="132">
                <c:v>8072</c:v>
              </c:pt>
              <c:pt idx="133">
                <c:v>6583</c:v>
              </c:pt>
              <c:pt idx="134">
                <c:v>3545</c:v>
              </c:pt>
              <c:pt idx="135">
                <c:v>3370</c:v>
              </c:pt>
              <c:pt idx="136">
                <c:v>2205</c:v>
              </c:pt>
              <c:pt idx="137">
                <c:v>2433</c:v>
              </c:pt>
              <c:pt idx="138">
                <c:v>1976</c:v>
              </c:pt>
              <c:pt idx="139">
                <c:v>2673</c:v>
              </c:pt>
              <c:pt idx="140">
                <c:v>2529</c:v>
              </c:pt>
              <c:pt idx="141">
                <c:v>4003</c:v>
              </c:pt>
              <c:pt idx="142">
                <c:v>5686</c:v>
              </c:pt>
              <c:pt idx="143">
                <c:v>5878</c:v>
              </c:pt>
              <c:pt idx="144">
                <c:v>6935</c:v>
              </c:pt>
              <c:pt idx="145">
                <c:v>7155</c:v>
              </c:pt>
              <c:pt idx="146">
                <c:v>7253</c:v>
              </c:pt>
              <c:pt idx="147">
                <c:v>3390</c:v>
              </c:pt>
              <c:pt idx="148">
                <c:v>3075</c:v>
              </c:pt>
              <c:pt idx="149">
                <c:v>2613</c:v>
              </c:pt>
              <c:pt idx="150">
                <c:v>2611</c:v>
              </c:pt>
              <c:pt idx="151">
                <c:v>2873</c:v>
              </c:pt>
              <c:pt idx="152">
                <c:v>3869</c:v>
              </c:pt>
              <c:pt idx="153">
                <c:v>6415</c:v>
              </c:pt>
              <c:pt idx="154">
                <c:v>6700</c:v>
              </c:pt>
              <c:pt idx="155">
                <c:v>11381</c:v>
              </c:pt>
              <c:pt idx="156">
                <c:v>7396</c:v>
              </c:pt>
              <c:pt idx="157">
                <c:v>7426</c:v>
              </c:pt>
              <c:pt idx="158">
                <c:v>3372</c:v>
              </c:pt>
              <c:pt idx="159">
                <c:v>3314</c:v>
              </c:pt>
              <c:pt idx="160">
                <c:v>2930</c:v>
              </c:pt>
              <c:pt idx="161">
                <c:v>2889</c:v>
              </c:pt>
              <c:pt idx="162">
                <c:v>2708</c:v>
              </c:pt>
              <c:pt idx="163">
                <c:v>2884</c:v>
              </c:pt>
              <c:pt idx="164">
                <c:v>3606</c:v>
              </c:pt>
              <c:pt idx="165">
                <c:v>6843</c:v>
              </c:pt>
              <c:pt idx="166">
                <c:v>7464</c:v>
              </c:pt>
              <c:pt idx="167">
                <c:v>9500</c:v>
              </c:pt>
              <c:pt idx="168">
                <c:v>10511</c:v>
              </c:pt>
              <c:pt idx="169">
                <c:v>3543</c:v>
              </c:pt>
              <c:pt idx="170">
                <c:v>2502</c:v>
              </c:pt>
              <c:pt idx="171">
                <c:v>2944</c:v>
              </c:pt>
            </c:numLit>
          </c:yVal>
          <c:smooth val="0"/>
          <c:extLst>
            <c:ext xmlns:c16="http://schemas.microsoft.com/office/drawing/2014/chart" uri="{C3380CC4-5D6E-409C-BE32-E72D297353CC}">
              <c16:uniqueId val="{00000000-3295-4132-9795-968FE1B05956}"/>
            </c:ext>
          </c:extLst>
        </c:ser>
        <c:dLbls>
          <c:showLegendKey val="0"/>
          <c:showVal val="0"/>
          <c:showCatName val="0"/>
          <c:showSerName val="0"/>
          <c:showPercent val="0"/>
          <c:showBubbleSize val="0"/>
        </c:dLbls>
        <c:axId val="85884928"/>
        <c:axId val="85886848"/>
      </c:scatterChart>
      <c:valAx>
        <c:axId val="85884928"/>
        <c:scaling>
          <c:orientation val="minMax"/>
          <c:min val="0"/>
        </c:scaling>
        <c:delete val="0"/>
        <c:axPos val="b"/>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85886848"/>
        <c:crossesAt val="1000"/>
        <c:crossBetween val="midCat"/>
      </c:valAx>
      <c:valAx>
        <c:axId val="85886848"/>
        <c:scaling>
          <c:orientation val="minMax"/>
          <c:min val="1000"/>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title>
          <c:tx>
            <c:rich>
              <a:bodyPr/>
              <a:lstStyle/>
              <a:p>
                <a:pPr>
                  <a:defRPr/>
                </a:pPr>
                <a:r>
                  <a:rPr lang="en-US"/>
                  <a:t>_Commercial_Natural_Gas</a:t>
                </a:r>
              </a:p>
            </c:rich>
          </c:tx>
          <c:overlay val="0"/>
        </c:title>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85884928"/>
        <c:crossesAt val="0"/>
        <c:crossBetween val="midCat"/>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'Com HDD linear model'!$AA$3</c:f>
          <c:strCache>
            <c:ptCount val="1"/>
            <c:pt idx="0">
              <c:v>Actual and predicted -vs- Observation # with 95.0% confidence limits
Com HDD linear model for _Commercial_Natural_Gas    (1 variable, n=173)</c:v>
            </c:pt>
          </c:strCache>
        </c:strRef>
      </c:tx>
      <c:overlay val="0"/>
      <c:txPr>
        <a:bodyPr/>
        <a:lstStyle/>
        <a:p>
          <a:pPr>
            <a:defRPr sz="1000">
              <a:latin typeface="Calibri"/>
              <a:ea typeface="Calibri"/>
              <a:cs typeface="Calibri"/>
            </a:defRPr>
          </a:pPr>
          <a:endParaRPr lang="en-US"/>
        </a:p>
      </c:txPr>
    </c:title>
    <c:autoTitleDeleted val="0"/>
    <c:plotArea>
      <c:layout/>
      <c:scatterChart>
        <c:scatterStyle val="lineMarker"/>
        <c:varyColors val="0"/>
        <c:ser>
          <c:idx val="0"/>
          <c:order val="0"/>
          <c:tx>
            <c:v>Actual</c:v>
          </c:tx>
          <c:spPr>
            <a:ln w="9525" cap="rnd" cmpd="sng" algn="ctr">
              <a:solidFill>
                <a:srgbClr val="0000FF"/>
              </a:solidFill>
              <a:prstDash val="solid"/>
              <a:round/>
              <a:headEnd type="none" w="med" len="med"/>
              <a:tailEnd type="none" w="med" len="med"/>
            </a:ln>
          </c:spPr>
          <c:marker>
            <c:symbol val="diamond"/>
            <c:size val="5"/>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17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172</c:v>
              </c:pt>
              <c:pt idx="171">
                <c:v>173</c:v>
              </c:pt>
              <c:pt idx="172">
                <c:v>174</c:v>
              </c:pt>
            </c:numLit>
          </c:xVal>
          <c:yVal>
            <c:numLit>
              <c:formatCode>General</c:formatCode>
              <c:ptCount val="173"/>
              <c:pt idx="0">
                <c:v>7812</c:v>
              </c:pt>
              <c:pt idx="1">
                <c:v>5397</c:v>
              </c:pt>
              <c:pt idx="2">
                <c:v>4696</c:v>
              </c:pt>
              <c:pt idx="3">
                <c:v>3203</c:v>
              </c:pt>
              <c:pt idx="4">
                <c:v>2024</c:v>
              </c:pt>
              <c:pt idx="5">
                <c:v>1564</c:v>
              </c:pt>
              <c:pt idx="6">
                <c:v>1569</c:v>
              </c:pt>
              <c:pt idx="7">
                <c:v>1445</c:v>
              </c:pt>
              <c:pt idx="8">
                <c:v>1626</c:v>
              </c:pt>
              <c:pt idx="9">
                <c:v>2264</c:v>
              </c:pt>
              <c:pt idx="10">
                <c:v>2946</c:v>
              </c:pt>
              <c:pt idx="11">
                <c:v>4038</c:v>
              </c:pt>
              <c:pt idx="12">
                <c:v>6314</c:v>
              </c:pt>
              <c:pt idx="13">
                <c:v>5606</c:v>
              </c:pt>
              <c:pt idx="14">
                <c:v>4787</c:v>
              </c:pt>
              <c:pt idx="15">
                <c:v>2861</c:v>
              </c:pt>
              <c:pt idx="16">
                <c:v>1902</c:v>
              </c:pt>
              <c:pt idx="17">
                <c:v>1882</c:v>
              </c:pt>
              <c:pt idx="18">
                <c:v>1511</c:v>
              </c:pt>
              <c:pt idx="19">
                <c:v>1437</c:v>
              </c:pt>
              <c:pt idx="20">
                <c:v>1624</c:v>
              </c:pt>
              <c:pt idx="21">
                <c:v>2429</c:v>
              </c:pt>
              <c:pt idx="22">
                <c:v>3620</c:v>
              </c:pt>
              <c:pt idx="23">
                <c:v>6225</c:v>
              </c:pt>
              <c:pt idx="24">
                <c:v>7576</c:v>
              </c:pt>
              <c:pt idx="25">
                <c:v>7127</c:v>
              </c:pt>
              <c:pt idx="26">
                <c:v>4812</c:v>
              </c:pt>
              <c:pt idx="27">
                <c:v>3255</c:v>
              </c:pt>
              <c:pt idx="28">
                <c:v>2268</c:v>
              </c:pt>
              <c:pt idx="29">
                <c:v>1693</c:v>
              </c:pt>
              <c:pt idx="30">
                <c:v>1560</c:v>
              </c:pt>
              <c:pt idx="31">
                <c:v>1521</c:v>
              </c:pt>
              <c:pt idx="32">
                <c:v>1698</c:v>
              </c:pt>
              <c:pt idx="33">
                <c:v>2758</c:v>
              </c:pt>
              <c:pt idx="34">
                <c:v>3854</c:v>
              </c:pt>
              <c:pt idx="35">
                <c:v>6140</c:v>
              </c:pt>
              <c:pt idx="36">
                <c:v>7463</c:v>
              </c:pt>
              <c:pt idx="37">
                <c:v>7438</c:v>
              </c:pt>
              <c:pt idx="38">
                <c:v>5282</c:v>
              </c:pt>
              <c:pt idx="39">
                <c:v>3483</c:v>
              </c:pt>
              <c:pt idx="40">
                <c:v>2214</c:v>
              </c:pt>
              <c:pt idx="41">
                <c:v>2035</c:v>
              </c:pt>
              <c:pt idx="42">
                <c:v>1949</c:v>
              </c:pt>
              <c:pt idx="43">
                <c:v>2038</c:v>
              </c:pt>
              <c:pt idx="44">
                <c:v>2017</c:v>
              </c:pt>
              <c:pt idx="45">
                <c:v>2305</c:v>
              </c:pt>
              <c:pt idx="46">
                <c:v>3377</c:v>
              </c:pt>
              <c:pt idx="47">
                <c:v>5782</c:v>
              </c:pt>
              <c:pt idx="48">
                <c:v>7551</c:v>
              </c:pt>
              <c:pt idx="49">
                <c:v>6951</c:v>
              </c:pt>
              <c:pt idx="50">
                <c:v>6156</c:v>
              </c:pt>
              <c:pt idx="51">
                <c:v>3951</c:v>
              </c:pt>
              <c:pt idx="52">
                <c:v>2488</c:v>
              </c:pt>
              <c:pt idx="53">
                <c:v>2108</c:v>
              </c:pt>
              <c:pt idx="54">
                <c:v>1958</c:v>
              </c:pt>
              <c:pt idx="55">
                <c:v>1889</c:v>
              </c:pt>
              <c:pt idx="56">
                <c:v>2026</c:v>
              </c:pt>
              <c:pt idx="57">
                <c:v>2564</c:v>
              </c:pt>
              <c:pt idx="58">
                <c:v>3466</c:v>
              </c:pt>
              <c:pt idx="59">
                <c:v>6590</c:v>
              </c:pt>
              <c:pt idx="60">
                <c:v>7102</c:v>
              </c:pt>
              <c:pt idx="61">
                <c:v>6464</c:v>
              </c:pt>
              <c:pt idx="62">
                <c:v>5564</c:v>
              </c:pt>
              <c:pt idx="63">
                <c:v>3540</c:v>
              </c:pt>
              <c:pt idx="64">
                <c:v>2561</c:v>
              </c:pt>
              <c:pt idx="65">
                <c:v>2232</c:v>
              </c:pt>
              <c:pt idx="66">
                <c:v>2138</c:v>
              </c:pt>
              <c:pt idx="67">
                <c:v>2008</c:v>
              </c:pt>
              <c:pt idx="68">
                <c:v>2285</c:v>
              </c:pt>
              <c:pt idx="69">
                <c:v>3093</c:v>
              </c:pt>
              <c:pt idx="70">
                <c:v>3884</c:v>
              </c:pt>
              <c:pt idx="71">
                <c:v>5449</c:v>
              </c:pt>
              <c:pt idx="72">
                <c:v>6772</c:v>
              </c:pt>
              <c:pt idx="73">
                <c:v>7443</c:v>
              </c:pt>
              <c:pt idx="74">
                <c:v>5270</c:v>
              </c:pt>
              <c:pt idx="75">
                <c:v>3597</c:v>
              </c:pt>
              <c:pt idx="76">
                <c:v>2602</c:v>
              </c:pt>
              <c:pt idx="77">
                <c:v>2131</c:v>
              </c:pt>
              <c:pt idx="78">
                <c:v>1997</c:v>
              </c:pt>
              <c:pt idx="79">
                <c:v>1965</c:v>
              </c:pt>
              <c:pt idx="80">
                <c:v>2068</c:v>
              </c:pt>
              <c:pt idx="81">
                <c:v>2352</c:v>
              </c:pt>
              <c:pt idx="82">
                <c:v>3902</c:v>
              </c:pt>
              <c:pt idx="83">
                <c:v>5335</c:v>
              </c:pt>
              <c:pt idx="84">
                <c:v>7577</c:v>
              </c:pt>
              <c:pt idx="85">
                <c:v>6186</c:v>
              </c:pt>
              <c:pt idx="86">
                <c:v>4686</c:v>
              </c:pt>
              <c:pt idx="87">
                <c:v>3120</c:v>
              </c:pt>
              <c:pt idx="88">
                <c:v>2280</c:v>
              </c:pt>
              <c:pt idx="89">
                <c:v>1998</c:v>
              </c:pt>
              <c:pt idx="90">
                <c:v>1909</c:v>
              </c:pt>
              <c:pt idx="91">
                <c:v>2010</c:v>
              </c:pt>
              <c:pt idx="92">
                <c:v>2707</c:v>
              </c:pt>
              <c:pt idx="93">
                <c:v>4602</c:v>
              </c:pt>
              <c:pt idx="94">
                <c:v>5251</c:v>
              </c:pt>
              <c:pt idx="95">
                <c:v>6241</c:v>
              </c:pt>
              <c:pt idx="96">
                <c:v>8960</c:v>
              </c:pt>
              <c:pt idx="97">
                <c:v>6565</c:v>
              </c:pt>
              <c:pt idx="98">
                <c:v>5670</c:v>
              </c:pt>
              <c:pt idx="99">
                <c:v>3161</c:v>
              </c:pt>
              <c:pt idx="100">
                <c:v>2464</c:v>
              </c:pt>
              <c:pt idx="101">
                <c:v>1853</c:v>
              </c:pt>
              <c:pt idx="102">
                <c:v>1983</c:v>
              </c:pt>
              <c:pt idx="103">
                <c:v>2064</c:v>
              </c:pt>
              <c:pt idx="104">
                <c:v>2450</c:v>
              </c:pt>
              <c:pt idx="105">
                <c:v>3598</c:v>
              </c:pt>
              <c:pt idx="106">
                <c:v>4375</c:v>
              </c:pt>
              <c:pt idx="107">
                <c:v>8161</c:v>
              </c:pt>
              <c:pt idx="108">
                <c:v>9701</c:v>
              </c:pt>
              <c:pt idx="109">
                <c:v>8911</c:v>
              </c:pt>
              <c:pt idx="110">
                <c:v>5153</c:v>
              </c:pt>
              <c:pt idx="111">
                <c:v>2691</c:v>
              </c:pt>
              <c:pt idx="112">
                <c:v>2389</c:v>
              </c:pt>
              <c:pt idx="113">
                <c:v>1977</c:v>
              </c:pt>
              <c:pt idx="114">
                <c:v>1926</c:v>
              </c:pt>
              <c:pt idx="115">
                <c:v>2092</c:v>
              </c:pt>
              <c:pt idx="116">
                <c:v>2433</c:v>
              </c:pt>
              <c:pt idx="117">
                <c:v>3117</c:v>
              </c:pt>
              <c:pt idx="118">
                <c:v>5190</c:v>
              </c:pt>
              <c:pt idx="119">
                <c:v>10645</c:v>
              </c:pt>
              <c:pt idx="120">
                <c:v>9522</c:v>
              </c:pt>
              <c:pt idx="121">
                <c:v>6169</c:v>
              </c:pt>
              <c:pt idx="122">
                <c:v>5460</c:v>
              </c:pt>
              <c:pt idx="123">
                <c:v>2761</c:v>
              </c:pt>
              <c:pt idx="124">
                <c:v>2568</c:v>
              </c:pt>
              <c:pt idx="125">
                <c:v>2133</c:v>
              </c:pt>
              <c:pt idx="126">
                <c:v>1980</c:v>
              </c:pt>
              <c:pt idx="127">
                <c:v>2465</c:v>
              </c:pt>
              <c:pt idx="128">
                <c:v>2382</c:v>
              </c:pt>
              <c:pt idx="129">
                <c:v>3931</c:v>
              </c:pt>
              <c:pt idx="130">
                <c:v>4446</c:v>
              </c:pt>
              <c:pt idx="131">
                <c:v>6081</c:v>
              </c:pt>
              <c:pt idx="132">
                <c:v>8072</c:v>
              </c:pt>
              <c:pt idx="133">
                <c:v>6583</c:v>
              </c:pt>
              <c:pt idx="134">
                <c:v>3545</c:v>
              </c:pt>
              <c:pt idx="135">
                <c:v>3370</c:v>
              </c:pt>
              <c:pt idx="136">
                <c:v>2205</c:v>
              </c:pt>
              <c:pt idx="137">
                <c:v>2433</c:v>
              </c:pt>
              <c:pt idx="138">
                <c:v>1976</c:v>
              </c:pt>
              <c:pt idx="139">
                <c:v>2673</c:v>
              </c:pt>
              <c:pt idx="140">
                <c:v>2529</c:v>
              </c:pt>
              <c:pt idx="141">
                <c:v>4003</c:v>
              </c:pt>
              <c:pt idx="142">
                <c:v>5686</c:v>
              </c:pt>
              <c:pt idx="143">
                <c:v>5878</c:v>
              </c:pt>
              <c:pt idx="144">
                <c:v>6935</c:v>
              </c:pt>
              <c:pt idx="145">
                <c:v>7155</c:v>
              </c:pt>
              <c:pt idx="146">
                <c:v>7253</c:v>
              </c:pt>
              <c:pt idx="147">
                <c:v>3390</c:v>
              </c:pt>
              <c:pt idx="148">
                <c:v>3075</c:v>
              </c:pt>
              <c:pt idx="149">
                <c:v>2381</c:v>
              </c:pt>
              <c:pt idx="150">
                <c:v>2613</c:v>
              </c:pt>
              <c:pt idx="151">
                <c:v>2611</c:v>
              </c:pt>
              <c:pt idx="152">
                <c:v>2873</c:v>
              </c:pt>
              <c:pt idx="153">
                <c:v>3869</c:v>
              </c:pt>
              <c:pt idx="154">
                <c:v>6415</c:v>
              </c:pt>
              <c:pt idx="155">
                <c:v>6700</c:v>
              </c:pt>
              <c:pt idx="156">
                <c:v>11381</c:v>
              </c:pt>
              <c:pt idx="157">
                <c:v>7396</c:v>
              </c:pt>
              <c:pt idx="158">
                <c:v>7426</c:v>
              </c:pt>
              <c:pt idx="159">
                <c:v>3372</c:v>
              </c:pt>
              <c:pt idx="160">
                <c:v>3314</c:v>
              </c:pt>
              <c:pt idx="161">
                <c:v>2930</c:v>
              </c:pt>
              <c:pt idx="162">
                <c:v>2889</c:v>
              </c:pt>
              <c:pt idx="163">
                <c:v>2708</c:v>
              </c:pt>
              <c:pt idx="164">
                <c:v>2884</c:v>
              </c:pt>
              <c:pt idx="165">
                <c:v>3606</c:v>
              </c:pt>
              <c:pt idx="166">
                <c:v>6843</c:v>
              </c:pt>
              <c:pt idx="167">
                <c:v>7464</c:v>
              </c:pt>
              <c:pt idx="168">
                <c:v>9500</c:v>
              </c:pt>
              <c:pt idx="169">
                <c:v>10511</c:v>
              </c:pt>
              <c:pt idx="170">
                <c:v>3543</c:v>
              </c:pt>
              <c:pt idx="171">
                <c:v>2502</c:v>
              </c:pt>
              <c:pt idx="172">
                <c:v>2944</c:v>
              </c:pt>
            </c:numLit>
          </c:yVal>
          <c:smooth val="0"/>
          <c:extLst>
            <c:ext xmlns:c16="http://schemas.microsoft.com/office/drawing/2014/chart" uri="{C3380CC4-5D6E-409C-BE32-E72D297353CC}">
              <c16:uniqueId val="{00000000-0AC8-44AE-B32D-5D9907D6A7A8}"/>
            </c:ext>
          </c:extLst>
        </c:ser>
        <c:ser>
          <c:idx val="1"/>
          <c:order val="1"/>
          <c:tx>
            <c:v>Predicted</c:v>
          </c:tx>
          <c:spPr>
            <a:ln w="9525">
              <a:solidFill>
                <a:srgbClr val="FF0000"/>
              </a:solidFill>
              <a:prstDash val="sysDash"/>
            </a:ln>
          </c:spPr>
          <c:marker>
            <c:symbol val="circle"/>
            <c:size val="5"/>
            <c:spPr>
              <a:noFill/>
              <a:ln w="9525">
                <a:solidFill>
                  <a:srgbClr val="FF0000"/>
                </a:solidFill>
                <a:prstDash val="solid"/>
              </a:ln>
            </c:spPr>
          </c:marker>
          <c:xVal>
            <c:numLit>
              <c:formatCode>General</c:formatCode>
              <c:ptCount val="17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172</c:v>
              </c:pt>
              <c:pt idx="171">
                <c:v>173</c:v>
              </c:pt>
              <c:pt idx="172">
                <c:v>174</c:v>
              </c:pt>
            </c:numLit>
          </c:xVal>
          <c:yVal>
            <c:numLit>
              <c:formatCode>General</c:formatCode>
              <c:ptCount val="173"/>
              <c:pt idx="0">
                <c:v>7808.3403889228048</c:v>
              </c:pt>
              <c:pt idx="1">
                <c:v>5884.2494707875449</c:v>
              </c:pt>
              <c:pt idx="2">
                <c:v>6032.3971555489088</c:v>
              </c:pt>
              <c:pt idx="3">
                <c:v>3494.2249391589776</c:v>
              </c:pt>
              <c:pt idx="4">
                <c:v>2217.1370270031352</c:v>
              </c:pt>
              <c:pt idx="5">
                <c:v>1987.1423188705221</c:v>
              </c:pt>
              <c:pt idx="6">
                <c:v>1987.1423188705221</c:v>
              </c:pt>
              <c:pt idx="7">
                <c:v>1987.1423188705221</c:v>
              </c:pt>
              <c:pt idx="8">
                <c:v>2395.0056979048977</c:v>
              </c:pt>
              <c:pt idx="9">
                <c:v>3777.7174223443058</c:v>
              </c:pt>
              <c:pt idx="10">
                <c:v>4179.6366041506017</c:v>
              </c:pt>
              <c:pt idx="11">
                <c:v>6156.3108054573349</c:v>
              </c:pt>
              <c:pt idx="12">
                <c:v>7315.8865108734517</c:v>
              </c:pt>
              <c:pt idx="13">
                <c:v>6503.8177203296727</c:v>
              </c:pt>
              <c:pt idx="14">
                <c:v>5259.1942699579577</c:v>
              </c:pt>
              <c:pt idx="15">
                <c:v>3084.5325763621158</c:v>
              </c:pt>
              <c:pt idx="16">
                <c:v>2725.1372670336186</c:v>
              </c:pt>
              <c:pt idx="17">
                <c:v>1987.1423188705221</c:v>
              </c:pt>
              <c:pt idx="18">
                <c:v>1987.1423188705221</c:v>
              </c:pt>
              <c:pt idx="19">
                <c:v>1988.5140566923867</c:v>
              </c:pt>
              <c:pt idx="20">
                <c:v>1990.8002863954941</c:v>
              </c:pt>
              <c:pt idx="21">
                <c:v>3473.1916258903884</c:v>
              </c:pt>
              <c:pt idx="22">
                <c:v>5749.3619183042028</c:v>
              </c:pt>
              <c:pt idx="23">
                <c:v>7811.5411105071562</c:v>
              </c:pt>
              <c:pt idx="24">
                <c:v>8638.6990170914432</c:v>
              </c:pt>
              <c:pt idx="25">
                <c:v>7048.8548815504982</c:v>
              </c:pt>
              <c:pt idx="26">
                <c:v>4757.5954730961748</c:v>
              </c:pt>
              <c:pt idx="27">
                <c:v>3592.0755704519779</c:v>
              </c:pt>
              <c:pt idx="28">
                <c:v>2439.358554145183</c:v>
              </c:pt>
              <c:pt idx="29">
                <c:v>2021.8930103577559</c:v>
              </c:pt>
              <c:pt idx="30">
                <c:v>1987.1423188705221</c:v>
              </c:pt>
              <c:pt idx="31">
                <c:v>1987.1423188705221</c:v>
              </c:pt>
              <c:pt idx="32">
                <c:v>2131.6320361069152</c:v>
              </c:pt>
              <c:pt idx="33">
                <c:v>3394.0880781628694</c:v>
              </c:pt>
              <c:pt idx="34">
                <c:v>4314.0669106933219</c:v>
              </c:pt>
              <c:pt idx="35">
                <c:v>7831.2026859538792</c:v>
              </c:pt>
              <c:pt idx="36">
                <c:v>8326.8572855875827</c:v>
              </c:pt>
              <c:pt idx="37">
                <c:v>7502.9001005876453</c:v>
              </c:pt>
              <c:pt idx="38">
                <c:v>4988.504673110031</c:v>
              </c:pt>
              <c:pt idx="39">
                <c:v>3571.0422571833888</c:v>
              </c:pt>
              <c:pt idx="40">
                <c:v>2208.9066000719481</c:v>
              </c:pt>
              <c:pt idx="41">
                <c:v>1987.1423188705221</c:v>
              </c:pt>
              <c:pt idx="42">
                <c:v>1987.1423188705221</c:v>
              </c:pt>
              <c:pt idx="43">
                <c:v>1990.8002863954941</c:v>
              </c:pt>
              <c:pt idx="44">
                <c:v>2049.3277667950456</c:v>
              </c:pt>
              <c:pt idx="45">
                <c:v>2889.7458056573578</c:v>
              </c:pt>
              <c:pt idx="46">
                <c:v>4807.8925265645394</c:v>
              </c:pt>
              <c:pt idx="47">
                <c:v>7333.7191025576903</c:v>
              </c:pt>
              <c:pt idx="48">
                <c:v>7095.0367215532697</c:v>
              </c:pt>
              <c:pt idx="49">
                <c:v>6342.4099032902841</c:v>
              </c:pt>
              <c:pt idx="50">
                <c:v>6019.5942692115068</c:v>
              </c:pt>
              <c:pt idx="51">
                <c:v>3543.607500746099</c:v>
              </c:pt>
              <c:pt idx="52">
                <c:v>2560.9859743505012</c:v>
              </c:pt>
              <c:pt idx="53">
                <c:v>2028.7516994670784</c:v>
              </c:pt>
              <c:pt idx="54">
                <c:v>1987.1423188705221</c:v>
              </c:pt>
              <c:pt idx="55">
                <c:v>1987.1423188705221</c:v>
              </c:pt>
              <c:pt idx="56">
                <c:v>1994.9154998610875</c:v>
              </c:pt>
              <c:pt idx="57">
                <c:v>3224.449834192294</c:v>
              </c:pt>
              <c:pt idx="58">
                <c:v>4967.9286057820636</c:v>
              </c:pt>
              <c:pt idx="59">
                <c:v>7876.0127881347871</c:v>
              </c:pt>
              <c:pt idx="60">
                <c:v>6203.407137341349</c:v>
              </c:pt>
              <c:pt idx="61">
                <c:v>6642.363240337987</c:v>
              </c:pt>
              <c:pt idx="62">
                <c:v>5265.5957131266587</c:v>
              </c:pt>
              <c:pt idx="63">
                <c:v>2978.9087640785501</c:v>
              </c:pt>
              <c:pt idx="64">
                <c:v>2626.3721438593757</c:v>
              </c:pt>
              <c:pt idx="65">
                <c:v>1990.8002863954941</c:v>
              </c:pt>
              <c:pt idx="66">
                <c:v>1987.1423188705221</c:v>
              </c:pt>
              <c:pt idx="67">
                <c:v>1987.1423188705221</c:v>
              </c:pt>
              <c:pt idx="68">
                <c:v>2181.0145976940371</c:v>
              </c:pt>
              <c:pt idx="69">
                <c:v>3808.8101463065677</c:v>
              </c:pt>
              <c:pt idx="70">
                <c:v>4955.5829653852834</c:v>
              </c:pt>
              <c:pt idx="71">
                <c:v>6194.719464469541</c:v>
              </c:pt>
              <c:pt idx="72">
                <c:v>6890.1905401548383</c:v>
              </c:pt>
              <c:pt idx="73">
                <c:v>7271.0764086925456</c:v>
              </c:pt>
              <c:pt idx="74">
                <c:v>4309.0372053464853</c:v>
              </c:pt>
              <c:pt idx="75">
                <c:v>3718.275450063511</c:v>
              </c:pt>
              <c:pt idx="76">
                <c:v>2427.9274056296454</c:v>
              </c:pt>
              <c:pt idx="77">
                <c:v>1995.8299917423305</c:v>
              </c:pt>
              <c:pt idx="78">
                <c:v>1987.1423188705221</c:v>
              </c:pt>
              <c:pt idx="79">
                <c:v>1987.1423188705221</c:v>
              </c:pt>
              <c:pt idx="80">
                <c:v>2017.7777968921623</c:v>
              </c:pt>
              <c:pt idx="81">
                <c:v>2663.8663109903382</c:v>
              </c:pt>
              <c:pt idx="82">
                <c:v>5332.8108663980183</c:v>
              </c:pt>
              <c:pt idx="83">
                <c:v>6009.5348585178344</c:v>
              </c:pt>
              <c:pt idx="84">
                <c:v>7736.5527762452302</c:v>
              </c:pt>
              <c:pt idx="85">
                <c:v>6065.3188632736574</c:v>
              </c:pt>
              <c:pt idx="86">
                <c:v>4987.1329352881658</c:v>
              </c:pt>
              <c:pt idx="87">
                <c:v>3505.6560876745152</c:v>
              </c:pt>
              <c:pt idx="88">
                <c:v>2259.2036535403131</c:v>
              </c:pt>
              <c:pt idx="89">
                <c:v>1987.1423188705221</c:v>
              </c:pt>
              <c:pt idx="90">
                <c:v>1987.1423188705221</c:v>
              </c:pt>
              <c:pt idx="91">
                <c:v>1987.1423188705221</c:v>
              </c:pt>
              <c:pt idx="92">
                <c:v>2065.3313747167981</c:v>
              </c:pt>
              <c:pt idx="93">
                <c:v>3716.4464663010253</c:v>
              </c:pt>
              <c:pt idx="94">
                <c:v>5971.1261995056284</c:v>
              </c:pt>
              <c:pt idx="95">
                <c:v>6404.1381052741863</c:v>
              </c:pt>
              <c:pt idx="96">
                <c:v>8062.5691319083571</c:v>
              </c:pt>
              <c:pt idx="97">
                <c:v>6338.294689824691</c:v>
              </c:pt>
              <c:pt idx="98">
                <c:v>5458.5535000689306</c:v>
              </c:pt>
              <c:pt idx="99">
                <c:v>3301.7243981573274</c:v>
              </c:pt>
              <c:pt idx="100">
                <c:v>2298.0695584931404</c:v>
              </c:pt>
              <c:pt idx="101">
                <c:v>1987.1423188705221</c:v>
              </c:pt>
              <c:pt idx="102">
                <c:v>1987.1423188705221</c:v>
              </c:pt>
              <c:pt idx="103">
                <c:v>1987.1423188705221</c:v>
              </c:pt>
              <c:pt idx="104">
                <c:v>2072.6473097667422</c:v>
              </c:pt>
              <c:pt idx="105">
                <c:v>3488.2807419308979</c:v>
              </c:pt>
              <c:pt idx="106">
                <c:v>4752.1085218087164</c:v>
              </c:pt>
              <c:pt idx="107">
                <c:v>7927.6815794250169</c:v>
              </c:pt>
              <c:pt idx="108">
                <c:v>8558.2237315420607</c:v>
              </c:pt>
              <c:pt idx="109">
                <c:v>7846.7490479350108</c:v>
              </c:pt>
              <c:pt idx="110">
                <c:v>5203.4102652021338</c:v>
              </c:pt>
              <c:pt idx="111">
                <c:v>2887.002330013629</c:v>
              </c:pt>
              <c:pt idx="112">
                <c:v>2190.6167624470886</c:v>
              </c:pt>
              <c:pt idx="113">
                <c:v>1987.1423188705221</c:v>
              </c:pt>
              <c:pt idx="114">
                <c:v>1987.1423188705221</c:v>
              </c:pt>
              <c:pt idx="115">
                <c:v>1987.1423188705221</c:v>
              </c:pt>
              <c:pt idx="116">
                <c:v>2006.3466483766249</c:v>
              </c:pt>
              <c:pt idx="117">
                <c:v>2938.2138753632366</c:v>
              </c:pt>
              <c:pt idx="118">
                <c:v>5222.157348767616</c:v>
              </c:pt>
              <c:pt idx="119">
                <c:v>9234.4904777212541</c:v>
              </c:pt>
              <c:pt idx="120">
                <c:v>8627.7251145165283</c:v>
              </c:pt>
              <c:pt idx="121">
                <c:v>5820.6922850411556</c:v>
              </c:pt>
              <c:pt idx="122">
                <c:v>5297.145683029541</c:v>
              </c:pt>
              <c:pt idx="123">
                <c:v>3019.6036527938631</c:v>
              </c:pt>
              <c:pt idx="124">
                <c:v>2320.0173636429722</c:v>
              </c:pt>
              <c:pt idx="125">
                <c:v>1987.1423188705221</c:v>
              </c:pt>
              <c:pt idx="126">
                <c:v>1987.1423188705221</c:v>
              </c:pt>
              <c:pt idx="127">
                <c:v>1987.1423188705221</c:v>
              </c:pt>
              <c:pt idx="128">
                <c:v>2120.6581335319993</c:v>
              </c:pt>
              <c:pt idx="129">
                <c:v>3613.5661296611884</c:v>
              </c:pt>
              <c:pt idx="130">
                <c:v>4784.1157376522215</c:v>
              </c:pt>
              <c:pt idx="131">
                <c:v>6061.660895748686</c:v>
              </c:pt>
              <c:pt idx="132">
                <c:v>6844.9231920333104</c:v>
              </c:pt>
              <c:pt idx="133">
                <c:v>6087.2666684234882</c:v>
              </c:pt>
              <c:pt idx="134">
                <c:v>3432.4967371750754</c:v>
              </c:pt>
              <c:pt idx="135">
                <c:v>3394.0880781628694</c:v>
              </c:pt>
              <c:pt idx="136">
                <c:v>2094.5951149165739</c:v>
              </c:pt>
              <c:pt idx="137">
                <c:v>1997.2017295641951</c:v>
              </c:pt>
              <c:pt idx="138">
                <c:v>1987.1423188705221</c:v>
              </c:pt>
              <c:pt idx="139">
                <c:v>1987.1423188705221</c:v>
              </c:pt>
              <c:pt idx="140">
                <c:v>2081.3349826385506</c:v>
              </c:pt>
              <c:pt idx="141">
                <c:v>3423.8090643032665</c:v>
              </c:pt>
              <c:pt idx="142">
                <c:v>6022.3377448552365</c:v>
              </c:pt>
              <c:pt idx="143">
                <c:v>5917.1711785122916</c:v>
              </c:pt>
              <c:pt idx="144">
                <c:v>6938.2013639200959</c:v>
              </c:pt>
              <c:pt idx="145">
                <c:v>6938.6586098607168</c:v>
              </c:pt>
              <c:pt idx="146">
                <c:v>6705.0059342031318</c:v>
              </c:pt>
              <c:pt idx="147">
                <c:v>3369.3967973693088</c:v>
              </c:pt>
              <c:pt idx="148">
                <c:v>2654.2641462372867</c:v>
              </c:pt>
              <c:pt idx="149">
                <c:v>1987.1423188705221</c:v>
              </c:pt>
              <c:pt idx="150">
                <c:v>1987.1423188705221</c:v>
              </c:pt>
              <c:pt idx="151">
                <c:v>1996.7444836235736</c:v>
              </c:pt>
              <c:pt idx="152">
                <c:v>2067.1603584792842</c:v>
              </c:pt>
              <c:pt idx="153">
                <c:v>3138.4875973554526</c:v>
              </c:pt>
              <c:pt idx="154">
                <c:v>6002.6761694085126</c:v>
              </c:pt>
              <c:pt idx="155">
                <c:v>6565.5459223135749</c:v>
              </c:pt>
              <c:pt idx="156">
                <c:v>8984.3769482012976</c:v>
              </c:pt>
              <c:pt idx="157">
                <c:v>6539.0256577575292</c:v>
              </c:pt>
              <c:pt idx="158">
                <c:v>6471.8105044861686</c:v>
              </c:pt>
              <c:pt idx="159">
                <c:v>3263.7729850857427</c:v>
              </c:pt>
              <c:pt idx="160">
                <c:v>2230.3971592811586</c:v>
              </c:pt>
              <c:pt idx="161">
                <c:v>1987.1423188705221</c:v>
              </c:pt>
              <c:pt idx="162">
                <c:v>1987.1423188705221</c:v>
              </c:pt>
              <c:pt idx="163">
                <c:v>1987.1423188705221</c:v>
              </c:pt>
              <c:pt idx="164">
                <c:v>2090.4799014509804</c:v>
              </c:pt>
              <c:pt idx="165">
                <c:v>3004.0572908127324</c:v>
              </c:pt>
              <c:pt idx="166">
                <c:v>6201.5781535788637</c:v>
              </c:pt>
              <c:pt idx="167">
                <c:v>6752.1022660871458</c:v>
              </c:pt>
              <c:pt idx="168">
                <c:v>7990.7815192307826</c:v>
              </c:pt>
              <c:pt idx="169">
                <c:v>8280.6754455848131</c:v>
              </c:pt>
              <c:pt idx="170">
                <c:v>3145.8035324053963</c:v>
              </c:pt>
              <c:pt idx="171">
                <c:v>2135.7472495725087</c:v>
              </c:pt>
              <c:pt idx="172">
                <c:v>1997.2017295641951</c:v>
              </c:pt>
            </c:numLit>
          </c:yVal>
          <c:smooth val="0"/>
          <c:extLst>
            <c:ext xmlns:c16="http://schemas.microsoft.com/office/drawing/2014/chart" uri="{C3380CC4-5D6E-409C-BE32-E72D297353CC}">
              <c16:uniqueId val="{00000001-0AC8-44AE-B32D-5D9907D6A7A8}"/>
            </c:ext>
          </c:extLst>
        </c:ser>
        <c:ser>
          <c:idx val="2"/>
          <c:order val="2"/>
          <c:tx>
            <c:v>Forecast</c:v>
          </c:tx>
          <c:spPr>
            <a:ln w="25400">
              <a:noFill/>
            </a:ln>
          </c:spPr>
          <c:marker>
            <c:symbol val="circle"/>
            <c:size val="7"/>
            <c:spPr>
              <a:solidFill>
                <a:srgbClr val="FF9999"/>
              </a:solidFill>
              <a:ln w="12700">
                <a:solidFill>
                  <a:srgbClr val="FF0000"/>
                </a:solidFill>
                <a:prstDash val="solid"/>
              </a:ln>
            </c:spPr>
          </c:marker>
          <c:errBars>
            <c:errDir val="y"/>
            <c:errBarType val="both"/>
            <c:errValType val="cust"/>
            <c:noEndCap val="0"/>
            <c:plus>
              <c:numRef>
                <c:f>'Com HDD linear model'!$CG$58</c:f>
              </c:numRef>
            </c:plus>
            <c:minus>
              <c:numRef>
                <c:f>'Com HDD linear model'!$CG$58</c:f>
              </c:numRef>
            </c:minus>
          </c:errBars>
          <c:xVal>
            <c:numRef>
              <c:f>'Com HDD linear model'!$A$58:$A$58</c:f>
            </c:numRef>
          </c:xVal>
          <c:yVal>
            <c:numRef>
              <c:f>'Com HDD linear model'!$B$58:$B$58</c:f>
            </c:numRef>
          </c:yVal>
          <c:smooth val="0"/>
          <c:extLst>
            <c:ext xmlns:c16="http://schemas.microsoft.com/office/drawing/2014/chart" uri="{C3380CC4-5D6E-409C-BE32-E72D297353CC}">
              <c16:uniqueId val="{00000002-0AC8-44AE-B32D-5D9907D6A7A8}"/>
            </c:ext>
          </c:extLst>
        </c:ser>
        <c:dLbls>
          <c:showLegendKey val="0"/>
          <c:showVal val="0"/>
          <c:showCatName val="0"/>
          <c:showSerName val="0"/>
          <c:showPercent val="0"/>
          <c:showBubbleSize val="0"/>
        </c:dLbls>
        <c:axId val="233656320"/>
        <c:axId val="233658624"/>
      </c:scatterChart>
      <c:valAx>
        <c:axId val="233656320"/>
        <c:scaling>
          <c:orientation val="minMax"/>
        </c:scaling>
        <c:delete val="0"/>
        <c:axPos val="b"/>
        <c:title>
          <c:tx>
            <c:rich>
              <a:bodyPr/>
              <a:lstStyle/>
              <a:p>
                <a:pPr>
                  <a:defRPr/>
                </a:pPr>
                <a:r>
                  <a:rPr lang="en-US"/>
                  <a:t>Observation #</a:t>
                </a:r>
              </a:p>
            </c:rich>
          </c:tx>
          <c:overlay val="0"/>
        </c:title>
        <c:numFmt formatCode="0" sourceLinked="0"/>
        <c:majorTickMark val="out"/>
        <c:minorTickMark val="none"/>
        <c:tickLblPos val="nextTo"/>
        <c:crossAx val="233658624"/>
        <c:crossesAt val="1000"/>
        <c:crossBetween val="midCat"/>
      </c:valAx>
      <c:valAx>
        <c:axId val="233658624"/>
        <c:scaling>
          <c:orientation val="minMax"/>
          <c:min val="1000"/>
        </c:scaling>
        <c:delete val="0"/>
        <c:axPos val="l"/>
        <c:majorGridlines>
          <c:spPr>
            <a:ln w="3175">
              <a:solidFill>
                <a:srgbClr val="C0C0C0"/>
              </a:solidFill>
              <a:prstDash val="solid"/>
            </a:ln>
          </c:spPr>
        </c:majorGridlines>
        <c:title>
          <c:tx>
            <c:rich>
              <a:bodyPr/>
              <a:lstStyle/>
              <a:p>
                <a:pPr>
                  <a:defRPr/>
                </a:pPr>
                <a:r>
                  <a:rPr lang="en-US"/>
                  <a:t>_Commercial_Natural_Gas</a:t>
                </a:r>
              </a:p>
            </c:rich>
          </c:tx>
          <c:layout>
            <c:manualLayout>
              <c:xMode val="edge"/>
              <c:yMode val="edge"/>
              <c:x val="2.5685931115002919E-2"/>
              <c:y val="0.21829629629629629"/>
            </c:manualLayout>
          </c:layout>
          <c:overlay val="0"/>
        </c:title>
        <c:numFmt formatCode="General" sourceLinked="1"/>
        <c:majorTickMark val="out"/>
        <c:minorTickMark val="none"/>
        <c:tickLblPos val="nextTo"/>
        <c:crossAx val="233656320"/>
        <c:crossesAt val="0"/>
        <c:crossBetween val="midCat"/>
      </c:valAx>
      <c:spPr>
        <a:ln w="6350">
          <a:solidFill>
            <a:srgbClr val="808080"/>
          </a:solidFill>
          <a:prstDash val="solid"/>
        </a:ln>
      </c:spPr>
    </c:plotArea>
    <c:legend>
      <c:legendPos val="r"/>
      <c:overlay val="0"/>
    </c:legend>
    <c:plotVisOnly val="1"/>
    <c:dispBlanksAs val="gap"/>
    <c:showDLblsOverMax val="0"/>
  </c:chart>
  <c:spPr>
    <a:solidFill>
      <a:srgbClr val="F3F3F3"/>
    </a:solidFill>
    <a:ln w="6350">
      <a:solidFill>
        <a:srgbClr val="808080"/>
      </a:solidFill>
      <a:prstDash val="solid"/>
    </a:ln>
  </c:spPr>
  <c:txPr>
    <a:bodyPr/>
    <a:lstStyle/>
    <a:p>
      <a:pPr>
        <a:defRPr sz="1000">
          <a:latin typeface="+mn-lt"/>
          <a:ea typeface="+mn-lt"/>
          <a:cs typeface="+mn-lt"/>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Residual -vs- Observation #
</a:t>
            </a:r>
            <a:r>
              <a:rPr lang="en-US" sz="1000"/>
              <a:t>Com HDD linear model for _Commercial_Natural_Gas    (1 variable, n=173)</a:t>
            </a:r>
          </a:p>
        </c:rich>
      </c:tx>
      <c:overlay val="0"/>
    </c:title>
    <c:autoTitleDeleted val="0"/>
    <c:plotArea>
      <c:layout/>
      <c:barChart>
        <c:barDir val="col"/>
        <c:grouping val="clustered"/>
        <c:varyColors val="0"/>
        <c:ser>
          <c:idx val="0"/>
          <c:order val="0"/>
          <c:tx>
            <c:v>Actual</c:v>
          </c:tx>
          <c:spPr>
            <a:solidFill>
              <a:srgbClr val="9999FF"/>
            </a:solidFill>
            <a:ln w="9525" cap="flat" cmpd="sng" algn="ctr">
              <a:solidFill>
                <a:srgbClr val="0000FF"/>
              </a:solidFill>
              <a:prstDash val="solid"/>
              <a:round/>
              <a:headEnd type="none" w="med" len="med"/>
              <a:tailEnd type="none" w="med" len="med"/>
            </a:ln>
            <a:effectLst/>
          </c:spPr>
          <c:invertIfNegative val="0"/>
          <c:cat>
            <c:numLit>
              <c:formatCode>General</c:formatCode>
              <c:ptCount val="17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172</c:v>
              </c:pt>
              <c:pt idx="171">
                <c:v>173</c:v>
              </c:pt>
              <c:pt idx="172">
                <c:v>174</c:v>
              </c:pt>
            </c:numLit>
          </c:cat>
          <c:val>
            <c:numLit>
              <c:formatCode>General</c:formatCode>
              <c:ptCount val="173"/>
              <c:pt idx="0">
                <c:v>3.6596110771952226</c:v>
              </c:pt>
              <c:pt idx="1">
                <c:v>-487.24947078754485</c:v>
              </c:pt>
              <c:pt idx="2">
                <c:v>-1336.3971555489088</c:v>
              </c:pt>
              <c:pt idx="3">
                <c:v>-291.22493915897758</c:v>
              </c:pt>
              <c:pt idx="4">
                <c:v>-193.13702700313524</c:v>
              </c:pt>
              <c:pt idx="5">
                <c:v>-423.1423188705221</c:v>
              </c:pt>
              <c:pt idx="6">
                <c:v>-418.1423188705221</c:v>
              </c:pt>
              <c:pt idx="7">
                <c:v>-542.1423188705221</c:v>
              </c:pt>
              <c:pt idx="8">
                <c:v>-769.00569790489772</c:v>
              </c:pt>
              <c:pt idx="9">
                <c:v>-1513.7174223443058</c:v>
              </c:pt>
              <c:pt idx="10">
                <c:v>-1233.6366041506017</c:v>
              </c:pt>
              <c:pt idx="11">
                <c:v>-2118.3108054573349</c:v>
              </c:pt>
              <c:pt idx="12">
                <c:v>-1001.8865108734517</c:v>
              </c:pt>
              <c:pt idx="13">
                <c:v>-897.81772032967274</c:v>
              </c:pt>
              <c:pt idx="14">
                <c:v>-472.19426995795766</c:v>
              </c:pt>
              <c:pt idx="15">
                <c:v>-223.53257636211583</c:v>
              </c:pt>
              <c:pt idx="16">
                <c:v>-823.13726703361863</c:v>
              </c:pt>
              <c:pt idx="17">
                <c:v>-105.1423188705221</c:v>
              </c:pt>
              <c:pt idx="18">
                <c:v>-476.1423188705221</c:v>
              </c:pt>
              <c:pt idx="19">
                <c:v>-551.5140566923867</c:v>
              </c:pt>
              <c:pt idx="20">
                <c:v>-366.80028639549414</c:v>
              </c:pt>
              <c:pt idx="21">
                <c:v>-1044.1916258903884</c:v>
              </c:pt>
              <c:pt idx="22">
                <c:v>-2129.3619183042028</c:v>
              </c:pt>
              <c:pt idx="23">
                <c:v>-1586.5411105071562</c:v>
              </c:pt>
              <c:pt idx="24">
                <c:v>-1062.6990170914432</c:v>
              </c:pt>
              <c:pt idx="25">
                <c:v>78.145118449501751</c:v>
              </c:pt>
              <c:pt idx="26">
                <c:v>54.404526903825172</c:v>
              </c:pt>
              <c:pt idx="27">
                <c:v>-337.07557045197791</c:v>
              </c:pt>
              <c:pt idx="28">
                <c:v>-171.35855414518301</c:v>
              </c:pt>
              <c:pt idx="29">
                <c:v>-328.89301035775588</c:v>
              </c:pt>
              <c:pt idx="30">
                <c:v>-427.1423188705221</c:v>
              </c:pt>
              <c:pt idx="31">
                <c:v>-466.1423188705221</c:v>
              </c:pt>
              <c:pt idx="32">
                <c:v>-433.63203610691517</c:v>
              </c:pt>
              <c:pt idx="33">
                <c:v>-636.08807816286935</c:v>
              </c:pt>
              <c:pt idx="34">
                <c:v>-460.06691069332192</c:v>
              </c:pt>
              <c:pt idx="35">
                <c:v>-1691.2026859538792</c:v>
              </c:pt>
              <c:pt idx="36">
                <c:v>-863.85728558758274</c:v>
              </c:pt>
              <c:pt idx="37">
                <c:v>-64.900100587645284</c:v>
              </c:pt>
              <c:pt idx="38">
                <c:v>293.49532688996896</c:v>
              </c:pt>
              <c:pt idx="39">
                <c:v>-88.042257183388756</c:v>
              </c:pt>
              <c:pt idx="40">
                <c:v>5.0933999280518947</c:v>
              </c:pt>
              <c:pt idx="41">
                <c:v>47.857681129477896</c:v>
              </c:pt>
              <c:pt idx="42">
                <c:v>-38.142318870522104</c:v>
              </c:pt>
              <c:pt idx="43">
                <c:v>47.19971360450586</c:v>
              </c:pt>
              <c:pt idx="44">
                <c:v>-32.327766795045591</c:v>
              </c:pt>
              <c:pt idx="45">
                <c:v>-584.74580565735778</c:v>
              </c:pt>
              <c:pt idx="46">
                <c:v>-1430.8925265645394</c:v>
              </c:pt>
              <c:pt idx="47">
                <c:v>-1551.7191025576903</c:v>
              </c:pt>
              <c:pt idx="48">
                <c:v>455.96327844673033</c:v>
              </c:pt>
              <c:pt idx="49">
                <c:v>608.59009670971591</c:v>
              </c:pt>
              <c:pt idx="50">
                <c:v>136.4057307884932</c:v>
              </c:pt>
              <c:pt idx="51">
                <c:v>407.39249925390095</c:v>
              </c:pt>
              <c:pt idx="52">
                <c:v>-72.985974350501237</c:v>
              </c:pt>
              <c:pt idx="53">
                <c:v>79.248300532921576</c:v>
              </c:pt>
              <c:pt idx="54">
                <c:v>-29.142318870522104</c:v>
              </c:pt>
              <c:pt idx="55">
                <c:v>-98.142318870522104</c:v>
              </c:pt>
              <c:pt idx="56">
                <c:v>31.084500138912517</c:v>
              </c:pt>
              <c:pt idx="57">
                <c:v>-660.44983419229402</c:v>
              </c:pt>
              <c:pt idx="58">
                <c:v>-1501.9286057820636</c:v>
              </c:pt>
              <c:pt idx="59">
                <c:v>-1286.0127881347871</c:v>
              </c:pt>
              <c:pt idx="60">
                <c:v>898.59286265865103</c:v>
              </c:pt>
              <c:pt idx="61">
                <c:v>-178.36324033798701</c:v>
              </c:pt>
              <c:pt idx="62">
                <c:v>298.40428687334133</c:v>
              </c:pt>
              <c:pt idx="63">
                <c:v>561.09123592144988</c:v>
              </c:pt>
              <c:pt idx="64">
                <c:v>-65.372143859375683</c:v>
              </c:pt>
              <c:pt idx="65">
                <c:v>241.19971360450586</c:v>
              </c:pt>
              <c:pt idx="66">
                <c:v>150.8576811294779</c:v>
              </c:pt>
              <c:pt idx="67">
                <c:v>20.857681129477896</c:v>
              </c:pt>
              <c:pt idx="68">
                <c:v>103.98540230596291</c:v>
              </c:pt>
              <c:pt idx="69">
                <c:v>-715.81014630656773</c:v>
              </c:pt>
              <c:pt idx="70">
                <c:v>-1071.5829653852834</c:v>
              </c:pt>
              <c:pt idx="71">
                <c:v>-745.71946446954098</c:v>
              </c:pt>
              <c:pt idx="72">
                <c:v>-118.19054015483835</c:v>
              </c:pt>
              <c:pt idx="73">
                <c:v>171.92359130745444</c:v>
              </c:pt>
              <c:pt idx="74">
                <c:v>960.96279465351472</c:v>
              </c:pt>
              <c:pt idx="75">
                <c:v>-121.27545006351102</c:v>
              </c:pt>
              <c:pt idx="76">
                <c:v>174.07259437035464</c:v>
              </c:pt>
              <c:pt idx="77">
                <c:v>135.17000825766945</c:v>
              </c:pt>
              <c:pt idx="78">
                <c:v>9.8576811294778963</c:v>
              </c:pt>
              <c:pt idx="79">
                <c:v>-22.142318870522104</c:v>
              </c:pt>
              <c:pt idx="80">
                <c:v>50.222203107837686</c:v>
              </c:pt>
              <c:pt idx="81">
                <c:v>-311.86631099033821</c:v>
              </c:pt>
              <c:pt idx="82">
                <c:v>-1430.8108663980183</c:v>
              </c:pt>
              <c:pt idx="83">
                <c:v>-674.53485851783444</c:v>
              </c:pt>
              <c:pt idx="84">
                <c:v>-159.55277624523023</c:v>
              </c:pt>
              <c:pt idx="85">
                <c:v>120.68113672634263</c:v>
              </c:pt>
              <c:pt idx="86">
                <c:v>-301.13293528816575</c:v>
              </c:pt>
              <c:pt idx="87">
                <c:v>-385.65608767451522</c:v>
              </c:pt>
              <c:pt idx="88">
                <c:v>20.796346459686902</c:v>
              </c:pt>
              <c:pt idx="89">
                <c:v>10.857681129477896</c:v>
              </c:pt>
              <c:pt idx="90">
                <c:v>-78.142318870522104</c:v>
              </c:pt>
              <c:pt idx="91">
                <c:v>22.857681129477896</c:v>
              </c:pt>
              <c:pt idx="92">
                <c:v>641.66862528320189</c:v>
              </c:pt>
              <c:pt idx="93">
                <c:v>885.55353369897466</c:v>
              </c:pt>
              <c:pt idx="94">
                <c:v>-720.12619950562839</c:v>
              </c:pt>
              <c:pt idx="95">
                <c:v>-163.13810527418627</c:v>
              </c:pt>
              <c:pt idx="96">
                <c:v>897.43086809164288</c:v>
              </c:pt>
              <c:pt idx="97">
                <c:v>226.70531017530902</c:v>
              </c:pt>
              <c:pt idx="98">
                <c:v>211.44649993106941</c:v>
              </c:pt>
              <c:pt idx="99">
                <c:v>-140.72439815732741</c:v>
              </c:pt>
              <c:pt idx="100">
                <c:v>165.93044150685955</c:v>
              </c:pt>
              <c:pt idx="101">
                <c:v>-134.1423188705221</c:v>
              </c:pt>
              <c:pt idx="102">
                <c:v>-4.1423188705221037</c:v>
              </c:pt>
              <c:pt idx="103">
                <c:v>76.857681129477896</c:v>
              </c:pt>
              <c:pt idx="104">
                <c:v>377.35269023325782</c:v>
              </c:pt>
              <c:pt idx="105">
                <c:v>109.71925806910212</c:v>
              </c:pt>
              <c:pt idx="106">
                <c:v>-377.10852180871643</c:v>
              </c:pt>
              <c:pt idx="107">
                <c:v>233.31842057498307</c:v>
              </c:pt>
              <c:pt idx="108">
                <c:v>1142.7762684579393</c:v>
              </c:pt>
              <c:pt idx="109">
                <c:v>1064.2509520649892</c:v>
              </c:pt>
              <c:pt idx="110">
                <c:v>-50.410265202133814</c:v>
              </c:pt>
              <c:pt idx="111">
                <c:v>-196.00233001362903</c:v>
              </c:pt>
              <c:pt idx="112">
                <c:v>198.3832375529114</c:v>
              </c:pt>
              <c:pt idx="113">
                <c:v>-10.142318870522104</c:v>
              </c:pt>
              <c:pt idx="114">
                <c:v>-61.142318870522104</c:v>
              </c:pt>
              <c:pt idx="115">
                <c:v>104.8576811294779</c:v>
              </c:pt>
              <c:pt idx="116">
                <c:v>426.6533516233751</c:v>
              </c:pt>
              <c:pt idx="117">
                <c:v>178.78612463676336</c:v>
              </c:pt>
              <c:pt idx="118">
                <c:v>-32.157348767615986</c:v>
              </c:pt>
              <c:pt idx="119">
                <c:v>1410.5095222787459</c:v>
              </c:pt>
              <c:pt idx="120">
                <c:v>894.27488548347173</c:v>
              </c:pt>
              <c:pt idx="121">
                <c:v>348.30771495884437</c:v>
              </c:pt>
              <c:pt idx="122">
                <c:v>162.85431697045897</c:v>
              </c:pt>
              <c:pt idx="123">
                <c:v>-258.60365279386315</c:v>
              </c:pt>
              <c:pt idx="124">
                <c:v>247.98263635702779</c:v>
              </c:pt>
              <c:pt idx="125">
                <c:v>145.8576811294779</c:v>
              </c:pt>
              <c:pt idx="126">
                <c:v>-7.1423188705221037</c:v>
              </c:pt>
              <c:pt idx="127">
                <c:v>477.8576811294779</c:v>
              </c:pt>
              <c:pt idx="128">
                <c:v>261.34186646800072</c:v>
              </c:pt>
              <c:pt idx="129">
                <c:v>317.43387033881163</c:v>
              </c:pt>
              <c:pt idx="130">
                <c:v>-338.11573765222147</c:v>
              </c:pt>
              <c:pt idx="131">
                <c:v>19.339104251313984</c:v>
              </c:pt>
              <c:pt idx="132">
                <c:v>1227.0768079666896</c:v>
              </c:pt>
              <c:pt idx="133">
                <c:v>495.73333157651177</c:v>
              </c:pt>
              <c:pt idx="134">
                <c:v>112.5032628249246</c:v>
              </c:pt>
              <c:pt idx="135">
                <c:v>-24.088078162869351</c:v>
              </c:pt>
              <c:pt idx="136">
                <c:v>110.40488508342605</c:v>
              </c:pt>
              <c:pt idx="137">
                <c:v>435.79827043580485</c:v>
              </c:pt>
              <c:pt idx="138">
                <c:v>-11.142318870522104</c:v>
              </c:pt>
              <c:pt idx="139">
                <c:v>685.8576811294779</c:v>
              </c:pt>
              <c:pt idx="140">
                <c:v>447.66501736144937</c:v>
              </c:pt>
              <c:pt idx="141">
                <c:v>579.1909356967335</c:v>
              </c:pt>
              <c:pt idx="142">
                <c:v>-336.33774485523645</c:v>
              </c:pt>
              <c:pt idx="143">
                <c:v>-39.17117851229159</c:v>
              </c:pt>
              <c:pt idx="144">
                <c:v>-3.2013639200959005</c:v>
              </c:pt>
              <c:pt idx="145">
                <c:v>216.34139013928325</c:v>
              </c:pt>
              <c:pt idx="146">
                <c:v>547.9940657968682</c:v>
              </c:pt>
              <c:pt idx="147">
                <c:v>20.603202630691158</c:v>
              </c:pt>
              <c:pt idx="148">
                <c:v>420.7358537627133</c:v>
              </c:pt>
              <c:pt idx="149">
                <c:v>393.8576811294779</c:v>
              </c:pt>
              <c:pt idx="150">
                <c:v>625.8576811294779</c:v>
              </c:pt>
              <c:pt idx="151">
                <c:v>614.25551637642639</c:v>
              </c:pt>
              <c:pt idx="152">
                <c:v>805.83964152071576</c:v>
              </c:pt>
              <c:pt idx="153">
                <c:v>730.51240264454736</c:v>
              </c:pt>
              <c:pt idx="154">
                <c:v>412.32383059148742</c:v>
              </c:pt>
              <c:pt idx="155">
                <c:v>134.45407768642508</c:v>
              </c:pt>
              <c:pt idx="156">
                <c:v>2396.6230517987024</c:v>
              </c:pt>
              <c:pt idx="157">
                <c:v>856.97434224247081</c:v>
              </c:pt>
              <c:pt idx="158">
                <c:v>954.18949551383139</c:v>
              </c:pt>
              <c:pt idx="159">
                <c:v>108.22701491425732</c:v>
              </c:pt>
              <c:pt idx="160">
                <c:v>1083.6028407188414</c:v>
              </c:pt>
              <c:pt idx="161">
                <c:v>942.8576811294779</c:v>
              </c:pt>
              <c:pt idx="162">
                <c:v>901.8576811294779</c:v>
              </c:pt>
              <c:pt idx="163">
                <c:v>720.8576811294779</c:v>
              </c:pt>
              <c:pt idx="164">
                <c:v>793.52009854901962</c:v>
              </c:pt>
              <c:pt idx="165">
                <c:v>601.94270918726761</c:v>
              </c:pt>
              <c:pt idx="166">
                <c:v>641.42184642113625</c:v>
              </c:pt>
              <c:pt idx="167">
                <c:v>711.89773391285416</c:v>
              </c:pt>
              <c:pt idx="168">
                <c:v>1509.2184807692174</c:v>
              </c:pt>
              <c:pt idx="169">
                <c:v>2230.3245544151869</c:v>
              </c:pt>
              <c:pt idx="170">
                <c:v>397.19646759460375</c:v>
              </c:pt>
              <c:pt idx="171">
                <c:v>366.25275042749126</c:v>
              </c:pt>
              <c:pt idx="172">
                <c:v>946.79827043580485</c:v>
              </c:pt>
            </c:numLit>
          </c:val>
          <c:extLst>
            <c:ext xmlns:c16="http://schemas.microsoft.com/office/drawing/2014/chart" uri="{C3380CC4-5D6E-409C-BE32-E72D297353CC}">
              <c16:uniqueId val="{00000000-FF9B-455F-83D6-3E1142F93009}"/>
            </c:ext>
          </c:extLst>
        </c:ser>
        <c:dLbls>
          <c:showLegendKey val="0"/>
          <c:showVal val="0"/>
          <c:showCatName val="0"/>
          <c:showSerName val="0"/>
          <c:showPercent val="0"/>
          <c:showBubbleSize val="0"/>
        </c:dLbls>
        <c:gapWidth val="25"/>
        <c:axId val="239198208"/>
        <c:axId val="239200128"/>
      </c:barChart>
      <c:catAx>
        <c:axId val="239198208"/>
        <c:scaling>
          <c:orientation val="minMax"/>
        </c:scaling>
        <c:delete val="0"/>
        <c:axPos val="b"/>
        <c:title>
          <c:tx>
            <c:rich>
              <a:bodyPr/>
              <a:lstStyle/>
              <a:p>
                <a:pPr>
                  <a:defRPr/>
                </a:pPr>
                <a:r>
                  <a:rPr lang="en-US"/>
                  <a:t>Observation #
</a:t>
                </a:r>
                <a:r>
                  <a:rPr lang="en-US" sz="750"/>
                  <a:t>Lag 1 autocorrelation = 0.6,   Durbin-Watson statistic = 0.77</a:t>
                </a:r>
              </a:p>
            </c:rich>
          </c:tx>
          <c:overlay val="0"/>
        </c:title>
        <c:numFmt formatCode="General" sourceLinked="1"/>
        <c:majorTickMark val="none"/>
        <c:minorTickMark val="none"/>
        <c:tickLblPos val="low"/>
        <c:txPr>
          <a:bodyPr rot="-5400000" vert="horz"/>
          <a:lstStyle/>
          <a:p>
            <a:pPr>
              <a:defRPr/>
            </a:pPr>
            <a:endParaRPr lang="en-US"/>
          </a:p>
        </c:txPr>
        <c:crossAx val="239200128"/>
        <c:crossesAt val="0"/>
        <c:auto val="1"/>
        <c:lblAlgn val="ctr"/>
        <c:lblOffset val="100"/>
        <c:noMultiLvlLbl val="0"/>
      </c:catAx>
      <c:valAx>
        <c:axId val="239200128"/>
        <c:scaling>
          <c:orientation val="minMax"/>
        </c:scaling>
        <c:delete val="0"/>
        <c:axPos val="l"/>
        <c:majorGridlines>
          <c:spPr>
            <a:ln w="3175">
              <a:solidFill>
                <a:srgbClr val="C0C0C0"/>
              </a:solidFill>
              <a:prstDash val="solid"/>
            </a:ln>
          </c:spPr>
        </c:majorGridlines>
        <c:title>
          <c:tx>
            <c:rich>
              <a:bodyPr/>
              <a:lstStyle/>
              <a:p>
                <a:pPr>
                  <a:defRPr/>
                </a:pPr>
                <a:r>
                  <a:rPr lang="en-US"/>
                  <a:t>Residual</a:t>
                </a:r>
              </a:p>
            </c:rich>
          </c:tx>
          <c:overlay val="0"/>
        </c:title>
        <c:numFmt formatCode="General" sourceLinked="1"/>
        <c:majorTickMark val="out"/>
        <c:minorTickMark val="none"/>
        <c:tickLblPos val="nextTo"/>
        <c:crossAx val="239198208"/>
        <c:crosses val="autoZero"/>
        <c:crossBetween val="between"/>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Residual -vs- Predicted
</a:t>
            </a:r>
            <a:r>
              <a:rPr lang="en-US" sz="1000"/>
              <a:t>Com HDD linear model for _Commercial_Natural_Gas    (1 variable, n=173)</a:t>
            </a:r>
          </a:p>
        </c:rich>
      </c:tx>
      <c:overlay val="0"/>
    </c:title>
    <c:autoTitleDeleted val="0"/>
    <c:plotArea>
      <c:layout/>
      <c:scatterChart>
        <c:scatterStyle val="lineMarker"/>
        <c:varyColors val="0"/>
        <c:ser>
          <c:idx val="0"/>
          <c:order val="0"/>
          <c:tx>
            <c:v>Actual</c:v>
          </c:tx>
          <c:spPr>
            <a:ln w="25400">
              <a:noFill/>
            </a:ln>
            <a:effectLst/>
          </c:spPr>
          <c:marker>
            <c:symbol val="diamond"/>
            <c:size val="5"/>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173"/>
              <c:pt idx="0">
                <c:v>7808.3403889228048</c:v>
              </c:pt>
              <c:pt idx="1">
                <c:v>5884.2494707875449</c:v>
              </c:pt>
              <c:pt idx="2">
                <c:v>6032.3971555489088</c:v>
              </c:pt>
              <c:pt idx="3">
                <c:v>3494.2249391589776</c:v>
              </c:pt>
              <c:pt idx="4">
                <c:v>2217.1370270031352</c:v>
              </c:pt>
              <c:pt idx="5">
                <c:v>1987.1423188705221</c:v>
              </c:pt>
              <c:pt idx="6">
                <c:v>1987.1423188705221</c:v>
              </c:pt>
              <c:pt idx="7">
                <c:v>1987.1423188705221</c:v>
              </c:pt>
              <c:pt idx="8">
                <c:v>2395.0056979048977</c:v>
              </c:pt>
              <c:pt idx="9">
                <c:v>3777.7174223443058</c:v>
              </c:pt>
              <c:pt idx="10">
                <c:v>4179.6366041506017</c:v>
              </c:pt>
              <c:pt idx="11">
                <c:v>6156.3108054573349</c:v>
              </c:pt>
              <c:pt idx="12">
                <c:v>7315.8865108734517</c:v>
              </c:pt>
              <c:pt idx="13">
                <c:v>6503.8177203296727</c:v>
              </c:pt>
              <c:pt idx="14">
                <c:v>5259.1942699579577</c:v>
              </c:pt>
              <c:pt idx="15">
                <c:v>3084.5325763621158</c:v>
              </c:pt>
              <c:pt idx="16">
                <c:v>2725.1372670336186</c:v>
              </c:pt>
              <c:pt idx="17">
                <c:v>1987.1423188705221</c:v>
              </c:pt>
              <c:pt idx="18">
                <c:v>1987.1423188705221</c:v>
              </c:pt>
              <c:pt idx="19">
                <c:v>1988.5140566923867</c:v>
              </c:pt>
              <c:pt idx="20">
                <c:v>1990.8002863954941</c:v>
              </c:pt>
              <c:pt idx="21">
                <c:v>3473.1916258903884</c:v>
              </c:pt>
              <c:pt idx="22">
                <c:v>5749.3619183042028</c:v>
              </c:pt>
              <c:pt idx="23">
                <c:v>7811.5411105071562</c:v>
              </c:pt>
              <c:pt idx="24">
                <c:v>8638.6990170914432</c:v>
              </c:pt>
              <c:pt idx="25">
                <c:v>7048.8548815504982</c:v>
              </c:pt>
              <c:pt idx="26">
                <c:v>4757.5954730961748</c:v>
              </c:pt>
              <c:pt idx="27">
                <c:v>3592.0755704519779</c:v>
              </c:pt>
              <c:pt idx="28">
                <c:v>2439.358554145183</c:v>
              </c:pt>
              <c:pt idx="29">
                <c:v>2021.8930103577559</c:v>
              </c:pt>
              <c:pt idx="30">
                <c:v>1987.1423188705221</c:v>
              </c:pt>
              <c:pt idx="31">
                <c:v>1987.1423188705221</c:v>
              </c:pt>
              <c:pt idx="32">
                <c:v>2131.6320361069152</c:v>
              </c:pt>
              <c:pt idx="33">
                <c:v>3394.0880781628694</c:v>
              </c:pt>
              <c:pt idx="34">
                <c:v>4314.0669106933219</c:v>
              </c:pt>
              <c:pt idx="35">
                <c:v>7831.2026859538792</c:v>
              </c:pt>
              <c:pt idx="36">
                <c:v>8326.8572855875827</c:v>
              </c:pt>
              <c:pt idx="37">
                <c:v>7502.9001005876453</c:v>
              </c:pt>
              <c:pt idx="38">
                <c:v>4988.504673110031</c:v>
              </c:pt>
              <c:pt idx="39">
                <c:v>3571.0422571833888</c:v>
              </c:pt>
              <c:pt idx="40">
                <c:v>2208.9066000719481</c:v>
              </c:pt>
              <c:pt idx="41">
                <c:v>1987.1423188705221</c:v>
              </c:pt>
              <c:pt idx="42">
                <c:v>1987.1423188705221</c:v>
              </c:pt>
              <c:pt idx="43">
                <c:v>1990.8002863954941</c:v>
              </c:pt>
              <c:pt idx="44">
                <c:v>2049.3277667950456</c:v>
              </c:pt>
              <c:pt idx="45">
                <c:v>2889.7458056573578</c:v>
              </c:pt>
              <c:pt idx="46">
                <c:v>4807.8925265645394</c:v>
              </c:pt>
              <c:pt idx="47">
                <c:v>7333.7191025576903</c:v>
              </c:pt>
              <c:pt idx="48">
                <c:v>7095.0367215532697</c:v>
              </c:pt>
              <c:pt idx="49">
                <c:v>6342.4099032902841</c:v>
              </c:pt>
              <c:pt idx="50">
                <c:v>6019.5942692115068</c:v>
              </c:pt>
              <c:pt idx="51">
                <c:v>3543.607500746099</c:v>
              </c:pt>
              <c:pt idx="52">
                <c:v>2560.9859743505012</c:v>
              </c:pt>
              <c:pt idx="53">
                <c:v>2028.7516994670784</c:v>
              </c:pt>
              <c:pt idx="54">
                <c:v>1987.1423188705221</c:v>
              </c:pt>
              <c:pt idx="55">
                <c:v>1987.1423188705221</c:v>
              </c:pt>
              <c:pt idx="56">
                <c:v>1994.9154998610875</c:v>
              </c:pt>
              <c:pt idx="57">
                <c:v>3224.449834192294</c:v>
              </c:pt>
              <c:pt idx="58">
                <c:v>4967.9286057820636</c:v>
              </c:pt>
              <c:pt idx="59">
                <c:v>7876.0127881347871</c:v>
              </c:pt>
              <c:pt idx="60">
                <c:v>6203.407137341349</c:v>
              </c:pt>
              <c:pt idx="61">
                <c:v>6642.363240337987</c:v>
              </c:pt>
              <c:pt idx="62">
                <c:v>5265.5957131266587</c:v>
              </c:pt>
              <c:pt idx="63">
                <c:v>2978.9087640785501</c:v>
              </c:pt>
              <c:pt idx="64">
                <c:v>2626.3721438593757</c:v>
              </c:pt>
              <c:pt idx="65">
                <c:v>1990.8002863954941</c:v>
              </c:pt>
              <c:pt idx="66">
                <c:v>1987.1423188705221</c:v>
              </c:pt>
              <c:pt idx="67">
                <c:v>1987.1423188705221</c:v>
              </c:pt>
              <c:pt idx="68">
                <c:v>2181.0145976940371</c:v>
              </c:pt>
              <c:pt idx="69">
                <c:v>3808.8101463065677</c:v>
              </c:pt>
              <c:pt idx="70">
                <c:v>4955.5829653852834</c:v>
              </c:pt>
              <c:pt idx="71">
                <c:v>6194.719464469541</c:v>
              </c:pt>
              <c:pt idx="72">
                <c:v>6890.1905401548383</c:v>
              </c:pt>
              <c:pt idx="73">
                <c:v>7271.0764086925456</c:v>
              </c:pt>
              <c:pt idx="74">
                <c:v>4309.0372053464853</c:v>
              </c:pt>
              <c:pt idx="75">
                <c:v>3718.275450063511</c:v>
              </c:pt>
              <c:pt idx="76">
                <c:v>2427.9274056296454</c:v>
              </c:pt>
              <c:pt idx="77">
                <c:v>1995.8299917423305</c:v>
              </c:pt>
              <c:pt idx="78">
                <c:v>1987.1423188705221</c:v>
              </c:pt>
              <c:pt idx="79">
                <c:v>1987.1423188705221</c:v>
              </c:pt>
              <c:pt idx="80">
                <c:v>2017.7777968921623</c:v>
              </c:pt>
              <c:pt idx="81">
                <c:v>2663.8663109903382</c:v>
              </c:pt>
              <c:pt idx="82">
                <c:v>5332.8108663980183</c:v>
              </c:pt>
              <c:pt idx="83">
                <c:v>6009.5348585178344</c:v>
              </c:pt>
              <c:pt idx="84">
                <c:v>7736.5527762452302</c:v>
              </c:pt>
              <c:pt idx="85">
                <c:v>6065.3188632736574</c:v>
              </c:pt>
              <c:pt idx="86">
                <c:v>4987.1329352881658</c:v>
              </c:pt>
              <c:pt idx="87">
                <c:v>3505.6560876745152</c:v>
              </c:pt>
              <c:pt idx="88">
                <c:v>2259.2036535403131</c:v>
              </c:pt>
              <c:pt idx="89">
                <c:v>1987.1423188705221</c:v>
              </c:pt>
              <c:pt idx="90">
                <c:v>1987.1423188705221</c:v>
              </c:pt>
              <c:pt idx="91">
                <c:v>1987.1423188705221</c:v>
              </c:pt>
              <c:pt idx="92">
                <c:v>2065.3313747167981</c:v>
              </c:pt>
              <c:pt idx="93">
                <c:v>3716.4464663010253</c:v>
              </c:pt>
              <c:pt idx="94">
                <c:v>5971.1261995056284</c:v>
              </c:pt>
              <c:pt idx="95">
                <c:v>6404.1381052741863</c:v>
              </c:pt>
              <c:pt idx="96">
                <c:v>8062.5691319083571</c:v>
              </c:pt>
              <c:pt idx="97">
                <c:v>6338.294689824691</c:v>
              </c:pt>
              <c:pt idx="98">
                <c:v>5458.5535000689306</c:v>
              </c:pt>
              <c:pt idx="99">
                <c:v>3301.7243981573274</c:v>
              </c:pt>
              <c:pt idx="100">
                <c:v>2298.0695584931404</c:v>
              </c:pt>
              <c:pt idx="101">
                <c:v>1987.1423188705221</c:v>
              </c:pt>
              <c:pt idx="102">
                <c:v>1987.1423188705221</c:v>
              </c:pt>
              <c:pt idx="103">
                <c:v>1987.1423188705221</c:v>
              </c:pt>
              <c:pt idx="104">
                <c:v>2072.6473097667422</c:v>
              </c:pt>
              <c:pt idx="105">
                <c:v>3488.2807419308979</c:v>
              </c:pt>
              <c:pt idx="106">
                <c:v>4752.1085218087164</c:v>
              </c:pt>
              <c:pt idx="107">
                <c:v>7927.6815794250169</c:v>
              </c:pt>
              <c:pt idx="108">
                <c:v>8558.2237315420607</c:v>
              </c:pt>
              <c:pt idx="109">
                <c:v>7846.7490479350108</c:v>
              </c:pt>
              <c:pt idx="110">
                <c:v>5203.4102652021338</c:v>
              </c:pt>
              <c:pt idx="111">
                <c:v>2887.002330013629</c:v>
              </c:pt>
              <c:pt idx="112">
                <c:v>2190.6167624470886</c:v>
              </c:pt>
              <c:pt idx="113">
                <c:v>1987.1423188705221</c:v>
              </c:pt>
              <c:pt idx="114">
                <c:v>1987.1423188705221</c:v>
              </c:pt>
              <c:pt idx="115">
                <c:v>1987.1423188705221</c:v>
              </c:pt>
              <c:pt idx="116">
                <c:v>2006.3466483766249</c:v>
              </c:pt>
              <c:pt idx="117">
                <c:v>2938.2138753632366</c:v>
              </c:pt>
              <c:pt idx="118">
                <c:v>5222.157348767616</c:v>
              </c:pt>
              <c:pt idx="119">
                <c:v>9234.4904777212541</c:v>
              </c:pt>
              <c:pt idx="120">
                <c:v>8627.7251145165283</c:v>
              </c:pt>
              <c:pt idx="121">
                <c:v>5820.6922850411556</c:v>
              </c:pt>
              <c:pt idx="122">
                <c:v>5297.145683029541</c:v>
              </c:pt>
              <c:pt idx="123">
                <c:v>3019.6036527938631</c:v>
              </c:pt>
              <c:pt idx="124">
                <c:v>2320.0173636429722</c:v>
              </c:pt>
              <c:pt idx="125">
                <c:v>1987.1423188705221</c:v>
              </c:pt>
              <c:pt idx="126">
                <c:v>1987.1423188705221</c:v>
              </c:pt>
              <c:pt idx="127">
                <c:v>1987.1423188705221</c:v>
              </c:pt>
              <c:pt idx="128">
                <c:v>2120.6581335319993</c:v>
              </c:pt>
              <c:pt idx="129">
                <c:v>3613.5661296611884</c:v>
              </c:pt>
              <c:pt idx="130">
                <c:v>4784.1157376522215</c:v>
              </c:pt>
              <c:pt idx="131">
                <c:v>6061.660895748686</c:v>
              </c:pt>
              <c:pt idx="132">
                <c:v>6844.9231920333104</c:v>
              </c:pt>
              <c:pt idx="133">
                <c:v>6087.2666684234882</c:v>
              </c:pt>
              <c:pt idx="134">
                <c:v>3432.4967371750754</c:v>
              </c:pt>
              <c:pt idx="135">
                <c:v>3394.0880781628694</c:v>
              </c:pt>
              <c:pt idx="136">
                <c:v>2094.5951149165739</c:v>
              </c:pt>
              <c:pt idx="137">
                <c:v>1997.2017295641951</c:v>
              </c:pt>
              <c:pt idx="138">
                <c:v>1987.1423188705221</c:v>
              </c:pt>
              <c:pt idx="139">
                <c:v>1987.1423188705221</c:v>
              </c:pt>
              <c:pt idx="140">
                <c:v>2081.3349826385506</c:v>
              </c:pt>
              <c:pt idx="141">
                <c:v>3423.8090643032665</c:v>
              </c:pt>
              <c:pt idx="142">
                <c:v>6022.3377448552365</c:v>
              </c:pt>
              <c:pt idx="143">
                <c:v>5917.1711785122916</c:v>
              </c:pt>
              <c:pt idx="144">
                <c:v>6938.2013639200959</c:v>
              </c:pt>
              <c:pt idx="145">
                <c:v>6938.6586098607168</c:v>
              </c:pt>
              <c:pt idx="146">
                <c:v>6705.0059342031318</c:v>
              </c:pt>
              <c:pt idx="147">
                <c:v>3369.3967973693088</c:v>
              </c:pt>
              <c:pt idx="148">
                <c:v>2654.2641462372867</c:v>
              </c:pt>
              <c:pt idx="149">
                <c:v>1987.1423188705221</c:v>
              </c:pt>
              <c:pt idx="150">
                <c:v>1987.1423188705221</c:v>
              </c:pt>
              <c:pt idx="151">
                <c:v>1996.7444836235736</c:v>
              </c:pt>
              <c:pt idx="152">
                <c:v>2067.1603584792842</c:v>
              </c:pt>
              <c:pt idx="153">
                <c:v>3138.4875973554526</c:v>
              </c:pt>
              <c:pt idx="154">
                <c:v>6002.6761694085126</c:v>
              </c:pt>
              <c:pt idx="155">
                <c:v>6565.5459223135749</c:v>
              </c:pt>
              <c:pt idx="156">
                <c:v>8984.3769482012976</c:v>
              </c:pt>
              <c:pt idx="157">
                <c:v>6539.0256577575292</c:v>
              </c:pt>
              <c:pt idx="158">
                <c:v>6471.8105044861686</c:v>
              </c:pt>
              <c:pt idx="159">
                <c:v>3263.7729850857427</c:v>
              </c:pt>
              <c:pt idx="160">
                <c:v>2230.3971592811586</c:v>
              </c:pt>
              <c:pt idx="161">
                <c:v>1987.1423188705221</c:v>
              </c:pt>
              <c:pt idx="162">
                <c:v>1987.1423188705221</c:v>
              </c:pt>
              <c:pt idx="163">
                <c:v>1987.1423188705221</c:v>
              </c:pt>
              <c:pt idx="164">
                <c:v>2090.4799014509804</c:v>
              </c:pt>
              <c:pt idx="165">
                <c:v>3004.0572908127324</c:v>
              </c:pt>
              <c:pt idx="166">
                <c:v>6201.5781535788637</c:v>
              </c:pt>
              <c:pt idx="167">
                <c:v>6752.1022660871458</c:v>
              </c:pt>
              <c:pt idx="168">
                <c:v>7990.7815192307826</c:v>
              </c:pt>
              <c:pt idx="169">
                <c:v>8280.6754455848131</c:v>
              </c:pt>
              <c:pt idx="170">
                <c:v>3145.8035324053963</c:v>
              </c:pt>
              <c:pt idx="171">
                <c:v>2135.7472495725087</c:v>
              </c:pt>
              <c:pt idx="172">
                <c:v>1997.2017295641951</c:v>
              </c:pt>
            </c:numLit>
          </c:xVal>
          <c:yVal>
            <c:numLit>
              <c:formatCode>General</c:formatCode>
              <c:ptCount val="173"/>
              <c:pt idx="0">
                <c:v>3.6596110771952226</c:v>
              </c:pt>
              <c:pt idx="1">
                <c:v>-487.24947078754485</c:v>
              </c:pt>
              <c:pt idx="2">
                <c:v>-1336.3971555489088</c:v>
              </c:pt>
              <c:pt idx="3">
                <c:v>-291.22493915897758</c:v>
              </c:pt>
              <c:pt idx="4">
                <c:v>-193.13702700313524</c:v>
              </c:pt>
              <c:pt idx="5">
                <c:v>-423.1423188705221</c:v>
              </c:pt>
              <c:pt idx="6">
                <c:v>-418.1423188705221</c:v>
              </c:pt>
              <c:pt idx="7">
                <c:v>-542.1423188705221</c:v>
              </c:pt>
              <c:pt idx="8">
                <c:v>-769.00569790489772</c:v>
              </c:pt>
              <c:pt idx="9">
                <c:v>-1513.7174223443058</c:v>
              </c:pt>
              <c:pt idx="10">
                <c:v>-1233.6366041506017</c:v>
              </c:pt>
              <c:pt idx="11">
                <c:v>-2118.3108054573349</c:v>
              </c:pt>
              <c:pt idx="12">
                <c:v>-1001.8865108734517</c:v>
              </c:pt>
              <c:pt idx="13">
                <c:v>-897.81772032967274</c:v>
              </c:pt>
              <c:pt idx="14">
                <c:v>-472.19426995795766</c:v>
              </c:pt>
              <c:pt idx="15">
                <c:v>-223.53257636211583</c:v>
              </c:pt>
              <c:pt idx="16">
                <c:v>-823.13726703361863</c:v>
              </c:pt>
              <c:pt idx="17">
                <c:v>-105.1423188705221</c:v>
              </c:pt>
              <c:pt idx="18">
                <c:v>-476.1423188705221</c:v>
              </c:pt>
              <c:pt idx="19">
                <c:v>-551.5140566923867</c:v>
              </c:pt>
              <c:pt idx="20">
                <c:v>-366.80028639549414</c:v>
              </c:pt>
              <c:pt idx="21">
                <c:v>-1044.1916258903884</c:v>
              </c:pt>
              <c:pt idx="22">
                <c:v>-2129.3619183042028</c:v>
              </c:pt>
              <c:pt idx="23">
                <c:v>-1586.5411105071562</c:v>
              </c:pt>
              <c:pt idx="24">
                <c:v>-1062.6990170914432</c:v>
              </c:pt>
              <c:pt idx="25">
                <c:v>78.145118449501751</c:v>
              </c:pt>
              <c:pt idx="26">
                <c:v>54.404526903825172</c:v>
              </c:pt>
              <c:pt idx="27">
                <c:v>-337.07557045197791</c:v>
              </c:pt>
              <c:pt idx="28">
                <c:v>-171.35855414518301</c:v>
              </c:pt>
              <c:pt idx="29">
                <c:v>-328.89301035775588</c:v>
              </c:pt>
              <c:pt idx="30">
                <c:v>-427.1423188705221</c:v>
              </c:pt>
              <c:pt idx="31">
                <c:v>-466.1423188705221</c:v>
              </c:pt>
              <c:pt idx="32">
                <c:v>-433.63203610691517</c:v>
              </c:pt>
              <c:pt idx="33">
                <c:v>-636.08807816286935</c:v>
              </c:pt>
              <c:pt idx="34">
                <c:v>-460.06691069332192</c:v>
              </c:pt>
              <c:pt idx="35">
                <c:v>-1691.2026859538792</c:v>
              </c:pt>
              <c:pt idx="36">
                <c:v>-863.85728558758274</c:v>
              </c:pt>
              <c:pt idx="37">
                <c:v>-64.900100587645284</c:v>
              </c:pt>
              <c:pt idx="38">
                <c:v>293.49532688996896</c:v>
              </c:pt>
              <c:pt idx="39">
                <c:v>-88.042257183388756</c:v>
              </c:pt>
              <c:pt idx="40">
                <c:v>5.0933999280518947</c:v>
              </c:pt>
              <c:pt idx="41">
                <c:v>47.857681129477896</c:v>
              </c:pt>
              <c:pt idx="42">
                <c:v>-38.142318870522104</c:v>
              </c:pt>
              <c:pt idx="43">
                <c:v>47.19971360450586</c:v>
              </c:pt>
              <c:pt idx="44">
                <c:v>-32.327766795045591</c:v>
              </c:pt>
              <c:pt idx="45">
                <c:v>-584.74580565735778</c:v>
              </c:pt>
              <c:pt idx="46">
                <c:v>-1430.8925265645394</c:v>
              </c:pt>
              <c:pt idx="47">
                <c:v>-1551.7191025576903</c:v>
              </c:pt>
              <c:pt idx="48">
                <c:v>455.96327844673033</c:v>
              </c:pt>
              <c:pt idx="49">
                <c:v>608.59009670971591</c:v>
              </c:pt>
              <c:pt idx="50">
                <c:v>136.4057307884932</c:v>
              </c:pt>
              <c:pt idx="51">
                <c:v>407.39249925390095</c:v>
              </c:pt>
              <c:pt idx="52">
                <c:v>-72.985974350501237</c:v>
              </c:pt>
              <c:pt idx="53">
                <c:v>79.248300532921576</c:v>
              </c:pt>
              <c:pt idx="54">
                <c:v>-29.142318870522104</c:v>
              </c:pt>
              <c:pt idx="55">
                <c:v>-98.142318870522104</c:v>
              </c:pt>
              <c:pt idx="56">
                <c:v>31.084500138912517</c:v>
              </c:pt>
              <c:pt idx="57">
                <c:v>-660.44983419229402</c:v>
              </c:pt>
              <c:pt idx="58">
                <c:v>-1501.9286057820636</c:v>
              </c:pt>
              <c:pt idx="59">
                <c:v>-1286.0127881347871</c:v>
              </c:pt>
              <c:pt idx="60">
                <c:v>898.59286265865103</c:v>
              </c:pt>
              <c:pt idx="61">
                <c:v>-178.36324033798701</c:v>
              </c:pt>
              <c:pt idx="62">
                <c:v>298.40428687334133</c:v>
              </c:pt>
              <c:pt idx="63">
                <c:v>561.09123592144988</c:v>
              </c:pt>
              <c:pt idx="64">
                <c:v>-65.372143859375683</c:v>
              </c:pt>
              <c:pt idx="65">
                <c:v>241.19971360450586</c:v>
              </c:pt>
              <c:pt idx="66">
                <c:v>150.8576811294779</c:v>
              </c:pt>
              <c:pt idx="67">
                <c:v>20.857681129477896</c:v>
              </c:pt>
              <c:pt idx="68">
                <c:v>103.98540230596291</c:v>
              </c:pt>
              <c:pt idx="69">
                <c:v>-715.81014630656773</c:v>
              </c:pt>
              <c:pt idx="70">
                <c:v>-1071.5829653852834</c:v>
              </c:pt>
              <c:pt idx="71">
                <c:v>-745.71946446954098</c:v>
              </c:pt>
              <c:pt idx="72">
                <c:v>-118.19054015483835</c:v>
              </c:pt>
              <c:pt idx="73">
                <c:v>171.92359130745444</c:v>
              </c:pt>
              <c:pt idx="74">
                <c:v>960.96279465351472</c:v>
              </c:pt>
              <c:pt idx="75">
                <c:v>-121.27545006351102</c:v>
              </c:pt>
              <c:pt idx="76">
                <c:v>174.07259437035464</c:v>
              </c:pt>
              <c:pt idx="77">
                <c:v>135.17000825766945</c:v>
              </c:pt>
              <c:pt idx="78">
                <c:v>9.8576811294778963</c:v>
              </c:pt>
              <c:pt idx="79">
                <c:v>-22.142318870522104</c:v>
              </c:pt>
              <c:pt idx="80">
                <c:v>50.222203107837686</c:v>
              </c:pt>
              <c:pt idx="81">
                <c:v>-311.86631099033821</c:v>
              </c:pt>
              <c:pt idx="82">
                <c:v>-1430.8108663980183</c:v>
              </c:pt>
              <c:pt idx="83">
                <c:v>-674.53485851783444</c:v>
              </c:pt>
              <c:pt idx="84">
                <c:v>-159.55277624523023</c:v>
              </c:pt>
              <c:pt idx="85">
                <c:v>120.68113672634263</c:v>
              </c:pt>
              <c:pt idx="86">
                <c:v>-301.13293528816575</c:v>
              </c:pt>
              <c:pt idx="87">
                <c:v>-385.65608767451522</c:v>
              </c:pt>
              <c:pt idx="88">
                <c:v>20.796346459686902</c:v>
              </c:pt>
              <c:pt idx="89">
                <c:v>10.857681129477896</c:v>
              </c:pt>
              <c:pt idx="90">
                <c:v>-78.142318870522104</c:v>
              </c:pt>
              <c:pt idx="91">
                <c:v>22.857681129477896</c:v>
              </c:pt>
              <c:pt idx="92">
                <c:v>641.66862528320189</c:v>
              </c:pt>
              <c:pt idx="93">
                <c:v>885.55353369897466</c:v>
              </c:pt>
              <c:pt idx="94">
                <c:v>-720.12619950562839</c:v>
              </c:pt>
              <c:pt idx="95">
                <c:v>-163.13810527418627</c:v>
              </c:pt>
              <c:pt idx="96">
                <c:v>897.43086809164288</c:v>
              </c:pt>
              <c:pt idx="97">
                <c:v>226.70531017530902</c:v>
              </c:pt>
              <c:pt idx="98">
                <c:v>211.44649993106941</c:v>
              </c:pt>
              <c:pt idx="99">
                <c:v>-140.72439815732741</c:v>
              </c:pt>
              <c:pt idx="100">
                <c:v>165.93044150685955</c:v>
              </c:pt>
              <c:pt idx="101">
                <c:v>-134.1423188705221</c:v>
              </c:pt>
              <c:pt idx="102">
                <c:v>-4.1423188705221037</c:v>
              </c:pt>
              <c:pt idx="103">
                <c:v>76.857681129477896</c:v>
              </c:pt>
              <c:pt idx="104">
                <c:v>377.35269023325782</c:v>
              </c:pt>
              <c:pt idx="105">
                <c:v>109.71925806910212</c:v>
              </c:pt>
              <c:pt idx="106">
                <c:v>-377.10852180871643</c:v>
              </c:pt>
              <c:pt idx="107">
                <c:v>233.31842057498307</c:v>
              </c:pt>
              <c:pt idx="108">
                <c:v>1142.7762684579393</c:v>
              </c:pt>
              <c:pt idx="109">
                <c:v>1064.2509520649892</c:v>
              </c:pt>
              <c:pt idx="110">
                <c:v>-50.410265202133814</c:v>
              </c:pt>
              <c:pt idx="111">
                <c:v>-196.00233001362903</c:v>
              </c:pt>
              <c:pt idx="112">
                <c:v>198.3832375529114</c:v>
              </c:pt>
              <c:pt idx="113">
                <c:v>-10.142318870522104</c:v>
              </c:pt>
              <c:pt idx="114">
                <c:v>-61.142318870522104</c:v>
              </c:pt>
              <c:pt idx="115">
                <c:v>104.8576811294779</c:v>
              </c:pt>
              <c:pt idx="116">
                <c:v>426.6533516233751</c:v>
              </c:pt>
              <c:pt idx="117">
                <c:v>178.78612463676336</c:v>
              </c:pt>
              <c:pt idx="118">
                <c:v>-32.157348767615986</c:v>
              </c:pt>
              <c:pt idx="119">
                <c:v>1410.5095222787459</c:v>
              </c:pt>
              <c:pt idx="120">
                <c:v>894.27488548347173</c:v>
              </c:pt>
              <c:pt idx="121">
                <c:v>348.30771495884437</c:v>
              </c:pt>
              <c:pt idx="122">
                <c:v>162.85431697045897</c:v>
              </c:pt>
              <c:pt idx="123">
                <c:v>-258.60365279386315</c:v>
              </c:pt>
              <c:pt idx="124">
                <c:v>247.98263635702779</c:v>
              </c:pt>
              <c:pt idx="125">
                <c:v>145.8576811294779</c:v>
              </c:pt>
              <c:pt idx="126">
                <c:v>-7.1423188705221037</c:v>
              </c:pt>
              <c:pt idx="127">
                <c:v>477.8576811294779</c:v>
              </c:pt>
              <c:pt idx="128">
                <c:v>261.34186646800072</c:v>
              </c:pt>
              <c:pt idx="129">
                <c:v>317.43387033881163</c:v>
              </c:pt>
              <c:pt idx="130">
                <c:v>-338.11573765222147</c:v>
              </c:pt>
              <c:pt idx="131">
                <c:v>19.339104251313984</c:v>
              </c:pt>
              <c:pt idx="132">
                <c:v>1227.0768079666896</c:v>
              </c:pt>
              <c:pt idx="133">
                <c:v>495.73333157651177</c:v>
              </c:pt>
              <c:pt idx="134">
                <c:v>112.5032628249246</c:v>
              </c:pt>
              <c:pt idx="135">
                <c:v>-24.088078162869351</c:v>
              </c:pt>
              <c:pt idx="136">
                <c:v>110.40488508342605</c:v>
              </c:pt>
              <c:pt idx="137">
                <c:v>435.79827043580485</c:v>
              </c:pt>
              <c:pt idx="138">
                <c:v>-11.142318870522104</c:v>
              </c:pt>
              <c:pt idx="139">
                <c:v>685.8576811294779</c:v>
              </c:pt>
              <c:pt idx="140">
                <c:v>447.66501736144937</c:v>
              </c:pt>
              <c:pt idx="141">
                <c:v>579.1909356967335</c:v>
              </c:pt>
              <c:pt idx="142">
                <c:v>-336.33774485523645</c:v>
              </c:pt>
              <c:pt idx="143">
                <c:v>-39.17117851229159</c:v>
              </c:pt>
              <c:pt idx="144">
                <c:v>-3.2013639200959005</c:v>
              </c:pt>
              <c:pt idx="145">
                <c:v>216.34139013928325</c:v>
              </c:pt>
              <c:pt idx="146">
                <c:v>547.9940657968682</c:v>
              </c:pt>
              <c:pt idx="147">
                <c:v>20.603202630691158</c:v>
              </c:pt>
              <c:pt idx="148">
                <c:v>420.7358537627133</c:v>
              </c:pt>
              <c:pt idx="149">
                <c:v>393.8576811294779</c:v>
              </c:pt>
              <c:pt idx="150">
                <c:v>625.8576811294779</c:v>
              </c:pt>
              <c:pt idx="151">
                <c:v>614.25551637642639</c:v>
              </c:pt>
              <c:pt idx="152">
                <c:v>805.83964152071576</c:v>
              </c:pt>
              <c:pt idx="153">
                <c:v>730.51240264454736</c:v>
              </c:pt>
              <c:pt idx="154">
                <c:v>412.32383059148742</c:v>
              </c:pt>
              <c:pt idx="155">
                <c:v>134.45407768642508</c:v>
              </c:pt>
              <c:pt idx="156">
                <c:v>2396.6230517987024</c:v>
              </c:pt>
              <c:pt idx="157">
                <c:v>856.97434224247081</c:v>
              </c:pt>
              <c:pt idx="158">
                <c:v>954.18949551383139</c:v>
              </c:pt>
              <c:pt idx="159">
                <c:v>108.22701491425732</c:v>
              </c:pt>
              <c:pt idx="160">
                <c:v>1083.6028407188414</c:v>
              </c:pt>
              <c:pt idx="161">
                <c:v>942.8576811294779</c:v>
              </c:pt>
              <c:pt idx="162">
                <c:v>901.8576811294779</c:v>
              </c:pt>
              <c:pt idx="163">
                <c:v>720.8576811294779</c:v>
              </c:pt>
              <c:pt idx="164">
                <c:v>793.52009854901962</c:v>
              </c:pt>
              <c:pt idx="165">
                <c:v>601.94270918726761</c:v>
              </c:pt>
              <c:pt idx="166">
                <c:v>641.42184642113625</c:v>
              </c:pt>
              <c:pt idx="167">
                <c:v>711.89773391285416</c:v>
              </c:pt>
              <c:pt idx="168">
                <c:v>1509.2184807692174</c:v>
              </c:pt>
              <c:pt idx="169">
                <c:v>2230.3245544151869</c:v>
              </c:pt>
              <c:pt idx="170">
                <c:v>397.19646759460375</c:v>
              </c:pt>
              <c:pt idx="171">
                <c:v>366.25275042749126</c:v>
              </c:pt>
              <c:pt idx="172">
                <c:v>946.79827043580485</c:v>
              </c:pt>
            </c:numLit>
          </c:yVal>
          <c:smooth val="0"/>
          <c:extLst>
            <c:ext xmlns:c16="http://schemas.microsoft.com/office/drawing/2014/chart" uri="{C3380CC4-5D6E-409C-BE32-E72D297353CC}">
              <c16:uniqueId val="{00000000-897E-4C50-880C-DACD4A6744E6}"/>
            </c:ext>
          </c:extLst>
        </c:ser>
        <c:dLbls>
          <c:showLegendKey val="0"/>
          <c:showVal val="0"/>
          <c:showCatName val="0"/>
          <c:showSerName val="0"/>
          <c:showPercent val="0"/>
          <c:showBubbleSize val="0"/>
        </c:dLbls>
        <c:axId val="337492992"/>
        <c:axId val="405797888"/>
      </c:scatterChart>
      <c:valAx>
        <c:axId val="337492992"/>
        <c:scaling>
          <c:orientation val="minMax"/>
          <c:min val="1000"/>
        </c:scaling>
        <c:delete val="0"/>
        <c:axPos val="b"/>
        <c:title>
          <c:tx>
            <c:rich>
              <a:bodyPr/>
              <a:lstStyle/>
              <a:p>
                <a:pPr>
                  <a:defRPr/>
                </a:pPr>
                <a:r>
                  <a:rPr lang="en-US"/>
                  <a:t>Predicted</a:t>
                </a:r>
              </a:p>
            </c:rich>
          </c:tx>
          <c:overlay val="0"/>
        </c:title>
        <c:numFmt formatCode="General" sourceLinked="1"/>
        <c:majorTickMark val="out"/>
        <c:minorTickMark val="none"/>
        <c:tickLblPos val="nextTo"/>
        <c:crossAx val="405797888"/>
        <c:crossesAt val="-3000"/>
        <c:crossBetween val="midCat"/>
      </c:valAx>
      <c:valAx>
        <c:axId val="405797888"/>
        <c:scaling>
          <c:orientation val="minMax"/>
        </c:scaling>
        <c:delete val="0"/>
        <c:axPos val="l"/>
        <c:majorGridlines>
          <c:spPr>
            <a:ln w="3175">
              <a:solidFill>
                <a:srgbClr val="C0C0C0"/>
              </a:solidFill>
              <a:prstDash val="solid"/>
            </a:ln>
          </c:spPr>
        </c:majorGridlines>
        <c:title>
          <c:tx>
            <c:rich>
              <a:bodyPr/>
              <a:lstStyle/>
              <a:p>
                <a:pPr>
                  <a:defRPr/>
                </a:pPr>
                <a:r>
                  <a:rPr lang="en-US"/>
                  <a:t>Residual</a:t>
                </a:r>
              </a:p>
            </c:rich>
          </c:tx>
          <c:overlay val="0"/>
        </c:title>
        <c:numFmt formatCode="General" sourceLinked="1"/>
        <c:majorTickMark val="out"/>
        <c:minorTickMark val="none"/>
        <c:tickLblPos val="nextTo"/>
        <c:crossAx val="337492992"/>
        <c:crossesAt val="0"/>
        <c:crossBetween val="midCat"/>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Histogram of Residuals
</a:t>
            </a:r>
            <a:r>
              <a:rPr lang="en-US" sz="1000"/>
              <a:t>Com HDD linear model for _Commercial_Natural_Gas    (1 variable, n=173)</a:t>
            </a:r>
          </a:p>
        </c:rich>
      </c:tx>
      <c:overlay val="0"/>
    </c:title>
    <c:autoTitleDeleted val="0"/>
    <c:plotArea>
      <c:layout/>
      <c:barChart>
        <c:barDir val="col"/>
        <c:grouping val="clustered"/>
        <c:varyColors val="0"/>
        <c:ser>
          <c:idx val="0"/>
          <c:order val="0"/>
          <c:tx>
            <c:v>Actual</c:v>
          </c:tx>
          <c:spPr>
            <a:solidFill>
              <a:srgbClr val="9999FF"/>
            </a:solidFill>
            <a:ln w="9525" cap="flat" cmpd="sng" algn="ctr">
              <a:solidFill>
                <a:srgbClr val="0000FF"/>
              </a:solidFill>
              <a:prstDash val="solid"/>
              <a:round/>
              <a:headEnd type="none" w="med" len="med"/>
              <a:tailEnd type="none" w="med" len="med"/>
            </a:ln>
          </c:spPr>
          <c:invertIfNegative val="0"/>
          <c:cat>
            <c:strLit>
              <c:ptCount val="21"/>
              <c:pt idx="0">
                <c:v>-2,400</c:v>
              </c:pt>
              <c:pt idx="1">
                <c:v>-2,160</c:v>
              </c:pt>
              <c:pt idx="2">
                <c:v>-1,920</c:v>
              </c:pt>
              <c:pt idx="3">
                <c:v>-1,680</c:v>
              </c:pt>
              <c:pt idx="4">
                <c:v>-1,440</c:v>
              </c:pt>
              <c:pt idx="5">
                <c:v>-1,200</c:v>
              </c:pt>
              <c:pt idx="6">
                <c:v>-960</c:v>
              </c:pt>
              <c:pt idx="7">
                <c:v>-720</c:v>
              </c:pt>
              <c:pt idx="8">
                <c:v>-480</c:v>
              </c:pt>
              <c:pt idx="9">
                <c:v>-240</c:v>
              </c:pt>
              <c:pt idx="10">
                <c:v>0</c:v>
              </c:pt>
              <c:pt idx="11">
                <c:v>240</c:v>
              </c:pt>
              <c:pt idx="12">
                <c:v>480</c:v>
              </c:pt>
              <c:pt idx="13">
                <c:v>720</c:v>
              </c:pt>
              <c:pt idx="14">
                <c:v>960</c:v>
              </c:pt>
              <c:pt idx="15">
                <c:v>1,200</c:v>
              </c:pt>
              <c:pt idx="16">
                <c:v>1,440</c:v>
              </c:pt>
              <c:pt idx="17">
                <c:v>1,680</c:v>
              </c:pt>
              <c:pt idx="18">
                <c:v>1,920</c:v>
              </c:pt>
              <c:pt idx="19">
                <c:v>2,160</c:v>
              </c:pt>
              <c:pt idx="20">
                <c:v>2,400</c:v>
              </c:pt>
            </c:strLit>
          </c:cat>
          <c:val>
            <c:numLit>
              <c:formatCode>General</c:formatCode>
              <c:ptCount val="21"/>
              <c:pt idx="0">
                <c:v>0</c:v>
              </c:pt>
              <c:pt idx="1">
                <c:v>2</c:v>
              </c:pt>
              <c:pt idx="2">
                <c:v>0</c:v>
              </c:pt>
              <c:pt idx="3">
                <c:v>2</c:v>
              </c:pt>
              <c:pt idx="4">
                <c:v>6</c:v>
              </c:pt>
              <c:pt idx="5">
                <c:v>2</c:v>
              </c:pt>
              <c:pt idx="6">
                <c:v>6</c:v>
              </c:pt>
              <c:pt idx="7">
                <c:v>8</c:v>
              </c:pt>
              <c:pt idx="8">
                <c:v>15</c:v>
              </c:pt>
              <c:pt idx="9">
                <c:v>18</c:v>
              </c:pt>
              <c:pt idx="10">
                <c:v>45</c:v>
              </c:pt>
              <c:pt idx="11">
                <c:v>23</c:v>
              </c:pt>
              <c:pt idx="12">
                <c:v>16</c:v>
              </c:pt>
              <c:pt idx="13">
                <c:v>12</c:v>
              </c:pt>
              <c:pt idx="14">
                <c:v>11</c:v>
              </c:pt>
              <c:pt idx="15">
                <c:v>3</c:v>
              </c:pt>
              <c:pt idx="16">
                <c:v>2</c:v>
              </c:pt>
              <c:pt idx="17">
                <c:v>0</c:v>
              </c:pt>
              <c:pt idx="18">
                <c:v>0</c:v>
              </c:pt>
              <c:pt idx="19">
                <c:v>1</c:v>
              </c:pt>
              <c:pt idx="20">
                <c:v>1</c:v>
              </c:pt>
            </c:numLit>
          </c:val>
          <c:extLst>
            <c:ext xmlns:c16="http://schemas.microsoft.com/office/drawing/2014/chart" uri="{C3380CC4-5D6E-409C-BE32-E72D297353CC}">
              <c16:uniqueId val="{00000000-8658-4841-A1A7-4D72E108FA71}"/>
            </c:ext>
          </c:extLst>
        </c:ser>
        <c:ser>
          <c:idx val="1"/>
          <c:order val="1"/>
          <c:tx>
            <c:v>Theoretical</c:v>
          </c:tx>
          <c:spPr>
            <a:solidFill>
              <a:srgbClr val="FFD2D2"/>
            </a:solidFill>
            <a:ln w="9525">
              <a:solidFill>
                <a:srgbClr val="FF0000"/>
              </a:solidFill>
              <a:prstDash val="solid"/>
            </a:ln>
          </c:spPr>
          <c:invertIfNegative val="0"/>
          <c:cat>
            <c:strLit>
              <c:ptCount val="21"/>
              <c:pt idx="0">
                <c:v>-2,400</c:v>
              </c:pt>
              <c:pt idx="1">
                <c:v>-2,160</c:v>
              </c:pt>
              <c:pt idx="2">
                <c:v>-1,920</c:v>
              </c:pt>
              <c:pt idx="3">
                <c:v>-1,680</c:v>
              </c:pt>
              <c:pt idx="4">
                <c:v>-1,440</c:v>
              </c:pt>
              <c:pt idx="5">
                <c:v>-1,200</c:v>
              </c:pt>
              <c:pt idx="6">
                <c:v>-960</c:v>
              </c:pt>
              <c:pt idx="7">
                <c:v>-720</c:v>
              </c:pt>
              <c:pt idx="8">
                <c:v>-480</c:v>
              </c:pt>
              <c:pt idx="9">
                <c:v>-240</c:v>
              </c:pt>
              <c:pt idx="10">
                <c:v>0</c:v>
              </c:pt>
              <c:pt idx="11">
                <c:v>240</c:v>
              </c:pt>
              <c:pt idx="12">
                <c:v>480</c:v>
              </c:pt>
              <c:pt idx="13">
                <c:v>720</c:v>
              </c:pt>
              <c:pt idx="14">
                <c:v>960</c:v>
              </c:pt>
              <c:pt idx="15">
                <c:v>1,200</c:v>
              </c:pt>
              <c:pt idx="16">
                <c:v>1,440</c:v>
              </c:pt>
              <c:pt idx="17">
                <c:v>1,680</c:v>
              </c:pt>
              <c:pt idx="18">
                <c:v>1,920</c:v>
              </c:pt>
              <c:pt idx="19">
                <c:v>2,160</c:v>
              </c:pt>
              <c:pt idx="20">
                <c:v>2,400</c:v>
              </c:pt>
            </c:strLit>
          </c:cat>
          <c:val>
            <c:numLit>
              <c:formatCode>General</c:formatCode>
              <c:ptCount val="21"/>
              <c:pt idx="0">
                <c:v>6.6215974934079394E-2</c:v>
              </c:pt>
              <c:pt idx="1">
                <c:v>0.20234954209465064</c:v>
              </c:pt>
              <c:pt idx="2">
                <c:v>0.54973979434591902</c:v>
              </c:pt>
              <c:pt idx="3">
                <c:v>1.3278016586225221</c:v>
              </c:pt>
              <c:pt idx="4">
                <c:v>2.8512502028302111</c:v>
              </c:pt>
              <c:pt idx="5">
                <c:v>5.4433712020051521</c:v>
              </c:pt>
              <c:pt idx="6">
                <c:v>9.2392103118941211</c:v>
              </c:pt>
              <c:pt idx="7">
                <c:v>13.94245209757041</c:v>
              </c:pt>
              <c:pt idx="8">
                <c:v>18.706103321940098</c:v>
              </c:pt>
              <c:pt idx="9">
                <c:v>22.313573128106391</c:v>
              </c:pt>
              <c:pt idx="10">
                <c:v>23.664514522652695</c:v>
              </c:pt>
              <c:pt idx="11">
                <c:v>22.313573128106398</c:v>
              </c:pt>
              <c:pt idx="12">
                <c:v>18.706103321940077</c:v>
              </c:pt>
              <c:pt idx="13">
                <c:v>13.942452097570424</c:v>
              </c:pt>
              <c:pt idx="14">
                <c:v>9.2392103118941122</c:v>
              </c:pt>
              <c:pt idx="15">
                <c:v>5.443371202005153</c:v>
              </c:pt>
              <c:pt idx="16">
                <c:v>2.8512502028302151</c:v>
              </c:pt>
              <c:pt idx="17">
                <c:v>1.3278016586225192</c:v>
              </c:pt>
              <c:pt idx="18">
                <c:v>0.54973979434592479</c:v>
              </c:pt>
              <c:pt idx="19">
                <c:v>0.20234954209465172</c:v>
              </c:pt>
              <c:pt idx="20">
                <c:v>6.621597493406739E-2</c:v>
              </c:pt>
            </c:numLit>
          </c:val>
          <c:extLst>
            <c:ext xmlns:c16="http://schemas.microsoft.com/office/drawing/2014/chart" uri="{C3380CC4-5D6E-409C-BE32-E72D297353CC}">
              <c16:uniqueId val="{00000001-8658-4841-A1A7-4D72E108FA71}"/>
            </c:ext>
          </c:extLst>
        </c:ser>
        <c:dLbls>
          <c:showLegendKey val="0"/>
          <c:showVal val="0"/>
          <c:showCatName val="0"/>
          <c:showSerName val="0"/>
          <c:showPercent val="0"/>
          <c:showBubbleSize val="0"/>
        </c:dLbls>
        <c:gapWidth val="50"/>
        <c:axId val="453528192"/>
        <c:axId val="453531136"/>
      </c:barChart>
      <c:catAx>
        <c:axId val="453528192"/>
        <c:scaling>
          <c:orientation val="minMax"/>
        </c:scaling>
        <c:delete val="0"/>
        <c:axPos val="b"/>
        <c:title>
          <c:tx>
            <c:rich>
              <a:bodyPr/>
              <a:lstStyle/>
              <a:p>
                <a:pPr>
                  <a:defRPr/>
                </a:pPr>
                <a:r>
                  <a:rPr lang="en-US"/>
                  <a:t>Residual Range
</a:t>
                </a:r>
                <a:r>
                  <a:rPr lang="en-US" sz="750"/>
                  <a:t>Adjusted Anderson-Darling statistic is 2.216 (P=0)</a:t>
                </a:r>
              </a:p>
            </c:rich>
          </c:tx>
          <c:overlay val="0"/>
        </c:title>
        <c:numFmt formatCode="General" sourceLinked="0"/>
        <c:majorTickMark val="out"/>
        <c:minorTickMark val="none"/>
        <c:tickLblPos val="nextTo"/>
        <c:crossAx val="453531136"/>
        <c:crosses val="autoZero"/>
        <c:auto val="1"/>
        <c:lblAlgn val="ctr"/>
        <c:lblOffset val="100"/>
        <c:noMultiLvlLbl val="0"/>
      </c:catAx>
      <c:valAx>
        <c:axId val="453531136"/>
        <c:scaling>
          <c:orientation val="minMax"/>
        </c:scaling>
        <c:delete val="0"/>
        <c:axPos val="l"/>
        <c:majorGridlines>
          <c:spPr>
            <a:ln w="3175">
              <a:solidFill>
                <a:srgbClr val="C0C0C0"/>
              </a:solidFill>
              <a:prstDash val="solid"/>
            </a:ln>
          </c:spPr>
        </c:majorGridlines>
        <c:title>
          <c:tx>
            <c:rich>
              <a:bodyPr/>
              <a:lstStyle/>
              <a:p>
                <a:pPr>
                  <a:defRPr/>
                </a:pPr>
                <a:r>
                  <a:rPr lang="en-US"/>
                  <a:t>Frequency</a:t>
                </a:r>
              </a:p>
            </c:rich>
          </c:tx>
          <c:overlay val="0"/>
        </c:title>
        <c:numFmt formatCode="General" sourceLinked="1"/>
        <c:majorTickMark val="out"/>
        <c:minorTickMark val="none"/>
        <c:tickLblPos val="nextTo"/>
        <c:crossAx val="453528192"/>
        <c:crosses val="autoZero"/>
        <c:crossBetween val="between"/>
      </c:valAx>
      <c:spPr>
        <a:ln w="6350">
          <a:solidFill>
            <a:srgbClr val="808080"/>
          </a:solidFill>
          <a:prstDash val="solid"/>
        </a:ln>
      </c:spPr>
    </c:plotArea>
    <c:legend>
      <c:legendPos val="r"/>
      <c:overlay val="0"/>
    </c:legend>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Normal Quantile Plot
</a:t>
            </a:r>
            <a:r>
              <a:rPr lang="en-US" sz="1000"/>
              <a:t>Com HDD linear model for _Commercial_Natural_Gas    (1 variable, n=173)</a:t>
            </a:r>
          </a:p>
        </c:rich>
      </c:tx>
      <c:overlay val="0"/>
    </c:title>
    <c:autoTitleDeleted val="0"/>
    <c:plotArea>
      <c:layout/>
      <c:scatterChart>
        <c:scatterStyle val="lineMarker"/>
        <c:varyColors val="0"/>
        <c:ser>
          <c:idx val="0"/>
          <c:order val="0"/>
          <c:tx>
            <c:v>Actual</c:v>
          </c:tx>
          <c:spPr>
            <a:ln w="25400">
              <a:noFill/>
            </a:ln>
          </c:spPr>
          <c:marker>
            <c:symbol val="diamond"/>
            <c:size val="5"/>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173"/>
              <c:pt idx="0">
                <c:v>-2.5273022667337983</c:v>
              </c:pt>
              <c:pt idx="1">
                <c:v>-2.2736256193762032</c:v>
              </c:pt>
              <c:pt idx="2">
                <c:v>-2.1143807715275607</c:v>
              </c:pt>
              <c:pt idx="3">
                <c:v>-1.9956042965147927</c:v>
              </c:pt>
              <c:pt idx="4">
                <c:v>-1.8997094129875349</c:v>
              </c:pt>
              <c:pt idx="5">
                <c:v>-1.8186455928500598</c:v>
              </c:pt>
              <c:pt idx="6">
                <c:v>-1.7480245865828783</c:v>
              </c:pt>
              <c:pt idx="7">
                <c:v>-1.685179095509723</c:v>
              </c:pt>
              <c:pt idx="8">
                <c:v>-1.6283614067169063</c:v>
              </c:pt>
              <c:pt idx="9">
                <c:v>-1.5763614436960824</c:v>
              </c:pt>
              <c:pt idx="10">
                <c:v>-1.5283051912903383</c:v>
              </c:pt>
              <c:pt idx="11">
                <c:v>-1.483539859401297</c:v>
              </c:pt>
              <c:pt idx="12">
                <c:v>-1.4415644358138213</c:v>
              </c:pt>
              <c:pt idx="13">
                <c:v>-1.4019856220813864</c:v>
              </c:pt>
              <c:pt idx="14">
                <c:v>-1.3644887481703289</c:v>
              </c:pt>
              <c:pt idx="15">
                <c:v>-1.3288179278648733</c:v>
              </c:pt>
              <c:pt idx="16">
                <c:v>-1.2947621322897249</c:v>
              </c:pt>
              <c:pt idx="17">
                <c:v>-1.2621451766228082</c:v>
              </c:pt>
              <c:pt idx="18">
                <c:v>-1.2308183667286043</c:v>
              </c:pt>
              <c:pt idx="19">
                <c:v>-1.2006549979511831</c:v>
              </c:pt>
              <c:pt idx="20">
                <c:v>-1.1715461713027622</c:v>
              </c:pt>
              <c:pt idx="21">
                <c:v>-1.1433975645330243</c:v>
              </c:pt>
              <c:pt idx="22">
                <c:v>-1.1161269070971864</c:v>
              </c:pt>
              <c:pt idx="23">
                <c:v>-1.0896619819461071</c:v>
              </c:pt>
              <c:pt idx="24">
                <c:v>-1.0639390270595839</c:v>
              </c:pt>
              <c:pt idx="25">
                <c:v>-1.0389014441072844</c:v>
              </c:pt>
              <c:pt idx="26">
                <c:v>-1.014498745784099</c:v>
              </c:pt>
              <c:pt idx="27">
                <c:v>-0.99068569057145761</c:v>
              </c:pt>
              <c:pt idx="28">
                <c:v>-0.96742156610170071</c:v>
              </c:pt>
              <c:pt idx="29">
                <c:v>-0.94466959139447615</c:v>
              </c:pt>
              <c:pt idx="30">
                <c:v>-0.92239641496680447</c:v>
              </c:pt>
              <c:pt idx="31">
                <c:v>-0.90057169086042888</c:v>
              </c:pt>
              <c:pt idx="32">
                <c:v>-0.8791677184445702</c:v>
              </c:pt>
              <c:pt idx="33">
                <c:v>-0.85815913476634831</c:v>
              </c:pt>
              <c:pt idx="34">
                <c:v>-0.83752265046717911</c:v>
              </c:pt>
              <c:pt idx="35">
                <c:v>-0.81723682202940007</c:v>
              </c:pt>
              <c:pt idx="36">
                <c:v>-0.79728185448508171</c:v>
              </c:pt>
              <c:pt idx="37">
                <c:v>-0.7776394297984387</c:v>
              </c:pt>
              <c:pt idx="38">
                <c:v>-0.75829255699115117</c:v>
              </c:pt>
              <c:pt idx="39">
                <c:v>-0.73922544076609598</c:v>
              </c:pt>
              <c:pt idx="40">
                <c:v>-0.72042336593740808</c:v>
              </c:pt>
              <c:pt idx="41">
                <c:v>-0.70187259542196001</c:v>
              </c:pt>
              <c:pt idx="42">
                <c:v>-0.68356027991144186</c:v>
              </c:pt>
              <c:pt idx="43">
                <c:v>-0.66547437764218487</c:v>
              </c:pt>
              <c:pt idx="44">
                <c:v>-0.64760358292497777</c:v>
              </c:pt>
              <c:pt idx="45">
                <c:v>-0.62993726229963953</c:v>
              </c:pt>
              <c:pt idx="46">
                <c:v>-0.61246539734726813</c:v>
              </c:pt>
              <c:pt idx="47">
                <c:v>-0.59517853333327786</c:v>
              </c:pt>
              <c:pt idx="48">
                <c:v>-0.57806773297169478</c:v>
              </c:pt>
              <c:pt idx="49">
                <c:v>-0.56112453469982282</c:v>
              </c:pt>
              <c:pt idx="50">
                <c:v>-0.54434091493561076</c:v>
              </c:pt>
              <c:pt idx="51">
                <c:v>-0.5277092538605066</c:v>
              </c:pt>
              <c:pt idx="52">
                <c:v>-0.51122230433044458</c:v>
              </c:pt>
              <c:pt idx="53">
                <c:v>-0.49487316356862382</c:v>
              </c:pt>
              <c:pt idx="54">
                <c:v>-0.47865524733737508</c:v>
              </c:pt>
              <c:pt idx="55">
                <c:v>-0.46256226632381564</c:v>
              </c:pt>
              <c:pt idx="56">
                <c:v>-0.44658820450617887</c:v>
              </c:pt>
              <c:pt idx="57">
                <c:v>-0.43072729929545767</c:v>
              </c:pt>
              <c:pt idx="58">
                <c:v>-0.4149740232710058</c:v>
              </c:pt>
              <c:pt idx="59">
                <c:v>-0.39932306734955125</c:v>
              </c:pt>
              <c:pt idx="60">
                <c:v>-0.38376932524515556</c:v>
              </c:pt>
              <c:pt idx="61">
                <c:v>-0.36830787909341051</c:v>
              </c:pt>
              <c:pt idx="62">
                <c:v>-0.35293398612691645</c:v>
              </c:pt>
              <c:pt idx="63">
                <c:v>-0.33764306630111163</c:v>
              </c:pt>
              <c:pt idx="64">
                <c:v>-0.32243069078007219</c:v>
              </c:pt>
              <c:pt idx="65">
                <c:v>-0.30729257120115577</c:v>
              </c:pt>
              <c:pt idx="66">
                <c:v>-0.29222454964551281</c:v>
              </c:pt>
              <c:pt idx="67">
                <c:v>-0.27722258924865673</c:v>
              </c:pt>
              <c:pt idx="68">
                <c:v>-0.26228276539162171</c:v>
              </c:pt>
              <c:pt idx="69">
                <c:v>-0.24740125741882135</c:v>
              </c:pt>
              <c:pt idx="70">
                <c:v>-0.23257434083366951</c:v>
              </c:pt>
              <c:pt idx="71">
                <c:v>-0.2177983799273987</c:v>
              </c:pt>
              <c:pt idx="72">
                <c:v>-0.20306982080038363</c:v>
              </c:pt>
              <c:pt idx="73">
                <c:v>-0.1883851847387108</c:v>
              </c:pt>
              <c:pt idx="74">
                <c:v>-0.17374106191177294</c:v>
              </c:pt>
              <c:pt idx="75">
                <c:v>-0.15913410535935713</c:v>
              </c:pt>
              <c:pt idx="76">
                <c:v>-0.14456102523907538</c:v>
              </c:pt>
              <c:pt idx="77">
                <c:v>-0.13001858330708424</c:v>
              </c:pt>
              <c:pt idx="78">
                <c:v>-0.11550358760689482</c:v>
              </c:pt>
              <c:pt idx="79">
                <c:v>-0.10101288734269341</c:v>
              </c:pt>
              <c:pt idx="80">
                <c:v>-8.6543367915016003E-2</c:v>
              </c:pt>
              <c:pt idx="81">
                <c:v>-7.209194609784951E-2</c:v>
              </c:pt>
              <c:pt idx="82">
                <c:v>-5.7655565337293428E-2</c:v>
              </c:pt>
              <c:pt idx="83">
                <c:v>-4.3231191152817192E-2</c:v>
              </c:pt>
              <c:pt idx="84">
                <c:v>-2.8815806622902673E-2</c:v>
              </c:pt>
              <c:pt idx="85">
                <c:v>-1.4406407937473295E-2</c:v>
              </c:pt>
              <c:pt idx="86">
                <c:v>0</c:v>
              </c:pt>
              <c:pt idx="87">
                <c:v>1.4406407937473433E-2</c:v>
              </c:pt>
              <c:pt idx="88">
                <c:v>2.8815806622902673E-2</c:v>
              </c:pt>
              <c:pt idx="89">
                <c:v>4.3231191152817337E-2</c:v>
              </c:pt>
              <c:pt idx="90">
                <c:v>5.7655565337293289E-2</c:v>
              </c:pt>
              <c:pt idx="91">
                <c:v>7.209194609784951E-2</c:v>
              </c:pt>
              <c:pt idx="92">
                <c:v>8.6543367915015865E-2</c:v>
              </c:pt>
              <c:pt idx="93">
                <c:v>0.10101288734269341</c:v>
              </c:pt>
              <c:pt idx="94">
                <c:v>0.11550358760689496</c:v>
              </c:pt>
              <c:pt idx="95">
                <c:v>0.13001858330708424</c:v>
              </c:pt>
              <c:pt idx="96">
                <c:v>0.14456102523907552</c:v>
              </c:pt>
              <c:pt idx="97">
                <c:v>0.15913410535935713</c:v>
              </c:pt>
              <c:pt idx="98">
                <c:v>0.17374106191177294</c:v>
              </c:pt>
              <c:pt idx="99">
                <c:v>0.18838518473871063</c:v>
              </c:pt>
              <c:pt idx="100">
                <c:v>0.20306982080038363</c:v>
              </c:pt>
              <c:pt idx="101">
                <c:v>0.21779837992739853</c:v>
              </c:pt>
              <c:pt idx="102">
                <c:v>0.23257434083366951</c:v>
              </c:pt>
              <c:pt idx="103">
                <c:v>0.24740125741882146</c:v>
              </c:pt>
              <c:pt idx="104">
                <c:v>0.26228276539162171</c:v>
              </c:pt>
              <c:pt idx="105">
                <c:v>0.27722258924865684</c:v>
              </c:pt>
              <c:pt idx="106">
                <c:v>0.29222454964551264</c:v>
              </c:pt>
              <c:pt idx="107">
                <c:v>0.30729257120115577</c:v>
              </c:pt>
              <c:pt idx="108">
                <c:v>0.32243069078007208</c:v>
              </c:pt>
              <c:pt idx="109">
                <c:v>0.33764306630111163</c:v>
              </c:pt>
              <c:pt idx="110">
                <c:v>0.35293398612691662</c:v>
              </c:pt>
              <c:pt idx="111">
                <c:v>0.36830787909341051</c:v>
              </c:pt>
              <c:pt idx="112">
                <c:v>0.38376932524515572</c:v>
              </c:pt>
              <c:pt idx="113">
                <c:v>0.39932306734955125</c:v>
              </c:pt>
              <c:pt idx="114">
                <c:v>0.4149740232710058</c:v>
              </c:pt>
              <c:pt idx="115">
                <c:v>0.4307272992954575</c:v>
              </c:pt>
              <c:pt idx="116">
                <c:v>0.44658820450617887</c:v>
              </c:pt>
              <c:pt idx="117">
                <c:v>0.46256226632381547</c:v>
              </c:pt>
              <c:pt idx="118">
                <c:v>0.47865524733737508</c:v>
              </c:pt>
              <c:pt idx="119">
                <c:v>0.49487316356862399</c:v>
              </c:pt>
              <c:pt idx="120">
                <c:v>0.51122230433044458</c:v>
              </c:pt>
              <c:pt idx="121">
                <c:v>0.52770925386050682</c:v>
              </c:pt>
              <c:pt idx="122">
                <c:v>0.54434091493561032</c:v>
              </c:pt>
              <c:pt idx="123">
                <c:v>0.56112453469982282</c:v>
              </c:pt>
              <c:pt idx="124">
                <c:v>0.57806773297169478</c:v>
              </c:pt>
              <c:pt idx="125">
                <c:v>0.59517853333327786</c:v>
              </c:pt>
              <c:pt idx="126">
                <c:v>0.61246539734726813</c:v>
              </c:pt>
              <c:pt idx="127">
                <c:v>0.62993726229963953</c:v>
              </c:pt>
              <c:pt idx="128">
                <c:v>0.64760358292497799</c:v>
              </c:pt>
              <c:pt idx="129">
                <c:v>0.66547437764218487</c:v>
              </c:pt>
              <c:pt idx="130">
                <c:v>0.68356027991144186</c:v>
              </c:pt>
              <c:pt idx="131">
                <c:v>0.70187259542196001</c:v>
              </c:pt>
              <c:pt idx="132">
                <c:v>0.72042336593740808</c:v>
              </c:pt>
              <c:pt idx="133">
                <c:v>0.73922544076609586</c:v>
              </c:pt>
              <c:pt idx="134">
                <c:v>0.75829255699115117</c:v>
              </c:pt>
              <c:pt idx="135">
                <c:v>0.77763942979843936</c:v>
              </c:pt>
              <c:pt idx="136">
                <c:v>0.79728185448508171</c:v>
              </c:pt>
              <c:pt idx="137">
                <c:v>0.81723682202940007</c:v>
              </c:pt>
              <c:pt idx="138">
                <c:v>0.83752265046717911</c:v>
              </c:pt>
              <c:pt idx="139">
                <c:v>0.85815913476634831</c:v>
              </c:pt>
              <c:pt idx="140">
                <c:v>0.87916771844456865</c:v>
              </c:pt>
              <c:pt idx="141">
                <c:v>0.90057169086042888</c:v>
              </c:pt>
              <c:pt idx="142">
                <c:v>0.92239641496680458</c:v>
              </c:pt>
              <c:pt idx="143">
                <c:v>0.94466959139447615</c:v>
              </c:pt>
              <c:pt idx="144">
                <c:v>0.96742156610170071</c:v>
              </c:pt>
              <c:pt idx="145">
                <c:v>0.99068569057145761</c:v>
              </c:pt>
              <c:pt idx="146">
                <c:v>1.014498745784099</c:v>
              </c:pt>
              <c:pt idx="147">
                <c:v>1.0389014441072844</c:v>
              </c:pt>
              <c:pt idx="148">
                <c:v>1.0639390270595839</c:v>
              </c:pt>
              <c:pt idx="149">
                <c:v>1.0896619819461066</c:v>
              </c:pt>
              <c:pt idx="150">
                <c:v>1.1161269070971864</c:v>
              </c:pt>
              <c:pt idx="151">
                <c:v>1.1433975645330243</c:v>
              </c:pt>
              <c:pt idx="152">
                <c:v>1.1715461713027622</c:v>
              </c:pt>
              <c:pt idx="153">
                <c:v>1.2006549979511831</c:v>
              </c:pt>
              <c:pt idx="154">
                <c:v>1.2308183667286043</c:v>
              </c:pt>
              <c:pt idx="155">
                <c:v>1.2621451766228082</c:v>
              </c:pt>
              <c:pt idx="156">
                <c:v>1.2947621322897234</c:v>
              </c:pt>
              <c:pt idx="157">
                <c:v>1.3288179278648733</c:v>
              </c:pt>
              <c:pt idx="158">
                <c:v>1.3644887481703283</c:v>
              </c:pt>
              <c:pt idx="159">
                <c:v>1.4019856220813864</c:v>
              </c:pt>
              <c:pt idx="160">
                <c:v>1.441564435813822</c:v>
              </c:pt>
              <c:pt idx="161">
                <c:v>1.4835398594012972</c:v>
              </c:pt>
              <c:pt idx="162">
                <c:v>1.5283051912903387</c:v>
              </c:pt>
              <c:pt idx="163">
                <c:v>1.576361443696082</c:v>
              </c:pt>
              <c:pt idx="164">
                <c:v>1.6283614067169063</c:v>
              </c:pt>
              <c:pt idx="165">
                <c:v>1.6851790955097226</c:v>
              </c:pt>
              <c:pt idx="166">
                <c:v>1.7480245865828783</c:v>
              </c:pt>
              <c:pt idx="167">
                <c:v>1.8186455928500604</c:v>
              </c:pt>
              <c:pt idx="168">
                <c:v>1.8997094129875347</c:v>
              </c:pt>
              <c:pt idx="169">
                <c:v>1.9956042965147931</c:v>
              </c:pt>
              <c:pt idx="170">
                <c:v>2.1143807715275598</c:v>
              </c:pt>
              <c:pt idx="171">
                <c:v>2.2736256193762032</c:v>
              </c:pt>
              <c:pt idx="172">
                <c:v>2.5273022667337943</c:v>
              </c:pt>
            </c:numLit>
          </c:xVal>
          <c:yVal>
            <c:numLit>
              <c:formatCode>General</c:formatCode>
              <c:ptCount val="173"/>
              <c:pt idx="0">
                <c:v>-3.0572008324758095</c:v>
              </c:pt>
              <c:pt idx="1">
                <c:v>-3.041334355713543</c:v>
              </c:pt>
              <c:pt idx="2">
                <c:v>-2.4281199992066749</c:v>
              </c:pt>
              <c:pt idx="3">
                <c:v>-2.2778536434343444</c:v>
              </c:pt>
              <c:pt idx="4">
                <c:v>-2.2278584449777252</c:v>
              </c:pt>
              <c:pt idx="5">
                <c:v>-2.1732980776746591</c:v>
              </c:pt>
              <c:pt idx="6">
                <c:v>-2.1563724533840296</c:v>
              </c:pt>
              <c:pt idx="7">
                <c:v>-2.0543834215276764</c:v>
              </c:pt>
              <c:pt idx="8">
                <c:v>-2.0542661791148564</c:v>
              </c:pt>
              <c:pt idx="9">
                <c:v>-1.9187130479520251</c:v>
              </c:pt>
              <c:pt idx="10">
                <c:v>-1.846374415107078</c:v>
              </c:pt>
              <c:pt idx="11">
                <c:v>-1.7711760601905597</c:v>
              </c:pt>
              <c:pt idx="12">
                <c:v>-1.5385098726907758</c:v>
              </c:pt>
              <c:pt idx="13">
                <c:v>-1.5257548713515812</c:v>
              </c:pt>
              <c:pt idx="14">
                <c:v>-1.4991831498887118</c:v>
              </c:pt>
              <c:pt idx="15">
                <c:v>-1.4384441877912002</c:v>
              </c:pt>
              <c:pt idx="16">
                <c:v>-1.2890289144408766</c:v>
              </c:pt>
              <c:pt idx="17">
                <c:v>-1.2402707073590846</c:v>
              </c:pt>
              <c:pt idx="18">
                <c:v>-1.1818075247730304</c:v>
              </c:pt>
              <c:pt idx="19">
                <c:v>-1.1040889008129746</c:v>
              </c:pt>
              <c:pt idx="20">
                <c:v>-1.0706560251557946</c:v>
              </c:pt>
              <c:pt idx="21">
                <c:v>-1.0339108620715596</c:v>
              </c:pt>
              <c:pt idx="22">
                <c:v>-1.02771415059675</c:v>
              </c:pt>
              <c:pt idx="23">
                <c:v>-0.96845374817117846</c:v>
              </c:pt>
              <c:pt idx="24">
                <c:v>-0.94823137651921563</c:v>
              </c:pt>
              <c:pt idx="25">
                <c:v>-0.91325433472397033</c:v>
              </c:pt>
              <c:pt idx="26">
                <c:v>-0.83954040338342406</c:v>
              </c:pt>
              <c:pt idx="27">
                <c:v>-0.79182839645449088</c:v>
              </c:pt>
              <c:pt idx="28">
                <c:v>-0.77837305829686709</c:v>
              </c:pt>
              <c:pt idx="29">
                <c:v>-0.699561438997366</c:v>
              </c:pt>
              <c:pt idx="30">
                <c:v>-0.68361450494390086</c:v>
              </c:pt>
              <c:pt idx="31">
                <c:v>-0.67794615034509231</c:v>
              </c:pt>
              <c:pt idx="32">
                <c:v>-0.66925714837526951</c:v>
              </c:pt>
              <c:pt idx="33">
                <c:v>-0.6605344682252654</c:v>
              </c:pt>
              <c:pt idx="34">
                <c:v>-0.62258097619685637</c:v>
              </c:pt>
              <c:pt idx="35">
                <c:v>-0.61326345775760771</c:v>
              </c:pt>
              <c:pt idx="36">
                <c:v>-0.60752051513015515</c:v>
              </c:pt>
              <c:pt idx="37">
                <c:v>-0.60034183684583953</c:v>
              </c:pt>
              <c:pt idx="38">
                <c:v>-0.55370019636063328</c:v>
              </c:pt>
              <c:pt idx="39">
                <c:v>-0.54142815126771981</c:v>
              </c:pt>
              <c:pt idx="40">
                <c:v>-0.52662825012561731</c:v>
              </c:pt>
              <c:pt idx="41">
                <c:v>-0.4854448206938724</c:v>
              </c:pt>
              <c:pt idx="42">
                <c:v>-0.48395141555538324</c:v>
              </c:pt>
              <c:pt idx="43">
                <c:v>-0.48289209303759523</c:v>
              </c:pt>
              <c:pt idx="44">
                <c:v>-0.47220342226368339</c:v>
              </c:pt>
              <c:pt idx="45">
                <c:v>-0.447757582863193</c:v>
              </c:pt>
              <c:pt idx="46">
                <c:v>-0.43234729264907573</c:v>
              </c:pt>
              <c:pt idx="47">
                <c:v>-0.41812202931833842</c:v>
              </c:pt>
              <c:pt idx="48">
                <c:v>-0.37128648531120073</c:v>
              </c:pt>
              <c:pt idx="49">
                <c:v>-0.32093369035356911</c:v>
              </c:pt>
              <c:pt idx="50">
                <c:v>-0.28140753402882079</c:v>
              </c:pt>
              <c:pt idx="51">
                <c:v>-0.27729371632893757</c:v>
              </c:pt>
              <c:pt idx="52">
                <c:v>-0.25608246402689533</c:v>
              </c:pt>
              <c:pt idx="53">
                <c:v>-0.24602558629474977</c:v>
              </c:pt>
              <c:pt idx="54">
                <c:v>-0.23422319473523956</c:v>
              </c:pt>
              <c:pt idx="55">
                <c:v>-0.22907561000678092</c:v>
              </c:pt>
              <c:pt idx="56">
                <c:v>-0.20204303622507849</c:v>
              </c:pt>
              <c:pt idx="57">
                <c:v>-0.19259291029671188</c:v>
              </c:pt>
              <c:pt idx="58">
                <c:v>-0.17411948795830617</c:v>
              </c:pt>
              <c:pt idx="59">
                <c:v>-0.16969037280421445</c:v>
              </c:pt>
              <c:pt idx="60">
                <c:v>-0.15095657624768125</c:v>
              </c:pt>
              <c:pt idx="61">
                <c:v>-0.14090642664963937</c:v>
              </c:pt>
              <c:pt idx="62">
                <c:v>-0.1264054079489049</c:v>
              </c:pt>
              <c:pt idx="63">
                <c:v>-0.11219171351237686</c:v>
              </c:pt>
              <c:pt idx="64">
                <c:v>-0.10478856582591213</c:v>
              </c:pt>
              <c:pt idx="65">
                <c:v>-9.3857117904491486E-2</c:v>
              </c:pt>
              <c:pt idx="66">
                <c:v>-9.3179388547685815E-2</c:v>
              </c:pt>
              <c:pt idx="67">
                <c:v>-8.7784207345703733E-2</c:v>
              </c:pt>
              <c:pt idx="68">
                <c:v>-7.2375815222629952E-2</c:v>
              </c:pt>
              <c:pt idx="69">
                <c:v>-5.6239457711447713E-2</c:v>
              </c:pt>
              <c:pt idx="70">
                <c:v>-5.4762287237851842E-2</c:v>
              </c:pt>
              <c:pt idx="71">
                <c:v>-4.641412749440272E-2</c:v>
              </c:pt>
              <c:pt idx="72">
                <c:v>-4.6169452255849758E-2</c:v>
              </c:pt>
              <c:pt idx="73">
                <c:v>-4.1840666326083707E-2</c:v>
              </c:pt>
              <c:pt idx="74">
                <c:v>-3.4584112723737535E-2</c:v>
              </c:pt>
              <c:pt idx="75">
                <c:v>-3.1790516728041833E-2</c:v>
              </c:pt>
              <c:pt idx="76">
                <c:v>-1.5997424502547451E-2</c:v>
              </c:pt>
              <c:pt idx="77">
                <c:v>-1.4561688845684326E-2</c:v>
              </c:pt>
              <c:pt idx="78">
                <c:v>-1.0254481875094949E-2</c:v>
              </c:pt>
              <c:pt idx="79">
                <c:v>-5.9472749045055727E-3</c:v>
              </c:pt>
              <c:pt idx="80">
                <c:v>-4.5963123306767984E-3</c:v>
              </c:pt>
              <c:pt idx="81">
                <c:v>5.2542341137804529E-3</c:v>
              </c:pt>
              <c:pt idx="82">
                <c:v>7.3127758913681829E-3</c:v>
              </c:pt>
              <c:pt idx="83">
                <c:v>1.4153024291578185E-2</c:v>
              </c:pt>
              <c:pt idx="84">
                <c:v>1.5588759948441311E-2</c:v>
              </c:pt>
              <c:pt idx="85">
                <c:v>2.7765841545404745E-2</c:v>
              </c:pt>
              <c:pt idx="86">
                <c:v>2.9580752662459443E-2</c:v>
              </c:pt>
              <c:pt idx="87">
                <c:v>2.9858056144651708E-2</c:v>
              </c:pt>
              <c:pt idx="88">
                <c:v>2.9946116517072564E-2</c:v>
              </c:pt>
              <c:pt idx="89">
                <c:v>3.2817587830798814E-2</c:v>
              </c:pt>
              <c:pt idx="90">
                <c:v>4.462912522520348E-2</c:v>
              </c:pt>
              <c:pt idx="91">
                <c:v>6.7766311815716629E-2</c:v>
              </c:pt>
              <c:pt idx="92">
                <c:v>6.8710979252376958E-2</c:v>
              </c:pt>
              <c:pt idx="93">
                <c:v>7.2105807768144639E-2</c:v>
              </c:pt>
              <c:pt idx="94">
                <c:v>7.8110519170591017E-2</c:v>
              </c:pt>
              <c:pt idx="95">
                <c:v>0.1103473133014076</c:v>
              </c:pt>
              <c:pt idx="96">
                <c:v>0.11219573296774214</c:v>
              </c:pt>
              <c:pt idx="97">
                <c:v>0.11377961082092054</c:v>
              </c:pt>
              <c:pt idx="98">
                <c:v>0.14929554988392801</c:v>
              </c:pt>
              <c:pt idx="99">
                <c:v>0.15054791169357512</c:v>
              </c:pt>
              <c:pt idx="100">
                <c:v>0.15538538434825652</c:v>
              </c:pt>
              <c:pt idx="101">
                <c:v>0.15752785105437711</c:v>
              </c:pt>
              <c:pt idx="102">
                <c:v>0.1585122302061506</c:v>
              </c:pt>
              <c:pt idx="103">
                <c:v>0.16152494595118796</c:v>
              </c:pt>
              <c:pt idx="104">
                <c:v>0.17326621110878421</c:v>
              </c:pt>
              <c:pt idx="105">
                <c:v>0.19304051354504523</c:v>
              </c:pt>
              <c:pt idx="106">
                <c:v>0.19406840059401914</c:v>
              </c:pt>
              <c:pt idx="107">
                <c:v>0.19584257149351195</c:v>
              </c:pt>
              <c:pt idx="108">
                <c:v>0.20941307362496325</c:v>
              </c:pt>
              <c:pt idx="109">
                <c:v>0.21659175190927887</c:v>
              </c:pt>
              <c:pt idx="110">
                <c:v>0.23381574974857755</c:v>
              </c:pt>
              <c:pt idx="111">
                <c:v>0.23823225143043941</c:v>
              </c:pt>
              <c:pt idx="112">
                <c:v>0.24683683029607564</c:v>
              </c:pt>
              <c:pt idx="113">
                <c:v>0.24992223062018951</c:v>
              </c:pt>
              <c:pt idx="114">
                <c:v>0.2566896140933761</c:v>
              </c:pt>
              <c:pt idx="115">
                <c:v>0.2848258878786627</c:v>
              </c:pt>
              <c:pt idx="116">
                <c:v>0.30358127946994279</c:v>
              </c:pt>
              <c:pt idx="117">
                <c:v>0.31060904787830557</c:v>
              </c:pt>
              <c:pt idx="118">
                <c:v>0.32548889741890591</c:v>
              </c:pt>
              <c:pt idx="119">
                <c:v>0.33498357582249028</c:v>
              </c:pt>
              <c:pt idx="120">
                <c:v>0.34629902924716299</c:v>
              </c:pt>
              <c:pt idx="121">
                <c:v>0.35603751330070688</c:v>
              </c:pt>
              <c:pt idx="122">
                <c:v>0.37521783631927025</c:v>
              </c:pt>
              <c:pt idx="123">
                <c:v>0.42138170593862734</c:v>
              </c:pt>
              <c:pt idx="124">
                <c:v>0.42842967482486927</c:v>
              </c:pt>
              <c:pt idx="125">
                <c:v>0.45575112634149795</c:v>
              </c:pt>
              <c:pt idx="126">
                <c:v>0.50007780592693074</c:v>
              </c:pt>
              <c:pt idx="127">
                <c:v>0.5258421332129406</c:v>
              </c:pt>
              <c:pt idx="128">
                <c:v>0.54177871258111399</c:v>
              </c:pt>
              <c:pt idx="129">
                <c:v>0.56547551652701833</c:v>
              </c:pt>
              <c:pt idx="130">
                <c:v>0.5702691313056516</c:v>
              </c:pt>
              <c:pt idx="131">
                <c:v>0.58490793751740988</c:v>
              </c:pt>
              <c:pt idx="132">
                <c:v>0.59198802575458931</c:v>
              </c:pt>
              <c:pt idx="133">
                <c:v>0.60406546736787714</c:v>
              </c:pt>
              <c:pt idx="134">
                <c:v>0.61256143004584052</c:v>
              </c:pt>
              <c:pt idx="135">
                <c:v>0.62569111606396433</c:v>
              </c:pt>
              <c:pt idx="136">
                <c:v>0.64272862775608297</c:v>
              </c:pt>
              <c:pt idx="137">
                <c:v>0.65464273708618059</c:v>
              </c:pt>
              <c:pt idx="138">
                <c:v>0.68607731170352093</c:v>
              </c:pt>
              <c:pt idx="139">
                <c:v>0.71174202043994872</c:v>
              </c:pt>
              <c:pt idx="140">
                <c:v>0.78677462001396137</c:v>
              </c:pt>
              <c:pt idx="141">
                <c:v>0.80557869416582573</c:v>
              </c:pt>
              <c:pt idx="142">
                <c:v>0.83156507851171801</c:v>
              </c:pt>
              <c:pt idx="143">
                <c:v>0.86423061096895104</c:v>
              </c:pt>
              <c:pt idx="144">
                <c:v>0.87377450225991704</c:v>
              </c:pt>
              <c:pt idx="145">
                <c:v>0.88190854728650692</c:v>
              </c:pt>
              <c:pt idx="146">
                <c:v>0.89856618891926354</c:v>
              </c:pt>
              <c:pt idx="147">
                <c:v>0.92091221599780881</c:v>
              </c:pt>
              <c:pt idx="148">
                <c:v>0.92126652520943664</c:v>
              </c:pt>
              <c:pt idx="149">
                <c:v>0.98471032833105099</c:v>
              </c:pt>
              <c:pt idx="150">
                <c:v>1.0220969606187422</c:v>
              </c:pt>
              <c:pt idx="151">
                <c:v>1.0349610763212604</c:v>
              </c:pt>
              <c:pt idx="152">
                <c:v>1.0488227042575293</c:v>
              </c:pt>
              <c:pt idx="153">
                <c:v>1.1392850999243689</c:v>
              </c:pt>
              <c:pt idx="154">
                <c:v>1.1569727070450904</c:v>
              </c:pt>
              <c:pt idx="155">
                <c:v>1.2303886201743388</c:v>
              </c:pt>
              <c:pt idx="156">
                <c:v>1.2714207843927594</c:v>
              </c:pt>
              <c:pt idx="157">
                <c:v>1.2839423401258085</c:v>
              </c:pt>
              <c:pt idx="158">
                <c:v>1.2884734968887999</c:v>
              </c:pt>
              <c:pt idx="159">
                <c:v>1.2901418139217347</c:v>
              </c:pt>
              <c:pt idx="160">
                <c:v>1.2948292302134861</c:v>
              </c:pt>
              <c:pt idx="161">
                <c:v>1.3536943921448743</c:v>
              </c:pt>
              <c:pt idx="162">
                <c:v>1.3593520367210215</c:v>
              </c:pt>
              <c:pt idx="163">
                <c:v>1.369963882113445</c:v>
              </c:pt>
              <c:pt idx="164">
                <c:v>1.3796885492028887</c:v>
              </c:pt>
              <c:pt idx="165">
                <c:v>1.5279830397302339</c:v>
              </c:pt>
              <c:pt idx="166">
                <c:v>1.5557672362982147</c:v>
              </c:pt>
              <c:pt idx="167">
                <c:v>1.6407246364420509</c:v>
              </c:pt>
              <c:pt idx="168">
                <c:v>1.7617579269075623</c:v>
              </c:pt>
              <c:pt idx="169">
                <c:v>2.0251188154805684</c:v>
              </c:pt>
              <c:pt idx="170">
                <c:v>2.1668387868371606</c:v>
              </c:pt>
              <c:pt idx="171">
                <c:v>3.2021564891512462</c:v>
              </c:pt>
              <c:pt idx="172">
                <c:v>3.4409171715275186</c:v>
              </c:pt>
            </c:numLit>
          </c:yVal>
          <c:smooth val="0"/>
          <c:extLst>
            <c:ext xmlns:c16="http://schemas.microsoft.com/office/drawing/2014/chart" uri="{C3380CC4-5D6E-409C-BE32-E72D297353CC}">
              <c16:uniqueId val="{00000000-9DDB-41B0-8AFA-1FA370DD8E0D}"/>
            </c:ext>
          </c:extLst>
        </c:ser>
        <c:ser>
          <c:idx val="1"/>
          <c:order val="1"/>
          <c:tx>
            <c:v>Theoretical</c:v>
          </c:tx>
          <c:spPr>
            <a:ln w="12700">
              <a:solidFill>
                <a:srgbClr val="FF0000"/>
              </a:solidFill>
              <a:prstDash val="solid"/>
            </a:ln>
          </c:spPr>
          <c:marker>
            <c:symbol val="none"/>
          </c:marker>
          <c:xVal>
            <c:numLit>
              <c:formatCode>General</c:formatCode>
              <c:ptCount val="173"/>
              <c:pt idx="0">
                <c:v>-2.5273022667337983</c:v>
              </c:pt>
              <c:pt idx="1">
                <c:v>-2.2736256193762032</c:v>
              </c:pt>
              <c:pt idx="2">
                <c:v>-2.1143807715275607</c:v>
              </c:pt>
              <c:pt idx="3">
                <c:v>-1.9956042965147927</c:v>
              </c:pt>
              <c:pt idx="4">
                <c:v>-1.8997094129875349</c:v>
              </c:pt>
              <c:pt idx="5">
                <c:v>-1.8186455928500598</c:v>
              </c:pt>
              <c:pt idx="6">
                <c:v>-1.7480245865828783</c:v>
              </c:pt>
              <c:pt idx="7">
                <c:v>-1.685179095509723</c:v>
              </c:pt>
              <c:pt idx="8">
                <c:v>-1.6283614067169063</c:v>
              </c:pt>
              <c:pt idx="9">
                <c:v>-1.5763614436960824</c:v>
              </c:pt>
              <c:pt idx="10">
                <c:v>-1.5283051912903383</c:v>
              </c:pt>
              <c:pt idx="11">
                <c:v>-1.483539859401297</c:v>
              </c:pt>
              <c:pt idx="12">
                <c:v>-1.4415644358138213</c:v>
              </c:pt>
              <c:pt idx="13">
                <c:v>-1.4019856220813864</c:v>
              </c:pt>
              <c:pt idx="14">
                <c:v>-1.3644887481703289</c:v>
              </c:pt>
              <c:pt idx="15">
                <c:v>-1.3288179278648733</c:v>
              </c:pt>
              <c:pt idx="16">
                <c:v>-1.2947621322897249</c:v>
              </c:pt>
              <c:pt idx="17">
                <c:v>-1.2621451766228082</c:v>
              </c:pt>
              <c:pt idx="18">
                <c:v>-1.2308183667286043</c:v>
              </c:pt>
              <c:pt idx="19">
                <c:v>-1.2006549979511831</c:v>
              </c:pt>
              <c:pt idx="20">
                <c:v>-1.1715461713027622</c:v>
              </c:pt>
              <c:pt idx="21">
                <c:v>-1.1433975645330243</c:v>
              </c:pt>
              <c:pt idx="22">
                <c:v>-1.1161269070971864</c:v>
              </c:pt>
              <c:pt idx="23">
                <c:v>-1.0896619819461071</c:v>
              </c:pt>
              <c:pt idx="24">
                <c:v>-1.0639390270595839</c:v>
              </c:pt>
              <c:pt idx="25">
                <c:v>-1.0389014441072844</c:v>
              </c:pt>
              <c:pt idx="26">
                <c:v>-1.014498745784099</c:v>
              </c:pt>
              <c:pt idx="27">
                <c:v>-0.99068569057145761</c:v>
              </c:pt>
              <c:pt idx="28">
                <c:v>-0.96742156610170071</c:v>
              </c:pt>
              <c:pt idx="29">
                <c:v>-0.94466959139447615</c:v>
              </c:pt>
              <c:pt idx="30">
                <c:v>-0.92239641496680447</c:v>
              </c:pt>
              <c:pt idx="31">
                <c:v>-0.90057169086042888</c:v>
              </c:pt>
              <c:pt idx="32">
                <c:v>-0.8791677184445702</c:v>
              </c:pt>
              <c:pt idx="33">
                <c:v>-0.85815913476634831</c:v>
              </c:pt>
              <c:pt idx="34">
                <c:v>-0.83752265046717911</c:v>
              </c:pt>
              <c:pt idx="35">
                <c:v>-0.81723682202940007</c:v>
              </c:pt>
              <c:pt idx="36">
                <c:v>-0.79728185448508171</c:v>
              </c:pt>
              <c:pt idx="37">
                <c:v>-0.7776394297984387</c:v>
              </c:pt>
              <c:pt idx="38">
                <c:v>-0.75829255699115117</c:v>
              </c:pt>
              <c:pt idx="39">
                <c:v>-0.73922544076609598</c:v>
              </c:pt>
              <c:pt idx="40">
                <c:v>-0.72042336593740808</c:v>
              </c:pt>
              <c:pt idx="41">
                <c:v>-0.70187259542196001</c:v>
              </c:pt>
              <c:pt idx="42">
                <c:v>-0.68356027991144186</c:v>
              </c:pt>
              <c:pt idx="43">
                <c:v>-0.66547437764218487</c:v>
              </c:pt>
              <c:pt idx="44">
                <c:v>-0.64760358292497777</c:v>
              </c:pt>
              <c:pt idx="45">
                <c:v>-0.62993726229963953</c:v>
              </c:pt>
              <c:pt idx="46">
                <c:v>-0.61246539734726813</c:v>
              </c:pt>
              <c:pt idx="47">
                <c:v>-0.59517853333327786</c:v>
              </c:pt>
              <c:pt idx="48">
                <c:v>-0.57806773297169478</c:v>
              </c:pt>
              <c:pt idx="49">
                <c:v>-0.56112453469982282</c:v>
              </c:pt>
              <c:pt idx="50">
                <c:v>-0.54434091493561076</c:v>
              </c:pt>
              <c:pt idx="51">
                <c:v>-0.5277092538605066</c:v>
              </c:pt>
              <c:pt idx="52">
                <c:v>-0.51122230433044458</c:v>
              </c:pt>
              <c:pt idx="53">
                <c:v>-0.49487316356862382</c:v>
              </c:pt>
              <c:pt idx="54">
                <c:v>-0.47865524733737508</c:v>
              </c:pt>
              <c:pt idx="55">
                <c:v>-0.46256226632381564</c:v>
              </c:pt>
              <c:pt idx="56">
                <c:v>-0.44658820450617887</c:v>
              </c:pt>
              <c:pt idx="57">
                <c:v>-0.43072729929545767</c:v>
              </c:pt>
              <c:pt idx="58">
                <c:v>-0.4149740232710058</c:v>
              </c:pt>
              <c:pt idx="59">
                <c:v>-0.39932306734955125</c:v>
              </c:pt>
              <c:pt idx="60">
                <c:v>-0.38376932524515556</c:v>
              </c:pt>
              <c:pt idx="61">
                <c:v>-0.36830787909341051</c:v>
              </c:pt>
              <c:pt idx="62">
                <c:v>-0.35293398612691645</c:v>
              </c:pt>
              <c:pt idx="63">
                <c:v>-0.33764306630111163</c:v>
              </c:pt>
              <c:pt idx="64">
                <c:v>-0.32243069078007219</c:v>
              </c:pt>
              <c:pt idx="65">
                <c:v>-0.30729257120115577</c:v>
              </c:pt>
              <c:pt idx="66">
                <c:v>-0.29222454964551281</c:v>
              </c:pt>
              <c:pt idx="67">
                <c:v>-0.27722258924865673</c:v>
              </c:pt>
              <c:pt idx="68">
                <c:v>-0.26228276539162171</c:v>
              </c:pt>
              <c:pt idx="69">
                <c:v>-0.24740125741882135</c:v>
              </c:pt>
              <c:pt idx="70">
                <c:v>-0.23257434083366951</c:v>
              </c:pt>
              <c:pt idx="71">
                <c:v>-0.2177983799273987</c:v>
              </c:pt>
              <c:pt idx="72">
                <c:v>-0.20306982080038363</c:v>
              </c:pt>
              <c:pt idx="73">
                <c:v>-0.1883851847387108</c:v>
              </c:pt>
              <c:pt idx="74">
                <c:v>-0.17374106191177294</c:v>
              </c:pt>
              <c:pt idx="75">
                <c:v>-0.15913410535935713</c:v>
              </c:pt>
              <c:pt idx="76">
                <c:v>-0.14456102523907538</c:v>
              </c:pt>
              <c:pt idx="77">
                <c:v>-0.13001858330708424</c:v>
              </c:pt>
              <c:pt idx="78">
                <c:v>-0.11550358760689482</c:v>
              </c:pt>
              <c:pt idx="79">
                <c:v>-0.10101288734269341</c:v>
              </c:pt>
              <c:pt idx="80">
                <c:v>-8.6543367915016003E-2</c:v>
              </c:pt>
              <c:pt idx="81">
                <c:v>-7.209194609784951E-2</c:v>
              </c:pt>
              <c:pt idx="82">
                <c:v>-5.7655565337293428E-2</c:v>
              </c:pt>
              <c:pt idx="83">
                <c:v>-4.3231191152817192E-2</c:v>
              </c:pt>
              <c:pt idx="84">
                <c:v>-2.8815806622902673E-2</c:v>
              </c:pt>
              <c:pt idx="85">
                <c:v>-1.4406407937473295E-2</c:v>
              </c:pt>
              <c:pt idx="86">
                <c:v>0</c:v>
              </c:pt>
              <c:pt idx="87">
                <c:v>1.4406407937473433E-2</c:v>
              </c:pt>
              <c:pt idx="88">
                <c:v>2.8815806622902673E-2</c:v>
              </c:pt>
              <c:pt idx="89">
                <c:v>4.3231191152817337E-2</c:v>
              </c:pt>
              <c:pt idx="90">
                <c:v>5.7655565337293289E-2</c:v>
              </c:pt>
              <c:pt idx="91">
                <c:v>7.209194609784951E-2</c:v>
              </c:pt>
              <c:pt idx="92">
                <c:v>8.6543367915015865E-2</c:v>
              </c:pt>
              <c:pt idx="93">
                <c:v>0.10101288734269341</c:v>
              </c:pt>
              <c:pt idx="94">
                <c:v>0.11550358760689496</c:v>
              </c:pt>
              <c:pt idx="95">
                <c:v>0.13001858330708424</c:v>
              </c:pt>
              <c:pt idx="96">
                <c:v>0.14456102523907552</c:v>
              </c:pt>
              <c:pt idx="97">
                <c:v>0.15913410535935713</c:v>
              </c:pt>
              <c:pt idx="98">
                <c:v>0.17374106191177294</c:v>
              </c:pt>
              <c:pt idx="99">
                <c:v>0.18838518473871063</c:v>
              </c:pt>
              <c:pt idx="100">
                <c:v>0.20306982080038363</c:v>
              </c:pt>
              <c:pt idx="101">
                <c:v>0.21779837992739853</c:v>
              </c:pt>
              <c:pt idx="102">
                <c:v>0.23257434083366951</c:v>
              </c:pt>
              <c:pt idx="103">
                <c:v>0.24740125741882146</c:v>
              </c:pt>
              <c:pt idx="104">
                <c:v>0.26228276539162171</c:v>
              </c:pt>
              <c:pt idx="105">
                <c:v>0.27722258924865684</c:v>
              </c:pt>
              <c:pt idx="106">
                <c:v>0.29222454964551264</c:v>
              </c:pt>
              <c:pt idx="107">
                <c:v>0.30729257120115577</c:v>
              </c:pt>
              <c:pt idx="108">
                <c:v>0.32243069078007208</c:v>
              </c:pt>
              <c:pt idx="109">
                <c:v>0.33764306630111163</c:v>
              </c:pt>
              <c:pt idx="110">
                <c:v>0.35293398612691662</c:v>
              </c:pt>
              <c:pt idx="111">
                <c:v>0.36830787909341051</c:v>
              </c:pt>
              <c:pt idx="112">
                <c:v>0.38376932524515572</c:v>
              </c:pt>
              <c:pt idx="113">
                <c:v>0.39932306734955125</c:v>
              </c:pt>
              <c:pt idx="114">
                <c:v>0.4149740232710058</c:v>
              </c:pt>
              <c:pt idx="115">
                <c:v>0.4307272992954575</c:v>
              </c:pt>
              <c:pt idx="116">
                <c:v>0.44658820450617887</c:v>
              </c:pt>
              <c:pt idx="117">
                <c:v>0.46256226632381547</c:v>
              </c:pt>
              <c:pt idx="118">
                <c:v>0.47865524733737508</c:v>
              </c:pt>
              <c:pt idx="119">
                <c:v>0.49487316356862399</c:v>
              </c:pt>
              <c:pt idx="120">
                <c:v>0.51122230433044458</c:v>
              </c:pt>
              <c:pt idx="121">
                <c:v>0.52770925386050682</c:v>
              </c:pt>
              <c:pt idx="122">
                <c:v>0.54434091493561032</c:v>
              </c:pt>
              <c:pt idx="123">
                <c:v>0.56112453469982282</c:v>
              </c:pt>
              <c:pt idx="124">
                <c:v>0.57806773297169478</c:v>
              </c:pt>
              <c:pt idx="125">
                <c:v>0.59517853333327786</c:v>
              </c:pt>
              <c:pt idx="126">
                <c:v>0.61246539734726813</c:v>
              </c:pt>
              <c:pt idx="127">
                <c:v>0.62993726229963953</c:v>
              </c:pt>
              <c:pt idx="128">
                <c:v>0.64760358292497799</c:v>
              </c:pt>
              <c:pt idx="129">
                <c:v>0.66547437764218487</c:v>
              </c:pt>
              <c:pt idx="130">
                <c:v>0.68356027991144186</c:v>
              </c:pt>
              <c:pt idx="131">
                <c:v>0.70187259542196001</c:v>
              </c:pt>
              <c:pt idx="132">
                <c:v>0.72042336593740808</c:v>
              </c:pt>
              <c:pt idx="133">
                <c:v>0.73922544076609586</c:v>
              </c:pt>
              <c:pt idx="134">
                <c:v>0.75829255699115117</c:v>
              </c:pt>
              <c:pt idx="135">
                <c:v>0.77763942979843936</c:v>
              </c:pt>
              <c:pt idx="136">
                <c:v>0.79728185448508171</c:v>
              </c:pt>
              <c:pt idx="137">
                <c:v>0.81723682202940007</c:v>
              </c:pt>
              <c:pt idx="138">
                <c:v>0.83752265046717911</c:v>
              </c:pt>
              <c:pt idx="139">
                <c:v>0.85815913476634831</c:v>
              </c:pt>
              <c:pt idx="140">
                <c:v>0.87916771844456865</c:v>
              </c:pt>
              <c:pt idx="141">
                <c:v>0.90057169086042888</c:v>
              </c:pt>
              <c:pt idx="142">
                <c:v>0.92239641496680458</c:v>
              </c:pt>
              <c:pt idx="143">
                <c:v>0.94466959139447615</c:v>
              </c:pt>
              <c:pt idx="144">
                <c:v>0.96742156610170071</c:v>
              </c:pt>
              <c:pt idx="145">
                <c:v>0.99068569057145761</c:v>
              </c:pt>
              <c:pt idx="146">
                <c:v>1.014498745784099</c:v>
              </c:pt>
              <c:pt idx="147">
                <c:v>1.0389014441072844</c:v>
              </c:pt>
              <c:pt idx="148">
                <c:v>1.0639390270595839</c:v>
              </c:pt>
              <c:pt idx="149">
                <c:v>1.0896619819461066</c:v>
              </c:pt>
              <c:pt idx="150">
                <c:v>1.1161269070971864</c:v>
              </c:pt>
              <c:pt idx="151">
                <c:v>1.1433975645330243</c:v>
              </c:pt>
              <c:pt idx="152">
                <c:v>1.1715461713027622</c:v>
              </c:pt>
              <c:pt idx="153">
                <c:v>1.2006549979511831</c:v>
              </c:pt>
              <c:pt idx="154">
                <c:v>1.2308183667286043</c:v>
              </c:pt>
              <c:pt idx="155">
                <c:v>1.2621451766228082</c:v>
              </c:pt>
              <c:pt idx="156">
                <c:v>1.2947621322897234</c:v>
              </c:pt>
              <c:pt idx="157">
                <c:v>1.3288179278648733</c:v>
              </c:pt>
              <c:pt idx="158">
                <c:v>1.3644887481703283</c:v>
              </c:pt>
              <c:pt idx="159">
                <c:v>1.4019856220813864</c:v>
              </c:pt>
              <c:pt idx="160">
                <c:v>1.441564435813822</c:v>
              </c:pt>
              <c:pt idx="161">
                <c:v>1.4835398594012972</c:v>
              </c:pt>
              <c:pt idx="162">
                <c:v>1.5283051912903387</c:v>
              </c:pt>
              <c:pt idx="163">
                <c:v>1.576361443696082</c:v>
              </c:pt>
              <c:pt idx="164">
                <c:v>1.6283614067169063</c:v>
              </c:pt>
              <c:pt idx="165">
                <c:v>1.6851790955097226</c:v>
              </c:pt>
              <c:pt idx="166">
                <c:v>1.7480245865828783</c:v>
              </c:pt>
              <c:pt idx="167">
                <c:v>1.8186455928500604</c:v>
              </c:pt>
              <c:pt idx="168">
                <c:v>1.8997094129875347</c:v>
              </c:pt>
              <c:pt idx="169">
                <c:v>1.9956042965147931</c:v>
              </c:pt>
              <c:pt idx="170">
                <c:v>2.1143807715275598</c:v>
              </c:pt>
              <c:pt idx="171">
                <c:v>2.2736256193762032</c:v>
              </c:pt>
              <c:pt idx="172">
                <c:v>2.5273022667337943</c:v>
              </c:pt>
            </c:numLit>
          </c:xVal>
          <c:yVal>
            <c:numLit>
              <c:formatCode>General</c:formatCode>
              <c:ptCount val="173"/>
              <c:pt idx="0">
                <c:v>-2.5273022667337983</c:v>
              </c:pt>
              <c:pt idx="1">
                <c:v>-2.2736256193762032</c:v>
              </c:pt>
              <c:pt idx="2">
                <c:v>-2.1143807715275607</c:v>
              </c:pt>
              <c:pt idx="3">
                <c:v>-1.9956042965147927</c:v>
              </c:pt>
              <c:pt idx="4">
                <c:v>-1.8997094129875349</c:v>
              </c:pt>
              <c:pt idx="5">
                <c:v>-1.8186455928500598</c:v>
              </c:pt>
              <c:pt idx="6">
                <c:v>-1.7480245865828783</c:v>
              </c:pt>
              <c:pt idx="7">
                <c:v>-1.685179095509723</c:v>
              </c:pt>
              <c:pt idx="8">
                <c:v>-1.6283614067169063</c:v>
              </c:pt>
              <c:pt idx="9">
                <c:v>-1.5763614436960824</c:v>
              </c:pt>
              <c:pt idx="10">
                <c:v>-1.5283051912903383</c:v>
              </c:pt>
              <c:pt idx="11">
                <c:v>-1.483539859401297</c:v>
              </c:pt>
              <c:pt idx="12">
                <c:v>-1.4415644358138213</c:v>
              </c:pt>
              <c:pt idx="13">
                <c:v>-1.4019856220813864</c:v>
              </c:pt>
              <c:pt idx="14">
                <c:v>-1.3644887481703289</c:v>
              </c:pt>
              <c:pt idx="15">
                <c:v>-1.3288179278648733</c:v>
              </c:pt>
              <c:pt idx="16">
                <c:v>-1.2947621322897249</c:v>
              </c:pt>
              <c:pt idx="17">
                <c:v>-1.2621451766228082</c:v>
              </c:pt>
              <c:pt idx="18">
                <c:v>-1.2308183667286043</c:v>
              </c:pt>
              <c:pt idx="19">
                <c:v>-1.2006549979511831</c:v>
              </c:pt>
              <c:pt idx="20">
                <c:v>-1.1715461713027622</c:v>
              </c:pt>
              <c:pt idx="21">
                <c:v>-1.1433975645330243</c:v>
              </c:pt>
              <c:pt idx="22">
                <c:v>-1.1161269070971864</c:v>
              </c:pt>
              <c:pt idx="23">
                <c:v>-1.0896619819461071</c:v>
              </c:pt>
              <c:pt idx="24">
                <c:v>-1.0639390270595839</c:v>
              </c:pt>
              <c:pt idx="25">
                <c:v>-1.0389014441072844</c:v>
              </c:pt>
              <c:pt idx="26">
                <c:v>-1.014498745784099</c:v>
              </c:pt>
              <c:pt idx="27">
                <c:v>-0.99068569057145761</c:v>
              </c:pt>
              <c:pt idx="28">
                <c:v>-0.96742156610170071</c:v>
              </c:pt>
              <c:pt idx="29">
                <c:v>-0.94466959139447615</c:v>
              </c:pt>
              <c:pt idx="30">
                <c:v>-0.92239641496680447</c:v>
              </c:pt>
              <c:pt idx="31">
                <c:v>-0.90057169086042888</c:v>
              </c:pt>
              <c:pt idx="32">
                <c:v>-0.8791677184445702</c:v>
              </c:pt>
              <c:pt idx="33">
                <c:v>-0.85815913476634831</c:v>
              </c:pt>
              <c:pt idx="34">
                <c:v>-0.83752265046717911</c:v>
              </c:pt>
              <c:pt idx="35">
                <c:v>-0.81723682202940007</c:v>
              </c:pt>
              <c:pt idx="36">
                <c:v>-0.79728185448508171</c:v>
              </c:pt>
              <c:pt idx="37">
                <c:v>-0.7776394297984387</c:v>
              </c:pt>
              <c:pt idx="38">
                <c:v>-0.75829255699115117</c:v>
              </c:pt>
              <c:pt idx="39">
                <c:v>-0.73922544076609598</c:v>
              </c:pt>
              <c:pt idx="40">
                <c:v>-0.72042336593740808</c:v>
              </c:pt>
              <c:pt idx="41">
                <c:v>-0.70187259542196001</c:v>
              </c:pt>
              <c:pt idx="42">
                <c:v>-0.68356027991144186</c:v>
              </c:pt>
              <c:pt idx="43">
                <c:v>-0.66547437764218487</c:v>
              </c:pt>
              <c:pt idx="44">
                <c:v>-0.64760358292497777</c:v>
              </c:pt>
              <c:pt idx="45">
                <c:v>-0.62993726229963953</c:v>
              </c:pt>
              <c:pt idx="46">
                <c:v>-0.61246539734726813</c:v>
              </c:pt>
              <c:pt idx="47">
                <c:v>-0.59517853333327786</c:v>
              </c:pt>
              <c:pt idx="48">
                <c:v>-0.57806773297169478</c:v>
              </c:pt>
              <c:pt idx="49">
                <c:v>-0.56112453469982282</c:v>
              </c:pt>
              <c:pt idx="50">
                <c:v>-0.54434091493561076</c:v>
              </c:pt>
              <c:pt idx="51">
                <c:v>-0.5277092538605066</c:v>
              </c:pt>
              <c:pt idx="52">
                <c:v>-0.51122230433044458</c:v>
              </c:pt>
              <c:pt idx="53">
                <c:v>-0.49487316356862382</c:v>
              </c:pt>
              <c:pt idx="54">
                <c:v>-0.47865524733737508</c:v>
              </c:pt>
              <c:pt idx="55">
                <c:v>-0.46256226632381564</c:v>
              </c:pt>
              <c:pt idx="56">
                <c:v>-0.44658820450617887</c:v>
              </c:pt>
              <c:pt idx="57">
                <c:v>-0.43072729929545767</c:v>
              </c:pt>
              <c:pt idx="58">
                <c:v>-0.4149740232710058</c:v>
              </c:pt>
              <c:pt idx="59">
                <c:v>-0.39932306734955125</c:v>
              </c:pt>
              <c:pt idx="60">
                <c:v>-0.38376932524515556</c:v>
              </c:pt>
              <c:pt idx="61">
                <c:v>-0.36830787909341051</c:v>
              </c:pt>
              <c:pt idx="62">
                <c:v>-0.35293398612691645</c:v>
              </c:pt>
              <c:pt idx="63">
                <c:v>-0.33764306630111163</c:v>
              </c:pt>
              <c:pt idx="64">
                <c:v>-0.32243069078007219</c:v>
              </c:pt>
              <c:pt idx="65">
                <c:v>-0.30729257120115577</c:v>
              </c:pt>
              <c:pt idx="66">
                <c:v>-0.29222454964551281</c:v>
              </c:pt>
              <c:pt idx="67">
                <c:v>-0.27722258924865673</c:v>
              </c:pt>
              <c:pt idx="68">
                <c:v>-0.26228276539162171</c:v>
              </c:pt>
              <c:pt idx="69">
                <c:v>-0.24740125741882135</c:v>
              </c:pt>
              <c:pt idx="70">
                <c:v>-0.23257434083366951</c:v>
              </c:pt>
              <c:pt idx="71">
                <c:v>-0.2177983799273987</c:v>
              </c:pt>
              <c:pt idx="72">
                <c:v>-0.20306982080038363</c:v>
              </c:pt>
              <c:pt idx="73">
                <c:v>-0.1883851847387108</c:v>
              </c:pt>
              <c:pt idx="74">
                <c:v>-0.17374106191177294</c:v>
              </c:pt>
              <c:pt idx="75">
                <c:v>-0.15913410535935713</c:v>
              </c:pt>
              <c:pt idx="76">
                <c:v>-0.14456102523907538</c:v>
              </c:pt>
              <c:pt idx="77">
                <c:v>-0.13001858330708424</c:v>
              </c:pt>
              <c:pt idx="78">
                <c:v>-0.11550358760689482</c:v>
              </c:pt>
              <c:pt idx="79">
                <c:v>-0.10101288734269341</c:v>
              </c:pt>
              <c:pt idx="80">
                <c:v>-8.6543367915016003E-2</c:v>
              </c:pt>
              <c:pt idx="81">
                <c:v>-7.209194609784951E-2</c:v>
              </c:pt>
              <c:pt idx="82">
                <c:v>-5.7655565337293428E-2</c:v>
              </c:pt>
              <c:pt idx="83">
                <c:v>-4.3231191152817192E-2</c:v>
              </c:pt>
              <c:pt idx="84">
                <c:v>-2.8815806622902673E-2</c:v>
              </c:pt>
              <c:pt idx="85">
                <c:v>-1.4406407937473295E-2</c:v>
              </c:pt>
              <c:pt idx="86">
                <c:v>0</c:v>
              </c:pt>
              <c:pt idx="87">
                <c:v>1.4406407937473433E-2</c:v>
              </c:pt>
              <c:pt idx="88">
                <c:v>2.8815806622902673E-2</c:v>
              </c:pt>
              <c:pt idx="89">
                <c:v>4.3231191152817337E-2</c:v>
              </c:pt>
              <c:pt idx="90">
                <c:v>5.7655565337293289E-2</c:v>
              </c:pt>
              <c:pt idx="91">
                <c:v>7.209194609784951E-2</c:v>
              </c:pt>
              <c:pt idx="92">
                <c:v>8.6543367915015865E-2</c:v>
              </c:pt>
              <c:pt idx="93">
                <c:v>0.10101288734269341</c:v>
              </c:pt>
              <c:pt idx="94">
                <c:v>0.11550358760689496</c:v>
              </c:pt>
              <c:pt idx="95">
                <c:v>0.13001858330708424</c:v>
              </c:pt>
              <c:pt idx="96">
                <c:v>0.14456102523907552</c:v>
              </c:pt>
              <c:pt idx="97">
                <c:v>0.15913410535935713</c:v>
              </c:pt>
              <c:pt idx="98">
                <c:v>0.17374106191177294</c:v>
              </c:pt>
              <c:pt idx="99">
                <c:v>0.18838518473871063</c:v>
              </c:pt>
              <c:pt idx="100">
                <c:v>0.20306982080038363</c:v>
              </c:pt>
              <c:pt idx="101">
                <c:v>0.21779837992739853</c:v>
              </c:pt>
              <c:pt idx="102">
                <c:v>0.23257434083366951</c:v>
              </c:pt>
              <c:pt idx="103">
                <c:v>0.24740125741882146</c:v>
              </c:pt>
              <c:pt idx="104">
                <c:v>0.26228276539162171</c:v>
              </c:pt>
              <c:pt idx="105">
                <c:v>0.27722258924865684</c:v>
              </c:pt>
              <c:pt idx="106">
                <c:v>0.29222454964551264</c:v>
              </c:pt>
              <c:pt idx="107">
                <c:v>0.30729257120115577</c:v>
              </c:pt>
              <c:pt idx="108">
                <c:v>0.32243069078007208</c:v>
              </c:pt>
              <c:pt idx="109">
                <c:v>0.33764306630111163</c:v>
              </c:pt>
              <c:pt idx="110">
                <c:v>0.35293398612691662</c:v>
              </c:pt>
              <c:pt idx="111">
                <c:v>0.36830787909341051</c:v>
              </c:pt>
              <c:pt idx="112">
                <c:v>0.38376932524515572</c:v>
              </c:pt>
              <c:pt idx="113">
                <c:v>0.39932306734955125</c:v>
              </c:pt>
              <c:pt idx="114">
                <c:v>0.4149740232710058</c:v>
              </c:pt>
              <c:pt idx="115">
                <c:v>0.4307272992954575</c:v>
              </c:pt>
              <c:pt idx="116">
                <c:v>0.44658820450617887</c:v>
              </c:pt>
              <c:pt idx="117">
                <c:v>0.46256226632381547</c:v>
              </c:pt>
              <c:pt idx="118">
                <c:v>0.47865524733737508</c:v>
              </c:pt>
              <c:pt idx="119">
                <c:v>0.49487316356862399</c:v>
              </c:pt>
              <c:pt idx="120">
                <c:v>0.51122230433044458</c:v>
              </c:pt>
              <c:pt idx="121">
                <c:v>0.52770925386050682</c:v>
              </c:pt>
              <c:pt idx="122">
                <c:v>0.54434091493561032</c:v>
              </c:pt>
              <c:pt idx="123">
                <c:v>0.56112453469982282</c:v>
              </c:pt>
              <c:pt idx="124">
                <c:v>0.57806773297169478</c:v>
              </c:pt>
              <c:pt idx="125">
                <c:v>0.59517853333327786</c:v>
              </c:pt>
              <c:pt idx="126">
                <c:v>0.61246539734726813</c:v>
              </c:pt>
              <c:pt idx="127">
                <c:v>0.62993726229963953</c:v>
              </c:pt>
              <c:pt idx="128">
                <c:v>0.64760358292497799</c:v>
              </c:pt>
              <c:pt idx="129">
                <c:v>0.66547437764218487</c:v>
              </c:pt>
              <c:pt idx="130">
                <c:v>0.68356027991144186</c:v>
              </c:pt>
              <c:pt idx="131">
                <c:v>0.70187259542196001</c:v>
              </c:pt>
              <c:pt idx="132">
                <c:v>0.72042336593740808</c:v>
              </c:pt>
              <c:pt idx="133">
                <c:v>0.73922544076609586</c:v>
              </c:pt>
              <c:pt idx="134">
                <c:v>0.75829255699115117</c:v>
              </c:pt>
              <c:pt idx="135">
                <c:v>0.77763942979843936</c:v>
              </c:pt>
              <c:pt idx="136">
                <c:v>0.79728185448508171</c:v>
              </c:pt>
              <c:pt idx="137">
                <c:v>0.81723682202940007</c:v>
              </c:pt>
              <c:pt idx="138">
                <c:v>0.83752265046717911</c:v>
              </c:pt>
              <c:pt idx="139">
                <c:v>0.85815913476634831</c:v>
              </c:pt>
              <c:pt idx="140">
                <c:v>0.87916771844456865</c:v>
              </c:pt>
              <c:pt idx="141">
                <c:v>0.90057169086042888</c:v>
              </c:pt>
              <c:pt idx="142">
                <c:v>0.92239641496680458</c:v>
              </c:pt>
              <c:pt idx="143">
                <c:v>0.94466959139447615</c:v>
              </c:pt>
              <c:pt idx="144">
                <c:v>0.96742156610170071</c:v>
              </c:pt>
              <c:pt idx="145">
                <c:v>0.99068569057145761</c:v>
              </c:pt>
              <c:pt idx="146">
                <c:v>1.014498745784099</c:v>
              </c:pt>
              <c:pt idx="147">
                <c:v>1.0389014441072844</c:v>
              </c:pt>
              <c:pt idx="148">
                <c:v>1.0639390270595839</c:v>
              </c:pt>
              <c:pt idx="149">
                <c:v>1.0896619819461066</c:v>
              </c:pt>
              <c:pt idx="150">
                <c:v>1.1161269070971864</c:v>
              </c:pt>
              <c:pt idx="151">
                <c:v>1.1433975645330243</c:v>
              </c:pt>
              <c:pt idx="152">
                <c:v>1.1715461713027622</c:v>
              </c:pt>
              <c:pt idx="153">
                <c:v>1.2006549979511831</c:v>
              </c:pt>
              <c:pt idx="154">
                <c:v>1.2308183667286043</c:v>
              </c:pt>
              <c:pt idx="155">
                <c:v>1.2621451766228082</c:v>
              </c:pt>
              <c:pt idx="156">
                <c:v>1.2947621322897234</c:v>
              </c:pt>
              <c:pt idx="157">
                <c:v>1.3288179278648733</c:v>
              </c:pt>
              <c:pt idx="158">
                <c:v>1.3644887481703283</c:v>
              </c:pt>
              <c:pt idx="159">
                <c:v>1.4019856220813864</c:v>
              </c:pt>
              <c:pt idx="160">
                <c:v>1.441564435813822</c:v>
              </c:pt>
              <c:pt idx="161">
                <c:v>1.4835398594012972</c:v>
              </c:pt>
              <c:pt idx="162">
                <c:v>1.5283051912903387</c:v>
              </c:pt>
              <c:pt idx="163">
                <c:v>1.576361443696082</c:v>
              </c:pt>
              <c:pt idx="164">
                <c:v>1.6283614067169063</c:v>
              </c:pt>
              <c:pt idx="165">
                <c:v>1.6851790955097226</c:v>
              </c:pt>
              <c:pt idx="166">
                <c:v>1.7480245865828783</c:v>
              </c:pt>
              <c:pt idx="167">
                <c:v>1.8186455928500604</c:v>
              </c:pt>
              <c:pt idx="168">
                <c:v>1.8997094129875347</c:v>
              </c:pt>
              <c:pt idx="169">
                <c:v>1.9956042965147931</c:v>
              </c:pt>
              <c:pt idx="170">
                <c:v>2.1143807715275598</c:v>
              </c:pt>
              <c:pt idx="171">
                <c:v>2.2736256193762032</c:v>
              </c:pt>
              <c:pt idx="172">
                <c:v>2.5273022667337943</c:v>
              </c:pt>
            </c:numLit>
          </c:yVal>
          <c:smooth val="0"/>
          <c:extLst>
            <c:ext xmlns:c16="http://schemas.microsoft.com/office/drawing/2014/chart" uri="{C3380CC4-5D6E-409C-BE32-E72D297353CC}">
              <c16:uniqueId val="{00000001-9DDB-41B0-8AFA-1FA370DD8E0D}"/>
            </c:ext>
          </c:extLst>
        </c:ser>
        <c:dLbls>
          <c:showLegendKey val="0"/>
          <c:showVal val="0"/>
          <c:showCatName val="0"/>
          <c:showSerName val="0"/>
          <c:showPercent val="0"/>
          <c:showBubbleSize val="0"/>
        </c:dLbls>
        <c:axId val="453868544"/>
        <c:axId val="455191168"/>
      </c:scatterChart>
      <c:valAx>
        <c:axId val="453868544"/>
        <c:scaling>
          <c:orientation val="minMax"/>
        </c:scaling>
        <c:delete val="0"/>
        <c:axPos val="b"/>
        <c:title>
          <c:tx>
            <c:rich>
              <a:bodyPr/>
              <a:lstStyle/>
              <a:p>
                <a:pPr>
                  <a:defRPr/>
                </a:pPr>
                <a:r>
                  <a:rPr lang="en-US"/>
                  <a:t>Theoretical Standardized Residual
</a:t>
                </a:r>
                <a:r>
                  <a:rPr lang="en-US" sz="750"/>
                  <a:t>Adjusted Anderson-Darling statistic is 2.216 (P=0)</a:t>
                </a:r>
              </a:p>
            </c:rich>
          </c:tx>
          <c:overlay val="0"/>
        </c:title>
        <c:numFmt formatCode="General" sourceLinked="1"/>
        <c:majorTickMark val="out"/>
        <c:minorTickMark val="none"/>
        <c:tickLblPos val="nextTo"/>
        <c:crossAx val="455191168"/>
        <c:crosses val="autoZero"/>
        <c:crossBetween val="midCat"/>
      </c:valAx>
      <c:valAx>
        <c:axId val="455191168"/>
        <c:scaling>
          <c:orientation val="minMax"/>
        </c:scaling>
        <c:delete val="0"/>
        <c:axPos val="l"/>
        <c:title>
          <c:tx>
            <c:rich>
              <a:bodyPr/>
              <a:lstStyle/>
              <a:p>
                <a:pPr>
                  <a:defRPr/>
                </a:pPr>
                <a:r>
                  <a:rPr lang="en-US"/>
                  <a:t>Actual Standardized Residual</a:t>
                </a:r>
              </a:p>
            </c:rich>
          </c:tx>
          <c:overlay val="0"/>
        </c:title>
        <c:numFmt formatCode="General" sourceLinked="1"/>
        <c:majorTickMark val="out"/>
        <c:minorTickMark val="none"/>
        <c:tickLblPos val="nextTo"/>
        <c:crossAx val="453868544"/>
        <c:crossesAt val="-3"/>
        <c:crossBetween val="midCat"/>
      </c:valAx>
      <c:spPr>
        <a:ln w="6350">
          <a:solidFill>
            <a:srgbClr val="808080"/>
          </a:solidFill>
          <a:prstDash val="solid"/>
        </a:ln>
      </c:spPr>
    </c:plotArea>
    <c:legend>
      <c:legendPos val="r"/>
      <c:overlay val="0"/>
    </c:legend>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'Com HDD plus trend model'!$AA$2</c:f>
          <c:strCache>
            <c:ptCount val="1"/>
            <c:pt idx="0">
              <c:v>Forecasts and 95.0% confidence limits for means and forecasts
Com HDD plus trend model for _Commercial_Natural_Gas    (2 variables, n=173)</c:v>
            </c:pt>
          </c:strCache>
        </c:strRef>
      </c:tx>
      <c:overlay val="0"/>
      <c:txPr>
        <a:bodyPr/>
        <a:lstStyle/>
        <a:p>
          <a:pPr>
            <a:defRPr sz="1000"/>
          </a:pPr>
          <a:endParaRPr lang="en-US"/>
        </a:p>
      </c:txPr>
    </c:title>
    <c:autoTitleDeleted val="0"/>
    <c:plotArea>
      <c:layout/>
      <c:lineChart>
        <c:grouping val="standard"/>
        <c:varyColors val="0"/>
        <c:ser>
          <c:idx val="0"/>
          <c:order val="0"/>
          <c:tx>
            <c:v>Forecast</c:v>
          </c:tx>
          <c:spPr>
            <a:ln w="25400">
              <a:noFill/>
            </a:ln>
          </c:spPr>
          <c:marker>
            <c:symbol val="circle"/>
            <c:size val="7"/>
            <c:spPr>
              <a:solidFill>
                <a:srgbClr val="FF9999"/>
              </a:solidFill>
              <a:ln w="12700">
                <a:solidFill>
                  <a:srgbClr val="FF0000"/>
                </a:solidFill>
                <a:prstDash val="solid"/>
              </a:ln>
            </c:spPr>
          </c:marker>
          <c:errBars>
            <c:errDir val="y"/>
            <c:errBarType val="both"/>
            <c:errValType val="cust"/>
            <c:noEndCap val="0"/>
            <c:plus>
              <c:numRef>
                <c:f>'Com HDD plus trend model'!$CG$37</c:f>
              </c:numRef>
            </c:plus>
            <c:minus>
              <c:numRef>
                <c:f>'Com HDD plus trend model'!$CG$37</c:f>
              </c:numRef>
            </c:minus>
          </c:errBars>
          <c:val>
            <c:numRef>
              <c:f>'Com HDD plus trend model'!$B$37</c:f>
            </c:numRef>
          </c:val>
          <c:smooth val="0"/>
          <c:extLst>
            <c:ext xmlns:c15="http://schemas.microsoft.com/office/drawing/2012/chart" uri="{02D57815-91ED-43cb-92C2-25804820EDAC}">
              <c15:filteredCategoryTitle>
                <c15:cat>
                  <c:multiLvlStrRef>
                    <c:extLst>
                      <c:ext uri="{02D57815-91ED-43cb-92C2-25804820EDAC}">
                        <c15:formulaRef>
                          <c15:sqref>'Com HDD plus trend model'!$A$37</c15:sqref>
                        </c15:formulaRef>
                      </c:ext>
                    </c:extLst>
                  </c:multiLvlStrRef>
                </c15:cat>
              </c15:filteredCategoryTitle>
            </c:ext>
            <c:ext xmlns:c16="http://schemas.microsoft.com/office/drawing/2014/chart" uri="{C3380CC4-5D6E-409C-BE32-E72D297353CC}">
              <c16:uniqueId val="{00000000-45EC-4D8A-A900-52F494893DC0}"/>
            </c:ext>
          </c:extLst>
        </c:ser>
        <c:ser>
          <c:idx val="1"/>
          <c:order val="1"/>
          <c:tx>
            <c:strRef>
              <c:f>'Com HDD plus trend model'!$H$36</c:f>
              <c:strCache>
                <c:ptCount val="1"/>
                <c:pt idx="0">
                  <c:v>Upper95%M</c:v>
                </c:pt>
              </c:strCache>
            </c:strRef>
          </c:tx>
          <c:spPr>
            <a:ln w="25400">
              <a:noFill/>
            </a:ln>
          </c:spPr>
          <c:marker>
            <c:symbol val="dash"/>
            <c:size val="7"/>
            <c:spPr>
              <a:noFill/>
              <a:ln w="12700">
                <a:solidFill>
                  <a:srgbClr val="000000"/>
                </a:solidFill>
              </a:ln>
              <a:extLst>
                <a:ext uri="{909E8E84-426E-40DD-AFC4-6F175D3DCCD1}">
                  <a14:hiddenFill xmlns:a14="http://schemas.microsoft.com/office/drawing/2010/main">
                    <a:solidFill>
                      <a:srgbClr val="ED7D31"/>
                    </a:solidFill>
                  </a14:hiddenFill>
                </a:ext>
              </a:extLst>
            </c:spPr>
          </c:marker>
          <c:val>
            <c:numRef>
              <c:f>'Com HDD plus trend model'!$H$37</c:f>
            </c:numRef>
          </c:val>
          <c:smooth val="0"/>
          <c:extLst>
            <c:ext xmlns:c15="http://schemas.microsoft.com/office/drawing/2012/chart" uri="{02D57815-91ED-43cb-92C2-25804820EDAC}">
              <c15:filteredCategoryTitle>
                <c15:cat>
                  <c:multiLvlStrRef>
                    <c:extLst>
                      <c:ext uri="{02D57815-91ED-43cb-92C2-25804820EDAC}">
                        <c15:formulaRef>
                          <c15:sqref>'Com HDD plus trend model'!$A$37</c15:sqref>
                        </c15:formulaRef>
                      </c:ext>
                    </c:extLst>
                  </c:multiLvlStrRef>
                </c15:cat>
              </c15:filteredCategoryTitle>
            </c:ext>
            <c:ext xmlns:c16="http://schemas.microsoft.com/office/drawing/2014/chart" uri="{C3380CC4-5D6E-409C-BE32-E72D297353CC}">
              <c16:uniqueId val="{00000001-45EC-4D8A-A900-52F494893DC0}"/>
            </c:ext>
          </c:extLst>
        </c:ser>
        <c:ser>
          <c:idx val="2"/>
          <c:order val="2"/>
          <c:tx>
            <c:strRef>
              <c:f>'Com HDD plus trend model'!$G$36</c:f>
              <c:strCache>
                <c:ptCount val="1"/>
                <c:pt idx="0">
                  <c:v>Lower95%M</c:v>
                </c:pt>
              </c:strCache>
            </c:strRef>
          </c:tx>
          <c:spPr>
            <a:ln w="25400">
              <a:noFill/>
            </a:ln>
          </c:spPr>
          <c:marker>
            <c:symbol val="dash"/>
            <c:size val="7"/>
            <c:spPr>
              <a:noFill/>
              <a:ln w="12700">
                <a:solidFill>
                  <a:srgbClr val="000000"/>
                </a:solidFill>
              </a:ln>
              <a:extLst>
                <a:ext uri="{909E8E84-426E-40DD-AFC4-6F175D3DCCD1}">
                  <a14:hiddenFill xmlns:a14="http://schemas.microsoft.com/office/drawing/2010/main">
                    <a:solidFill>
                      <a:srgbClr val="A5A5A5"/>
                    </a:solidFill>
                  </a14:hiddenFill>
                </a:ext>
              </a:extLst>
            </c:spPr>
          </c:marker>
          <c:val>
            <c:numRef>
              <c:f>'Com HDD plus trend model'!$G$37</c:f>
            </c:numRef>
          </c:val>
          <c:smooth val="0"/>
          <c:extLst>
            <c:ext xmlns:c15="http://schemas.microsoft.com/office/drawing/2012/chart" uri="{02D57815-91ED-43cb-92C2-25804820EDAC}">
              <c15:filteredCategoryTitle>
                <c15:cat>
                  <c:multiLvlStrRef>
                    <c:extLst>
                      <c:ext uri="{02D57815-91ED-43cb-92C2-25804820EDAC}">
                        <c15:formulaRef>
                          <c15:sqref>'Com HDD plus trend model'!$A$37</c15:sqref>
                        </c15:formulaRef>
                      </c:ext>
                    </c:extLst>
                  </c:multiLvlStrRef>
                </c15:cat>
              </c15:filteredCategoryTitle>
            </c:ext>
            <c:ext xmlns:c16="http://schemas.microsoft.com/office/drawing/2014/chart" uri="{C3380CC4-5D6E-409C-BE32-E72D297353CC}">
              <c16:uniqueId val="{00000002-45EC-4D8A-A900-52F494893DC0}"/>
            </c:ext>
          </c:extLst>
        </c:ser>
        <c:dLbls>
          <c:showLegendKey val="0"/>
          <c:showVal val="0"/>
          <c:showCatName val="0"/>
          <c:showSerName val="0"/>
          <c:showPercent val="0"/>
          <c:showBubbleSize val="0"/>
        </c:dLbls>
        <c:marker val="1"/>
        <c:smooth val="0"/>
        <c:axId val="457697920"/>
        <c:axId val="82822272"/>
      </c:lineChart>
      <c:catAx>
        <c:axId val="457697920"/>
        <c:scaling>
          <c:orientation val="minMax"/>
        </c:scaling>
        <c:delete val="0"/>
        <c:axPos val="b"/>
        <c:title>
          <c:tx>
            <c:rich>
              <a:bodyPr/>
              <a:lstStyle/>
              <a:p>
                <a:pPr>
                  <a:defRPr/>
                </a:pPr>
                <a:r>
                  <a:rPr lang="en-US"/>
                  <a:t>Observation #</a:t>
                </a:r>
              </a:p>
            </c:rich>
          </c:tx>
          <c:overlay val="0"/>
        </c:title>
        <c:numFmt formatCode="0" sourceLinked="1"/>
        <c:majorTickMark val="out"/>
        <c:minorTickMark val="none"/>
        <c:tickLblPos val="nextTo"/>
        <c:crossAx val="82822272"/>
        <c:crossesAt val="4500"/>
        <c:auto val="1"/>
        <c:lblAlgn val="ctr"/>
        <c:lblOffset val="100"/>
        <c:noMultiLvlLbl val="0"/>
      </c:catAx>
      <c:valAx>
        <c:axId val="82822272"/>
        <c:scaling>
          <c:orientation val="minMax"/>
          <c:min val="4500"/>
        </c:scaling>
        <c:delete val="0"/>
        <c:axPos val="l"/>
        <c:majorGridlines>
          <c:spPr>
            <a:ln w="3175">
              <a:solidFill>
                <a:srgbClr val="C0C0C0"/>
              </a:solidFill>
              <a:prstDash val="solid"/>
            </a:ln>
          </c:spPr>
        </c:majorGridlines>
        <c:title>
          <c:tx>
            <c:rich>
              <a:bodyPr/>
              <a:lstStyle/>
              <a:p>
                <a:pPr>
                  <a:defRPr/>
                </a:pPr>
                <a:r>
                  <a:rPr lang="en-US"/>
                  <a:t>_Commercial_Natural_Gas</a:t>
                </a:r>
              </a:p>
            </c:rich>
          </c:tx>
          <c:layout>
            <c:manualLayout>
              <c:xMode val="edge"/>
              <c:yMode val="edge"/>
              <c:x val="2.5596276905177427E-2"/>
              <c:y val="0.21829629629629629"/>
            </c:manualLayout>
          </c:layout>
          <c:overlay val="0"/>
        </c:title>
        <c:numFmt formatCode="General" sourceLinked="0"/>
        <c:majorTickMark val="out"/>
        <c:minorTickMark val="none"/>
        <c:tickLblPos val="nextTo"/>
        <c:crossAx val="457697920"/>
        <c:crosses val="autoZero"/>
        <c:crossBetween val="between"/>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txPr>
    <a:bodyPr/>
    <a:lstStyle/>
    <a:p>
      <a:pPr>
        <a:defRPr sz="1000">
          <a:latin typeface="Calibri"/>
          <a:ea typeface="Calibri"/>
          <a:cs typeface="Calibri"/>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'Com HDD plus trend model'!$AA$3</c:f>
          <c:strCache>
            <c:ptCount val="1"/>
            <c:pt idx="0">
              <c:v>Actual and predicted -vs- Observation # with 95.0% confidence limits
Com HDD plus trend model for _Commercial_Natural_Gas
(2 variables, n=173)</c:v>
            </c:pt>
          </c:strCache>
        </c:strRef>
      </c:tx>
      <c:overlay val="0"/>
      <c:txPr>
        <a:bodyPr/>
        <a:lstStyle/>
        <a:p>
          <a:pPr>
            <a:defRPr sz="1000">
              <a:latin typeface="Calibri"/>
              <a:ea typeface="Calibri"/>
              <a:cs typeface="Calibri"/>
            </a:defRPr>
          </a:pPr>
          <a:endParaRPr lang="en-US"/>
        </a:p>
      </c:txPr>
    </c:title>
    <c:autoTitleDeleted val="0"/>
    <c:plotArea>
      <c:layout/>
      <c:scatterChart>
        <c:scatterStyle val="lineMarker"/>
        <c:varyColors val="0"/>
        <c:ser>
          <c:idx val="0"/>
          <c:order val="0"/>
          <c:tx>
            <c:v>Actual</c:v>
          </c:tx>
          <c:spPr>
            <a:ln w="9525" cap="rnd" cmpd="sng" algn="ctr">
              <a:solidFill>
                <a:srgbClr val="0000FF"/>
              </a:solidFill>
              <a:prstDash val="solid"/>
              <a:round/>
              <a:headEnd type="none" w="med" len="med"/>
              <a:tailEnd type="none" w="med" len="med"/>
            </a:ln>
          </c:spPr>
          <c:marker>
            <c:symbol val="diamond"/>
            <c:size val="5"/>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17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172</c:v>
              </c:pt>
              <c:pt idx="171">
                <c:v>173</c:v>
              </c:pt>
              <c:pt idx="172">
                <c:v>174</c:v>
              </c:pt>
            </c:numLit>
          </c:xVal>
          <c:yVal>
            <c:numLit>
              <c:formatCode>General</c:formatCode>
              <c:ptCount val="173"/>
              <c:pt idx="0">
                <c:v>7812</c:v>
              </c:pt>
              <c:pt idx="1">
                <c:v>5397</c:v>
              </c:pt>
              <c:pt idx="2">
                <c:v>4696</c:v>
              </c:pt>
              <c:pt idx="3">
                <c:v>3203</c:v>
              </c:pt>
              <c:pt idx="4">
                <c:v>2024</c:v>
              </c:pt>
              <c:pt idx="5">
                <c:v>1564</c:v>
              </c:pt>
              <c:pt idx="6">
                <c:v>1569</c:v>
              </c:pt>
              <c:pt idx="7">
                <c:v>1445</c:v>
              </c:pt>
              <c:pt idx="8">
                <c:v>1626</c:v>
              </c:pt>
              <c:pt idx="9">
                <c:v>2264</c:v>
              </c:pt>
              <c:pt idx="10">
                <c:v>2946</c:v>
              </c:pt>
              <c:pt idx="11">
                <c:v>4038</c:v>
              </c:pt>
              <c:pt idx="12">
                <c:v>6314</c:v>
              </c:pt>
              <c:pt idx="13">
                <c:v>5606</c:v>
              </c:pt>
              <c:pt idx="14">
                <c:v>4787</c:v>
              </c:pt>
              <c:pt idx="15">
                <c:v>2861</c:v>
              </c:pt>
              <c:pt idx="16">
                <c:v>1902</c:v>
              </c:pt>
              <c:pt idx="17">
                <c:v>1882</c:v>
              </c:pt>
              <c:pt idx="18">
                <c:v>1511</c:v>
              </c:pt>
              <c:pt idx="19">
                <c:v>1437</c:v>
              </c:pt>
              <c:pt idx="20">
                <c:v>1624</c:v>
              </c:pt>
              <c:pt idx="21">
                <c:v>2429</c:v>
              </c:pt>
              <c:pt idx="22">
                <c:v>3620</c:v>
              </c:pt>
              <c:pt idx="23">
                <c:v>6225</c:v>
              </c:pt>
              <c:pt idx="24">
                <c:v>7576</c:v>
              </c:pt>
              <c:pt idx="25">
                <c:v>7127</c:v>
              </c:pt>
              <c:pt idx="26">
                <c:v>4812</c:v>
              </c:pt>
              <c:pt idx="27">
                <c:v>3255</c:v>
              </c:pt>
              <c:pt idx="28">
                <c:v>2268</c:v>
              </c:pt>
              <c:pt idx="29">
                <c:v>1693</c:v>
              </c:pt>
              <c:pt idx="30">
                <c:v>1560</c:v>
              </c:pt>
              <c:pt idx="31">
                <c:v>1521</c:v>
              </c:pt>
              <c:pt idx="32">
                <c:v>1698</c:v>
              </c:pt>
              <c:pt idx="33">
                <c:v>2758</c:v>
              </c:pt>
              <c:pt idx="34">
                <c:v>3854</c:v>
              </c:pt>
              <c:pt idx="35">
                <c:v>6140</c:v>
              </c:pt>
              <c:pt idx="36">
                <c:v>7463</c:v>
              </c:pt>
              <c:pt idx="37">
                <c:v>7438</c:v>
              </c:pt>
              <c:pt idx="38">
                <c:v>5282</c:v>
              </c:pt>
              <c:pt idx="39">
                <c:v>3483</c:v>
              </c:pt>
              <c:pt idx="40">
                <c:v>2214</c:v>
              </c:pt>
              <c:pt idx="41">
                <c:v>2035</c:v>
              </c:pt>
              <c:pt idx="42">
                <c:v>1949</c:v>
              </c:pt>
              <c:pt idx="43">
                <c:v>2038</c:v>
              </c:pt>
              <c:pt idx="44">
                <c:v>2017</c:v>
              </c:pt>
              <c:pt idx="45">
                <c:v>2305</c:v>
              </c:pt>
              <c:pt idx="46">
                <c:v>3377</c:v>
              </c:pt>
              <c:pt idx="47">
                <c:v>5782</c:v>
              </c:pt>
              <c:pt idx="48">
                <c:v>7551</c:v>
              </c:pt>
              <c:pt idx="49">
                <c:v>6951</c:v>
              </c:pt>
              <c:pt idx="50">
                <c:v>6156</c:v>
              </c:pt>
              <c:pt idx="51">
                <c:v>3951</c:v>
              </c:pt>
              <c:pt idx="52">
                <c:v>2488</c:v>
              </c:pt>
              <c:pt idx="53">
                <c:v>2108</c:v>
              </c:pt>
              <c:pt idx="54">
                <c:v>1958</c:v>
              </c:pt>
              <c:pt idx="55">
                <c:v>1889</c:v>
              </c:pt>
              <c:pt idx="56">
                <c:v>2026</c:v>
              </c:pt>
              <c:pt idx="57">
                <c:v>2564</c:v>
              </c:pt>
              <c:pt idx="58">
                <c:v>3466</c:v>
              </c:pt>
              <c:pt idx="59">
                <c:v>6590</c:v>
              </c:pt>
              <c:pt idx="60">
                <c:v>7102</c:v>
              </c:pt>
              <c:pt idx="61">
                <c:v>6464</c:v>
              </c:pt>
              <c:pt idx="62">
                <c:v>5564</c:v>
              </c:pt>
              <c:pt idx="63">
                <c:v>3540</c:v>
              </c:pt>
              <c:pt idx="64">
                <c:v>2561</c:v>
              </c:pt>
              <c:pt idx="65">
                <c:v>2232</c:v>
              </c:pt>
              <c:pt idx="66">
                <c:v>2138</c:v>
              </c:pt>
              <c:pt idx="67">
                <c:v>2008</c:v>
              </c:pt>
              <c:pt idx="68">
                <c:v>2285</c:v>
              </c:pt>
              <c:pt idx="69">
                <c:v>3093</c:v>
              </c:pt>
              <c:pt idx="70">
                <c:v>3884</c:v>
              </c:pt>
              <c:pt idx="71">
                <c:v>5449</c:v>
              </c:pt>
              <c:pt idx="72">
                <c:v>6772</c:v>
              </c:pt>
              <c:pt idx="73">
                <c:v>7443</c:v>
              </c:pt>
              <c:pt idx="74">
                <c:v>5270</c:v>
              </c:pt>
              <c:pt idx="75">
                <c:v>3597</c:v>
              </c:pt>
              <c:pt idx="76">
                <c:v>2602</c:v>
              </c:pt>
              <c:pt idx="77">
                <c:v>2131</c:v>
              </c:pt>
              <c:pt idx="78">
                <c:v>1997</c:v>
              </c:pt>
              <c:pt idx="79">
                <c:v>1965</c:v>
              </c:pt>
              <c:pt idx="80">
                <c:v>2068</c:v>
              </c:pt>
              <c:pt idx="81">
                <c:v>2352</c:v>
              </c:pt>
              <c:pt idx="82">
                <c:v>3902</c:v>
              </c:pt>
              <c:pt idx="83">
                <c:v>5335</c:v>
              </c:pt>
              <c:pt idx="84">
                <c:v>7577</c:v>
              </c:pt>
              <c:pt idx="85">
                <c:v>6186</c:v>
              </c:pt>
              <c:pt idx="86">
                <c:v>4686</c:v>
              </c:pt>
              <c:pt idx="87">
                <c:v>3120</c:v>
              </c:pt>
              <c:pt idx="88">
                <c:v>2280</c:v>
              </c:pt>
              <c:pt idx="89">
                <c:v>1998</c:v>
              </c:pt>
              <c:pt idx="90">
                <c:v>1909</c:v>
              </c:pt>
              <c:pt idx="91">
                <c:v>2010</c:v>
              </c:pt>
              <c:pt idx="92">
                <c:v>2707</c:v>
              </c:pt>
              <c:pt idx="93">
                <c:v>4602</c:v>
              </c:pt>
              <c:pt idx="94">
                <c:v>5251</c:v>
              </c:pt>
              <c:pt idx="95">
                <c:v>6241</c:v>
              </c:pt>
              <c:pt idx="96">
                <c:v>8960</c:v>
              </c:pt>
              <c:pt idx="97">
                <c:v>6565</c:v>
              </c:pt>
              <c:pt idx="98">
                <c:v>5670</c:v>
              </c:pt>
              <c:pt idx="99">
                <c:v>3161</c:v>
              </c:pt>
              <c:pt idx="100">
                <c:v>2464</c:v>
              </c:pt>
              <c:pt idx="101">
                <c:v>1853</c:v>
              </c:pt>
              <c:pt idx="102">
                <c:v>1983</c:v>
              </c:pt>
              <c:pt idx="103">
                <c:v>2064</c:v>
              </c:pt>
              <c:pt idx="104">
                <c:v>2450</c:v>
              </c:pt>
              <c:pt idx="105">
                <c:v>3598</c:v>
              </c:pt>
              <c:pt idx="106">
                <c:v>4375</c:v>
              </c:pt>
              <c:pt idx="107">
                <c:v>8161</c:v>
              </c:pt>
              <c:pt idx="108">
                <c:v>9701</c:v>
              </c:pt>
              <c:pt idx="109">
                <c:v>8911</c:v>
              </c:pt>
              <c:pt idx="110">
                <c:v>5153</c:v>
              </c:pt>
              <c:pt idx="111">
                <c:v>2691</c:v>
              </c:pt>
              <c:pt idx="112">
                <c:v>2389</c:v>
              </c:pt>
              <c:pt idx="113">
                <c:v>1977</c:v>
              </c:pt>
              <c:pt idx="114">
                <c:v>1926</c:v>
              </c:pt>
              <c:pt idx="115">
                <c:v>2092</c:v>
              </c:pt>
              <c:pt idx="116">
                <c:v>2433</c:v>
              </c:pt>
              <c:pt idx="117">
                <c:v>3117</c:v>
              </c:pt>
              <c:pt idx="118">
                <c:v>5190</c:v>
              </c:pt>
              <c:pt idx="119">
                <c:v>10645</c:v>
              </c:pt>
              <c:pt idx="120">
                <c:v>9522</c:v>
              </c:pt>
              <c:pt idx="121">
                <c:v>6169</c:v>
              </c:pt>
              <c:pt idx="122">
                <c:v>5460</c:v>
              </c:pt>
              <c:pt idx="123">
                <c:v>2761</c:v>
              </c:pt>
              <c:pt idx="124">
                <c:v>2568</c:v>
              </c:pt>
              <c:pt idx="125">
                <c:v>2133</c:v>
              </c:pt>
              <c:pt idx="126">
                <c:v>1980</c:v>
              </c:pt>
              <c:pt idx="127">
                <c:v>2465</c:v>
              </c:pt>
              <c:pt idx="128">
                <c:v>2382</c:v>
              </c:pt>
              <c:pt idx="129">
                <c:v>3931</c:v>
              </c:pt>
              <c:pt idx="130">
                <c:v>4446</c:v>
              </c:pt>
              <c:pt idx="131">
                <c:v>6081</c:v>
              </c:pt>
              <c:pt idx="132">
                <c:v>8072</c:v>
              </c:pt>
              <c:pt idx="133">
                <c:v>6583</c:v>
              </c:pt>
              <c:pt idx="134">
                <c:v>3545</c:v>
              </c:pt>
              <c:pt idx="135">
                <c:v>3370</c:v>
              </c:pt>
              <c:pt idx="136">
                <c:v>2205</c:v>
              </c:pt>
              <c:pt idx="137">
                <c:v>2433</c:v>
              </c:pt>
              <c:pt idx="138">
                <c:v>1976</c:v>
              </c:pt>
              <c:pt idx="139">
                <c:v>2673</c:v>
              </c:pt>
              <c:pt idx="140">
                <c:v>2529</c:v>
              </c:pt>
              <c:pt idx="141">
                <c:v>4003</c:v>
              </c:pt>
              <c:pt idx="142">
                <c:v>5686</c:v>
              </c:pt>
              <c:pt idx="143">
                <c:v>5878</c:v>
              </c:pt>
              <c:pt idx="144">
                <c:v>6935</c:v>
              </c:pt>
              <c:pt idx="145">
                <c:v>7155</c:v>
              </c:pt>
              <c:pt idx="146">
                <c:v>7253</c:v>
              </c:pt>
              <c:pt idx="147">
                <c:v>3390</c:v>
              </c:pt>
              <c:pt idx="148">
                <c:v>3075</c:v>
              </c:pt>
              <c:pt idx="149">
                <c:v>2381</c:v>
              </c:pt>
              <c:pt idx="150">
                <c:v>2613</c:v>
              </c:pt>
              <c:pt idx="151">
                <c:v>2611</c:v>
              </c:pt>
              <c:pt idx="152">
                <c:v>2873</c:v>
              </c:pt>
              <c:pt idx="153">
                <c:v>3869</c:v>
              </c:pt>
              <c:pt idx="154">
                <c:v>6415</c:v>
              </c:pt>
              <c:pt idx="155">
                <c:v>6700</c:v>
              </c:pt>
              <c:pt idx="156">
                <c:v>11381</c:v>
              </c:pt>
              <c:pt idx="157">
                <c:v>7396</c:v>
              </c:pt>
              <c:pt idx="158">
                <c:v>7426</c:v>
              </c:pt>
              <c:pt idx="159">
                <c:v>3372</c:v>
              </c:pt>
              <c:pt idx="160">
                <c:v>3314</c:v>
              </c:pt>
              <c:pt idx="161">
                <c:v>2930</c:v>
              </c:pt>
              <c:pt idx="162">
                <c:v>2889</c:v>
              </c:pt>
              <c:pt idx="163">
                <c:v>2708</c:v>
              </c:pt>
              <c:pt idx="164">
                <c:v>2884</c:v>
              </c:pt>
              <c:pt idx="165">
                <c:v>3606</c:v>
              </c:pt>
              <c:pt idx="166">
                <c:v>6843</c:v>
              </c:pt>
              <c:pt idx="167">
                <c:v>7464</c:v>
              </c:pt>
              <c:pt idx="168">
                <c:v>9500</c:v>
              </c:pt>
              <c:pt idx="169">
                <c:v>10511</c:v>
              </c:pt>
              <c:pt idx="170">
                <c:v>3543</c:v>
              </c:pt>
              <c:pt idx="171">
                <c:v>2502</c:v>
              </c:pt>
              <c:pt idx="172">
                <c:v>2944</c:v>
              </c:pt>
            </c:numLit>
          </c:yVal>
          <c:smooth val="0"/>
          <c:extLst>
            <c:ext xmlns:c16="http://schemas.microsoft.com/office/drawing/2014/chart" uri="{C3380CC4-5D6E-409C-BE32-E72D297353CC}">
              <c16:uniqueId val="{00000000-479F-4D5C-BCC8-A35B2E21B2CD}"/>
            </c:ext>
          </c:extLst>
        </c:ser>
        <c:ser>
          <c:idx val="1"/>
          <c:order val="1"/>
          <c:tx>
            <c:v>Predicted</c:v>
          </c:tx>
          <c:spPr>
            <a:ln w="9525">
              <a:solidFill>
                <a:srgbClr val="FF0000"/>
              </a:solidFill>
              <a:prstDash val="sysDash"/>
            </a:ln>
          </c:spPr>
          <c:marker>
            <c:symbol val="circle"/>
            <c:size val="5"/>
            <c:spPr>
              <a:noFill/>
              <a:ln w="9525">
                <a:solidFill>
                  <a:srgbClr val="FF0000"/>
                </a:solidFill>
                <a:prstDash val="solid"/>
              </a:ln>
            </c:spPr>
          </c:marker>
          <c:xVal>
            <c:numLit>
              <c:formatCode>General</c:formatCode>
              <c:ptCount val="17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172</c:v>
              </c:pt>
              <c:pt idx="171">
                <c:v>173</c:v>
              </c:pt>
              <c:pt idx="172">
                <c:v>174</c:v>
              </c:pt>
            </c:numLit>
          </c:xVal>
          <c:yVal>
            <c:numLit>
              <c:formatCode>General</c:formatCode>
              <c:ptCount val="173"/>
              <c:pt idx="0">
                <c:v>7032.2246084573408</c:v>
              </c:pt>
              <c:pt idx="1">
                <c:v>5118.1700219808736</c:v>
              </c:pt>
              <c:pt idx="2">
                <c:v>5275.2374315206953</c:v>
              </c:pt>
              <c:pt idx="3">
                <c:v>2747.4324388990653</c:v>
              </c:pt>
              <c:pt idx="4">
                <c:v>1480.03222673042</c:v>
              </c:pt>
              <c:pt idx="5">
                <c:v>1259.1610019574728</c:v>
              </c:pt>
              <c:pt idx="6">
                <c:v>1268.1605547653271</c:v>
              </c:pt>
              <c:pt idx="7">
                <c:v>1277.1601075731814</c:v>
              </c:pt>
              <c:pt idx="8">
                <c:v>1693.8032659517617</c:v>
              </c:pt>
              <c:pt idx="9">
                <c:v>3084.7694815913151</c:v>
              </c:pt>
              <c:pt idx="10">
                <c:v>3495.471645718304</c:v>
              </c:pt>
              <c:pt idx="11">
                <c:v>5480.0802869591726</c:v>
              </c:pt>
              <c:pt idx="12">
                <c:v>6648.0307183851446</c:v>
              </c:pt>
              <c:pt idx="13">
                <c:v>5845.3990565140648</c:v>
              </c:pt>
              <c:pt idx="14">
                <c:v>4610.4458129502646</c:v>
              </c:pt>
              <c:pt idx="15">
                <c:v>2445.9554687913328</c:v>
              </c:pt>
              <c:pt idx="16">
                <c:v>2095.7533691568206</c:v>
              </c:pt>
              <c:pt idx="17">
                <c:v>1367.1556356517249</c:v>
              </c:pt>
              <c:pt idx="18">
                <c:v>1376.1551884595792</c:v>
              </c:pt>
              <c:pt idx="19">
                <c:v>1386.5257399408777</c:v>
              </c:pt>
              <c:pt idx="20">
                <c:v>1397.8102905378055</c:v>
              </c:pt>
              <c:pt idx="21">
                <c:v>2888.4024097809665</c:v>
              </c:pt>
              <c:pt idx="22">
                <c:v>5172.3457613904739</c:v>
              </c:pt>
              <c:pt idx="23">
                <c:v>7242.4133199426942</c:v>
              </c:pt>
              <c:pt idx="24">
                <c:v>8078.125072837368</c:v>
              </c:pt>
              <c:pt idx="25">
                <c:v>6498.1371631234579</c:v>
              </c:pt>
              <c:pt idx="26">
                <c:v>4217.1119317217735</c:v>
              </c:pt>
              <c:pt idx="27">
                <c:v>3061.2196116599189</c:v>
              </c:pt>
              <c:pt idx="28">
                <c:v>1918.123279216876</c:v>
              </c:pt>
              <c:pt idx="29">
                <c:v>1509.8822357398951</c:v>
              </c:pt>
              <c:pt idx="30">
                <c:v>1484.1498221538311</c:v>
              </c:pt>
              <c:pt idx="31">
                <c:v>1493.1493749616855</c:v>
              </c:pt>
              <c:pt idx="32">
                <c:v>1646.5607880389898</c:v>
              </c:pt>
              <c:pt idx="33">
                <c:v>2917.3361199732731</c:v>
              </c:pt>
              <c:pt idx="34">
                <c:v>3845.8187831043347</c:v>
              </c:pt>
              <c:pt idx="35">
                <c:v>7370.0589346229781</c:v>
              </c:pt>
              <c:pt idx="36">
                <c:v>7874.4460081019843</c:v>
              </c:pt>
              <c:pt idx="37">
                <c:v>7059.9323577277219</c:v>
              </c:pt>
              <c:pt idx="38">
                <c:v>4555.8913421124571</c:v>
              </c:pt>
              <c:pt idx="39">
                <c:v>3148.1922656946936</c:v>
              </c:pt>
              <c:pt idx="40">
                <c:v>1795.7901357725113</c:v>
              </c:pt>
              <c:pt idx="41">
                <c:v>1583.1449030402289</c:v>
              </c:pt>
              <c:pt idx="42">
                <c:v>1592.1444558480832</c:v>
              </c:pt>
              <c:pt idx="43">
                <c:v>1604.8000051184554</c:v>
              </c:pt>
              <c:pt idx="44">
                <c:v>1672.2955013265932</c:v>
              </c:pt>
              <c:pt idx="45">
                <c:v>2521.2602413978939</c:v>
              </c:pt>
              <c:pt idx="46">
                <c:v>4447.3729392384794</c:v>
              </c:pt>
              <c:pt idx="47">
                <c:v>6980.8380494148205</c:v>
              </c:pt>
              <c:pt idx="48">
                <c:v>6751.2838330433933</c:v>
              </c:pt>
              <c:pt idx="49">
                <c:v>6008.0621136882264</c:v>
              </c:pt>
              <c:pt idx="50">
                <c:v>5694.4199786788913</c:v>
              </c:pt>
              <c:pt idx="51">
                <c:v>3228.7669259200629</c:v>
              </c:pt>
              <c:pt idx="52">
                <c:v>2255.6744289840944</c:v>
              </c:pt>
              <c:pt idx="53">
                <c:v>1732.72649649562</c:v>
              </c:pt>
              <c:pt idx="54">
                <c:v>1700.1390895423353</c:v>
              </c:pt>
              <c:pt idx="55">
                <c:v>1709.1386423501897</c:v>
              </c:pt>
              <c:pt idx="56">
                <c:v>1725.9071876408941</c:v>
              </c:pt>
              <c:pt idx="57">
                <c:v>2963.7785514125176</c:v>
              </c:pt>
              <c:pt idx="58">
                <c:v>4715.3174181678814</c:v>
              </c:pt>
              <c:pt idx="59">
                <c:v>7630.8341586773249</c:v>
              </c:pt>
              <c:pt idx="60">
                <c:v>5968.1293289989508</c:v>
              </c:pt>
              <c:pt idx="61">
                <c:v>6415.8484573089318</c:v>
              </c:pt>
              <c:pt idx="62">
                <c:v>5048.8223415366783</c:v>
              </c:pt>
              <c:pt idx="63">
                <c:v>2772.3671057131414</c:v>
              </c:pt>
              <c:pt idx="64">
                <c:v>2429.0199994458508</c:v>
              </c:pt>
              <c:pt idx="65">
                <c:v>1802.7901668912507</c:v>
              </c:pt>
              <c:pt idx="66">
                <c:v>1808.1337232365872</c:v>
              </c:pt>
              <c:pt idx="67">
                <c:v>1817.1332760444416</c:v>
              </c:pt>
              <c:pt idx="68">
                <c:v>2019.9006413657353</c:v>
              </c:pt>
              <c:pt idx="69">
                <c:v>3655.818619993976</c:v>
              </c:pt>
              <c:pt idx="70">
                <c:v>4810.973063801136</c:v>
              </c:pt>
              <c:pt idx="71">
                <c:v>6058.4414182868695</c:v>
              </c:pt>
              <c:pt idx="72">
                <c:v>6762.5372985309059</c:v>
              </c:pt>
              <c:pt idx="73">
                <c:v>7152.2174829984178</c:v>
              </c:pt>
              <c:pt idx="74">
                <c:v>4200.7739002825456</c:v>
              </c:pt>
              <c:pt idx="75">
                <c:v>3619.3300243937883</c:v>
              </c:pt>
              <c:pt idx="76">
                <c:v>2338.6768250485161</c:v>
              </c:pt>
              <c:pt idx="77">
                <c:v>1915.8117957214645</c:v>
              </c:pt>
              <c:pt idx="78">
                <c:v>1916.1283569308393</c:v>
              </c:pt>
              <c:pt idx="79">
                <c:v>1925.1279097386937</c:v>
              </c:pt>
              <c:pt idx="80">
                <c:v>1964.7464329201339</c:v>
              </c:pt>
              <c:pt idx="81">
                <c:v>2619.4863609201811</c:v>
              </c:pt>
              <c:pt idx="82">
                <c:v>5295.9923326925282</c:v>
              </c:pt>
              <c:pt idx="83">
                <c:v>5981.3512310661608</c:v>
              </c:pt>
              <c:pt idx="84">
                <c:v>7716.4381137401942</c:v>
              </c:pt>
              <c:pt idx="85">
                <c:v>6055.1042827352649</c:v>
              </c:pt>
              <c:pt idx="86">
                <c:v>4986.4988782160208</c:v>
              </c:pt>
              <c:pt idx="87">
                <c:v>3514.8198637041978</c:v>
              </c:pt>
              <c:pt idx="88">
                <c:v>2278.0386219091383</c:v>
              </c:pt>
              <c:pt idx="89">
                <c:v>2015.1234378172371</c:v>
              </c:pt>
              <c:pt idx="90">
                <c:v>2024.1229906250915</c:v>
              </c:pt>
              <c:pt idx="91">
                <c:v>2033.1225434329458</c:v>
              </c:pt>
              <c:pt idx="92">
                <c:v>2120.2690206271163</c:v>
              </c:pt>
              <c:pt idx="93">
                <c:v>3779.4939767039077</c:v>
              </c:pt>
              <c:pt idx="94">
                <c:v>6041.9583490961231</c:v>
              </c:pt>
              <c:pt idx="95">
                <c:v>6483.7364831545128</c:v>
              </c:pt>
              <c:pt idx="96">
                <c:v>8150.2734321563385</c:v>
              </c:pt>
              <c:pt idx="97">
                <c:v>6435.9276524449015</c:v>
              </c:pt>
              <c:pt idx="98">
                <c:v>5565.6600560172437</c:v>
              </c:pt>
              <c:pt idx="99">
                <c:v>3418.9926946130868</c:v>
              </c:pt>
              <c:pt idx="100">
                <c:v>2424.8782180176413</c:v>
              </c:pt>
              <c:pt idx="101">
                <c:v>2123.1180715114892</c:v>
              </c:pt>
              <c:pt idx="102">
                <c:v>2132.1176243193436</c:v>
              </c:pt>
              <c:pt idx="103">
                <c:v>2141.1171771271979</c:v>
              </c:pt>
              <c:pt idx="104">
                <c:v>2235.5756472464036</c:v>
              </c:pt>
              <c:pt idx="105">
                <c:v>3659.4458310486166</c:v>
              </c:pt>
              <c:pt idx="106">
                <c:v>4931.5921616563446</c:v>
              </c:pt>
              <c:pt idx="107">
                <c:v>8114.4536434873962</c:v>
              </c:pt>
              <c:pt idx="108">
                <c:v>8753.6555865217415</c:v>
              </c:pt>
              <c:pt idx="109">
                <c:v>8051.5638273698996</c:v>
              </c:pt>
              <c:pt idx="110">
                <c:v>5418.6489364508852</c:v>
              </c:pt>
              <c:pt idx="111">
                <c:v>3112.4887293693919</c:v>
              </c:pt>
              <c:pt idx="112">
                <c:v>2425.4779556254352</c:v>
              </c:pt>
              <c:pt idx="113">
                <c:v>2231.1127052057409</c:v>
              </c:pt>
              <c:pt idx="114">
                <c:v>2240.1122580135952</c:v>
              </c:pt>
              <c:pt idx="115">
                <c:v>2249.1118108214496</c:v>
              </c:pt>
              <c:pt idx="116">
                <c:v>2277.3053450575221</c:v>
              </c:pt>
              <c:pt idx="117">
                <c:v>3217.6699966917663</c:v>
              </c:pt>
              <c:pt idx="118">
                <c:v>5509.3823407841237</c:v>
              </c:pt>
              <c:pt idx="119">
                <c:v>9528.5530134161036</c:v>
              </c:pt>
              <c:pt idx="120">
                <c:v>8931.1141530038312</c:v>
              </c:pt>
              <c:pt idx="121">
                <c:v>6134.5934203871484</c:v>
              </c:pt>
              <c:pt idx="122">
                <c:v>5620.3284794971541</c:v>
              </c:pt>
              <c:pt idx="123">
                <c:v>3353.0132348299117</c:v>
              </c:pt>
              <c:pt idx="124">
                <c:v>2662.8034641812515</c:v>
              </c:pt>
              <c:pt idx="125">
                <c:v>2339.107338899993</c:v>
              </c:pt>
              <c:pt idx="126">
                <c:v>2348.1068917078474</c:v>
              </c:pt>
              <c:pt idx="127">
                <c:v>2357.1064445157017</c:v>
              </c:pt>
              <c:pt idx="128">
                <c:v>2499.5498682054531</c:v>
              </c:pt>
              <c:pt idx="129">
                <c:v>4000.6529772783529</c:v>
              </c:pt>
              <c:pt idx="130">
                <c:v>5179.5713980918781</c:v>
              </c:pt>
              <c:pt idx="131">
                <c:v>6465.4277154340471</c:v>
              </c:pt>
              <c:pt idx="132">
                <c:v>7257.267510778508</c:v>
              </c:pt>
              <c:pt idx="133">
                <c:v>6509.0187962873788</c:v>
              </c:pt>
              <c:pt idx="134">
                <c:v>3864.6789164229976</c:v>
              </c:pt>
              <c:pt idx="135">
                <c:v>3835.2905063744156</c:v>
              </c:pt>
              <c:pt idx="136">
                <c:v>2545.497315872849</c:v>
              </c:pt>
              <c:pt idx="137">
                <c:v>2457.1559628661689</c:v>
              </c:pt>
              <c:pt idx="138">
                <c:v>2456.1015254020995</c:v>
              </c:pt>
              <c:pt idx="139">
                <c:v>2465.1010782099538</c:v>
              </c:pt>
              <c:pt idx="140">
                <c:v>2568.2425399276399</c:v>
              </c:pt>
              <c:pt idx="141">
                <c:v>3918.9927944794981</c:v>
              </c:pt>
              <c:pt idx="142">
                <c:v>6525.1208343483786</c:v>
              </c:pt>
              <c:pt idx="143">
                <c:v>6429.0104888588494</c:v>
              </c:pt>
              <c:pt idx="144">
                <c:v>7458.490054266962</c:v>
              </c:pt>
              <c:pt idx="145">
                <c:v>7467.9466066326313</c:v>
              </c:pt>
              <c:pt idx="146">
                <c:v>7243.4193853971665</c:v>
              </c:pt>
              <c:pt idx="147">
                <c:v>3918.6071639466727</c:v>
              </c:pt>
              <c:pt idx="148">
                <c:v>3212.8594083323128</c:v>
              </c:pt>
              <c:pt idx="149">
                <c:v>2555.0966062884972</c:v>
              </c:pt>
              <c:pt idx="150">
                <c:v>2564.0961590963516</c:v>
              </c:pt>
              <c:pt idx="151">
                <c:v>2582.6927026183148</c:v>
              </c:pt>
              <c:pt idx="152">
                <c:v>2662.0701873296357</c:v>
              </c:pt>
              <c:pt idx="153">
                <c:v>3741.8197040973678</c:v>
              </c:pt>
              <c:pt idx="154">
                <c:v>6613.464487056599</c:v>
              </c:pt>
              <c:pt idx="155">
                <c:v>7185.0304955343672</c:v>
              </c:pt>
              <c:pt idx="156">
                <c:v>9611.5577091820651</c:v>
              </c:pt>
              <c:pt idx="157">
                <c:v>7176.523626796823</c:v>
              </c:pt>
              <c:pt idx="158">
                <c:v>7118.3442446059134</c:v>
              </c:pt>
              <c:pt idx="159">
                <c:v>3921.0348997857254</c:v>
              </c:pt>
              <c:pt idx="160">
                <c:v>2897.2154519323235</c:v>
              </c:pt>
              <c:pt idx="161">
                <c:v>2663.0912399827494</c:v>
              </c:pt>
              <c:pt idx="162">
                <c:v>2672.0907927906037</c:v>
              </c:pt>
              <c:pt idx="163">
                <c:v>2681.090345598458</c:v>
              </c:pt>
              <c:pt idx="164">
                <c:v>2793.3717984724381</c:v>
              </c:pt>
              <c:pt idx="165">
                <c:v>3715.4564677940934</c:v>
              </c:pt>
              <c:pt idx="166">
                <c:v>6920.2539284002514</c:v>
              </c:pt>
              <c:pt idx="167">
                <c:v>7479.4809488170231</c:v>
              </c:pt>
              <c:pt idx="168">
                <c:v>8726.4923037449407</c:v>
              </c:pt>
              <c:pt idx="169">
                <c:v>9025.2295762073263</c:v>
              </c:pt>
              <c:pt idx="170">
                <c:v>3911.1236475637816</c:v>
              </c:pt>
              <c:pt idx="171">
                <c:v>2910.6111771589294</c:v>
              </c:pt>
              <c:pt idx="172">
                <c:v>2781.1398639489253</c:v>
              </c:pt>
            </c:numLit>
          </c:yVal>
          <c:smooth val="0"/>
          <c:extLst>
            <c:ext xmlns:c16="http://schemas.microsoft.com/office/drawing/2014/chart" uri="{C3380CC4-5D6E-409C-BE32-E72D297353CC}">
              <c16:uniqueId val="{00000001-479F-4D5C-BCC8-A35B2E21B2CD}"/>
            </c:ext>
          </c:extLst>
        </c:ser>
        <c:ser>
          <c:idx val="2"/>
          <c:order val="2"/>
          <c:tx>
            <c:v>Forecast</c:v>
          </c:tx>
          <c:spPr>
            <a:ln w="25400">
              <a:noFill/>
            </a:ln>
          </c:spPr>
          <c:marker>
            <c:symbol val="circle"/>
            <c:size val="7"/>
            <c:spPr>
              <a:solidFill>
                <a:srgbClr val="FF9999"/>
              </a:solidFill>
              <a:ln w="12700">
                <a:solidFill>
                  <a:srgbClr val="FF0000"/>
                </a:solidFill>
                <a:prstDash val="solid"/>
              </a:ln>
            </c:spPr>
          </c:marker>
          <c:errBars>
            <c:errDir val="y"/>
            <c:errBarType val="both"/>
            <c:errValType val="cust"/>
            <c:noEndCap val="0"/>
            <c:plus>
              <c:numRef>
                <c:f>'Com HDD plus trend model'!$CG$37</c:f>
              </c:numRef>
            </c:plus>
            <c:minus>
              <c:numRef>
                <c:f>'Com HDD plus trend model'!$CG$37</c:f>
              </c:numRef>
            </c:minus>
          </c:errBars>
          <c:xVal>
            <c:numRef>
              <c:f>'Com HDD plus trend model'!$A$37:$A$37</c:f>
            </c:numRef>
          </c:xVal>
          <c:yVal>
            <c:numRef>
              <c:f>'Com HDD plus trend model'!$B$37:$B$37</c:f>
            </c:numRef>
          </c:yVal>
          <c:smooth val="0"/>
          <c:extLst>
            <c:ext xmlns:c16="http://schemas.microsoft.com/office/drawing/2014/chart" uri="{C3380CC4-5D6E-409C-BE32-E72D297353CC}">
              <c16:uniqueId val="{00000002-479F-4D5C-BCC8-A35B2E21B2CD}"/>
            </c:ext>
          </c:extLst>
        </c:ser>
        <c:dLbls>
          <c:showLegendKey val="0"/>
          <c:showVal val="0"/>
          <c:showCatName val="0"/>
          <c:showSerName val="0"/>
          <c:showPercent val="0"/>
          <c:showBubbleSize val="0"/>
        </c:dLbls>
        <c:axId val="82848384"/>
        <c:axId val="82871040"/>
      </c:scatterChart>
      <c:valAx>
        <c:axId val="82848384"/>
        <c:scaling>
          <c:orientation val="minMax"/>
        </c:scaling>
        <c:delete val="0"/>
        <c:axPos val="b"/>
        <c:title>
          <c:tx>
            <c:rich>
              <a:bodyPr/>
              <a:lstStyle/>
              <a:p>
                <a:pPr>
                  <a:defRPr/>
                </a:pPr>
                <a:r>
                  <a:rPr lang="en-US"/>
                  <a:t>Observation #</a:t>
                </a:r>
              </a:p>
            </c:rich>
          </c:tx>
          <c:overlay val="0"/>
        </c:title>
        <c:numFmt formatCode="0" sourceLinked="0"/>
        <c:majorTickMark val="out"/>
        <c:minorTickMark val="none"/>
        <c:tickLblPos val="nextTo"/>
        <c:crossAx val="82871040"/>
        <c:crossesAt val="0"/>
        <c:crossBetween val="midCat"/>
      </c:valAx>
      <c:valAx>
        <c:axId val="82871040"/>
        <c:scaling>
          <c:orientation val="minMax"/>
          <c:min val="0"/>
        </c:scaling>
        <c:delete val="0"/>
        <c:axPos val="l"/>
        <c:majorGridlines>
          <c:spPr>
            <a:ln w="3175">
              <a:solidFill>
                <a:srgbClr val="C0C0C0"/>
              </a:solidFill>
              <a:prstDash val="solid"/>
            </a:ln>
          </c:spPr>
        </c:majorGridlines>
        <c:title>
          <c:tx>
            <c:rich>
              <a:bodyPr/>
              <a:lstStyle/>
              <a:p>
                <a:pPr>
                  <a:defRPr/>
                </a:pPr>
                <a:r>
                  <a:rPr lang="en-US"/>
                  <a:t>_Commercial_Natural_Gas</a:t>
                </a:r>
              </a:p>
            </c:rich>
          </c:tx>
          <c:layout>
            <c:manualLayout>
              <c:xMode val="edge"/>
              <c:yMode val="edge"/>
              <c:x val="2.5596276905177427E-2"/>
              <c:y val="0.21829629629629629"/>
            </c:manualLayout>
          </c:layout>
          <c:overlay val="0"/>
        </c:title>
        <c:numFmt formatCode="General" sourceLinked="1"/>
        <c:majorTickMark val="out"/>
        <c:minorTickMark val="none"/>
        <c:tickLblPos val="nextTo"/>
        <c:crossAx val="82848384"/>
        <c:crossesAt val="0"/>
        <c:crossBetween val="midCat"/>
      </c:valAx>
      <c:spPr>
        <a:ln w="6350">
          <a:solidFill>
            <a:srgbClr val="808080"/>
          </a:solidFill>
          <a:prstDash val="solid"/>
        </a:ln>
      </c:spPr>
    </c:plotArea>
    <c:legend>
      <c:legendPos val="r"/>
      <c:overlay val="0"/>
    </c:legend>
    <c:plotVisOnly val="1"/>
    <c:dispBlanksAs val="gap"/>
    <c:showDLblsOverMax val="0"/>
  </c:chart>
  <c:spPr>
    <a:solidFill>
      <a:srgbClr val="F3F3F3"/>
    </a:solidFill>
    <a:ln w="6350">
      <a:solidFill>
        <a:srgbClr val="808080"/>
      </a:solidFill>
      <a:prstDash val="solid"/>
    </a:ln>
  </c:spPr>
  <c:txPr>
    <a:bodyPr/>
    <a:lstStyle/>
    <a:p>
      <a:pPr>
        <a:defRPr sz="1000">
          <a:latin typeface="+mn-lt"/>
          <a:ea typeface="+mn-lt"/>
          <a:cs typeface="+mn-lt"/>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Residual -vs- Observation #
</a:t>
            </a:r>
            <a:r>
              <a:rPr lang="en-US" sz="1000"/>
              <a:t>Com HDD plus trend model for _Commercial_Natural_Gas
(2 variables, n=173)</a:t>
            </a:r>
          </a:p>
        </c:rich>
      </c:tx>
      <c:overlay val="0"/>
    </c:title>
    <c:autoTitleDeleted val="0"/>
    <c:plotArea>
      <c:layout/>
      <c:barChart>
        <c:barDir val="col"/>
        <c:grouping val="clustered"/>
        <c:varyColors val="0"/>
        <c:ser>
          <c:idx val="0"/>
          <c:order val="0"/>
          <c:tx>
            <c:v>Actual</c:v>
          </c:tx>
          <c:spPr>
            <a:solidFill>
              <a:srgbClr val="9999FF"/>
            </a:solidFill>
            <a:ln w="9525" cap="flat" cmpd="sng" algn="ctr">
              <a:solidFill>
                <a:srgbClr val="0000FF"/>
              </a:solidFill>
              <a:prstDash val="solid"/>
              <a:round/>
              <a:headEnd type="none" w="med" len="med"/>
              <a:tailEnd type="none" w="med" len="med"/>
            </a:ln>
            <a:effectLst/>
          </c:spPr>
          <c:invertIfNegative val="0"/>
          <c:cat>
            <c:numLit>
              <c:formatCode>General</c:formatCode>
              <c:ptCount val="17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172</c:v>
              </c:pt>
              <c:pt idx="171">
                <c:v>173</c:v>
              </c:pt>
              <c:pt idx="172">
                <c:v>174</c:v>
              </c:pt>
            </c:numLit>
          </c:cat>
          <c:val>
            <c:numLit>
              <c:formatCode>General</c:formatCode>
              <c:ptCount val="173"/>
              <c:pt idx="0">
                <c:v>779.77539154265924</c:v>
              </c:pt>
              <c:pt idx="1">
                <c:v>278.82997801912643</c:v>
              </c:pt>
              <c:pt idx="2">
                <c:v>-579.23743152069528</c:v>
              </c:pt>
              <c:pt idx="3">
                <c:v>455.56756110093465</c:v>
              </c:pt>
              <c:pt idx="4">
                <c:v>543.96777326957999</c:v>
              </c:pt>
              <c:pt idx="5">
                <c:v>304.83899804252724</c:v>
              </c:pt>
              <c:pt idx="6">
                <c:v>300.83944523467289</c:v>
              </c:pt>
              <c:pt idx="7">
                <c:v>167.83989242681855</c:v>
              </c:pt>
              <c:pt idx="8">
                <c:v>-67.803265951761659</c:v>
              </c:pt>
              <c:pt idx="9">
                <c:v>-820.76948159131507</c:v>
              </c:pt>
              <c:pt idx="10">
                <c:v>-549.47164571830399</c:v>
              </c:pt>
              <c:pt idx="11">
                <c:v>-1442.0802869591726</c:v>
              </c:pt>
              <c:pt idx="12">
                <c:v>-334.03071838514461</c:v>
              </c:pt>
              <c:pt idx="13">
                <c:v>-239.3990565140648</c:v>
              </c:pt>
              <c:pt idx="14">
                <c:v>176.55418704973545</c:v>
              </c:pt>
              <c:pt idx="15">
                <c:v>415.04453120866719</c:v>
              </c:pt>
              <c:pt idx="16">
                <c:v>-193.75336915682055</c:v>
              </c:pt>
              <c:pt idx="17">
                <c:v>514.84436434827512</c:v>
              </c:pt>
              <c:pt idx="18">
                <c:v>134.84481154042078</c:v>
              </c:pt>
              <c:pt idx="19">
                <c:v>50.474260059122344</c:v>
              </c:pt>
              <c:pt idx="20">
                <c:v>226.18970946219451</c:v>
              </c:pt>
              <c:pt idx="21">
                <c:v>-459.40240978096654</c:v>
              </c:pt>
              <c:pt idx="22">
                <c:v>-1552.3457613904739</c:v>
              </c:pt>
              <c:pt idx="23">
                <c:v>-1017.4133199426942</c:v>
              </c:pt>
              <c:pt idx="24">
                <c:v>-502.12507283736795</c:v>
              </c:pt>
              <c:pt idx="25">
                <c:v>628.86283687654213</c:v>
              </c:pt>
              <c:pt idx="26">
                <c:v>594.88806827822646</c:v>
              </c:pt>
              <c:pt idx="27">
                <c:v>193.78038834008112</c:v>
              </c:pt>
              <c:pt idx="28">
                <c:v>349.87672078312403</c:v>
              </c:pt>
              <c:pt idx="29">
                <c:v>183.11776426010488</c:v>
              </c:pt>
              <c:pt idx="30">
                <c:v>75.85017784616889</c:v>
              </c:pt>
              <c:pt idx="31">
                <c:v>27.850625038314547</c:v>
              </c:pt>
              <c:pt idx="32">
                <c:v>51.439211961010187</c:v>
              </c:pt>
              <c:pt idx="33">
                <c:v>-159.33611997327307</c:v>
              </c:pt>
              <c:pt idx="34">
                <c:v>8.1812168956653295</c:v>
              </c:pt>
              <c:pt idx="35">
                <c:v>-1230.0589346229781</c:v>
              </c:pt>
              <c:pt idx="36">
                <c:v>-411.44600810198426</c:v>
              </c:pt>
              <c:pt idx="37">
                <c:v>378.06764227227814</c:v>
              </c:pt>
              <c:pt idx="38">
                <c:v>726.1086578875429</c:v>
              </c:pt>
              <c:pt idx="39">
                <c:v>334.80773430530644</c:v>
              </c:pt>
              <c:pt idx="40">
                <c:v>418.20986422748865</c:v>
              </c:pt>
              <c:pt idx="41">
                <c:v>451.85509695977112</c:v>
              </c:pt>
              <c:pt idx="42">
                <c:v>356.85554415191677</c:v>
              </c:pt>
              <c:pt idx="43">
                <c:v>433.19999488154463</c:v>
              </c:pt>
              <c:pt idx="44">
                <c:v>344.70449867340676</c:v>
              </c:pt>
              <c:pt idx="45">
                <c:v>-216.26024139789388</c:v>
              </c:pt>
              <c:pt idx="46">
                <c:v>-1070.3729392384794</c:v>
              </c:pt>
              <c:pt idx="47">
                <c:v>-1198.8380494148205</c:v>
              </c:pt>
              <c:pt idx="48">
                <c:v>799.71616695660668</c:v>
              </c:pt>
              <c:pt idx="49">
                <c:v>942.93788631177358</c:v>
              </c:pt>
              <c:pt idx="50">
                <c:v>461.58002132110869</c:v>
              </c:pt>
              <c:pt idx="51">
                <c:v>722.23307407993707</c:v>
              </c:pt>
              <c:pt idx="52">
                <c:v>232.32557101590555</c:v>
              </c:pt>
              <c:pt idx="53">
                <c:v>375.27350350437996</c:v>
              </c:pt>
              <c:pt idx="54">
                <c:v>257.86091045766466</c:v>
              </c:pt>
              <c:pt idx="55">
                <c:v>179.86135764981032</c:v>
              </c:pt>
              <c:pt idx="56">
                <c:v>300.09281235910589</c:v>
              </c:pt>
              <c:pt idx="57">
                <c:v>-399.77855141251757</c:v>
              </c:pt>
              <c:pt idx="58">
                <c:v>-1249.3174181678814</c:v>
              </c:pt>
              <c:pt idx="59">
                <c:v>-1040.8341586773249</c:v>
              </c:pt>
              <c:pt idx="60">
                <c:v>1133.8706710010492</c:v>
              </c:pt>
              <c:pt idx="61">
                <c:v>48.151542691068244</c:v>
              </c:pt>
              <c:pt idx="62">
                <c:v>515.17765846332168</c:v>
              </c:pt>
              <c:pt idx="63">
                <c:v>767.63289428685857</c:v>
              </c:pt>
              <c:pt idx="64">
                <c:v>131.98000055414923</c:v>
              </c:pt>
              <c:pt idx="65">
                <c:v>429.20983310874931</c:v>
              </c:pt>
              <c:pt idx="66">
                <c:v>329.86627676341277</c:v>
              </c:pt>
              <c:pt idx="67">
                <c:v>190.86672395555843</c:v>
              </c:pt>
              <c:pt idx="68">
                <c:v>265.09935863426472</c:v>
              </c:pt>
              <c:pt idx="69">
                <c:v>-562.81861999397597</c:v>
              </c:pt>
              <c:pt idx="70">
                <c:v>-926.97306380113605</c:v>
              </c:pt>
              <c:pt idx="71">
                <c:v>-609.44141828686952</c:v>
              </c:pt>
              <c:pt idx="72">
                <c:v>9.4627014690940996</c:v>
              </c:pt>
              <c:pt idx="73">
                <c:v>290.78251700158216</c:v>
              </c:pt>
              <c:pt idx="74">
                <c:v>1069.2260997174544</c:v>
              </c:pt>
              <c:pt idx="75">
                <c:v>-22.330024393788335</c:v>
              </c:pt>
              <c:pt idx="76">
                <c:v>263.32317495148391</c:v>
              </c:pt>
              <c:pt idx="77">
                <c:v>215.18820427853552</c:v>
              </c:pt>
              <c:pt idx="78">
                <c:v>80.871643069160655</c:v>
              </c:pt>
              <c:pt idx="79">
                <c:v>39.872090261306312</c:v>
              </c:pt>
              <c:pt idx="80">
                <c:v>103.25356707986612</c:v>
              </c:pt>
              <c:pt idx="81">
                <c:v>-267.48636092018114</c:v>
              </c:pt>
              <c:pt idx="82">
                <c:v>-1393.9923326925282</c:v>
              </c:pt>
              <c:pt idx="83">
                <c:v>-646.35123106616084</c:v>
              </c:pt>
              <c:pt idx="84">
                <c:v>-139.43811374019424</c:v>
              </c:pt>
              <c:pt idx="85">
                <c:v>130.89571726473514</c:v>
              </c:pt>
              <c:pt idx="86">
                <c:v>-300.49887821602078</c:v>
              </c:pt>
              <c:pt idx="87">
                <c:v>-394.81986370419781</c:v>
              </c:pt>
              <c:pt idx="88">
                <c:v>1.9613780908616718</c:v>
              </c:pt>
              <c:pt idx="89">
                <c:v>-17.123437817237118</c:v>
              </c:pt>
              <c:pt idx="90">
                <c:v>-115.12299062509146</c:v>
              </c:pt>
              <c:pt idx="91">
                <c:v>-23.122543432945804</c:v>
              </c:pt>
              <c:pt idx="92">
                <c:v>586.73097937288367</c:v>
              </c:pt>
              <c:pt idx="93">
                <c:v>822.50602329609228</c:v>
              </c:pt>
              <c:pt idx="94">
                <c:v>-790.95834909612313</c:v>
              </c:pt>
              <c:pt idx="95">
                <c:v>-242.73648315451283</c:v>
              </c:pt>
              <c:pt idx="96">
                <c:v>809.72656784366154</c:v>
              </c:pt>
              <c:pt idx="97">
                <c:v>129.07234755509853</c:v>
              </c:pt>
              <c:pt idx="98">
                <c:v>104.33994398275627</c:v>
              </c:pt>
              <c:pt idx="99">
                <c:v>-257.99269461308677</c:v>
              </c:pt>
              <c:pt idx="100">
                <c:v>39.121781982358698</c:v>
              </c:pt>
              <c:pt idx="101">
                <c:v>-270.11807151148923</c:v>
              </c:pt>
              <c:pt idx="102">
                <c:v>-149.11762431934358</c:v>
              </c:pt>
              <c:pt idx="103">
                <c:v>-77.11717712719792</c:v>
              </c:pt>
              <c:pt idx="104">
                <c:v>214.42435275359639</c:v>
              </c:pt>
              <c:pt idx="105">
                <c:v>-61.445831048616583</c:v>
              </c:pt>
              <c:pt idx="106">
                <c:v>-556.59216165634462</c:v>
              </c:pt>
              <c:pt idx="107">
                <c:v>46.546356512603779</c:v>
              </c:pt>
              <c:pt idx="108">
                <c:v>947.3444134782585</c:v>
              </c:pt>
              <c:pt idx="109">
                <c:v>859.43617263010037</c:v>
              </c:pt>
              <c:pt idx="110">
                <c:v>-265.64893645088523</c:v>
              </c:pt>
              <c:pt idx="111">
                <c:v>-421.48872936939188</c:v>
              </c:pt>
              <c:pt idx="112">
                <c:v>-36.477955625435243</c:v>
              </c:pt>
              <c:pt idx="113">
                <c:v>-254.11270520574089</c:v>
              </c:pt>
              <c:pt idx="114">
                <c:v>-314.11225801359524</c:v>
              </c:pt>
              <c:pt idx="115">
                <c:v>-157.11181082144958</c:v>
              </c:pt>
              <c:pt idx="116">
                <c:v>155.69465494247788</c:v>
              </c:pt>
              <c:pt idx="117">
                <c:v>-100.6699966917663</c:v>
              </c:pt>
              <c:pt idx="118">
                <c:v>-319.3823407841237</c:v>
              </c:pt>
              <c:pt idx="119">
                <c:v>1116.4469865838964</c:v>
              </c:pt>
              <c:pt idx="120">
                <c:v>590.88584699616877</c:v>
              </c:pt>
              <c:pt idx="121">
                <c:v>34.406579612851601</c:v>
              </c:pt>
              <c:pt idx="122">
                <c:v>-160.32847949715415</c:v>
              </c:pt>
              <c:pt idx="123">
                <c:v>-592.01323482991165</c:v>
              </c:pt>
              <c:pt idx="124">
                <c:v>-94.803464181251456</c:v>
              </c:pt>
              <c:pt idx="125">
                <c:v>-206.10733889999301</c:v>
              </c:pt>
              <c:pt idx="126">
                <c:v>-368.10689170784735</c:v>
              </c:pt>
              <c:pt idx="127">
                <c:v>107.8935554842983</c:v>
              </c:pt>
              <c:pt idx="128">
                <c:v>-117.54986820545309</c:v>
              </c:pt>
              <c:pt idx="129">
                <c:v>-69.652977278352864</c:v>
              </c:pt>
              <c:pt idx="130">
                <c:v>-733.57139809187811</c:v>
              </c:pt>
              <c:pt idx="131">
                <c:v>-384.42771543404706</c:v>
              </c:pt>
              <c:pt idx="132">
                <c:v>814.73248922149196</c:v>
              </c:pt>
              <c:pt idx="133">
                <c:v>73.981203712621209</c:v>
              </c:pt>
              <c:pt idx="134">
                <c:v>-319.67891642299764</c:v>
              </c:pt>
              <c:pt idx="135">
                <c:v>-465.2905063744156</c:v>
              </c:pt>
              <c:pt idx="136">
                <c:v>-340.49731587284896</c:v>
              </c:pt>
              <c:pt idx="137">
                <c:v>-24.15596286616892</c:v>
              </c:pt>
              <c:pt idx="138">
                <c:v>-480.10152540209947</c:v>
              </c:pt>
              <c:pt idx="139">
                <c:v>207.89892179004619</c:v>
              </c:pt>
              <c:pt idx="140">
                <c:v>-39.242539927639882</c:v>
              </c:pt>
              <c:pt idx="141">
                <c:v>84.007205520501884</c:v>
              </c:pt>
              <c:pt idx="142">
                <c:v>-839.12083434837859</c:v>
              </c:pt>
              <c:pt idx="143">
                <c:v>-551.01048885884938</c:v>
              </c:pt>
              <c:pt idx="144">
                <c:v>-523.49005426696203</c:v>
              </c:pt>
              <c:pt idx="145">
                <c:v>-312.9466066326313</c:v>
              </c:pt>
              <c:pt idx="146">
                <c:v>9.5806146028335206</c:v>
              </c:pt>
              <c:pt idx="147">
                <c:v>-528.6071639466727</c:v>
              </c:pt>
              <c:pt idx="148">
                <c:v>-137.8594083323128</c:v>
              </c:pt>
              <c:pt idx="149">
                <c:v>-174.09660628849724</c:v>
              </c:pt>
              <c:pt idx="150">
                <c:v>48.903840903648415</c:v>
              </c:pt>
              <c:pt idx="151">
                <c:v>28.307297381685203</c:v>
              </c:pt>
              <c:pt idx="152">
                <c:v>210.9298126703643</c:v>
              </c:pt>
              <c:pt idx="153">
                <c:v>127.18029590263222</c:v>
              </c:pt>
              <c:pt idx="154">
                <c:v>-198.46448705659895</c:v>
              </c:pt>
              <c:pt idx="155">
                <c:v>-485.03049553436722</c:v>
              </c:pt>
              <c:pt idx="156">
                <c:v>1769.4422908179349</c:v>
              </c:pt>
              <c:pt idx="157">
                <c:v>219.47637320317699</c:v>
              </c:pt>
              <c:pt idx="158">
                <c:v>307.65575539408655</c:v>
              </c:pt>
              <c:pt idx="159">
                <c:v>-549.03489978572543</c:v>
              </c:pt>
              <c:pt idx="160">
                <c:v>416.7845480676765</c:v>
              </c:pt>
              <c:pt idx="161">
                <c:v>266.90876001725064</c:v>
              </c:pt>
              <c:pt idx="162">
                <c:v>216.9092072093963</c:v>
              </c:pt>
              <c:pt idx="163">
                <c:v>26.909654401541957</c:v>
              </c:pt>
              <c:pt idx="164">
                <c:v>90.628201527561941</c:v>
              </c:pt>
              <c:pt idx="165">
                <c:v>-109.45646779409344</c:v>
              </c:pt>
              <c:pt idx="166">
                <c:v>-77.253928400251425</c:v>
              </c:pt>
              <c:pt idx="167">
                <c:v>-15.480948817023091</c:v>
              </c:pt>
              <c:pt idx="168">
                <c:v>773.50769625505927</c:v>
              </c:pt>
              <c:pt idx="169">
                <c:v>1485.7704237926737</c:v>
              </c:pt>
              <c:pt idx="170">
                <c:v>-368.12364756378156</c:v>
              </c:pt>
              <c:pt idx="171">
                <c:v>-408.61117715892942</c:v>
              </c:pt>
              <c:pt idx="172">
                <c:v>162.86013605107473</c:v>
              </c:pt>
            </c:numLit>
          </c:val>
          <c:extLst>
            <c:ext xmlns:c16="http://schemas.microsoft.com/office/drawing/2014/chart" uri="{C3380CC4-5D6E-409C-BE32-E72D297353CC}">
              <c16:uniqueId val="{00000000-73A3-4D70-82E2-0D94ECF9D967}"/>
            </c:ext>
          </c:extLst>
        </c:ser>
        <c:dLbls>
          <c:showLegendKey val="0"/>
          <c:showVal val="0"/>
          <c:showCatName val="0"/>
          <c:showSerName val="0"/>
          <c:showPercent val="0"/>
          <c:showBubbleSize val="0"/>
        </c:dLbls>
        <c:gapWidth val="25"/>
        <c:axId val="84046976"/>
        <c:axId val="84048896"/>
      </c:barChart>
      <c:catAx>
        <c:axId val="84046976"/>
        <c:scaling>
          <c:orientation val="minMax"/>
        </c:scaling>
        <c:delete val="0"/>
        <c:axPos val="b"/>
        <c:title>
          <c:tx>
            <c:rich>
              <a:bodyPr/>
              <a:lstStyle/>
              <a:p>
                <a:pPr>
                  <a:defRPr/>
                </a:pPr>
                <a:r>
                  <a:rPr lang="en-US"/>
                  <a:t>Observation #
</a:t>
                </a:r>
                <a:r>
                  <a:rPr lang="en-US" sz="750"/>
                  <a:t>Lag 1 autocorrelation = 0.34,   Durbin-Watson statistic = 1.33</a:t>
                </a:r>
              </a:p>
            </c:rich>
          </c:tx>
          <c:overlay val="0"/>
        </c:title>
        <c:numFmt formatCode="General" sourceLinked="1"/>
        <c:majorTickMark val="none"/>
        <c:minorTickMark val="none"/>
        <c:tickLblPos val="low"/>
        <c:txPr>
          <a:bodyPr rot="-5400000" vert="horz"/>
          <a:lstStyle/>
          <a:p>
            <a:pPr>
              <a:defRPr/>
            </a:pPr>
            <a:endParaRPr lang="en-US"/>
          </a:p>
        </c:txPr>
        <c:crossAx val="84048896"/>
        <c:crossesAt val="0"/>
        <c:auto val="1"/>
        <c:lblAlgn val="ctr"/>
        <c:lblOffset val="100"/>
        <c:noMultiLvlLbl val="0"/>
      </c:catAx>
      <c:valAx>
        <c:axId val="84048896"/>
        <c:scaling>
          <c:orientation val="minMax"/>
        </c:scaling>
        <c:delete val="0"/>
        <c:axPos val="l"/>
        <c:majorGridlines>
          <c:spPr>
            <a:ln w="3175">
              <a:solidFill>
                <a:srgbClr val="C0C0C0"/>
              </a:solidFill>
              <a:prstDash val="solid"/>
            </a:ln>
          </c:spPr>
        </c:majorGridlines>
        <c:title>
          <c:tx>
            <c:rich>
              <a:bodyPr/>
              <a:lstStyle/>
              <a:p>
                <a:pPr>
                  <a:defRPr/>
                </a:pPr>
                <a:r>
                  <a:rPr lang="en-US"/>
                  <a:t>Residual</a:t>
                </a:r>
              </a:p>
            </c:rich>
          </c:tx>
          <c:overlay val="0"/>
        </c:title>
        <c:numFmt formatCode="General" sourceLinked="1"/>
        <c:majorTickMark val="out"/>
        <c:minorTickMark val="none"/>
        <c:tickLblPos val="nextTo"/>
        <c:crossAx val="84046976"/>
        <c:crosses val="autoZero"/>
        <c:crossBetween val="between"/>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Residual -vs- Predicted
</a:t>
            </a:r>
            <a:r>
              <a:rPr lang="en-US" sz="1000"/>
              <a:t>Com HDD plus trend model for _Commercial_Natural_Gas
(2 variables, n=173)</a:t>
            </a:r>
          </a:p>
        </c:rich>
      </c:tx>
      <c:overlay val="0"/>
    </c:title>
    <c:autoTitleDeleted val="0"/>
    <c:plotArea>
      <c:layout/>
      <c:scatterChart>
        <c:scatterStyle val="lineMarker"/>
        <c:varyColors val="0"/>
        <c:ser>
          <c:idx val="0"/>
          <c:order val="0"/>
          <c:tx>
            <c:v>Actual</c:v>
          </c:tx>
          <c:spPr>
            <a:ln w="25400">
              <a:noFill/>
            </a:ln>
            <a:effectLst/>
          </c:spPr>
          <c:marker>
            <c:symbol val="diamond"/>
            <c:size val="5"/>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173"/>
              <c:pt idx="0">
                <c:v>7032.2246084573408</c:v>
              </c:pt>
              <c:pt idx="1">
                <c:v>5118.1700219808736</c:v>
              </c:pt>
              <c:pt idx="2">
                <c:v>5275.2374315206953</c:v>
              </c:pt>
              <c:pt idx="3">
                <c:v>2747.4324388990653</c:v>
              </c:pt>
              <c:pt idx="4">
                <c:v>1480.03222673042</c:v>
              </c:pt>
              <c:pt idx="5">
                <c:v>1259.1610019574728</c:v>
              </c:pt>
              <c:pt idx="6">
                <c:v>1268.1605547653271</c:v>
              </c:pt>
              <c:pt idx="7">
                <c:v>1277.1601075731814</c:v>
              </c:pt>
              <c:pt idx="8">
                <c:v>1693.8032659517617</c:v>
              </c:pt>
              <c:pt idx="9">
                <c:v>3084.7694815913151</c:v>
              </c:pt>
              <c:pt idx="10">
                <c:v>3495.471645718304</c:v>
              </c:pt>
              <c:pt idx="11">
                <c:v>5480.0802869591726</c:v>
              </c:pt>
              <c:pt idx="12">
                <c:v>6648.0307183851446</c:v>
              </c:pt>
              <c:pt idx="13">
                <c:v>5845.3990565140648</c:v>
              </c:pt>
              <c:pt idx="14">
                <c:v>4610.4458129502646</c:v>
              </c:pt>
              <c:pt idx="15">
                <c:v>2445.9554687913328</c:v>
              </c:pt>
              <c:pt idx="16">
                <c:v>2095.7533691568206</c:v>
              </c:pt>
              <c:pt idx="17">
                <c:v>1367.1556356517249</c:v>
              </c:pt>
              <c:pt idx="18">
                <c:v>1376.1551884595792</c:v>
              </c:pt>
              <c:pt idx="19">
                <c:v>1386.5257399408777</c:v>
              </c:pt>
              <c:pt idx="20">
                <c:v>1397.8102905378055</c:v>
              </c:pt>
              <c:pt idx="21">
                <c:v>2888.4024097809665</c:v>
              </c:pt>
              <c:pt idx="22">
                <c:v>5172.3457613904739</c:v>
              </c:pt>
              <c:pt idx="23">
                <c:v>7242.4133199426942</c:v>
              </c:pt>
              <c:pt idx="24">
                <c:v>8078.125072837368</c:v>
              </c:pt>
              <c:pt idx="25">
                <c:v>6498.1371631234579</c:v>
              </c:pt>
              <c:pt idx="26">
                <c:v>4217.1119317217735</c:v>
              </c:pt>
              <c:pt idx="27">
                <c:v>3061.2196116599189</c:v>
              </c:pt>
              <c:pt idx="28">
                <c:v>1918.123279216876</c:v>
              </c:pt>
              <c:pt idx="29">
                <c:v>1509.8822357398951</c:v>
              </c:pt>
              <c:pt idx="30">
                <c:v>1484.1498221538311</c:v>
              </c:pt>
              <c:pt idx="31">
                <c:v>1493.1493749616855</c:v>
              </c:pt>
              <c:pt idx="32">
                <c:v>1646.5607880389898</c:v>
              </c:pt>
              <c:pt idx="33">
                <c:v>2917.3361199732731</c:v>
              </c:pt>
              <c:pt idx="34">
                <c:v>3845.8187831043347</c:v>
              </c:pt>
              <c:pt idx="35">
                <c:v>7370.0589346229781</c:v>
              </c:pt>
              <c:pt idx="36">
                <c:v>7874.4460081019843</c:v>
              </c:pt>
              <c:pt idx="37">
                <c:v>7059.9323577277219</c:v>
              </c:pt>
              <c:pt idx="38">
                <c:v>4555.8913421124571</c:v>
              </c:pt>
              <c:pt idx="39">
                <c:v>3148.1922656946936</c:v>
              </c:pt>
              <c:pt idx="40">
                <c:v>1795.7901357725113</c:v>
              </c:pt>
              <c:pt idx="41">
                <c:v>1583.1449030402289</c:v>
              </c:pt>
              <c:pt idx="42">
                <c:v>1592.1444558480832</c:v>
              </c:pt>
              <c:pt idx="43">
                <c:v>1604.8000051184554</c:v>
              </c:pt>
              <c:pt idx="44">
                <c:v>1672.2955013265932</c:v>
              </c:pt>
              <c:pt idx="45">
                <c:v>2521.2602413978939</c:v>
              </c:pt>
              <c:pt idx="46">
                <c:v>4447.3729392384794</c:v>
              </c:pt>
              <c:pt idx="47">
                <c:v>6980.8380494148205</c:v>
              </c:pt>
              <c:pt idx="48">
                <c:v>6751.2838330433933</c:v>
              </c:pt>
              <c:pt idx="49">
                <c:v>6008.0621136882264</c:v>
              </c:pt>
              <c:pt idx="50">
                <c:v>5694.4199786788913</c:v>
              </c:pt>
              <c:pt idx="51">
                <c:v>3228.7669259200629</c:v>
              </c:pt>
              <c:pt idx="52">
                <c:v>2255.6744289840944</c:v>
              </c:pt>
              <c:pt idx="53">
                <c:v>1732.72649649562</c:v>
              </c:pt>
              <c:pt idx="54">
                <c:v>1700.1390895423353</c:v>
              </c:pt>
              <c:pt idx="55">
                <c:v>1709.1386423501897</c:v>
              </c:pt>
              <c:pt idx="56">
                <c:v>1725.9071876408941</c:v>
              </c:pt>
              <c:pt idx="57">
                <c:v>2963.7785514125176</c:v>
              </c:pt>
              <c:pt idx="58">
                <c:v>4715.3174181678814</c:v>
              </c:pt>
              <c:pt idx="59">
                <c:v>7630.8341586773249</c:v>
              </c:pt>
              <c:pt idx="60">
                <c:v>5968.1293289989508</c:v>
              </c:pt>
              <c:pt idx="61">
                <c:v>6415.8484573089318</c:v>
              </c:pt>
              <c:pt idx="62">
                <c:v>5048.8223415366783</c:v>
              </c:pt>
              <c:pt idx="63">
                <c:v>2772.3671057131414</c:v>
              </c:pt>
              <c:pt idx="64">
                <c:v>2429.0199994458508</c:v>
              </c:pt>
              <c:pt idx="65">
                <c:v>1802.7901668912507</c:v>
              </c:pt>
              <c:pt idx="66">
                <c:v>1808.1337232365872</c:v>
              </c:pt>
              <c:pt idx="67">
                <c:v>1817.1332760444416</c:v>
              </c:pt>
              <c:pt idx="68">
                <c:v>2019.9006413657353</c:v>
              </c:pt>
              <c:pt idx="69">
                <c:v>3655.818619993976</c:v>
              </c:pt>
              <c:pt idx="70">
                <c:v>4810.973063801136</c:v>
              </c:pt>
              <c:pt idx="71">
                <c:v>6058.4414182868695</c:v>
              </c:pt>
              <c:pt idx="72">
                <c:v>6762.5372985309059</c:v>
              </c:pt>
              <c:pt idx="73">
                <c:v>7152.2174829984178</c:v>
              </c:pt>
              <c:pt idx="74">
                <c:v>4200.7739002825456</c:v>
              </c:pt>
              <c:pt idx="75">
                <c:v>3619.3300243937883</c:v>
              </c:pt>
              <c:pt idx="76">
                <c:v>2338.6768250485161</c:v>
              </c:pt>
              <c:pt idx="77">
                <c:v>1915.8117957214645</c:v>
              </c:pt>
              <c:pt idx="78">
                <c:v>1916.1283569308393</c:v>
              </c:pt>
              <c:pt idx="79">
                <c:v>1925.1279097386937</c:v>
              </c:pt>
              <c:pt idx="80">
                <c:v>1964.7464329201339</c:v>
              </c:pt>
              <c:pt idx="81">
                <c:v>2619.4863609201811</c:v>
              </c:pt>
              <c:pt idx="82">
                <c:v>5295.9923326925282</c:v>
              </c:pt>
              <c:pt idx="83">
                <c:v>5981.3512310661608</c:v>
              </c:pt>
              <c:pt idx="84">
                <c:v>7716.4381137401942</c:v>
              </c:pt>
              <c:pt idx="85">
                <c:v>6055.1042827352649</c:v>
              </c:pt>
              <c:pt idx="86">
                <c:v>4986.4988782160208</c:v>
              </c:pt>
              <c:pt idx="87">
                <c:v>3514.8198637041978</c:v>
              </c:pt>
              <c:pt idx="88">
                <c:v>2278.0386219091383</c:v>
              </c:pt>
              <c:pt idx="89">
                <c:v>2015.1234378172371</c:v>
              </c:pt>
              <c:pt idx="90">
                <c:v>2024.1229906250915</c:v>
              </c:pt>
              <c:pt idx="91">
                <c:v>2033.1225434329458</c:v>
              </c:pt>
              <c:pt idx="92">
                <c:v>2120.2690206271163</c:v>
              </c:pt>
              <c:pt idx="93">
                <c:v>3779.4939767039077</c:v>
              </c:pt>
              <c:pt idx="94">
                <c:v>6041.9583490961231</c:v>
              </c:pt>
              <c:pt idx="95">
                <c:v>6483.7364831545128</c:v>
              </c:pt>
              <c:pt idx="96">
                <c:v>8150.2734321563385</c:v>
              </c:pt>
              <c:pt idx="97">
                <c:v>6435.9276524449015</c:v>
              </c:pt>
              <c:pt idx="98">
                <c:v>5565.6600560172437</c:v>
              </c:pt>
              <c:pt idx="99">
                <c:v>3418.9926946130868</c:v>
              </c:pt>
              <c:pt idx="100">
                <c:v>2424.8782180176413</c:v>
              </c:pt>
              <c:pt idx="101">
                <c:v>2123.1180715114892</c:v>
              </c:pt>
              <c:pt idx="102">
                <c:v>2132.1176243193436</c:v>
              </c:pt>
              <c:pt idx="103">
                <c:v>2141.1171771271979</c:v>
              </c:pt>
              <c:pt idx="104">
                <c:v>2235.5756472464036</c:v>
              </c:pt>
              <c:pt idx="105">
                <c:v>3659.4458310486166</c:v>
              </c:pt>
              <c:pt idx="106">
                <c:v>4931.5921616563446</c:v>
              </c:pt>
              <c:pt idx="107">
                <c:v>8114.4536434873962</c:v>
              </c:pt>
              <c:pt idx="108">
                <c:v>8753.6555865217415</c:v>
              </c:pt>
              <c:pt idx="109">
                <c:v>8051.5638273698996</c:v>
              </c:pt>
              <c:pt idx="110">
                <c:v>5418.6489364508852</c:v>
              </c:pt>
              <c:pt idx="111">
                <c:v>3112.4887293693919</c:v>
              </c:pt>
              <c:pt idx="112">
                <c:v>2425.4779556254352</c:v>
              </c:pt>
              <c:pt idx="113">
                <c:v>2231.1127052057409</c:v>
              </c:pt>
              <c:pt idx="114">
                <c:v>2240.1122580135952</c:v>
              </c:pt>
              <c:pt idx="115">
                <c:v>2249.1118108214496</c:v>
              </c:pt>
              <c:pt idx="116">
                <c:v>2277.3053450575221</c:v>
              </c:pt>
              <c:pt idx="117">
                <c:v>3217.6699966917663</c:v>
              </c:pt>
              <c:pt idx="118">
                <c:v>5509.3823407841237</c:v>
              </c:pt>
              <c:pt idx="119">
                <c:v>9528.5530134161036</c:v>
              </c:pt>
              <c:pt idx="120">
                <c:v>8931.1141530038312</c:v>
              </c:pt>
              <c:pt idx="121">
                <c:v>6134.5934203871484</c:v>
              </c:pt>
              <c:pt idx="122">
                <c:v>5620.3284794971541</c:v>
              </c:pt>
              <c:pt idx="123">
                <c:v>3353.0132348299117</c:v>
              </c:pt>
              <c:pt idx="124">
                <c:v>2662.8034641812515</c:v>
              </c:pt>
              <c:pt idx="125">
                <c:v>2339.107338899993</c:v>
              </c:pt>
              <c:pt idx="126">
                <c:v>2348.1068917078474</c:v>
              </c:pt>
              <c:pt idx="127">
                <c:v>2357.1064445157017</c:v>
              </c:pt>
              <c:pt idx="128">
                <c:v>2499.5498682054531</c:v>
              </c:pt>
              <c:pt idx="129">
                <c:v>4000.6529772783529</c:v>
              </c:pt>
              <c:pt idx="130">
                <c:v>5179.5713980918781</c:v>
              </c:pt>
              <c:pt idx="131">
                <c:v>6465.4277154340471</c:v>
              </c:pt>
              <c:pt idx="132">
                <c:v>7257.267510778508</c:v>
              </c:pt>
              <c:pt idx="133">
                <c:v>6509.0187962873788</c:v>
              </c:pt>
              <c:pt idx="134">
                <c:v>3864.6789164229976</c:v>
              </c:pt>
              <c:pt idx="135">
                <c:v>3835.2905063744156</c:v>
              </c:pt>
              <c:pt idx="136">
                <c:v>2545.497315872849</c:v>
              </c:pt>
              <c:pt idx="137">
                <c:v>2457.1559628661689</c:v>
              </c:pt>
              <c:pt idx="138">
                <c:v>2456.1015254020995</c:v>
              </c:pt>
              <c:pt idx="139">
                <c:v>2465.1010782099538</c:v>
              </c:pt>
              <c:pt idx="140">
                <c:v>2568.2425399276399</c:v>
              </c:pt>
              <c:pt idx="141">
                <c:v>3918.9927944794981</c:v>
              </c:pt>
              <c:pt idx="142">
                <c:v>6525.1208343483786</c:v>
              </c:pt>
              <c:pt idx="143">
                <c:v>6429.0104888588494</c:v>
              </c:pt>
              <c:pt idx="144">
                <c:v>7458.490054266962</c:v>
              </c:pt>
              <c:pt idx="145">
                <c:v>7467.9466066326313</c:v>
              </c:pt>
              <c:pt idx="146">
                <c:v>7243.4193853971665</c:v>
              </c:pt>
              <c:pt idx="147">
                <c:v>3918.6071639466727</c:v>
              </c:pt>
              <c:pt idx="148">
                <c:v>3212.8594083323128</c:v>
              </c:pt>
              <c:pt idx="149">
                <c:v>2555.0966062884972</c:v>
              </c:pt>
              <c:pt idx="150">
                <c:v>2564.0961590963516</c:v>
              </c:pt>
              <c:pt idx="151">
                <c:v>2582.6927026183148</c:v>
              </c:pt>
              <c:pt idx="152">
                <c:v>2662.0701873296357</c:v>
              </c:pt>
              <c:pt idx="153">
                <c:v>3741.8197040973678</c:v>
              </c:pt>
              <c:pt idx="154">
                <c:v>6613.464487056599</c:v>
              </c:pt>
              <c:pt idx="155">
                <c:v>7185.0304955343672</c:v>
              </c:pt>
              <c:pt idx="156">
                <c:v>9611.5577091820651</c:v>
              </c:pt>
              <c:pt idx="157">
                <c:v>7176.523626796823</c:v>
              </c:pt>
              <c:pt idx="158">
                <c:v>7118.3442446059134</c:v>
              </c:pt>
              <c:pt idx="159">
                <c:v>3921.0348997857254</c:v>
              </c:pt>
              <c:pt idx="160">
                <c:v>2897.2154519323235</c:v>
              </c:pt>
              <c:pt idx="161">
                <c:v>2663.0912399827494</c:v>
              </c:pt>
              <c:pt idx="162">
                <c:v>2672.0907927906037</c:v>
              </c:pt>
              <c:pt idx="163">
                <c:v>2681.090345598458</c:v>
              </c:pt>
              <c:pt idx="164">
                <c:v>2793.3717984724381</c:v>
              </c:pt>
              <c:pt idx="165">
                <c:v>3715.4564677940934</c:v>
              </c:pt>
              <c:pt idx="166">
                <c:v>6920.2539284002514</c:v>
              </c:pt>
              <c:pt idx="167">
                <c:v>7479.4809488170231</c:v>
              </c:pt>
              <c:pt idx="168">
                <c:v>8726.4923037449407</c:v>
              </c:pt>
              <c:pt idx="169">
                <c:v>9025.2295762073263</c:v>
              </c:pt>
              <c:pt idx="170">
                <c:v>3911.1236475637816</c:v>
              </c:pt>
              <c:pt idx="171">
                <c:v>2910.6111771589294</c:v>
              </c:pt>
              <c:pt idx="172">
                <c:v>2781.1398639489253</c:v>
              </c:pt>
            </c:numLit>
          </c:xVal>
          <c:yVal>
            <c:numLit>
              <c:formatCode>General</c:formatCode>
              <c:ptCount val="173"/>
              <c:pt idx="0">
                <c:v>779.77539154265924</c:v>
              </c:pt>
              <c:pt idx="1">
                <c:v>278.82997801912643</c:v>
              </c:pt>
              <c:pt idx="2">
                <c:v>-579.23743152069528</c:v>
              </c:pt>
              <c:pt idx="3">
                <c:v>455.56756110093465</c:v>
              </c:pt>
              <c:pt idx="4">
                <c:v>543.96777326957999</c:v>
              </c:pt>
              <c:pt idx="5">
                <c:v>304.83899804252724</c:v>
              </c:pt>
              <c:pt idx="6">
                <c:v>300.83944523467289</c:v>
              </c:pt>
              <c:pt idx="7">
                <c:v>167.83989242681855</c:v>
              </c:pt>
              <c:pt idx="8">
                <c:v>-67.803265951761659</c:v>
              </c:pt>
              <c:pt idx="9">
                <c:v>-820.76948159131507</c:v>
              </c:pt>
              <c:pt idx="10">
                <c:v>-549.47164571830399</c:v>
              </c:pt>
              <c:pt idx="11">
                <c:v>-1442.0802869591726</c:v>
              </c:pt>
              <c:pt idx="12">
                <c:v>-334.03071838514461</c:v>
              </c:pt>
              <c:pt idx="13">
                <c:v>-239.3990565140648</c:v>
              </c:pt>
              <c:pt idx="14">
                <c:v>176.55418704973545</c:v>
              </c:pt>
              <c:pt idx="15">
                <c:v>415.04453120866719</c:v>
              </c:pt>
              <c:pt idx="16">
                <c:v>-193.75336915682055</c:v>
              </c:pt>
              <c:pt idx="17">
                <c:v>514.84436434827512</c:v>
              </c:pt>
              <c:pt idx="18">
                <c:v>134.84481154042078</c:v>
              </c:pt>
              <c:pt idx="19">
                <c:v>50.474260059122344</c:v>
              </c:pt>
              <c:pt idx="20">
                <c:v>226.18970946219451</c:v>
              </c:pt>
              <c:pt idx="21">
                <c:v>-459.40240978096654</c:v>
              </c:pt>
              <c:pt idx="22">
                <c:v>-1552.3457613904739</c:v>
              </c:pt>
              <c:pt idx="23">
                <c:v>-1017.4133199426942</c:v>
              </c:pt>
              <c:pt idx="24">
                <c:v>-502.12507283736795</c:v>
              </c:pt>
              <c:pt idx="25">
                <c:v>628.86283687654213</c:v>
              </c:pt>
              <c:pt idx="26">
                <c:v>594.88806827822646</c:v>
              </c:pt>
              <c:pt idx="27">
                <c:v>193.78038834008112</c:v>
              </c:pt>
              <c:pt idx="28">
                <c:v>349.87672078312403</c:v>
              </c:pt>
              <c:pt idx="29">
                <c:v>183.11776426010488</c:v>
              </c:pt>
              <c:pt idx="30">
                <c:v>75.85017784616889</c:v>
              </c:pt>
              <c:pt idx="31">
                <c:v>27.850625038314547</c:v>
              </c:pt>
              <c:pt idx="32">
                <c:v>51.439211961010187</c:v>
              </c:pt>
              <c:pt idx="33">
                <c:v>-159.33611997327307</c:v>
              </c:pt>
              <c:pt idx="34">
                <c:v>8.1812168956653295</c:v>
              </c:pt>
              <c:pt idx="35">
                <c:v>-1230.0589346229781</c:v>
              </c:pt>
              <c:pt idx="36">
                <c:v>-411.44600810198426</c:v>
              </c:pt>
              <c:pt idx="37">
                <c:v>378.06764227227814</c:v>
              </c:pt>
              <c:pt idx="38">
                <c:v>726.1086578875429</c:v>
              </c:pt>
              <c:pt idx="39">
                <c:v>334.80773430530644</c:v>
              </c:pt>
              <c:pt idx="40">
                <c:v>418.20986422748865</c:v>
              </c:pt>
              <c:pt idx="41">
                <c:v>451.85509695977112</c:v>
              </c:pt>
              <c:pt idx="42">
                <c:v>356.85554415191677</c:v>
              </c:pt>
              <c:pt idx="43">
                <c:v>433.19999488154463</c:v>
              </c:pt>
              <c:pt idx="44">
                <c:v>344.70449867340676</c:v>
              </c:pt>
              <c:pt idx="45">
                <c:v>-216.26024139789388</c:v>
              </c:pt>
              <c:pt idx="46">
                <c:v>-1070.3729392384794</c:v>
              </c:pt>
              <c:pt idx="47">
                <c:v>-1198.8380494148205</c:v>
              </c:pt>
              <c:pt idx="48">
                <c:v>799.71616695660668</c:v>
              </c:pt>
              <c:pt idx="49">
                <c:v>942.93788631177358</c:v>
              </c:pt>
              <c:pt idx="50">
                <c:v>461.58002132110869</c:v>
              </c:pt>
              <c:pt idx="51">
                <c:v>722.23307407993707</c:v>
              </c:pt>
              <c:pt idx="52">
                <c:v>232.32557101590555</c:v>
              </c:pt>
              <c:pt idx="53">
                <c:v>375.27350350437996</c:v>
              </c:pt>
              <c:pt idx="54">
                <c:v>257.86091045766466</c:v>
              </c:pt>
              <c:pt idx="55">
                <c:v>179.86135764981032</c:v>
              </c:pt>
              <c:pt idx="56">
                <c:v>300.09281235910589</c:v>
              </c:pt>
              <c:pt idx="57">
                <c:v>-399.77855141251757</c:v>
              </c:pt>
              <c:pt idx="58">
                <c:v>-1249.3174181678814</c:v>
              </c:pt>
              <c:pt idx="59">
                <c:v>-1040.8341586773249</c:v>
              </c:pt>
              <c:pt idx="60">
                <c:v>1133.8706710010492</c:v>
              </c:pt>
              <c:pt idx="61">
                <c:v>48.151542691068244</c:v>
              </c:pt>
              <c:pt idx="62">
                <c:v>515.17765846332168</c:v>
              </c:pt>
              <c:pt idx="63">
                <c:v>767.63289428685857</c:v>
              </c:pt>
              <c:pt idx="64">
                <c:v>131.98000055414923</c:v>
              </c:pt>
              <c:pt idx="65">
                <c:v>429.20983310874931</c:v>
              </c:pt>
              <c:pt idx="66">
                <c:v>329.86627676341277</c:v>
              </c:pt>
              <c:pt idx="67">
                <c:v>190.86672395555843</c:v>
              </c:pt>
              <c:pt idx="68">
                <c:v>265.09935863426472</c:v>
              </c:pt>
              <c:pt idx="69">
                <c:v>-562.81861999397597</c:v>
              </c:pt>
              <c:pt idx="70">
                <c:v>-926.97306380113605</c:v>
              </c:pt>
              <c:pt idx="71">
                <c:v>-609.44141828686952</c:v>
              </c:pt>
              <c:pt idx="72">
                <c:v>9.4627014690940996</c:v>
              </c:pt>
              <c:pt idx="73">
                <c:v>290.78251700158216</c:v>
              </c:pt>
              <c:pt idx="74">
                <c:v>1069.2260997174544</c:v>
              </c:pt>
              <c:pt idx="75">
                <c:v>-22.330024393788335</c:v>
              </c:pt>
              <c:pt idx="76">
                <c:v>263.32317495148391</c:v>
              </c:pt>
              <c:pt idx="77">
                <c:v>215.18820427853552</c:v>
              </c:pt>
              <c:pt idx="78">
                <c:v>80.871643069160655</c:v>
              </c:pt>
              <c:pt idx="79">
                <c:v>39.872090261306312</c:v>
              </c:pt>
              <c:pt idx="80">
                <c:v>103.25356707986612</c:v>
              </c:pt>
              <c:pt idx="81">
                <c:v>-267.48636092018114</c:v>
              </c:pt>
              <c:pt idx="82">
                <c:v>-1393.9923326925282</c:v>
              </c:pt>
              <c:pt idx="83">
                <c:v>-646.35123106616084</c:v>
              </c:pt>
              <c:pt idx="84">
                <c:v>-139.43811374019424</c:v>
              </c:pt>
              <c:pt idx="85">
                <c:v>130.89571726473514</c:v>
              </c:pt>
              <c:pt idx="86">
                <c:v>-300.49887821602078</c:v>
              </c:pt>
              <c:pt idx="87">
                <c:v>-394.81986370419781</c:v>
              </c:pt>
              <c:pt idx="88">
                <c:v>1.9613780908616718</c:v>
              </c:pt>
              <c:pt idx="89">
                <c:v>-17.123437817237118</c:v>
              </c:pt>
              <c:pt idx="90">
                <c:v>-115.12299062509146</c:v>
              </c:pt>
              <c:pt idx="91">
                <c:v>-23.122543432945804</c:v>
              </c:pt>
              <c:pt idx="92">
                <c:v>586.73097937288367</c:v>
              </c:pt>
              <c:pt idx="93">
                <c:v>822.50602329609228</c:v>
              </c:pt>
              <c:pt idx="94">
                <c:v>-790.95834909612313</c:v>
              </c:pt>
              <c:pt idx="95">
                <c:v>-242.73648315451283</c:v>
              </c:pt>
              <c:pt idx="96">
                <c:v>809.72656784366154</c:v>
              </c:pt>
              <c:pt idx="97">
                <c:v>129.07234755509853</c:v>
              </c:pt>
              <c:pt idx="98">
                <c:v>104.33994398275627</c:v>
              </c:pt>
              <c:pt idx="99">
                <c:v>-257.99269461308677</c:v>
              </c:pt>
              <c:pt idx="100">
                <c:v>39.121781982358698</c:v>
              </c:pt>
              <c:pt idx="101">
                <c:v>-270.11807151148923</c:v>
              </c:pt>
              <c:pt idx="102">
                <c:v>-149.11762431934358</c:v>
              </c:pt>
              <c:pt idx="103">
                <c:v>-77.11717712719792</c:v>
              </c:pt>
              <c:pt idx="104">
                <c:v>214.42435275359639</c:v>
              </c:pt>
              <c:pt idx="105">
                <c:v>-61.445831048616583</c:v>
              </c:pt>
              <c:pt idx="106">
                <c:v>-556.59216165634462</c:v>
              </c:pt>
              <c:pt idx="107">
                <c:v>46.546356512603779</c:v>
              </c:pt>
              <c:pt idx="108">
                <c:v>947.3444134782585</c:v>
              </c:pt>
              <c:pt idx="109">
                <c:v>859.43617263010037</c:v>
              </c:pt>
              <c:pt idx="110">
                <c:v>-265.64893645088523</c:v>
              </c:pt>
              <c:pt idx="111">
                <c:v>-421.48872936939188</c:v>
              </c:pt>
              <c:pt idx="112">
                <c:v>-36.477955625435243</c:v>
              </c:pt>
              <c:pt idx="113">
                <c:v>-254.11270520574089</c:v>
              </c:pt>
              <c:pt idx="114">
                <c:v>-314.11225801359524</c:v>
              </c:pt>
              <c:pt idx="115">
                <c:v>-157.11181082144958</c:v>
              </c:pt>
              <c:pt idx="116">
                <c:v>155.69465494247788</c:v>
              </c:pt>
              <c:pt idx="117">
                <c:v>-100.6699966917663</c:v>
              </c:pt>
              <c:pt idx="118">
                <c:v>-319.3823407841237</c:v>
              </c:pt>
              <c:pt idx="119">
                <c:v>1116.4469865838964</c:v>
              </c:pt>
              <c:pt idx="120">
                <c:v>590.88584699616877</c:v>
              </c:pt>
              <c:pt idx="121">
                <c:v>34.406579612851601</c:v>
              </c:pt>
              <c:pt idx="122">
                <c:v>-160.32847949715415</c:v>
              </c:pt>
              <c:pt idx="123">
                <c:v>-592.01323482991165</c:v>
              </c:pt>
              <c:pt idx="124">
                <c:v>-94.803464181251456</c:v>
              </c:pt>
              <c:pt idx="125">
                <c:v>-206.10733889999301</c:v>
              </c:pt>
              <c:pt idx="126">
                <c:v>-368.10689170784735</c:v>
              </c:pt>
              <c:pt idx="127">
                <c:v>107.8935554842983</c:v>
              </c:pt>
              <c:pt idx="128">
                <c:v>-117.54986820545309</c:v>
              </c:pt>
              <c:pt idx="129">
                <c:v>-69.652977278352864</c:v>
              </c:pt>
              <c:pt idx="130">
                <c:v>-733.57139809187811</c:v>
              </c:pt>
              <c:pt idx="131">
                <c:v>-384.42771543404706</c:v>
              </c:pt>
              <c:pt idx="132">
                <c:v>814.73248922149196</c:v>
              </c:pt>
              <c:pt idx="133">
                <c:v>73.981203712621209</c:v>
              </c:pt>
              <c:pt idx="134">
                <c:v>-319.67891642299764</c:v>
              </c:pt>
              <c:pt idx="135">
                <c:v>-465.2905063744156</c:v>
              </c:pt>
              <c:pt idx="136">
                <c:v>-340.49731587284896</c:v>
              </c:pt>
              <c:pt idx="137">
                <c:v>-24.15596286616892</c:v>
              </c:pt>
              <c:pt idx="138">
                <c:v>-480.10152540209947</c:v>
              </c:pt>
              <c:pt idx="139">
                <c:v>207.89892179004619</c:v>
              </c:pt>
              <c:pt idx="140">
                <c:v>-39.242539927639882</c:v>
              </c:pt>
              <c:pt idx="141">
                <c:v>84.007205520501884</c:v>
              </c:pt>
              <c:pt idx="142">
                <c:v>-839.12083434837859</c:v>
              </c:pt>
              <c:pt idx="143">
                <c:v>-551.01048885884938</c:v>
              </c:pt>
              <c:pt idx="144">
                <c:v>-523.49005426696203</c:v>
              </c:pt>
              <c:pt idx="145">
                <c:v>-312.9466066326313</c:v>
              </c:pt>
              <c:pt idx="146">
                <c:v>9.5806146028335206</c:v>
              </c:pt>
              <c:pt idx="147">
                <c:v>-528.6071639466727</c:v>
              </c:pt>
              <c:pt idx="148">
                <c:v>-137.8594083323128</c:v>
              </c:pt>
              <c:pt idx="149">
                <c:v>-174.09660628849724</c:v>
              </c:pt>
              <c:pt idx="150">
                <c:v>48.903840903648415</c:v>
              </c:pt>
              <c:pt idx="151">
                <c:v>28.307297381685203</c:v>
              </c:pt>
              <c:pt idx="152">
                <c:v>210.9298126703643</c:v>
              </c:pt>
              <c:pt idx="153">
                <c:v>127.18029590263222</c:v>
              </c:pt>
              <c:pt idx="154">
                <c:v>-198.46448705659895</c:v>
              </c:pt>
              <c:pt idx="155">
                <c:v>-485.03049553436722</c:v>
              </c:pt>
              <c:pt idx="156">
                <c:v>1769.4422908179349</c:v>
              </c:pt>
              <c:pt idx="157">
                <c:v>219.47637320317699</c:v>
              </c:pt>
              <c:pt idx="158">
                <c:v>307.65575539408655</c:v>
              </c:pt>
              <c:pt idx="159">
                <c:v>-549.03489978572543</c:v>
              </c:pt>
              <c:pt idx="160">
                <c:v>416.7845480676765</c:v>
              </c:pt>
              <c:pt idx="161">
                <c:v>266.90876001725064</c:v>
              </c:pt>
              <c:pt idx="162">
                <c:v>216.9092072093963</c:v>
              </c:pt>
              <c:pt idx="163">
                <c:v>26.909654401541957</c:v>
              </c:pt>
              <c:pt idx="164">
                <c:v>90.628201527561941</c:v>
              </c:pt>
              <c:pt idx="165">
                <c:v>-109.45646779409344</c:v>
              </c:pt>
              <c:pt idx="166">
                <c:v>-77.253928400251425</c:v>
              </c:pt>
              <c:pt idx="167">
                <c:v>-15.480948817023091</c:v>
              </c:pt>
              <c:pt idx="168">
                <c:v>773.50769625505927</c:v>
              </c:pt>
              <c:pt idx="169">
                <c:v>1485.7704237926737</c:v>
              </c:pt>
              <c:pt idx="170">
                <c:v>-368.12364756378156</c:v>
              </c:pt>
              <c:pt idx="171">
                <c:v>-408.61117715892942</c:v>
              </c:pt>
              <c:pt idx="172">
                <c:v>162.86013605107473</c:v>
              </c:pt>
            </c:numLit>
          </c:yVal>
          <c:smooth val="0"/>
          <c:extLst>
            <c:ext xmlns:c16="http://schemas.microsoft.com/office/drawing/2014/chart" uri="{C3380CC4-5D6E-409C-BE32-E72D297353CC}">
              <c16:uniqueId val="{00000000-571C-4667-872D-54CDE4B83CA8}"/>
            </c:ext>
          </c:extLst>
        </c:ser>
        <c:dLbls>
          <c:showLegendKey val="0"/>
          <c:showVal val="0"/>
          <c:showCatName val="0"/>
          <c:showSerName val="0"/>
          <c:showPercent val="0"/>
          <c:showBubbleSize val="0"/>
        </c:dLbls>
        <c:axId val="84077184"/>
        <c:axId val="84083840"/>
      </c:scatterChart>
      <c:valAx>
        <c:axId val="84077184"/>
        <c:scaling>
          <c:orientation val="minMax"/>
          <c:min val="1000"/>
        </c:scaling>
        <c:delete val="0"/>
        <c:axPos val="b"/>
        <c:title>
          <c:tx>
            <c:rich>
              <a:bodyPr/>
              <a:lstStyle/>
              <a:p>
                <a:pPr>
                  <a:defRPr/>
                </a:pPr>
                <a:r>
                  <a:rPr lang="en-US"/>
                  <a:t>Predicted</a:t>
                </a:r>
              </a:p>
            </c:rich>
          </c:tx>
          <c:overlay val="0"/>
        </c:title>
        <c:numFmt formatCode="General" sourceLinked="1"/>
        <c:majorTickMark val="out"/>
        <c:minorTickMark val="none"/>
        <c:tickLblPos val="nextTo"/>
        <c:crossAx val="84083840"/>
        <c:crossesAt val="-2000"/>
        <c:crossBetween val="midCat"/>
      </c:valAx>
      <c:valAx>
        <c:axId val="84083840"/>
        <c:scaling>
          <c:orientation val="minMax"/>
        </c:scaling>
        <c:delete val="0"/>
        <c:axPos val="l"/>
        <c:majorGridlines>
          <c:spPr>
            <a:ln w="3175">
              <a:solidFill>
                <a:srgbClr val="C0C0C0"/>
              </a:solidFill>
              <a:prstDash val="solid"/>
            </a:ln>
          </c:spPr>
        </c:majorGridlines>
        <c:title>
          <c:tx>
            <c:rich>
              <a:bodyPr/>
              <a:lstStyle/>
              <a:p>
                <a:pPr>
                  <a:defRPr/>
                </a:pPr>
                <a:r>
                  <a:rPr lang="en-US"/>
                  <a:t>Residual</a:t>
                </a:r>
              </a:p>
            </c:rich>
          </c:tx>
          <c:overlay val="0"/>
        </c:title>
        <c:numFmt formatCode="General" sourceLinked="1"/>
        <c:majorTickMark val="out"/>
        <c:minorTickMark val="none"/>
        <c:tickLblPos val="nextTo"/>
        <c:crossAx val="84077184"/>
        <c:crossesAt val="0"/>
        <c:crossBetween val="midCat"/>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Histogram of Residuals
</a:t>
            </a:r>
            <a:r>
              <a:rPr lang="en-US" sz="1000"/>
              <a:t>Com HDD plus trend model for _Commercial_Natural_Gas
(2 variables, n=173)</a:t>
            </a:r>
          </a:p>
        </c:rich>
      </c:tx>
      <c:overlay val="0"/>
    </c:title>
    <c:autoTitleDeleted val="0"/>
    <c:plotArea>
      <c:layout/>
      <c:barChart>
        <c:barDir val="col"/>
        <c:grouping val="clustered"/>
        <c:varyColors val="0"/>
        <c:ser>
          <c:idx val="0"/>
          <c:order val="0"/>
          <c:tx>
            <c:v>Actual</c:v>
          </c:tx>
          <c:spPr>
            <a:solidFill>
              <a:srgbClr val="9999FF"/>
            </a:solidFill>
            <a:ln w="9525" cap="flat" cmpd="sng" algn="ctr">
              <a:solidFill>
                <a:srgbClr val="0000FF"/>
              </a:solidFill>
              <a:prstDash val="solid"/>
              <a:round/>
              <a:headEnd type="none" w="med" len="med"/>
              <a:tailEnd type="none" w="med" len="med"/>
            </a:ln>
          </c:spPr>
          <c:invertIfNegative val="0"/>
          <c:cat>
            <c:strLit>
              <c:ptCount val="21"/>
              <c:pt idx="0">
                <c:v>-1,800</c:v>
              </c:pt>
              <c:pt idx="1">
                <c:v>-1,620</c:v>
              </c:pt>
              <c:pt idx="2">
                <c:v>-1,440</c:v>
              </c:pt>
              <c:pt idx="3">
                <c:v>-1,260</c:v>
              </c:pt>
              <c:pt idx="4">
                <c:v>-1,080</c:v>
              </c:pt>
              <c:pt idx="5">
                <c:v>-900</c:v>
              </c:pt>
              <c:pt idx="6">
                <c:v>-720</c:v>
              </c:pt>
              <c:pt idx="7">
                <c:v>-540</c:v>
              </c:pt>
              <c:pt idx="8">
                <c:v>-360</c:v>
              </c:pt>
              <c:pt idx="9">
                <c:v>-180</c:v>
              </c:pt>
              <c:pt idx="10">
                <c:v>0</c:v>
              </c:pt>
              <c:pt idx="11">
                <c:v>180</c:v>
              </c:pt>
              <c:pt idx="12">
                <c:v>360</c:v>
              </c:pt>
              <c:pt idx="13">
                <c:v>540</c:v>
              </c:pt>
              <c:pt idx="14">
                <c:v>720</c:v>
              </c:pt>
              <c:pt idx="15">
                <c:v>900</c:v>
              </c:pt>
              <c:pt idx="16">
                <c:v>1,080</c:v>
              </c:pt>
              <c:pt idx="17">
                <c:v>1,260</c:v>
              </c:pt>
              <c:pt idx="18">
                <c:v>1,440</c:v>
              </c:pt>
              <c:pt idx="19">
                <c:v>1,620</c:v>
              </c:pt>
              <c:pt idx="20">
                <c:v>1,800</c:v>
              </c:pt>
            </c:strLit>
          </c:cat>
          <c:val>
            <c:numLit>
              <c:formatCode>General</c:formatCode>
              <c:ptCount val="21"/>
              <c:pt idx="0">
                <c:v>0</c:v>
              </c:pt>
              <c:pt idx="1">
                <c:v>1</c:v>
              </c:pt>
              <c:pt idx="2">
                <c:v>2</c:v>
              </c:pt>
              <c:pt idx="3">
                <c:v>3</c:v>
              </c:pt>
              <c:pt idx="4">
                <c:v>3</c:v>
              </c:pt>
              <c:pt idx="5">
                <c:v>3</c:v>
              </c:pt>
              <c:pt idx="6">
                <c:v>3</c:v>
              </c:pt>
              <c:pt idx="7">
                <c:v>15</c:v>
              </c:pt>
              <c:pt idx="8">
                <c:v>16</c:v>
              </c:pt>
              <c:pt idx="9">
                <c:v>22</c:v>
              </c:pt>
              <c:pt idx="10">
                <c:v>31</c:v>
              </c:pt>
              <c:pt idx="11">
                <c:v>29</c:v>
              </c:pt>
              <c:pt idx="12">
                <c:v>18</c:v>
              </c:pt>
              <c:pt idx="13">
                <c:v>10</c:v>
              </c:pt>
              <c:pt idx="14">
                <c:v>7</c:v>
              </c:pt>
              <c:pt idx="15">
                <c:v>5</c:v>
              </c:pt>
              <c:pt idx="16">
                <c:v>3</c:v>
              </c:pt>
              <c:pt idx="17">
                <c:v>0</c:v>
              </c:pt>
              <c:pt idx="18">
                <c:v>1</c:v>
              </c:pt>
              <c:pt idx="19">
                <c:v>0</c:v>
              </c:pt>
              <c:pt idx="20">
                <c:v>1</c:v>
              </c:pt>
            </c:numLit>
          </c:val>
          <c:extLst>
            <c:ext xmlns:c16="http://schemas.microsoft.com/office/drawing/2014/chart" uri="{C3380CC4-5D6E-409C-BE32-E72D297353CC}">
              <c16:uniqueId val="{00000000-F813-4305-8939-6B622D05C800}"/>
            </c:ext>
          </c:extLst>
        </c:ser>
        <c:ser>
          <c:idx val="1"/>
          <c:order val="1"/>
          <c:tx>
            <c:v>Theoretical</c:v>
          </c:tx>
          <c:spPr>
            <a:solidFill>
              <a:srgbClr val="FFD2D2"/>
            </a:solidFill>
            <a:ln w="9525">
              <a:solidFill>
                <a:srgbClr val="FF0000"/>
              </a:solidFill>
              <a:prstDash val="solid"/>
            </a:ln>
          </c:spPr>
          <c:invertIfNegative val="0"/>
          <c:cat>
            <c:strLit>
              <c:ptCount val="21"/>
              <c:pt idx="0">
                <c:v>-1,800</c:v>
              </c:pt>
              <c:pt idx="1">
                <c:v>-1,620</c:v>
              </c:pt>
              <c:pt idx="2">
                <c:v>-1,440</c:v>
              </c:pt>
              <c:pt idx="3">
                <c:v>-1,260</c:v>
              </c:pt>
              <c:pt idx="4">
                <c:v>-1,080</c:v>
              </c:pt>
              <c:pt idx="5">
                <c:v>-900</c:v>
              </c:pt>
              <c:pt idx="6">
                <c:v>-720</c:v>
              </c:pt>
              <c:pt idx="7">
                <c:v>-540</c:v>
              </c:pt>
              <c:pt idx="8">
                <c:v>-360</c:v>
              </c:pt>
              <c:pt idx="9">
                <c:v>-180</c:v>
              </c:pt>
              <c:pt idx="10">
                <c:v>0</c:v>
              </c:pt>
              <c:pt idx="11">
                <c:v>180</c:v>
              </c:pt>
              <c:pt idx="12">
                <c:v>360</c:v>
              </c:pt>
              <c:pt idx="13">
                <c:v>540</c:v>
              </c:pt>
              <c:pt idx="14">
                <c:v>720</c:v>
              </c:pt>
              <c:pt idx="15">
                <c:v>900</c:v>
              </c:pt>
              <c:pt idx="16">
                <c:v>1,080</c:v>
              </c:pt>
              <c:pt idx="17">
                <c:v>1,260</c:v>
              </c:pt>
              <c:pt idx="18">
                <c:v>1,440</c:v>
              </c:pt>
              <c:pt idx="19">
                <c:v>1,620</c:v>
              </c:pt>
              <c:pt idx="20">
                <c:v>1,800</c:v>
              </c:pt>
            </c:strLit>
          </c:cat>
          <c:val>
            <c:numLit>
              <c:formatCode>General</c:formatCode>
              <c:ptCount val="21"/>
              <c:pt idx="0">
                <c:v>7.823777006193286E-2</c:v>
              </c:pt>
              <c:pt idx="1">
                <c:v>0.23093144280905359</c:v>
              </c:pt>
              <c:pt idx="2">
                <c:v>0.60821033055827689</c:v>
              </c:pt>
              <c:pt idx="3">
                <c:v>1.4293334987518254</c:v>
              </c:pt>
              <c:pt idx="4">
                <c:v>2.997276696694013</c:v>
              </c:pt>
              <c:pt idx="5">
                <c:v>5.6083806338234696</c:v>
              </c:pt>
              <c:pt idx="6">
                <c:v>9.3641602987833039</c:v>
              </c:pt>
              <c:pt idx="7">
                <c:v>13.951588881835885</c:v>
              </c:pt>
              <c:pt idx="8">
                <c:v>18.548301036055165</c:v>
              </c:pt>
              <c:pt idx="9">
                <c:v>22.004514490197415</c:v>
              </c:pt>
              <c:pt idx="10">
                <c:v>23.294187740805114</c:v>
              </c:pt>
              <c:pt idx="11">
                <c:v>22.004514490197408</c:v>
              </c:pt>
              <c:pt idx="12">
                <c:v>18.548301036055165</c:v>
              </c:pt>
              <c:pt idx="13">
                <c:v>13.951588881835875</c:v>
              </c:pt>
              <c:pt idx="14">
                <c:v>9.3641602987833323</c:v>
              </c:pt>
              <c:pt idx="15">
                <c:v>5.6083806338234581</c:v>
              </c:pt>
              <c:pt idx="16">
                <c:v>2.9972766966940014</c:v>
              </c:pt>
              <c:pt idx="17">
                <c:v>1.4293334987518449</c:v>
              </c:pt>
              <c:pt idx="18">
                <c:v>0.60821033055827911</c:v>
              </c:pt>
              <c:pt idx="19">
                <c:v>0.23093144280903743</c:v>
              </c:pt>
              <c:pt idx="20">
                <c:v>7.8237770061946321E-2</c:v>
              </c:pt>
            </c:numLit>
          </c:val>
          <c:extLst>
            <c:ext xmlns:c16="http://schemas.microsoft.com/office/drawing/2014/chart" uri="{C3380CC4-5D6E-409C-BE32-E72D297353CC}">
              <c16:uniqueId val="{00000001-F813-4305-8939-6B622D05C800}"/>
            </c:ext>
          </c:extLst>
        </c:ser>
        <c:dLbls>
          <c:showLegendKey val="0"/>
          <c:showVal val="0"/>
          <c:showCatName val="0"/>
          <c:showSerName val="0"/>
          <c:showPercent val="0"/>
          <c:showBubbleSize val="0"/>
        </c:dLbls>
        <c:gapWidth val="50"/>
        <c:axId val="84097664"/>
        <c:axId val="84099840"/>
      </c:barChart>
      <c:catAx>
        <c:axId val="84097664"/>
        <c:scaling>
          <c:orientation val="minMax"/>
        </c:scaling>
        <c:delete val="0"/>
        <c:axPos val="b"/>
        <c:title>
          <c:tx>
            <c:rich>
              <a:bodyPr/>
              <a:lstStyle/>
              <a:p>
                <a:pPr>
                  <a:defRPr/>
                </a:pPr>
                <a:r>
                  <a:rPr lang="en-US"/>
                  <a:t>Residual Range
</a:t>
                </a:r>
                <a:r>
                  <a:rPr lang="en-US" sz="750"/>
                  <a:t>Adjusted Anderson-Darling statistic is 1 (P=0.012)</a:t>
                </a:r>
              </a:p>
            </c:rich>
          </c:tx>
          <c:overlay val="0"/>
        </c:title>
        <c:numFmt formatCode="General" sourceLinked="0"/>
        <c:majorTickMark val="out"/>
        <c:minorTickMark val="none"/>
        <c:tickLblPos val="nextTo"/>
        <c:crossAx val="84099840"/>
        <c:crosses val="autoZero"/>
        <c:auto val="1"/>
        <c:lblAlgn val="ctr"/>
        <c:lblOffset val="100"/>
        <c:noMultiLvlLbl val="0"/>
      </c:catAx>
      <c:valAx>
        <c:axId val="84099840"/>
        <c:scaling>
          <c:orientation val="minMax"/>
        </c:scaling>
        <c:delete val="0"/>
        <c:axPos val="l"/>
        <c:majorGridlines>
          <c:spPr>
            <a:ln w="3175">
              <a:solidFill>
                <a:srgbClr val="C0C0C0"/>
              </a:solidFill>
              <a:prstDash val="solid"/>
            </a:ln>
          </c:spPr>
        </c:majorGridlines>
        <c:title>
          <c:tx>
            <c:rich>
              <a:bodyPr/>
              <a:lstStyle/>
              <a:p>
                <a:pPr>
                  <a:defRPr/>
                </a:pPr>
                <a:r>
                  <a:rPr lang="en-US"/>
                  <a:t>Frequency</a:t>
                </a:r>
              </a:p>
            </c:rich>
          </c:tx>
          <c:overlay val="0"/>
        </c:title>
        <c:numFmt formatCode="General" sourceLinked="1"/>
        <c:majorTickMark val="out"/>
        <c:minorTickMark val="none"/>
        <c:tickLblPos val="nextTo"/>
        <c:crossAx val="84097664"/>
        <c:crosses val="autoZero"/>
        <c:crossBetween val="between"/>
      </c:valAx>
      <c:spPr>
        <a:ln w="6350">
          <a:solidFill>
            <a:srgbClr val="808080"/>
          </a:solidFill>
          <a:prstDash val="solid"/>
        </a:ln>
      </c:spPr>
    </c:plotArea>
    <c:legend>
      <c:legendPos val="r"/>
      <c:overlay val="0"/>
    </c:legend>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5.0347222222222224E-2"/>
          <c:y val="3.5833333333333335E-2"/>
          <c:w val="0.92720827865266842"/>
          <c:h val="0.96416666666666662"/>
        </c:manualLayout>
      </c:layout>
      <c:scatterChart>
        <c:scatterStyle val="lineMarker"/>
        <c:varyColors val="0"/>
        <c:ser>
          <c:idx val="0"/>
          <c:order val="0"/>
          <c:spPr>
            <a:ln w="9525" cap="rnd" cmpd="sng" algn="ctr">
              <a:solidFill>
                <a:srgbClr val="0000FF"/>
              </a:solidFill>
              <a:prstDash val="solid"/>
              <a:round/>
              <a:headEnd type="none" w="med" len="med"/>
              <a:tailEnd type="none" w="med" len="med"/>
            </a:ln>
            <a:effectLst/>
          </c:spPr>
          <c:marker>
            <c:symbol val="diamond"/>
            <c:size val="5"/>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17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151</c:v>
              </c:pt>
              <c:pt idx="150">
                <c:v>152</c:v>
              </c:pt>
              <c:pt idx="151">
                <c:v>153</c:v>
              </c:pt>
              <c:pt idx="152">
                <c:v>154</c:v>
              </c:pt>
              <c:pt idx="153">
                <c:v>155</c:v>
              </c:pt>
              <c:pt idx="154">
                <c:v>156</c:v>
              </c:pt>
              <c:pt idx="155">
                <c:v>157</c:v>
              </c:pt>
              <c:pt idx="156">
                <c:v>158</c:v>
              </c:pt>
              <c:pt idx="157">
                <c:v>159</c:v>
              </c:pt>
              <c:pt idx="158">
                <c:v>160</c:v>
              </c:pt>
              <c:pt idx="159">
                <c:v>161</c:v>
              </c:pt>
              <c:pt idx="160">
                <c:v>162</c:v>
              </c:pt>
              <c:pt idx="161">
                <c:v>163</c:v>
              </c:pt>
              <c:pt idx="162">
                <c:v>164</c:v>
              </c:pt>
              <c:pt idx="163">
                <c:v>165</c:v>
              </c:pt>
              <c:pt idx="164">
                <c:v>166</c:v>
              </c:pt>
              <c:pt idx="165">
                <c:v>167</c:v>
              </c:pt>
              <c:pt idx="166">
                <c:v>168</c:v>
              </c:pt>
              <c:pt idx="167">
                <c:v>169</c:v>
              </c:pt>
              <c:pt idx="168">
                <c:v>170</c:v>
              </c:pt>
              <c:pt idx="169">
                <c:v>172</c:v>
              </c:pt>
              <c:pt idx="170">
                <c:v>173</c:v>
              </c:pt>
              <c:pt idx="171">
                <c:v>174</c:v>
              </c:pt>
            </c:numLit>
          </c:xVal>
          <c:yVal>
            <c:numLit>
              <c:formatCode>General</c:formatCode>
              <c:ptCount val="172"/>
              <c:pt idx="0">
                <c:v>200</c:v>
              </c:pt>
              <c:pt idx="1">
                <c:v>103</c:v>
              </c:pt>
              <c:pt idx="2">
                <c:v>199</c:v>
              </c:pt>
              <c:pt idx="3">
                <c:v>461</c:v>
              </c:pt>
              <c:pt idx="4">
                <c:v>577</c:v>
              </c:pt>
              <c:pt idx="5">
                <c:v>2266</c:v>
              </c:pt>
              <c:pt idx="6">
                <c:v>3764</c:v>
              </c:pt>
              <c:pt idx="7">
                <c:v>6039</c:v>
              </c:pt>
              <c:pt idx="8">
                <c:v>1231</c:v>
              </c:pt>
              <c:pt idx="9">
                <c:v>1016</c:v>
              </c:pt>
              <c:pt idx="10">
                <c:v>189</c:v>
              </c:pt>
              <c:pt idx="11">
                <c:v>201</c:v>
              </c:pt>
              <c:pt idx="12">
                <c:v>736</c:v>
              </c:pt>
              <c:pt idx="13">
                <c:v>1598</c:v>
              </c:pt>
              <c:pt idx="14">
                <c:v>1481</c:v>
              </c:pt>
              <c:pt idx="15">
                <c:v>1792</c:v>
              </c:pt>
              <c:pt idx="16">
                <c:v>1565</c:v>
              </c:pt>
              <c:pt idx="17">
                <c:v>3958</c:v>
              </c:pt>
              <c:pt idx="18">
                <c:v>6801</c:v>
              </c:pt>
              <c:pt idx="19">
                <c:v>6995</c:v>
              </c:pt>
              <c:pt idx="20">
                <c:v>3243</c:v>
              </c:pt>
              <c:pt idx="21">
                <c:v>1979</c:v>
              </c:pt>
              <c:pt idx="22">
                <c:v>413</c:v>
              </c:pt>
              <c:pt idx="23">
                <c:v>1315</c:v>
              </c:pt>
              <c:pt idx="24">
                <c:v>1488</c:v>
              </c:pt>
              <c:pt idx="25">
                <c:v>915</c:v>
              </c:pt>
              <c:pt idx="26">
                <c:v>334</c:v>
              </c:pt>
              <c:pt idx="27">
                <c:v>512</c:v>
              </c:pt>
              <c:pt idx="28">
                <c:v>517</c:v>
              </c:pt>
              <c:pt idx="29">
                <c:v>539</c:v>
              </c:pt>
              <c:pt idx="30">
                <c:v>3656</c:v>
              </c:pt>
              <c:pt idx="31">
                <c:v>3813</c:v>
              </c:pt>
              <c:pt idx="32">
                <c:v>1465</c:v>
              </c:pt>
              <c:pt idx="33">
                <c:v>211</c:v>
              </c:pt>
              <c:pt idx="34">
                <c:v>268</c:v>
              </c:pt>
              <c:pt idx="35">
                <c:v>632</c:v>
              </c:pt>
              <c:pt idx="36">
                <c:v>1675</c:v>
              </c:pt>
              <c:pt idx="37">
                <c:v>892</c:v>
              </c:pt>
              <c:pt idx="38">
                <c:v>115</c:v>
              </c:pt>
              <c:pt idx="39">
                <c:v>263</c:v>
              </c:pt>
              <c:pt idx="40">
                <c:v>4594</c:v>
              </c:pt>
              <c:pt idx="41">
                <c:v>2876</c:v>
              </c:pt>
              <c:pt idx="42">
                <c:v>3827</c:v>
              </c:pt>
              <c:pt idx="43">
                <c:v>3531</c:v>
              </c:pt>
              <c:pt idx="44">
                <c:v>1738</c:v>
              </c:pt>
              <c:pt idx="45">
                <c:v>412</c:v>
              </c:pt>
              <c:pt idx="46">
                <c:v>312</c:v>
              </c:pt>
              <c:pt idx="47">
                <c:v>1187</c:v>
              </c:pt>
              <c:pt idx="48">
                <c:v>1827</c:v>
              </c:pt>
              <c:pt idx="49">
                <c:v>485</c:v>
              </c:pt>
              <c:pt idx="50">
                <c:v>1841</c:v>
              </c:pt>
              <c:pt idx="51">
                <c:v>1404</c:v>
              </c:pt>
              <c:pt idx="52">
                <c:v>748</c:v>
              </c:pt>
              <c:pt idx="53">
                <c:v>2362</c:v>
              </c:pt>
              <c:pt idx="54">
                <c:v>6332</c:v>
              </c:pt>
              <c:pt idx="55">
                <c:v>6613</c:v>
              </c:pt>
              <c:pt idx="56">
                <c:v>3067</c:v>
              </c:pt>
              <c:pt idx="57">
                <c:v>770</c:v>
              </c:pt>
              <c:pt idx="58">
                <c:v>239</c:v>
              </c:pt>
              <c:pt idx="59">
                <c:v>1320</c:v>
              </c:pt>
              <c:pt idx="60">
                <c:v>280</c:v>
              </c:pt>
              <c:pt idx="61">
                <c:v>300</c:v>
              </c:pt>
              <c:pt idx="62">
                <c:v>1641</c:v>
              </c:pt>
              <c:pt idx="63">
                <c:v>1062</c:v>
              </c:pt>
              <c:pt idx="64">
                <c:v>1514</c:v>
              </c:pt>
              <c:pt idx="65">
                <c:v>2788</c:v>
              </c:pt>
              <c:pt idx="66">
                <c:v>7728</c:v>
              </c:pt>
              <c:pt idx="67">
                <c:v>9210</c:v>
              </c:pt>
              <c:pt idx="68">
                <c:v>1201</c:v>
              </c:pt>
              <c:pt idx="69">
                <c:v>924</c:v>
              </c:pt>
              <c:pt idx="70">
                <c:v>852</c:v>
              </c:pt>
              <c:pt idx="71">
                <c:v>873</c:v>
              </c:pt>
              <c:pt idx="72">
                <c:v>1193</c:v>
              </c:pt>
              <c:pt idx="73">
                <c:v>1568</c:v>
              </c:pt>
              <c:pt idx="74">
                <c:v>862</c:v>
              </c:pt>
              <c:pt idx="75">
                <c:v>2678</c:v>
              </c:pt>
              <c:pt idx="76">
                <c:v>1745</c:v>
              </c:pt>
              <c:pt idx="77">
                <c:v>4270</c:v>
              </c:pt>
              <c:pt idx="78">
                <c:v>5005</c:v>
              </c:pt>
              <c:pt idx="79">
                <c:v>12968</c:v>
              </c:pt>
              <c:pt idx="80">
                <c:v>5681</c:v>
              </c:pt>
              <c:pt idx="81">
                <c:v>2759</c:v>
              </c:pt>
              <c:pt idx="82">
                <c:v>398</c:v>
              </c:pt>
              <c:pt idx="83">
                <c:v>1027</c:v>
              </c:pt>
              <c:pt idx="84">
                <c:v>2171</c:v>
              </c:pt>
              <c:pt idx="85">
                <c:v>755</c:v>
              </c:pt>
              <c:pt idx="86">
                <c:v>1144</c:v>
              </c:pt>
              <c:pt idx="87">
                <c:v>181</c:v>
              </c:pt>
              <c:pt idx="88">
                <c:v>578</c:v>
              </c:pt>
              <c:pt idx="89">
                <c:v>7788</c:v>
              </c:pt>
              <c:pt idx="90">
                <c:v>6080</c:v>
              </c:pt>
              <c:pt idx="91">
                <c:v>6242</c:v>
              </c:pt>
              <c:pt idx="92">
                <c:v>3568</c:v>
              </c:pt>
              <c:pt idx="93">
                <c:v>3040</c:v>
              </c:pt>
              <c:pt idx="94">
                <c:v>2877</c:v>
              </c:pt>
              <c:pt idx="95">
                <c:v>1540</c:v>
              </c:pt>
              <c:pt idx="96">
                <c:v>1798</c:v>
              </c:pt>
              <c:pt idx="97">
                <c:v>1912</c:v>
              </c:pt>
              <c:pt idx="98">
                <c:v>2674</c:v>
              </c:pt>
              <c:pt idx="99">
                <c:v>1314</c:v>
              </c:pt>
              <c:pt idx="100">
                <c:v>1761</c:v>
              </c:pt>
              <c:pt idx="101">
                <c:v>4481</c:v>
              </c:pt>
              <c:pt idx="102">
                <c:v>5303</c:v>
              </c:pt>
              <c:pt idx="103">
                <c:v>7937</c:v>
              </c:pt>
              <c:pt idx="104">
                <c:v>7103</c:v>
              </c:pt>
              <c:pt idx="105">
                <c:v>1259</c:v>
              </c:pt>
              <c:pt idx="106">
                <c:v>2241</c:v>
              </c:pt>
              <c:pt idx="107">
                <c:v>2133</c:v>
              </c:pt>
              <c:pt idx="108">
                <c:v>4595</c:v>
              </c:pt>
              <c:pt idx="109">
                <c:v>3096</c:v>
              </c:pt>
              <c:pt idx="110">
                <c:v>2555</c:v>
              </c:pt>
              <c:pt idx="111">
                <c:v>3098</c:v>
              </c:pt>
              <c:pt idx="112">
                <c:v>5787</c:v>
              </c:pt>
              <c:pt idx="113">
                <c:v>10952</c:v>
              </c:pt>
              <c:pt idx="114">
                <c:v>12003</c:v>
              </c:pt>
              <c:pt idx="115">
                <c:v>10299</c:v>
              </c:pt>
              <c:pt idx="116">
                <c:v>5803</c:v>
              </c:pt>
              <c:pt idx="117">
                <c:v>4621</c:v>
              </c:pt>
              <c:pt idx="118">
                <c:v>4250</c:v>
              </c:pt>
              <c:pt idx="119">
                <c:v>6013</c:v>
              </c:pt>
              <c:pt idx="120">
                <c:v>4681</c:v>
              </c:pt>
              <c:pt idx="121">
                <c:v>3473</c:v>
              </c:pt>
              <c:pt idx="122">
                <c:v>4445</c:v>
              </c:pt>
              <c:pt idx="123">
                <c:v>3691</c:v>
              </c:pt>
              <c:pt idx="124">
                <c:v>8148</c:v>
              </c:pt>
              <c:pt idx="125">
                <c:v>10582</c:v>
              </c:pt>
              <c:pt idx="126">
                <c:v>14049</c:v>
              </c:pt>
              <c:pt idx="127">
                <c:v>10826</c:v>
              </c:pt>
              <c:pt idx="128">
                <c:v>7157</c:v>
              </c:pt>
              <c:pt idx="129">
                <c:v>6183</c:v>
              </c:pt>
              <c:pt idx="130">
                <c:v>7969</c:v>
              </c:pt>
              <c:pt idx="131">
                <c:v>8594</c:v>
              </c:pt>
              <c:pt idx="132">
                <c:v>10096</c:v>
              </c:pt>
              <c:pt idx="133">
                <c:v>12898</c:v>
              </c:pt>
              <c:pt idx="134">
                <c:v>10717</c:v>
              </c:pt>
              <c:pt idx="135">
                <c:v>10778</c:v>
              </c:pt>
              <c:pt idx="136">
                <c:v>13077</c:v>
              </c:pt>
              <c:pt idx="137">
                <c:v>13291</c:v>
              </c:pt>
              <c:pt idx="138">
                <c:v>20603</c:v>
              </c:pt>
              <c:pt idx="139">
                <c:v>16794</c:v>
              </c:pt>
              <c:pt idx="140">
                <c:v>14032</c:v>
              </c:pt>
              <c:pt idx="141">
                <c:v>9107</c:v>
              </c:pt>
              <c:pt idx="142">
                <c:v>7885</c:v>
              </c:pt>
              <c:pt idx="143">
                <c:v>11589</c:v>
              </c:pt>
              <c:pt idx="144">
                <c:v>15951</c:v>
              </c:pt>
              <c:pt idx="145">
                <c:v>14442</c:v>
              </c:pt>
              <c:pt idx="146">
                <c:v>15968</c:v>
              </c:pt>
              <c:pt idx="147">
                <c:v>14409</c:v>
              </c:pt>
              <c:pt idx="148">
                <c:v>15758</c:v>
              </c:pt>
              <c:pt idx="149">
                <c:v>19612</c:v>
              </c:pt>
              <c:pt idx="150">
                <c:v>19504</c:v>
              </c:pt>
              <c:pt idx="151">
                <c:v>18336</c:v>
              </c:pt>
              <c:pt idx="152">
                <c:v>15088</c:v>
              </c:pt>
              <c:pt idx="153">
                <c:v>15652</c:v>
              </c:pt>
              <c:pt idx="154">
                <c:v>18969</c:v>
              </c:pt>
              <c:pt idx="155">
                <c:v>17864</c:v>
              </c:pt>
              <c:pt idx="156">
                <c:v>8697</c:v>
              </c:pt>
              <c:pt idx="157">
                <c:v>14767</c:v>
              </c:pt>
              <c:pt idx="158">
                <c:v>15371</c:v>
              </c:pt>
              <c:pt idx="159">
                <c:v>16592</c:v>
              </c:pt>
              <c:pt idx="160">
                <c:v>20928</c:v>
              </c:pt>
              <c:pt idx="161">
                <c:v>20934</c:v>
              </c:pt>
              <c:pt idx="162">
                <c:v>20625</c:v>
              </c:pt>
              <c:pt idx="163">
                <c:v>19655</c:v>
              </c:pt>
              <c:pt idx="164">
                <c:v>12618</c:v>
              </c:pt>
              <c:pt idx="165">
                <c:v>16980</c:v>
              </c:pt>
              <c:pt idx="166">
                <c:v>21194</c:v>
              </c:pt>
              <c:pt idx="167">
                <c:v>21992</c:v>
              </c:pt>
              <c:pt idx="168">
                <c:v>20106</c:v>
              </c:pt>
              <c:pt idx="169">
                <c:v>19240</c:v>
              </c:pt>
              <c:pt idx="170">
                <c:v>23874</c:v>
              </c:pt>
              <c:pt idx="171">
                <c:v>26468</c:v>
              </c:pt>
            </c:numLit>
          </c:yVal>
          <c:smooth val="0"/>
          <c:extLst>
            <c:ext xmlns:c16="http://schemas.microsoft.com/office/drawing/2014/chart" uri="{C3380CC4-5D6E-409C-BE32-E72D297353CC}">
              <c16:uniqueId val="{00000000-DE67-40F0-AF02-F3892074F30E}"/>
            </c:ext>
          </c:extLst>
        </c:ser>
        <c:dLbls>
          <c:showLegendKey val="0"/>
          <c:showVal val="0"/>
          <c:showCatName val="0"/>
          <c:showSerName val="0"/>
          <c:showPercent val="0"/>
          <c:showBubbleSize val="0"/>
        </c:dLbls>
        <c:axId val="87069440"/>
        <c:axId val="87115648"/>
      </c:scatterChart>
      <c:valAx>
        <c:axId val="87069440"/>
        <c:scaling>
          <c:orientation val="minMax"/>
          <c:min val="0"/>
        </c:scaling>
        <c:delete val="0"/>
        <c:axPos val="b"/>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87115648"/>
        <c:crossesAt val="0"/>
        <c:crossBetween val="midCat"/>
      </c:valAx>
      <c:valAx>
        <c:axId val="87115648"/>
        <c:scaling>
          <c:orientation val="minMax"/>
          <c:min val="0"/>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title>
          <c:tx>
            <c:rich>
              <a:bodyPr/>
              <a:lstStyle/>
              <a:p>
                <a:pPr>
                  <a:defRPr/>
                </a:pPr>
                <a:r>
                  <a:rPr lang="en-US"/>
                  <a:t>_Electric_Natural_Gas</a:t>
                </a:r>
              </a:p>
            </c:rich>
          </c:tx>
          <c:overlay val="0"/>
        </c:title>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87069440"/>
        <c:crossesAt val="0"/>
        <c:crossBetween val="midCat"/>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Normal Quantile Plot
</a:t>
            </a:r>
            <a:r>
              <a:rPr lang="en-US" sz="1000"/>
              <a:t>Com HDD plus trend model for _Commercial_Natural_Gas
(2 variables, n=173)</a:t>
            </a:r>
          </a:p>
        </c:rich>
      </c:tx>
      <c:overlay val="0"/>
    </c:title>
    <c:autoTitleDeleted val="0"/>
    <c:plotArea>
      <c:layout/>
      <c:scatterChart>
        <c:scatterStyle val="lineMarker"/>
        <c:varyColors val="0"/>
        <c:ser>
          <c:idx val="0"/>
          <c:order val="0"/>
          <c:tx>
            <c:v>Actual</c:v>
          </c:tx>
          <c:spPr>
            <a:ln w="25400">
              <a:noFill/>
            </a:ln>
          </c:spPr>
          <c:marker>
            <c:symbol val="diamond"/>
            <c:size val="5"/>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173"/>
              <c:pt idx="0">
                <c:v>-2.5273022667337983</c:v>
              </c:pt>
              <c:pt idx="1">
                <c:v>-2.2736256193762032</c:v>
              </c:pt>
              <c:pt idx="2">
                <c:v>-2.1143807715275607</c:v>
              </c:pt>
              <c:pt idx="3">
                <c:v>-1.9956042965147927</c:v>
              </c:pt>
              <c:pt idx="4">
                <c:v>-1.8997094129875349</c:v>
              </c:pt>
              <c:pt idx="5">
                <c:v>-1.8186455928500598</c:v>
              </c:pt>
              <c:pt idx="6">
                <c:v>-1.7480245865828783</c:v>
              </c:pt>
              <c:pt idx="7">
                <c:v>-1.685179095509723</c:v>
              </c:pt>
              <c:pt idx="8">
                <c:v>-1.6283614067169063</c:v>
              </c:pt>
              <c:pt idx="9">
                <c:v>-1.5763614436960824</c:v>
              </c:pt>
              <c:pt idx="10">
                <c:v>-1.5283051912903383</c:v>
              </c:pt>
              <c:pt idx="11">
                <c:v>-1.483539859401297</c:v>
              </c:pt>
              <c:pt idx="12">
                <c:v>-1.4415644358138213</c:v>
              </c:pt>
              <c:pt idx="13">
                <c:v>-1.4019856220813864</c:v>
              </c:pt>
              <c:pt idx="14">
                <c:v>-1.3644887481703289</c:v>
              </c:pt>
              <c:pt idx="15">
                <c:v>-1.3288179278648733</c:v>
              </c:pt>
              <c:pt idx="16">
                <c:v>-1.2947621322897249</c:v>
              </c:pt>
              <c:pt idx="17">
                <c:v>-1.2621451766228082</c:v>
              </c:pt>
              <c:pt idx="18">
                <c:v>-1.2308183667286043</c:v>
              </c:pt>
              <c:pt idx="19">
                <c:v>-1.2006549979511831</c:v>
              </c:pt>
              <c:pt idx="20">
                <c:v>-1.1715461713027622</c:v>
              </c:pt>
              <c:pt idx="21">
                <c:v>-1.1433975645330243</c:v>
              </c:pt>
              <c:pt idx="22">
                <c:v>-1.1161269070971864</c:v>
              </c:pt>
              <c:pt idx="23">
                <c:v>-1.0896619819461071</c:v>
              </c:pt>
              <c:pt idx="24">
                <c:v>-1.0639390270595839</c:v>
              </c:pt>
              <c:pt idx="25">
                <c:v>-1.0389014441072844</c:v>
              </c:pt>
              <c:pt idx="26">
                <c:v>-1.014498745784099</c:v>
              </c:pt>
              <c:pt idx="27">
                <c:v>-0.99068569057145761</c:v>
              </c:pt>
              <c:pt idx="28">
                <c:v>-0.96742156610170071</c:v>
              </c:pt>
              <c:pt idx="29">
                <c:v>-0.94466959139447615</c:v>
              </c:pt>
              <c:pt idx="30">
                <c:v>-0.92239641496680447</c:v>
              </c:pt>
              <c:pt idx="31">
                <c:v>-0.90057169086042888</c:v>
              </c:pt>
              <c:pt idx="32">
                <c:v>-0.8791677184445702</c:v>
              </c:pt>
              <c:pt idx="33">
                <c:v>-0.85815913476634831</c:v>
              </c:pt>
              <c:pt idx="34">
                <c:v>-0.83752265046717911</c:v>
              </c:pt>
              <c:pt idx="35">
                <c:v>-0.81723682202940007</c:v>
              </c:pt>
              <c:pt idx="36">
                <c:v>-0.79728185448508171</c:v>
              </c:pt>
              <c:pt idx="37">
                <c:v>-0.7776394297984387</c:v>
              </c:pt>
              <c:pt idx="38">
                <c:v>-0.75829255699115117</c:v>
              </c:pt>
              <c:pt idx="39">
                <c:v>-0.73922544076609598</c:v>
              </c:pt>
              <c:pt idx="40">
                <c:v>-0.72042336593740808</c:v>
              </c:pt>
              <c:pt idx="41">
                <c:v>-0.70187259542196001</c:v>
              </c:pt>
              <c:pt idx="42">
                <c:v>-0.68356027991144186</c:v>
              </c:pt>
              <c:pt idx="43">
                <c:v>-0.66547437764218487</c:v>
              </c:pt>
              <c:pt idx="44">
                <c:v>-0.64760358292497777</c:v>
              </c:pt>
              <c:pt idx="45">
                <c:v>-0.62993726229963953</c:v>
              </c:pt>
              <c:pt idx="46">
                <c:v>-0.61246539734726813</c:v>
              </c:pt>
              <c:pt idx="47">
                <c:v>-0.59517853333327786</c:v>
              </c:pt>
              <c:pt idx="48">
                <c:v>-0.57806773297169478</c:v>
              </c:pt>
              <c:pt idx="49">
                <c:v>-0.56112453469982282</c:v>
              </c:pt>
              <c:pt idx="50">
                <c:v>-0.54434091493561076</c:v>
              </c:pt>
              <c:pt idx="51">
                <c:v>-0.5277092538605066</c:v>
              </c:pt>
              <c:pt idx="52">
                <c:v>-0.51122230433044458</c:v>
              </c:pt>
              <c:pt idx="53">
                <c:v>-0.49487316356862382</c:v>
              </c:pt>
              <c:pt idx="54">
                <c:v>-0.47865524733737508</c:v>
              </c:pt>
              <c:pt idx="55">
                <c:v>-0.46256226632381564</c:v>
              </c:pt>
              <c:pt idx="56">
                <c:v>-0.44658820450617887</c:v>
              </c:pt>
              <c:pt idx="57">
                <c:v>-0.43072729929545767</c:v>
              </c:pt>
              <c:pt idx="58">
                <c:v>-0.4149740232710058</c:v>
              </c:pt>
              <c:pt idx="59">
                <c:v>-0.39932306734955125</c:v>
              </c:pt>
              <c:pt idx="60">
                <c:v>-0.38376932524515556</c:v>
              </c:pt>
              <c:pt idx="61">
                <c:v>-0.36830787909341051</c:v>
              </c:pt>
              <c:pt idx="62">
                <c:v>-0.35293398612691645</c:v>
              </c:pt>
              <c:pt idx="63">
                <c:v>-0.33764306630111163</c:v>
              </c:pt>
              <c:pt idx="64">
                <c:v>-0.32243069078007219</c:v>
              </c:pt>
              <c:pt idx="65">
                <c:v>-0.30729257120115577</c:v>
              </c:pt>
              <c:pt idx="66">
                <c:v>-0.29222454964551281</c:v>
              </c:pt>
              <c:pt idx="67">
                <c:v>-0.27722258924865673</c:v>
              </c:pt>
              <c:pt idx="68">
                <c:v>-0.26228276539162171</c:v>
              </c:pt>
              <c:pt idx="69">
                <c:v>-0.24740125741882135</c:v>
              </c:pt>
              <c:pt idx="70">
                <c:v>-0.23257434083366951</c:v>
              </c:pt>
              <c:pt idx="71">
                <c:v>-0.2177983799273987</c:v>
              </c:pt>
              <c:pt idx="72">
                <c:v>-0.20306982080038363</c:v>
              </c:pt>
              <c:pt idx="73">
                <c:v>-0.1883851847387108</c:v>
              </c:pt>
              <c:pt idx="74">
                <c:v>-0.17374106191177294</c:v>
              </c:pt>
              <c:pt idx="75">
                <c:v>-0.15913410535935713</c:v>
              </c:pt>
              <c:pt idx="76">
                <c:v>-0.14456102523907538</c:v>
              </c:pt>
              <c:pt idx="77">
                <c:v>-0.13001858330708424</c:v>
              </c:pt>
              <c:pt idx="78">
                <c:v>-0.11550358760689482</c:v>
              </c:pt>
              <c:pt idx="79">
                <c:v>-0.10101288734269341</c:v>
              </c:pt>
              <c:pt idx="80">
                <c:v>-8.6543367915016003E-2</c:v>
              </c:pt>
              <c:pt idx="81">
                <c:v>-7.209194609784951E-2</c:v>
              </c:pt>
              <c:pt idx="82">
                <c:v>-5.7655565337293428E-2</c:v>
              </c:pt>
              <c:pt idx="83">
                <c:v>-4.3231191152817192E-2</c:v>
              </c:pt>
              <c:pt idx="84">
                <c:v>-2.8815806622902673E-2</c:v>
              </c:pt>
              <c:pt idx="85">
                <c:v>-1.4406407937473295E-2</c:v>
              </c:pt>
              <c:pt idx="86">
                <c:v>0</c:v>
              </c:pt>
              <c:pt idx="87">
                <c:v>1.4406407937473433E-2</c:v>
              </c:pt>
              <c:pt idx="88">
                <c:v>2.8815806622902673E-2</c:v>
              </c:pt>
              <c:pt idx="89">
                <c:v>4.3231191152817337E-2</c:v>
              </c:pt>
              <c:pt idx="90">
                <c:v>5.7655565337293289E-2</c:v>
              </c:pt>
              <c:pt idx="91">
                <c:v>7.209194609784951E-2</c:v>
              </c:pt>
              <c:pt idx="92">
                <c:v>8.6543367915015865E-2</c:v>
              </c:pt>
              <c:pt idx="93">
                <c:v>0.10101288734269341</c:v>
              </c:pt>
              <c:pt idx="94">
                <c:v>0.11550358760689496</c:v>
              </c:pt>
              <c:pt idx="95">
                <c:v>0.13001858330708424</c:v>
              </c:pt>
              <c:pt idx="96">
                <c:v>0.14456102523907552</c:v>
              </c:pt>
              <c:pt idx="97">
                <c:v>0.15913410535935713</c:v>
              </c:pt>
              <c:pt idx="98">
                <c:v>0.17374106191177294</c:v>
              </c:pt>
              <c:pt idx="99">
                <c:v>0.18838518473871063</c:v>
              </c:pt>
              <c:pt idx="100">
                <c:v>0.20306982080038363</c:v>
              </c:pt>
              <c:pt idx="101">
                <c:v>0.21779837992739853</c:v>
              </c:pt>
              <c:pt idx="102">
                <c:v>0.23257434083366951</c:v>
              </c:pt>
              <c:pt idx="103">
                <c:v>0.24740125741882146</c:v>
              </c:pt>
              <c:pt idx="104">
                <c:v>0.26228276539162171</c:v>
              </c:pt>
              <c:pt idx="105">
                <c:v>0.27722258924865684</c:v>
              </c:pt>
              <c:pt idx="106">
                <c:v>0.29222454964551264</c:v>
              </c:pt>
              <c:pt idx="107">
                <c:v>0.30729257120115577</c:v>
              </c:pt>
              <c:pt idx="108">
                <c:v>0.32243069078007208</c:v>
              </c:pt>
              <c:pt idx="109">
                <c:v>0.33764306630111163</c:v>
              </c:pt>
              <c:pt idx="110">
                <c:v>0.35293398612691662</c:v>
              </c:pt>
              <c:pt idx="111">
                <c:v>0.36830787909341051</c:v>
              </c:pt>
              <c:pt idx="112">
                <c:v>0.38376932524515572</c:v>
              </c:pt>
              <c:pt idx="113">
                <c:v>0.39932306734955125</c:v>
              </c:pt>
              <c:pt idx="114">
                <c:v>0.4149740232710058</c:v>
              </c:pt>
              <c:pt idx="115">
                <c:v>0.4307272992954575</c:v>
              </c:pt>
              <c:pt idx="116">
                <c:v>0.44658820450617887</c:v>
              </c:pt>
              <c:pt idx="117">
                <c:v>0.46256226632381547</c:v>
              </c:pt>
              <c:pt idx="118">
                <c:v>0.47865524733737508</c:v>
              </c:pt>
              <c:pt idx="119">
                <c:v>0.49487316356862399</c:v>
              </c:pt>
              <c:pt idx="120">
                <c:v>0.51122230433044458</c:v>
              </c:pt>
              <c:pt idx="121">
                <c:v>0.52770925386050682</c:v>
              </c:pt>
              <c:pt idx="122">
                <c:v>0.54434091493561032</c:v>
              </c:pt>
              <c:pt idx="123">
                <c:v>0.56112453469982282</c:v>
              </c:pt>
              <c:pt idx="124">
                <c:v>0.57806773297169478</c:v>
              </c:pt>
              <c:pt idx="125">
                <c:v>0.59517853333327786</c:v>
              </c:pt>
              <c:pt idx="126">
                <c:v>0.61246539734726813</c:v>
              </c:pt>
              <c:pt idx="127">
                <c:v>0.62993726229963953</c:v>
              </c:pt>
              <c:pt idx="128">
                <c:v>0.64760358292497799</c:v>
              </c:pt>
              <c:pt idx="129">
                <c:v>0.66547437764218487</c:v>
              </c:pt>
              <c:pt idx="130">
                <c:v>0.68356027991144186</c:v>
              </c:pt>
              <c:pt idx="131">
                <c:v>0.70187259542196001</c:v>
              </c:pt>
              <c:pt idx="132">
                <c:v>0.72042336593740808</c:v>
              </c:pt>
              <c:pt idx="133">
                <c:v>0.73922544076609586</c:v>
              </c:pt>
              <c:pt idx="134">
                <c:v>0.75829255699115117</c:v>
              </c:pt>
              <c:pt idx="135">
                <c:v>0.77763942979843936</c:v>
              </c:pt>
              <c:pt idx="136">
                <c:v>0.79728185448508171</c:v>
              </c:pt>
              <c:pt idx="137">
                <c:v>0.81723682202940007</c:v>
              </c:pt>
              <c:pt idx="138">
                <c:v>0.83752265046717911</c:v>
              </c:pt>
              <c:pt idx="139">
                <c:v>0.85815913476634831</c:v>
              </c:pt>
              <c:pt idx="140">
                <c:v>0.87916771844456865</c:v>
              </c:pt>
              <c:pt idx="141">
                <c:v>0.90057169086042888</c:v>
              </c:pt>
              <c:pt idx="142">
                <c:v>0.92239641496680458</c:v>
              </c:pt>
              <c:pt idx="143">
                <c:v>0.94466959139447615</c:v>
              </c:pt>
              <c:pt idx="144">
                <c:v>0.96742156610170071</c:v>
              </c:pt>
              <c:pt idx="145">
                <c:v>0.99068569057145761</c:v>
              </c:pt>
              <c:pt idx="146">
                <c:v>1.014498745784099</c:v>
              </c:pt>
              <c:pt idx="147">
                <c:v>1.0389014441072844</c:v>
              </c:pt>
              <c:pt idx="148">
                <c:v>1.0639390270595839</c:v>
              </c:pt>
              <c:pt idx="149">
                <c:v>1.0896619819461066</c:v>
              </c:pt>
              <c:pt idx="150">
                <c:v>1.1161269070971864</c:v>
              </c:pt>
              <c:pt idx="151">
                <c:v>1.1433975645330243</c:v>
              </c:pt>
              <c:pt idx="152">
                <c:v>1.1715461713027622</c:v>
              </c:pt>
              <c:pt idx="153">
                <c:v>1.2006549979511831</c:v>
              </c:pt>
              <c:pt idx="154">
                <c:v>1.2308183667286043</c:v>
              </c:pt>
              <c:pt idx="155">
                <c:v>1.2621451766228082</c:v>
              </c:pt>
              <c:pt idx="156">
                <c:v>1.2947621322897234</c:v>
              </c:pt>
              <c:pt idx="157">
                <c:v>1.3288179278648733</c:v>
              </c:pt>
              <c:pt idx="158">
                <c:v>1.3644887481703283</c:v>
              </c:pt>
              <c:pt idx="159">
                <c:v>1.4019856220813864</c:v>
              </c:pt>
              <c:pt idx="160">
                <c:v>1.441564435813822</c:v>
              </c:pt>
              <c:pt idx="161">
                <c:v>1.4835398594012972</c:v>
              </c:pt>
              <c:pt idx="162">
                <c:v>1.5283051912903387</c:v>
              </c:pt>
              <c:pt idx="163">
                <c:v>1.576361443696082</c:v>
              </c:pt>
              <c:pt idx="164">
                <c:v>1.6283614067169063</c:v>
              </c:pt>
              <c:pt idx="165">
                <c:v>1.6851790955097226</c:v>
              </c:pt>
              <c:pt idx="166">
                <c:v>1.7480245865828783</c:v>
              </c:pt>
              <c:pt idx="167">
                <c:v>1.8186455928500604</c:v>
              </c:pt>
              <c:pt idx="168">
                <c:v>1.8997094129875347</c:v>
              </c:pt>
              <c:pt idx="169">
                <c:v>1.9956042965147931</c:v>
              </c:pt>
              <c:pt idx="170">
                <c:v>2.1143807715275598</c:v>
              </c:pt>
              <c:pt idx="171">
                <c:v>2.2736256193762032</c:v>
              </c:pt>
              <c:pt idx="172">
                <c:v>2.5273022667337943</c:v>
              </c:pt>
            </c:numLit>
          </c:xVal>
          <c:yVal>
            <c:numLit>
              <c:formatCode>General</c:formatCode>
              <c:ptCount val="173"/>
              <c:pt idx="0">
                <c:v>-2.9247217503275222</c:v>
              </c:pt>
              <c:pt idx="1">
                <c:v>-2.7169743274270064</c:v>
              </c:pt>
              <c:pt idx="2">
                <c:v>-2.6263734514685266</c:v>
              </c:pt>
              <c:pt idx="3">
                <c:v>-2.3537963750458113</c:v>
              </c:pt>
              <c:pt idx="4">
                <c:v>-2.3175121224630288</c:v>
              </c:pt>
              <c:pt idx="5">
                <c:v>-2.2586899165448147</c:v>
              </c:pt>
              <c:pt idx="6">
                <c:v>-2.0166531801192771</c:v>
              </c:pt>
              <c:pt idx="7">
                <c:v>-1.9610001702460282</c:v>
              </c:pt>
              <c:pt idx="8">
                <c:v>-1.916873766089308</c:v>
              </c:pt>
              <c:pt idx="9">
                <c:v>-1.7464783613919181</c:v>
              </c:pt>
              <c:pt idx="10">
                <c:v>-1.5809589695876765</c:v>
              </c:pt>
              <c:pt idx="11">
                <c:v>-1.5463838112103052</c:v>
              </c:pt>
              <c:pt idx="12">
                <c:v>-1.4902176723389715</c:v>
              </c:pt>
              <c:pt idx="13">
                <c:v>-1.3820968735056265</c:v>
              </c:pt>
              <c:pt idx="14">
                <c:v>-1.2177683289816152</c:v>
              </c:pt>
              <c:pt idx="15">
                <c:v>-1.148227808486094</c:v>
              </c:pt>
              <c:pt idx="16">
                <c:v>-1.1153919619285553</c:v>
              </c:pt>
              <c:pt idx="17">
                <c:v>-1.0913215062699513</c:v>
              </c:pt>
              <c:pt idx="18">
                <c:v>-1.0603873829701838</c:v>
              </c:pt>
              <c:pt idx="19">
                <c:v>-1.0486563249929539</c:v>
              </c:pt>
              <c:pt idx="20">
                <c:v>-1.038140085479778</c:v>
              </c:pt>
              <c:pt idx="21">
                <c:v>-1.0352408035572609</c:v>
              </c:pt>
              <c:pt idx="22">
                <c:v>-1.0344179454285181</c:v>
              </c:pt>
              <c:pt idx="23">
                <c:v>-0.99593074444250385</c:v>
              </c:pt>
              <c:pt idx="24">
                <c:v>-0.98628977246880145</c:v>
              </c:pt>
              <c:pt idx="25">
                <c:v>-0.94603673900381702</c:v>
              </c:pt>
              <c:pt idx="26">
                <c:v>-0.91382942843277648</c:v>
              </c:pt>
              <c:pt idx="27">
                <c:v>-0.90454292376924994</c:v>
              </c:pt>
              <c:pt idx="28">
                <c:v>-0.8766379875287692</c:v>
              </c:pt>
              <c:pt idx="29">
                <c:v>-0.86554442538352605</c:v>
              </c:pt>
              <c:pt idx="30">
                <c:v>-0.79411255209044296</c:v>
              </c:pt>
              <c:pt idx="31">
                <c:v>-0.77519140317259205</c:v>
              </c:pt>
              <c:pt idx="32">
                <c:v>-0.76985039479426054</c:v>
              </c:pt>
              <c:pt idx="33">
                <c:v>-0.7532091456115434</c:v>
              </c:pt>
              <c:pt idx="34">
                <c:v>-0.74386665107565209</c:v>
              </c:pt>
              <c:pt idx="35">
                <c:v>-0.72428715864922666</c:v>
              </c:pt>
              <c:pt idx="36">
                <c:v>-0.69356921996250709</c:v>
              </c:pt>
              <c:pt idx="37">
                <c:v>-0.69353765082532448</c:v>
              </c:pt>
              <c:pt idx="38">
                <c:v>-0.64151938983583534</c:v>
              </c:pt>
              <c:pt idx="39">
                <c:v>-0.62933589386908539</c:v>
              </c:pt>
              <c:pt idx="40">
                <c:v>-0.60229615285321381</c:v>
              </c:pt>
              <c:pt idx="41">
                <c:v>-0.60173738479830896</c:v>
              </c:pt>
              <c:pt idx="42">
                <c:v>-0.59180820143700374</c:v>
              </c:pt>
              <c:pt idx="43">
                <c:v>-0.58961203739159751</c:v>
              </c:pt>
              <c:pt idx="44">
                <c:v>-0.5661596964584662</c:v>
              </c:pt>
              <c:pt idx="45">
                <c:v>-0.50892025382189165</c:v>
              </c:pt>
              <c:pt idx="46">
                <c:v>-0.50396193757662955</c:v>
              </c:pt>
              <c:pt idx="47">
                <c:v>-0.50050010874725837</c:v>
              </c:pt>
              <c:pt idx="48">
                <c:v>-0.48607524439956346</c:v>
              </c:pt>
              <c:pt idx="49">
                <c:v>-0.47876508857413685</c:v>
              </c:pt>
              <c:pt idx="50">
                <c:v>-0.45733153627069933</c:v>
              </c:pt>
              <c:pt idx="51">
                <c:v>-0.45104360446567565</c:v>
              </c:pt>
              <c:pt idx="52">
                <c:v>-0.40744855139808162</c:v>
              </c:pt>
              <c:pt idx="53">
                <c:v>-0.38831981377846314</c:v>
              </c:pt>
              <c:pt idx="54">
                <c:v>-0.37392017706293973</c:v>
              </c:pt>
              <c:pt idx="55">
                <c:v>-0.36504412036697703</c:v>
              </c:pt>
              <c:pt idx="56">
                <c:v>-0.32800948328295532</c:v>
              </c:pt>
              <c:pt idx="57">
                <c:v>-0.30206942476671389</c:v>
              </c:pt>
              <c:pt idx="58">
                <c:v>-0.30019975400403537</c:v>
              </c:pt>
              <c:pt idx="59">
                <c:v>-0.29600900892803916</c:v>
              </c:pt>
              <c:pt idx="60">
                <c:v>-0.28094743455433691</c:v>
              </c:pt>
              <c:pt idx="61">
                <c:v>-0.26271059851723805</c:v>
              </c:pt>
              <c:pt idx="62">
                <c:v>-0.25973621345520476</c:v>
              </c:pt>
              <c:pt idx="63">
                <c:v>-0.2214717009828221</c:v>
              </c:pt>
              <c:pt idx="64">
                <c:v>-0.21689930363346605</c:v>
              </c:pt>
              <c:pt idx="65">
                <c:v>-0.20622320106357042</c:v>
              </c:pt>
              <c:pt idx="66">
                <c:v>-0.18966891027297869</c:v>
              </c:pt>
              <c:pt idx="67">
                <c:v>-0.17861597628156078</c:v>
              </c:pt>
              <c:pt idx="68">
                <c:v>-0.14555149394557232</c:v>
              </c:pt>
              <c:pt idx="69">
                <c:v>-0.14529384553203442</c:v>
              </c:pt>
              <c:pt idx="70">
                <c:v>-0.13123080095158332</c:v>
              </c:pt>
              <c:pt idx="71">
                <c:v>-0.1277458228730767</c:v>
              </c:pt>
              <c:pt idx="72">
                <c:v>-0.11576799641200214</c:v>
              </c:pt>
              <c:pt idx="73">
                <c:v>-7.3935532224250838E-2</c:v>
              </c:pt>
              <c:pt idx="74">
                <c:v>-6.8726873148176548E-2</c:v>
              </c:pt>
              <c:pt idx="75">
                <c:v>-4.5511426482400252E-2</c:v>
              </c:pt>
              <c:pt idx="76">
                <c:v>-4.3564396143713657E-2</c:v>
              </c:pt>
              <c:pt idx="77">
                <c:v>-4.2071238028413158E-2</c:v>
              </c:pt>
              <c:pt idx="78">
                <c:v>-3.2261685682444356E-2</c:v>
              </c:pt>
              <c:pt idx="79">
                <c:v>-2.9167128127626944E-2</c:v>
              </c:pt>
              <c:pt idx="80">
                <c:v>3.6953656238418774E-3</c:v>
              </c:pt>
              <c:pt idx="81">
                <c:v>1.5413951964842357E-2</c:v>
              </c:pt>
              <c:pt idx="82">
                <c:v>1.7828353380967041E-2</c:v>
              </c:pt>
              <c:pt idx="83">
                <c:v>1.8050509498163548E-2</c:v>
              </c:pt>
              <c:pt idx="84">
                <c:v>5.0699562867675872E-2</c:v>
              </c:pt>
              <c:pt idx="85">
                <c:v>5.2472413579313232E-2</c:v>
              </c:pt>
              <c:pt idx="86">
                <c:v>5.3332814379604548E-2</c:v>
              </c:pt>
              <c:pt idx="87">
                <c:v>6.4824264188376515E-2</c:v>
              </c:pt>
              <c:pt idx="88">
                <c:v>7.3708016294570078E-2</c:v>
              </c:pt>
              <c:pt idx="89">
                <c:v>7.5121646554959551E-2</c:v>
              </c:pt>
              <c:pt idx="90">
                <c:v>8.7696404162544192E-2</c:v>
              </c:pt>
              <c:pt idx="91">
                <c:v>9.0720680742057608E-2</c:v>
              </c:pt>
              <c:pt idx="92">
                <c:v>9.2138060168593952E-2</c:v>
              </c:pt>
              <c:pt idx="93">
                <c:v>9.5096833384833795E-2</c:v>
              </c:pt>
              <c:pt idx="94">
                <c:v>9.6914866380874154E-2</c:v>
              </c:pt>
              <c:pt idx="95">
                <c:v>0.13938546488502834</c:v>
              </c:pt>
              <c:pt idx="96">
                <c:v>0.14290673536171017</c:v>
              </c:pt>
              <c:pt idx="97">
                <c:v>0.152367506873749</c:v>
              </c:pt>
              <c:pt idx="98">
                <c:v>0.15827511323892735</c:v>
              </c:pt>
              <c:pt idx="99">
                <c:v>0.17074950619461457</c:v>
              </c:pt>
              <c:pt idx="100">
                <c:v>0.19453652720183182</c:v>
              </c:pt>
              <c:pt idx="101">
                <c:v>0.19658333290450611</c:v>
              </c:pt>
              <c:pt idx="102">
                <c:v>0.20327857123946602</c:v>
              </c:pt>
              <c:pt idx="103">
                <c:v>0.23961606163457994</c:v>
              </c:pt>
              <c:pt idx="104">
                <c:v>0.24318081167825234</c:v>
              </c:pt>
              <c:pt idx="105">
                <c:v>0.24661616041388826</c:v>
              </c:pt>
              <c:pt idx="106">
                <c:v>0.24865902161075559</c:v>
              </c:pt>
              <c:pt idx="107">
                <c:v>0.25405651436689297</c:v>
              </c:pt>
              <c:pt idx="108">
                <c:v>0.29333899382836159</c:v>
              </c:pt>
              <c:pt idx="109">
                <c:v>0.3068392326096383</c:v>
              </c:pt>
              <c:pt idx="110">
                <c:v>0.31622142190387414</c:v>
              </c:pt>
              <c:pt idx="111">
                <c:v>0.33263972744914005</c:v>
              </c:pt>
              <c:pt idx="112">
                <c:v>0.33887065487952045</c:v>
              </c:pt>
              <c:pt idx="113">
                <c:v>0.3450059396066214</c:v>
              </c:pt>
              <c:pt idx="114">
                <c:v>0.35960549051041235</c:v>
              </c:pt>
              <c:pt idx="115">
                <c:v>0.36509502628943563</c:v>
              </c:pt>
              <c:pt idx="116">
                <c:v>0.39169527405050952</c:v>
              </c:pt>
              <c:pt idx="117">
                <c:v>0.39740567227557733</c:v>
              </c:pt>
              <c:pt idx="118">
                <c:v>0.40398961616425422</c:v>
              </c:pt>
              <c:pt idx="119">
                <c:v>0.40542876279290813</c:v>
              </c:pt>
              <c:pt idx="120">
                <c:v>0.40867124576896713</c:v>
              </c:pt>
              <c:pt idx="121">
                <c:v>0.41350795573749</c:v>
              </c:pt>
              <c:pt idx="122">
                <c:v>0.42615632381524593</c:v>
              </c:pt>
              <c:pt idx="123">
                <c:v>0.43771669147912429</c:v>
              </c:pt>
              <c:pt idx="124">
                <c:v>0.48582695436309226</c:v>
              </c:pt>
              <c:pt idx="125">
                <c:v>0.49611822076034462</c:v>
              </c:pt>
              <c:pt idx="126">
                <c:v>0.49946466791072219</c:v>
              </c:pt>
              <c:pt idx="127">
                <c:v>0.502873699398109</c:v>
              </c:pt>
              <c:pt idx="128">
                <c:v>0.52533406000053795</c:v>
              </c:pt>
              <c:pt idx="129">
                <c:v>0.54785343139516418</c:v>
              </c:pt>
              <c:pt idx="130">
                <c:v>0.56539464161480779</c:v>
              </c:pt>
              <c:pt idx="131">
                <c:v>0.56680134717293318</c:v>
              </c:pt>
              <c:pt idx="132">
                <c:v>0.57433676832694036</c:v>
              </c:pt>
              <c:pt idx="133">
                <c:v>0.57964372486742222</c:v>
              </c:pt>
              <c:pt idx="134">
                <c:v>0.62148981131970626</c:v>
              </c:pt>
              <c:pt idx="135">
                <c:v>0.6307998430861802</c:v>
              </c:pt>
              <c:pt idx="136">
                <c:v>0.64944599958376514</c:v>
              </c:pt>
              <c:pt idx="137">
                <c:v>0.65919080700879717</c:v>
              </c:pt>
              <c:pt idx="138">
                <c:v>0.67233937030317525</c:v>
              </c:pt>
              <c:pt idx="139">
                <c:v>0.70704001989721088</c:v>
              </c:pt>
              <c:pt idx="140">
                <c:v>0.71230436153498189</c:v>
              </c:pt>
              <c:pt idx="141">
                <c:v>0.78197125793236189</c:v>
              </c:pt>
              <c:pt idx="142">
                <c:v>0.78524956440251503</c:v>
              </c:pt>
              <c:pt idx="143">
                <c:v>0.78793495400924918</c:v>
              </c:pt>
              <c:pt idx="144">
                <c:v>0.80865962053659035</c:v>
              </c:pt>
              <c:pt idx="145">
                <c:v>0.8161773483614575</c:v>
              </c:pt>
              <c:pt idx="146">
                <c:v>0.8513247904840795</c:v>
              </c:pt>
              <c:pt idx="147">
                <c:v>0.85831931766418801</c:v>
              </c:pt>
              <c:pt idx="148">
                <c:v>0.86964718908065064</c:v>
              </c:pt>
              <c:pt idx="149">
                <c:v>0.97000072270895832</c:v>
              </c:pt>
              <c:pt idx="150">
                <c:v>0.97062867079357806</c:v>
              </c:pt>
              <c:pt idx="151">
                <c:v>1.0248711450300314</c:v>
              </c:pt>
              <c:pt idx="152">
                <c:v>1.1054398444234204</c:v>
              </c:pt>
              <c:pt idx="153">
                <c:v>1.1132678889285756</c:v>
              </c:pt>
              <c:pt idx="154">
                <c:v>1.1208083376638966</c:v>
              </c:pt>
              <c:pt idx="155">
                <c:v>1.184819041434449</c:v>
              </c:pt>
              <c:pt idx="156">
                <c:v>1.3607347236065723</c:v>
              </c:pt>
              <c:pt idx="157">
                <c:v>1.3680365789916566</c:v>
              </c:pt>
              <c:pt idx="158">
                <c:v>1.446270977785671</c:v>
              </c:pt>
              <c:pt idx="159">
                <c:v>1.4573394919805198</c:v>
              </c:pt>
              <c:pt idx="160">
                <c:v>1.4691482430899692</c:v>
              </c:pt>
              <c:pt idx="161">
                <c:v>1.5067179785330116</c:v>
              </c:pt>
              <c:pt idx="162">
                <c:v>1.5255782337236095</c:v>
              </c:pt>
              <c:pt idx="163">
                <c:v>1.5350097196066617</c:v>
              </c:pt>
              <c:pt idx="164">
                <c:v>1.549655570260791</c:v>
              </c:pt>
              <c:pt idx="165">
                <c:v>1.6192344061660531</c:v>
              </c:pt>
              <c:pt idx="166">
                <c:v>1.7765571394569006</c:v>
              </c:pt>
              <c:pt idx="167">
                <c:v>1.7848593271316899</c:v>
              </c:pt>
              <c:pt idx="168">
                <c:v>2.0144924588581374</c:v>
              </c:pt>
              <c:pt idx="169">
                <c:v>2.1034597226746286</c:v>
              </c:pt>
              <c:pt idx="170">
                <c:v>2.1362870927445825</c:v>
              </c:pt>
              <c:pt idx="171">
                <c:v>2.7992894254224869</c:v>
              </c:pt>
              <c:pt idx="172">
                <c:v>3.3337459235042357</c:v>
              </c:pt>
            </c:numLit>
          </c:yVal>
          <c:smooth val="0"/>
          <c:extLst>
            <c:ext xmlns:c16="http://schemas.microsoft.com/office/drawing/2014/chart" uri="{C3380CC4-5D6E-409C-BE32-E72D297353CC}">
              <c16:uniqueId val="{00000000-A09E-4D50-9ECB-624A25DE25C8}"/>
            </c:ext>
          </c:extLst>
        </c:ser>
        <c:ser>
          <c:idx val="1"/>
          <c:order val="1"/>
          <c:tx>
            <c:v>Theoretical</c:v>
          </c:tx>
          <c:spPr>
            <a:ln w="12700">
              <a:solidFill>
                <a:srgbClr val="FF0000"/>
              </a:solidFill>
              <a:prstDash val="solid"/>
            </a:ln>
          </c:spPr>
          <c:marker>
            <c:symbol val="none"/>
          </c:marker>
          <c:xVal>
            <c:numLit>
              <c:formatCode>General</c:formatCode>
              <c:ptCount val="173"/>
              <c:pt idx="0">
                <c:v>-2.5273022667337983</c:v>
              </c:pt>
              <c:pt idx="1">
                <c:v>-2.2736256193762032</c:v>
              </c:pt>
              <c:pt idx="2">
                <c:v>-2.1143807715275607</c:v>
              </c:pt>
              <c:pt idx="3">
                <c:v>-1.9956042965147927</c:v>
              </c:pt>
              <c:pt idx="4">
                <c:v>-1.8997094129875349</c:v>
              </c:pt>
              <c:pt idx="5">
                <c:v>-1.8186455928500598</c:v>
              </c:pt>
              <c:pt idx="6">
                <c:v>-1.7480245865828783</c:v>
              </c:pt>
              <c:pt idx="7">
                <c:v>-1.685179095509723</c:v>
              </c:pt>
              <c:pt idx="8">
                <c:v>-1.6283614067169063</c:v>
              </c:pt>
              <c:pt idx="9">
                <c:v>-1.5763614436960824</c:v>
              </c:pt>
              <c:pt idx="10">
                <c:v>-1.5283051912903383</c:v>
              </c:pt>
              <c:pt idx="11">
                <c:v>-1.483539859401297</c:v>
              </c:pt>
              <c:pt idx="12">
                <c:v>-1.4415644358138213</c:v>
              </c:pt>
              <c:pt idx="13">
                <c:v>-1.4019856220813864</c:v>
              </c:pt>
              <c:pt idx="14">
                <c:v>-1.3644887481703289</c:v>
              </c:pt>
              <c:pt idx="15">
                <c:v>-1.3288179278648733</c:v>
              </c:pt>
              <c:pt idx="16">
                <c:v>-1.2947621322897249</c:v>
              </c:pt>
              <c:pt idx="17">
                <c:v>-1.2621451766228082</c:v>
              </c:pt>
              <c:pt idx="18">
                <c:v>-1.2308183667286043</c:v>
              </c:pt>
              <c:pt idx="19">
                <c:v>-1.2006549979511831</c:v>
              </c:pt>
              <c:pt idx="20">
                <c:v>-1.1715461713027622</c:v>
              </c:pt>
              <c:pt idx="21">
                <c:v>-1.1433975645330243</c:v>
              </c:pt>
              <c:pt idx="22">
                <c:v>-1.1161269070971864</c:v>
              </c:pt>
              <c:pt idx="23">
                <c:v>-1.0896619819461071</c:v>
              </c:pt>
              <c:pt idx="24">
                <c:v>-1.0639390270595839</c:v>
              </c:pt>
              <c:pt idx="25">
                <c:v>-1.0389014441072844</c:v>
              </c:pt>
              <c:pt idx="26">
                <c:v>-1.014498745784099</c:v>
              </c:pt>
              <c:pt idx="27">
                <c:v>-0.99068569057145761</c:v>
              </c:pt>
              <c:pt idx="28">
                <c:v>-0.96742156610170071</c:v>
              </c:pt>
              <c:pt idx="29">
                <c:v>-0.94466959139447615</c:v>
              </c:pt>
              <c:pt idx="30">
                <c:v>-0.92239641496680447</c:v>
              </c:pt>
              <c:pt idx="31">
                <c:v>-0.90057169086042888</c:v>
              </c:pt>
              <c:pt idx="32">
                <c:v>-0.8791677184445702</c:v>
              </c:pt>
              <c:pt idx="33">
                <c:v>-0.85815913476634831</c:v>
              </c:pt>
              <c:pt idx="34">
                <c:v>-0.83752265046717911</c:v>
              </c:pt>
              <c:pt idx="35">
                <c:v>-0.81723682202940007</c:v>
              </c:pt>
              <c:pt idx="36">
                <c:v>-0.79728185448508171</c:v>
              </c:pt>
              <c:pt idx="37">
                <c:v>-0.7776394297984387</c:v>
              </c:pt>
              <c:pt idx="38">
                <c:v>-0.75829255699115117</c:v>
              </c:pt>
              <c:pt idx="39">
                <c:v>-0.73922544076609598</c:v>
              </c:pt>
              <c:pt idx="40">
                <c:v>-0.72042336593740808</c:v>
              </c:pt>
              <c:pt idx="41">
                <c:v>-0.70187259542196001</c:v>
              </c:pt>
              <c:pt idx="42">
                <c:v>-0.68356027991144186</c:v>
              </c:pt>
              <c:pt idx="43">
                <c:v>-0.66547437764218487</c:v>
              </c:pt>
              <c:pt idx="44">
                <c:v>-0.64760358292497777</c:v>
              </c:pt>
              <c:pt idx="45">
                <c:v>-0.62993726229963953</c:v>
              </c:pt>
              <c:pt idx="46">
                <c:v>-0.61246539734726813</c:v>
              </c:pt>
              <c:pt idx="47">
                <c:v>-0.59517853333327786</c:v>
              </c:pt>
              <c:pt idx="48">
                <c:v>-0.57806773297169478</c:v>
              </c:pt>
              <c:pt idx="49">
                <c:v>-0.56112453469982282</c:v>
              </c:pt>
              <c:pt idx="50">
                <c:v>-0.54434091493561076</c:v>
              </c:pt>
              <c:pt idx="51">
                <c:v>-0.5277092538605066</c:v>
              </c:pt>
              <c:pt idx="52">
                <c:v>-0.51122230433044458</c:v>
              </c:pt>
              <c:pt idx="53">
                <c:v>-0.49487316356862382</c:v>
              </c:pt>
              <c:pt idx="54">
                <c:v>-0.47865524733737508</c:v>
              </c:pt>
              <c:pt idx="55">
                <c:v>-0.46256226632381564</c:v>
              </c:pt>
              <c:pt idx="56">
                <c:v>-0.44658820450617887</c:v>
              </c:pt>
              <c:pt idx="57">
                <c:v>-0.43072729929545767</c:v>
              </c:pt>
              <c:pt idx="58">
                <c:v>-0.4149740232710058</c:v>
              </c:pt>
              <c:pt idx="59">
                <c:v>-0.39932306734955125</c:v>
              </c:pt>
              <c:pt idx="60">
                <c:v>-0.38376932524515556</c:v>
              </c:pt>
              <c:pt idx="61">
                <c:v>-0.36830787909341051</c:v>
              </c:pt>
              <c:pt idx="62">
                <c:v>-0.35293398612691645</c:v>
              </c:pt>
              <c:pt idx="63">
                <c:v>-0.33764306630111163</c:v>
              </c:pt>
              <c:pt idx="64">
                <c:v>-0.32243069078007219</c:v>
              </c:pt>
              <c:pt idx="65">
                <c:v>-0.30729257120115577</c:v>
              </c:pt>
              <c:pt idx="66">
                <c:v>-0.29222454964551281</c:v>
              </c:pt>
              <c:pt idx="67">
                <c:v>-0.27722258924865673</c:v>
              </c:pt>
              <c:pt idx="68">
                <c:v>-0.26228276539162171</c:v>
              </c:pt>
              <c:pt idx="69">
                <c:v>-0.24740125741882135</c:v>
              </c:pt>
              <c:pt idx="70">
                <c:v>-0.23257434083366951</c:v>
              </c:pt>
              <c:pt idx="71">
                <c:v>-0.2177983799273987</c:v>
              </c:pt>
              <c:pt idx="72">
                <c:v>-0.20306982080038363</c:v>
              </c:pt>
              <c:pt idx="73">
                <c:v>-0.1883851847387108</c:v>
              </c:pt>
              <c:pt idx="74">
                <c:v>-0.17374106191177294</c:v>
              </c:pt>
              <c:pt idx="75">
                <c:v>-0.15913410535935713</c:v>
              </c:pt>
              <c:pt idx="76">
                <c:v>-0.14456102523907538</c:v>
              </c:pt>
              <c:pt idx="77">
                <c:v>-0.13001858330708424</c:v>
              </c:pt>
              <c:pt idx="78">
                <c:v>-0.11550358760689482</c:v>
              </c:pt>
              <c:pt idx="79">
                <c:v>-0.10101288734269341</c:v>
              </c:pt>
              <c:pt idx="80">
                <c:v>-8.6543367915016003E-2</c:v>
              </c:pt>
              <c:pt idx="81">
                <c:v>-7.209194609784951E-2</c:v>
              </c:pt>
              <c:pt idx="82">
                <c:v>-5.7655565337293428E-2</c:v>
              </c:pt>
              <c:pt idx="83">
                <c:v>-4.3231191152817192E-2</c:v>
              </c:pt>
              <c:pt idx="84">
                <c:v>-2.8815806622902673E-2</c:v>
              </c:pt>
              <c:pt idx="85">
                <c:v>-1.4406407937473295E-2</c:v>
              </c:pt>
              <c:pt idx="86">
                <c:v>0</c:v>
              </c:pt>
              <c:pt idx="87">
                <c:v>1.4406407937473433E-2</c:v>
              </c:pt>
              <c:pt idx="88">
                <c:v>2.8815806622902673E-2</c:v>
              </c:pt>
              <c:pt idx="89">
                <c:v>4.3231191152817337E-2</c:v>
              </c:pt>
              <c:pt idx="90">
                <c:v>5.7655565337293289E-2</c:v>
              </c:pt>
              <c:pt idx="91">
                <c:v>7.209194609784951E-2</c:v>
              </c:pt>
              <c:pt idx="92">
                <c:v>8.6543367915015865E-2</c:v>
              </c:pt>
              <c:pt idx="93">
                <c:v>0.10101288734269341</c:v>
              </c:pt>
              <c:pt idx="94">
                <c:v>0.11550358760689496</c:v>
              </c:pt>
              <c:pt idx="95">
                <c:v>0.13001858330708424</c:v>
              </c:pt>
              <c:pt idx="96">
                <c:v>0.14456102523907552</c:v>
              </c:pt>
              <c:pt idx="97">
                <c:v>0.15913410535935713</c:v>
              </c:pt>
              <c:pt idx="98">
                <c:v>0.17374106191177294</c:v>
              </c:pt>
              <c:pt idx="99">
                <c:v>0.18838518473871063</c:v>
              </c:pt>
              <c:pt idx="100">
                <c:v>0.20306982080038363</c:v>
              </c:pt>
              <c:pt idx="101">
                <c:v>0.21779837992739853</c:v>
              </c:pt>
              <c:pt idx="102">
                <c:v>0.23257434083366951</c:v>
              </c:pt>
              <c:pt idx="103">
                <c:v>0.24740125741882146</c:v>
              </c:pt>
              <c:pt idx="104">
                <c:v>0.26228276539162171</c:v>
              </c:pt>
              <c:pt idx="105">
                <c:v>0.27722258924865684</c:v>
              </c:pt>
              <c:pt idx="106">
                <c:v>0.29222454964551264</c:v>
              </c:pt>
              <c:pt idx="107">
                <c:v>0.30729257120115577</c:v>
              </c:pt>
              <c:pt idx="108">
                <c:v>0.32243069078007208</c:v>
              </c:pt>
              <c:pt idx="109">
                <c:v>0.33764306630111163</c:v>
              </c:pt>
              <c:pt idx="110">
                <c:v>0.35293398612691662</c:v>
              </c:pt>
              <c:pt idx="111">
                <c:v>0.36830787909341051</c:v>
              </c:pt>
              <c:pt idx="112">
                <c:v>0.38376932524515572</c:v>
              </c:pt>
              <c:pt idx="113">
                <c:v>0.39932306734955125</c:v>
              </c:pt>
              <c:pt idx="114">
                <c:v>0.4149740232710058</c:v>
              </c:pt>
              <c:pt idx="115">
                <c:v>0.4307272992954575</c:v>
              </c:pt>
              <c:pt idx="116">
                <c:v>0.44658820450617887</c:v>
              </c:pt>
              <c:pt idx="117">
                <c:v>0.46256226632381547</c:v>
              </c:pt>
              <c:pt idx="118">
                <c:v>0.47865524733737508</c:v>
              </c:pt>
              <c:pt idx="119">
                <c:v>0.49487316356862399</c:v>
              </c:pt>
              <c:pt idx="120">
                <c:v>0.51122230433044458</c:v>
              </c:pt>
              <c:pt idx="121">
                <c:v>0.52770925386050682</c:v>
              </c:pt>
              <c:pt idx="122">
                <c:v>0.54434091493561032</c:v>
              </c:pt>
              <c:pt idx="123">
                <c:v>0.56112453469982282</c:v>
              </c:pt>
              <c:pt idx="124">
                <c:v>0.57806773297169478</c:v>
              </c:pt>
              <c:pt idx="125">
                <c:v>0.59517853333327786</c:v>
              </c:pt>
              <c:pt idx="126">
                <c:v>0.61246539734726813</c:v>
              </c:pt>
              <c:pt idx="127">
                <c:v>0.62993726229963953</c:v>
              </c:pt>
              <c:pt idx="128">
                <c:v>0.64760358292497799</c:v>
              </c:pt>
              <c:pt idx="129">
                <c:v>0.66547437764218487</c:v>
              </c:pt>
              <c:pt idx="130">
                <c:v>0.68356027991144186</c:v>
              </c:pt>
              <c:pt idx="131">
                <c:v>0.70187259542196001</c:v>
              </c:pt>
              <c:pt idx="132">
                <c:v>0.72042336593740808</c:v>
              </c:pt>
              <c:pt idx="133">
                <c:v>0.73922544076609586</c:v>
              </c:pt>
              <c:pt idx="134">
                <c:v>0.75829255699115117</c:v>
              </c:pt>
              <c:pt idx="135">
                <c:v>0.77763942979843936</c:v>
              </c:pt>
              <c:pt idx="136">
                <c:v>0.79728185448508171</c:v>
              </c:pt>
              <c:pt idx="137">
                <c:v>0.81723682202940007</c:v>
              </c:pt>
              <c:pt idx="138">
                <c:v>0.83752265046717911</c:v>
              </c:pt>
              <c:pt idx="139">
                <c:v>0.85815913476634831</c:v>
              </c:pt>
              <c:pt idx="140">
                <c:v>0.87916771844456865</c:v>
              </c:pt>
              <c:pt idx="141">
                <c:v>0.90057169086042888</c:v>
              </c:pt>
              <c:pt idx="142">
                <c:v>0.92239641496680458</c:v>
              </c:pt>
              <c:pt idx="143">
                <c:v>0.94466959139447615</c:v>
              </c:pt>
              <c:pt idx="144">
                <c:v>0.96742156610170071</c:v>
              </c:pt>
              <c:pt idx="145">
                <c:v>0.99068569057145761</c:v>
              </c:pt>
              <c:pt idx="146">
                <c:v>1.014498745784099</c:v>
              </c:pt>
              <c:pt idx="147">
                <c:v>1.0389014441072844</c:v>
              </c:pt>
              <c:pt idx="148">
                <c:v>1.0639390270595839</c:v>
              </c:pt>
              <c:pt idx="149">
                <c:v>1.0896619819461066</c:v>
              </c:pt>
              <c:pt idx="150">
                <c:v>1.1161269070971864</c:v>
              </c:pt>
              <c:pt idx="151">
                <c:v>1.1433975645330243</c:v>
              </c:pt>
              <c:pt idx="152">
                <c:v>1.1715461713027622</c:v>
              </c:pt>
              <c:pt idx="153">
                <c:v>1.2006549979511831</c:v>
              </c:pt>
              <c:pt idx="154">
                <c:v>1.2308183667286043</c:v>
              </c:pt>
              <c:pt idx="155">
                <c:v>1.2621451766228082</c:v>
              </c:pt>
              <c:pt idx="156">
                <c:v>1.2947621322897234</c:v>
              </c:pt>
              <c:pt idx="157">
                <c:v>1.3288179278648733</c:v>
              </c:pt>
              <c:pt idx="158">
                <c:v>1.3644887481703283</c:v>
              </c:pt>
              <c:pt idx="159">
                <c:v>1.4019856220813864</c:v>
              </c:pt>
              <c:pt idx="160">
                <c:v>1.441564435813822</c:v>
              </c:pt>
              <c:pt idx="161">
                <c:v>1.4835398594012972</c:v>
              </c:pt>
              <c:pt idx="162">
                <c:v>1.5283051912903387</c:v>
              </c:pt>
              <c:pt idx="163">
                <c:v>1.576361443696082</c:v>
              </c:pt>
              <c:pt idx="164">
                <c:v>1.6283614067169063</c:v>
              </c:pt>
              <c:pt idx="165">
                <c:v>1.6851790955097226</c:v>
              </c:pt>
              <c:pt idx="166">
                <c:v>1.7480245865828783</c:v>
              </c:pt>
              <c:pt idx="167">
                <c:v>1.8186455928500604</c:v>
              </c:pt>
              <c:pt idx="168">
                <c:v>1.8997094129875347</c:v>
              </c:pt>
              <c:pt idx="169">
                <c:v>1.9956042965147931</c:v>
              </c:pt>
              <c:pt idx="170">
                <c:v>2.1143807715275598</c:v>
              </c:pt>
              <c:pt idx="171">
                <c:v>2.2736256193762032</c:v>
              </c:pt>
              <c:pt idx="172">
                <c:v>2.5273022667337943</c:v>
              </c:pt>
            </c:numLit>
          </c:xVal>
          <c:yVal>
            <c:numLit>
              <c:formatCode>General</c:formatCode>
              <c:ptCount val="173"/>
              <c:pt idx="0">
                <c:v>-2.5273022667337983</c:v>
              </c:pt>
              <c:pt idx="1">
                <c:v>-2.2736256193762032</c:v>
              </c:pt>
              <c:pt idx="2">
                <c:v>-2.1143807715275607</c:v>
              </c:pt>
              <c:pt idx="3">
                <c:v>-1.9956042965147927</c:v>
              </c:pt>
              <c:pt idx="4">
                <c:v>-1.8997094129875349</c:v>
              </c:pt>
              <c:pt idx="5">
                <c:v>-1.8186455928500598</c:v>
              </c:pt>
              <c:pt idx="6">
                <c:v>-1.7480245865828783</c:v>
              </c:pt>
              <c:pt idx="7">
                <c:v>-1.685179095509723</c:v>
              </c:pt>
              <c:pt idx="8">
                <c:v>-1.6283614067169063</c:v>
              </c:pt>
              <c:pt idx="9">
                <c:v>-1.5763614436960824</c:v>
              </c:pt>
              <c:pt idx="10">
                <c:v>-1.5283051912903383</c:v>
              </c:pt>
              <c:pt idx="11">
                <c:v>-1.483539859401297</c:v>
              </c:pt>
              <c:pt idx="12">
                <c:v>-1.4415644358138213</c:v>
              </c:pt>
              <c:pt idx="13">
                <c:v>-1.4019856220813864</c:v>
              </c:pt>
              <c:pt idx="14">
                <c:v>-1.3644887481703289</c:v>
              </c:pt>
              <c:pt idx="15">
                <c:v>-1.3288179278648733</c:v>
              </c:pt>
              <c:pt idx="16">
                <c:v>-1.2947621322897249</c:v>
              </c:pt>
              <c:pt idx="17">
                <c:v>-1.2621451766228082</c:v>
              </c:pt>
              <c:pt idx="18">
                <c:v>-1.2308183667286043</c:v>
              </c:pt>
              <c:pt idx="19">
                <c:v>-1.2006549979511831</c:v>
              </c:pt>
              <c:pt idx="20">
                <c:v>-1.1715461713027622</c:v>
              </c:pt>
              <c:pt idx="21">
                <c:v>-1.1433975645330243</c:v>
              </c:pt>
              <c:pt idx="22">
                <c:v>-1.1161269070971864</c:v>
              </c:pt>
              <c:pt idx="23">
                <c:v>-1.0896619819461071</c:v>
              </c:pt>
              <c:pt idx="24">
                <c:v>-1.0639390270595839</c:v>
              </c:pt>
              <c:pt idx="25">
                <c:v>-1.0389014441072844</c:v>
              </c:pt>
              <c:pt idx="26">
                <c:v>-1.014498745784099</c:v>
              </c:pt>
              <c:pt idx="27">
                <c:v>-0.99068569057145761</c:v>
              </c:pt>
              <c:pt idx="28">
                <c:v>-0.96742156610170071</c:v>
              </c:pt>
              <c:pt idx="29">
                <c:v>-0.94466959139447615</c:v>
              </c:pt>
              <c:pt idx="30">
                <c:v>-0.92239641496680447</c:v>
              </c:pt>
              <c:pt idx="31">
                <c:v>-0.90057169086042888</c:v>
              </c:pt>
              <c:pt idx="32">
                <c:v>-0.8791677184445702</c:v>
              </c:pt>
              <c:pt idx="33">
                <c:v>-0.85815913476634831</c:v>
              </c:pt>
              <c:pt idx="34">
                <c:v>-0.83752265046717911</c:v>
              </c:pt>
              <c:pt idx="35">
                <c:v>-0.81723682202940007</c:v>
              </c:pt>
              <c:pt idx="36">
                <c:v>-0.79728185448508171</c:v>
              </c:pt>
              <c:pt idx="37">
                <c:v>-0.7776394297984387</c:v>
              </c:pt>
              <c:pt idx="38">
                <c:v>-0.75829255699115117</c:v>
              </c:pt>
              <c:pt idx="39">
                <c:v>-0.73922544076609598</c:v>
              </c:pt>
              <c:pt idx="40">
                <c:v>-0.72042336593740808</c:v>
              </c:pt>
              <c:pt idx="41">
                <c:v>-0.70187259542196001</c:v>
              </c:pt>
              <c:pt idx="42">
                <c:v>-0.68356027991144186</c:v>
              </c:pt>
              <c:pt idx="43">
                <c:v>-0.66547437764218487</c:v>
              </c:pt>
              <c:pt idx="44">
                <c:v>-0.64760358292497777</c:v>
              </c:pt>
              <c:pt idx="45">
                <c:v>-0.62993726229963953</c:v>
              </c:pt>
              <c:pt idx="46">
                <c:v>-0.61246539734726813</c:v>
              </c:pt>
              <c:pt idx="47">
                <c:v>-0.59517853333327786</c:v>
              </c:pt>
              <c:pt idx="48">
                <c:v>-0.57806773297169478</c:v>
              </c:pt>
              <c:pt idx="49">
                <c:v>-0.56112453469982282</c:v>
              </c:pt>
              <c:pt idx="50">
                <c:v>-0.54434091493561076</c:v>
              </c:pt>
              <c:pt idx="51">
                <c:v>-0.5277092538605066</c:v>
              </c:pt>
              <c:pt idx="52">
                <c:v>-0.51122230433044458</c:v>
              </c:pt>
              <c:pt idx="53">
                <c:v>-0.49487316356862382</c:v>
              </c:pt>
              <c:pt idx="54">
                <c:v>-0.47865524733737508</c:v>
              </c:pt>
              <c:pt idx="55">
                <c:v>-0.46256226632381564</c:v>
              </c:pt>
              <c:pt idx="56">
                <c:v>-0.44658820450617887</c:v>
              </c:pt>
              <c:pt idx="57">
                <c:v>-0.43072729929545767</c:v>
              </c:pt>
              <c:pt idx="58">
                <c:v>-0.4149740232710058</c:v>
              </c:pt>
              <c:pt idx="59">
                <c:v>-0.39932306734955125</c:v>
              </c:pt>
              <c:pt idx="60">
                <c:v>-0.38376932524515556</c:v>
              </c:pt>
              <c:pt idx="61">
                <c:v>-0.36830787909341051</c:v>
              </c:pt>
              <c:pt idx="62">
                <c:v>-0.35293398612691645</c:v>
              </c:pt>
              <c:pt idx="63">
                <c:v>-0.33764306630111163</c:v>
              </c:pt>
              <c:pt idx="64">
                <c:v>-0.32243069078007219</c:v>
              </c:pt>
              <c:pt idx="65">
                <c:v>-0.30729257120115577</c:v>
              </c:pt>
              <c:pt idx="66">
                <c:v>-0.29222454964551281</c:v>
              </c:pt>
              <c:pt idx="67">
                <c:v>-0.27722258924865673</c:v>
              </c:pt>
              <c:pt idx="68">
                <c:v>-0.26228276539162171</c:v>
              </c:pt>
              <c:pt idx="69">
                <c:v>-0.24740125741882135</c:v>
              </c:pt>
              <c:pt idx="70">
                <c:v>-0.23257434083366951</c:v>
              </c:pt>
              <c:pt idx="71">
                <c:v>-0.2177983799273987</c:v>
              </c:pt>
              <c:pt idx="72">
                <c:v>-0.20306982080038363</c:v>
              </c:pt>
              <c:pt idx="73">
                <c:v>-0.1883851847387108</c:v>
              </c:pt>
              <c:pt idx="74">
                <c:v>-0.17374106191177294</c:v>
              </c:pt>
              <c:pt idx="75">
                <c:v>-0.15913410535935713</c:v>
              </c:pt>
              <c:pt idx="76">
                <c:v>-0.14456102523907538</c:v>
              </c:pt>
              <c:pt idx="77">
                <c:v>-0.13001858330708424</c:v>
              </c:pt>
              <c:pt idx="78">
                <c:v>-0.11550358760689482</c:v>
              </c:pt>
              <c:pt idx="79">
                <c:v>-0.10101288734269341</c:v>
              </c:pt>
              <c:pt idx="80">
                <c:v>-8.6543367915016003E-2</c:v>
              </c:pt>
              <c:pt idx="81">
                <c:v>-7.209194609784951E-2</c:v>
              </c:pt>
              <c:pt idx="82">
                <c:v>-5.7655565337293428E-2</c:v>
              </c:pt>
              <c:pt idx="83">
                <c:v>-4.3231191152817192E-2</c:v>
              </c:pt>
              <c:pt idx="84">
                <c:v>-2.8815806622902673E-2</c:v>
              </c:pt>
              <c:pt idx="85">
                <c:v>-1.4406407937473295E-2</c:v>
              </c:pt>
              <c:pt idx="86">
                <c:v>0</c:v>
              </c:pt>
              <c:pt idx="87">
                <c:v>1.4406407937473433E-2</c:v>
              </c:pt>
              <c:pt idx="88">
                <c:v>2.8815806622902673E-2</c:v>
              </c:pt>
              <c:pt idx="89">
                <c:v>4.3231191152817337E-2</c:v>
              </c:pt>
              <c:pt idx="90">
                <c:v>5.7655565337293289E-2</c:v>
              </c:pt>
              <c:pt idx="91">
                <c:v>7.209194609784951E-2</c:v>
              </c:pt>
              <c:pt idx="92">
                <c:v>8.6543367915015865E-2</c:v>
              </c:pt>
              <c:pt idx="93">
                <c:v>0.10101288734269341</c:v>
              </c:pt>
              <c:pt idx="94">
                <c:v>0.11550358760689496</c:v>
              </c:pt>
              <c:pt idx="95">
                <c:v>0.13001858330708424</c:v>
              </c:pt>
              <c:pt idx="96">
                <c:v>0.14456102523907552</c:v>
              </c:pt>
              <c:pt idx="97">
                <c:v>0.15913410535935713</c:v>
              </c:pt>
              <c:pt idx="98">
                <c:v>0.17374106191177294</c:v>
              </c:pt>
              <c:pt idx="99">
                <c:v>0.18838518473871063</c:v>
              </c:pt>
              <c:pt idx="100">
                <c:v>0.20306982080038363</c:v>
              </c:pt>
              <c:pt idx="101">
                <c:v>0.21779837992739853</c:v>
              </c:pt>
              <c:pt idx="102">
                <c:v>0.23257434083366951</c:v>
              </c:pt>
              <c:pt idx="103">
                <c:v>0.24740125741882146</c:v>
              </c:pt>
              <c:pt idx="104">
                <c:v>0.26228276539162171</c:v>
              </c:pt>
              <c:pt idx="105">
                <c:v>0.27722258924865684</c:v>
              </c:pt>
              <c:pt idx="106">
                <c:v>0.29222454964551264</c:v>
              </c:pt>
              <c:pt idx="107">
                <c:v>0.30729257120115577</c:v>
              </c:pt>
              <c:pt idx="108">
                <c:v>0.32243069078007208</c:v>
              </c:pt>
              <c:pt idx="109">
                <c:v>0.33764306630111163</c:v>
              </c:pt>
              <c:pt idx="110">
                <c:v>0.35293398612691662</c:v>
              </c:pt>
              <c:pt idx="111">
                <c:v>0.36830787909341051</c:v>
              </c:pt>
              <c:pt idx="112">
                <c:v>0.38376932524515572</c:v>
              </c:pt>
              <c:pt idx="113">
                <c:v>0.39932306734955125</c:v>
              </c:pt>
              <c:pt idx="114">
                <c:v>0.4149740232710058</c:v>
              </c:pt>
              <c:pt idx="115">
                <c:v>0.4307272992954575</c:v>
              </c:pt>
              <c:pt idx="116">
                <c:v>0.44658820450617887</c:v>
              </c:pt>
              <c:pt idx="117">
                <c:v>0.46256226632381547</c:v>
              </c:pt>
              <c:pt idx="118">
                <c:v>0.47865524733737508</c:v>
              </c:pt>
              <c:pt idx="119">
                <c:v>0.49487316356862399</c:v>
              </c:pt>
              <c:pt idx="120">
                <c:v>0.51122230433044458</c:v>
              </c:pt>
              <c:pt idx="121">
                <c:v>0.52770925386050682</c:v>
              </c:pt>
              <c:pt idx="122">
                <c:v>0.54434091493561032</c:v>
              </c:pt>
              <c:pt idx="123">
                <c:v>0.56112453469982282</c:v>
              </c:pt>
              <c:pt idx="124">
                <c:v>0.57806773297169478</c:v>
              </c:pt>
              <c:pt idx="125">
                <c:v>0.59517853333327786</c:v>
              </c:pt>
              <c:pt idx="126">
                <c:v>0.61246539734726813</c:v>
              </c:pt>
              <c:pt idx="127">
                <c:v>0.62993726229963953</c:v>
              </c:pt>
              <c:pt idx="128">
                <c:v>0.64760358292497799</c:v>
              </c:pt>
              <c:pt idx="129">
                <c:v>0.66547437764218487</c:v>
              </c:pt>
              <c:pt idx="130">
                <c:v>0.68356027991144186</c:v>
              </c:pt>
              <c:pt idx="131">
                <c:v>0.70187259542196001</c:v>
              </c:pt>
              <c:pt idx="132">
                <c:v>0.72042336593740808</c:v>
              </c:pt>
              <c:pt idx="133">
                <c:v>0.73922544076609586</c:v>
              </c:pt>
              <c:pt idx="134">
                <c:v>0.75829255699115117</c:v>
              </c:pt>
              <c:pt idx="135">
                <c:v>0.77763942979843936</c:v>
              </c:pt>
              <c:pt idx="136">
                <c:v>0.79728185448508171</c:v>
              </c:pt>
              <c:pt idx="137">
                <c:v>0.81723682202940007</c:v>
              </c:pt>
              <c:pt idx="138">
                <c:v>0.83752265046717911</c:v>
              </c:pt>
              <c:pt idx="139">
                <c:v>0.85815913476634831</c:v>
              </c:pt>
              <c:pt idx="140">
                <c:v>0.87916771844456865</c:v>
              </c:pt>
              <c:pt idx="141">
                <c:v>0.90057169086042888</c:v>
              </c:pt>
              <c:pt idx="142">
                <c:v>0.92239641496680458</c:v>
              </c:pt>
              <c:pt idx="143">
                <c:v>0.94466959139447615</c:v>
              </c:pt>
              <c:pt idx="144">
                <c:v>0.96742156610170071</c:v>
              </c:pt>
              <c:pt idx="145">
                <c:v>0.99068569057145761</c:v>
              </c:pt>
              <c:pt idx="146">
                <c:v>1.014498745784099</c:v>
              </c:pt>
              <c:pt idx="147">
                <c:v>1.0389014441072844</c:v>
              </c:pt>
              <c:pt idx="148">
                <c:v>1.0639390270595839</c:v>
              </c:pt>
              <c:pt idx="149">
                <c:v>1.0896619819461066</c:v>
              </c:pt>
              <c:pt idx="150">
                <c:v>1.1161269070971864</c:v>
              </c:pt>
              <c:pt idx="151">
                <c:v>1.1433975645330243</c:v>
              </c:pt>
              <c:pt idx="152">
                <c:v>1.1715461713027622</c:v>
              </c:pt>
              <c:pt idx="153">
                <c:v>1.2006549979511831</c:v>
              </c:pt>
              <c:pt idx="154">
                <c:v>1.2308183667286043</c:v>
              </c:pt>
              <c:pt idx="155">
                <c:v>1.2621451766228082</c:v>
              </c:pt>
              <c:pt idx="156">
                <c:v>1.2947621322897234</c:v>
              </c:pt>
              <c:pt idx="157">
                <c:v>1.3288179278648733</c:v>
              </c:pt>
              <c:pt idx="158">
                <c:v>1.3644887481703283</c:v>
              </c:pt>
              <c:pt idx="159">
                <c:v>1.4019856220813864</c:v>
              </c:pt>
              <c:pt idx="160">
                <c:v>1.441564435813822</c:v>
              </c:pt>
              <c:pt idx="161">
                <c:v>1.4835398594012972</c:v>
              </c:pt>
              <c:pt idx="162">
                <c:v>1.5283051912903387</c:v>
              </c:pt>
              <c:pt idx="163">
                <c:v>1.576361443696082</c:v>
              </c:pt>
              <c:pt idx="164">
                <c:v>1.6283614067169063</c:v>
              </c:pt>
              <c:pt idx="165">
                <c:v>1.6851790955097226</c:v>
              </c:pt>
              <c:pt idx="166">
                <c:v>1.7480245865828783</c:v>
              </c:pt>
              <c:pt idx="167">
                <c:v>1.8186455928500604</c:v>
              </c:pt>
              <c:pt idx="168">
                <c:v>1.8997094129875347</c:v>
              </c:pt>
              <c:pt idx="169">
                <c:v>1.9956042965147931</c:v>
              </c:pt>
              <c:pt idx="170">
                <c:v>2.1143807715275598</c:v>
              </c:pt>
              <c:pt idx="171">
                <c:v>2.2736256193762032</c:v>
              </c:pt>
              <c:pt idx="172">
                <c:v>2.5273022667337943</c:v>
              </c:pt>
            </c:numLit>
          </c:yVal>
          <c:smooth val="0"/>
          <c:extLst>
            <c:ext xmlns:c16="http://schemas.microsoft.com/office/drawing/2014/chart" uri="{C3380CC4-5D6E-409C-BE32-E72D297353CC}">
              <c16:uniqueId val="{00000001-A09E-4D50-9ECB-624A25DE25C8}"/>
            </c:ext>
          </c:extLst>
        </c:ser>
        <c:dLbls>
          <c:showLegendKey val="0"/>
          <c:showVal val="0"/>
          <c:showCatName val="0"/>
          <c:showSerName val="0"/>
          <c:showPercent val="0"/>
          <c:showBubbleSize val="0"/>
        </c:dLbls>
        <c:axId val="84120704"/>
        <c:axId val="84122624"/>
      </c:scatterChart>
      <c:valAx>
        <c:axId val="84120704"/>
        <c:scaling>
          <c:orientation val="minMax"/>
        </c:scaling>
        <c:delete val="0"/>
        <c:axPos val="b"/>
        <c:title>
          <c:tx>
            <c:rich>
              <a:bodyPr/>
              <a:lstStyle/>
              <a:p>
                <a:pPr>
                  <a:defRPr/>
                </a:pPr>
                <a:r>
                  <a:rPr lang="en-US"/>
                  <a:t>Theoretical Standardized Residual
</a:t>
                </a:r>
                <a:r>
                  <a:rPr lang="en-US" sz="750"/>
                  <a:t>Adjusted Anderson-Darling statistic is 1 (P=0.012)</a:t>
                </a:r>
              </a:p>
            </c:rich>
          </c:tx>
          <c:overlay val="0"/>
        </c:title>
        <c:numFmt formatCode="General" sourceLinked="1"/>
        <c:majorTickMark val="out"/>
        <c:minorTickMark val="none"/>
        <c:tickLblPos val="nextTo"/>
        <c:crossAx val="84122624"/>
        <c:crosses val="autoZero"/>
        <c:crossBetween val="midCat"/>
      </c:valAx>
      <c:valAx>
        <c:axId val="84122624"/>
        <c:scaling>
          <c:orientation val="minMax"/>
        </c:scaling>
        <c:delete val="0"/>
        <c:axPos val="l"/>
        <c:title>
          <c:tx>
            <c:rich>
              <a:bodyPr/>
              <a:lstStyle/>
              <a:p>
                <a:pPr>
                  <a:defRPr/>
                </a:pPr>
                <a:r>
                  <a:rPr lang="en-US"/>
                  <a:t>Actual Standardized Residual</a:t>
                </a:r>
              </a:p>
            </c:rich>
          </c:tx>
          <c:overlay val="0"/>
        </c:title>
        <c:numFmt formatCode="General" sourceLinked="1"/>
        <c:majorTickMark val="out"/>
        <c:minorTickMark val="none"/>
        <c:tickLblPos val="nextTo"/>
        <c:crossAx val="84120704"/>
        <c:crossesAt val="-3"/>
        <c:crossBetween val="midCat"/>
      </c:valAx>
      <c:spPr>
        <a:ln w="6350">
          <a:solidFill>
            <a:srgbClr val="808080"/>
          </a:solidFill>
          <a:prstDash val="solid"/>
        </a:ln>
      </c:spPr>
    </c:plotArea>
    <c:legend>
      <c:legendPos val="r"/>
      <c:overlay val="0"/>
    </c:legend>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'Com HDD trend model from 2009'!$AA$2</c:f>
          <c:strCache>
            <c:ptCount val="1"/>
            <c:pt idx="0">
              <c:v>Forecasts and 95.0% confidence limits for means and forecasts
Com HDD trend model from 2009 for _Commercial_Natural_Gas    (2 variables, n=77)</c:v>
            </c:pt>
          </c:strCache>
        </c:strRef>
      </c:tx>
      <c:overlay val="0"/>
      <c:txPr>
        <a:bodyPr/>
        <a:lstStyle/>
        <a:p>
          <a:pPr>
            <a:defRPr sz="1000"/>
          </a:pPr>
          <a:endParaRPr lang="en-US"/>
        </a:p>
      </c:txPr>
    </c:title>
    <c:autoTitleDeleted val="0"/>
    <c:plotArea>
      <c:layout/>
      <c:lineChart>
        <c:grouping val="standard"/>
        <c:varyColors val="0"/>
        <c:ser>
          <c:idx val="0"/>
          <c:order val="0"/>
          <c:tx>
            <c:v>Forecast</c:v>
          </c:tx>
          <c:spPr>
            <a:ln w="25400">
              <a:noFill/>
            </a:ln>
          </c:spPr>
          <c:marker>
            <c:symbol val="circle"/>
            <c:size val="7"/>
            <c:spPr>
              <a:solidFill>
                <a:srgbClr val="FF9999"/>
              </a:solidFill>
              <a:ln w="12700">
                <a:solidFill>
                  <a:srgbClr val="FF0000"/>
                </a:solidFill>
                <a:prstDash val="solid"/>
              </a:ln>
            </c:spPr>
          </c:marker>
          <c:errBars>
            <c:errDir val="y"/>
            <c:errBarType val="both"/>
            <c:errValType val="cust"/>
            <c:noEndCap val="0"/>
            <c:plus>
              <c:numRef>
                <c:f>'Com HDD trend model from 2009'!$CG$37</c:f>
              </c:numRef>
            </c:plus>
            <c:minus>
              <c:numRef>
                <c:f>'Com HDD trend model from 2009'!$CG$37</c:f>
              </c:numRef>
            </c:minus>
          </c:errBars>
          <c:val>
            <c:numRef>
              <c:f>'Com HDD trend model from 2009'!$B$37</c:f>
            </c:numRef>
          </c:val>
          <c:smooth val="0"/>
          <c:extLst>
            <c:ext xmlns:c15="http://schemas.microsoft.com/office/drawing/2012/chart" uri="{02D57815-91ED-43cb-92C2-25804820EDAC}">
              <c15:filteredCategoryTitle>
                <c15:cat>
                  <c:multiLvlStrRef>
                    <c:extLst>
                      <c:ext uri="{02D57815-91ED-43cb-92C2-25804820EDAC}">
                        <c15:formulaRef>
                          <c15:sqref>'Com HDD trend model from 2009'!$A$37</c15:sqref>
                        </c15:formulaRef>
                      </c:ext>
                    </c:extLst>
                  </c:multiLvlStrRef>
                </c15:cat>
              </c15:filteredCategoryTitle>
            </c:ext>
            <c:ext xmlns:c16="http://schemas.microsoft.com/office/drawing/2014/chart" uri="{C3380CC4-5D6E-409C-BE32-E72D297353CC}">
              <c16:uniqueId val="{00000000-7C7D-4A26-BAC6-FC37CA71CCFB}"/>
            </c:ext>
          </c:extLst>
        </c:ser>
        <c:ser>
          <c:idx val="1"/>
          <c:order val="1"/>
          <c:tx>
            <c:strRef>
              <c:f>'Com HDD trend model from 2009'!$H$36</c:f>
              <c:strCache>
                <c:ptCount val="1"/>
                <c:pt idx="0">
                  <c:v>Upper95%M</c:v>
                </c:pt>
              </c:strCache>
            </c:strRef>
          </c:tx>
          <c:spPr>
            <a:ln w="25400">
              <a:noFill/>
            </a:ln>
          </c:spPr>
          <c:marker>
            <c:symbol val="dash"/>
            <c:size val="7"/>
            <c:spPr>
              <a:noFill/>
              <a:ln w="12700">
                <a:solidFill>
                  <a:srgbClr val="000000"/>
                </a:solidFill>
              </a:ln>
              <a:extLst>
                <a:ext uri="{909E8E84-426E-40DD-AFC4-6F175D3DCCD1}">
                  <a14:hiddenFill xmlns:a14="http://schemas.microsoft.com/office/drawing/2010/main">
                    <a:solidFill>
                      <a:srgbClr val="ED7D31"/>
                    </a:solidFill>
                  </a14:hiddenFill>
                </a:ext>
              </a:extLst>
            </c:spPr>
          </c:marker>
          <c:val>
            <c:numRef>
              <c:f>'Com HDD trend model from 2009'!$H$37</c:f>
            </c:numRef>
          </c:val>
          <c:smooth val="0"/>
          <c:extLst>
            <c:ext xmlns:c15="http://schemas.microsoft.com/office/drawing/2012/chart" uri="{02D57815-91ED-43cb-92C2-25804820EDAC}">
              <c15:filteredCategoryTitle>
                <c15:cat>
                  <c:multiLvlStrRef>
                    <c:extLst>
                      <c:ext uri="{02D57815-91ED-43cb-92C2-25804820EDAC}">
                        <c15:formulaRef>
                          <c15:sqref>'Com HDD trend model from 2009'!$A$37</c15:sqref>
                        </c15:formulaRef>
                      </c:ext>
                    </c:extLst>
                  </c:multiLvlStrRef>
                </c15:cat>
              </c15:filteredCategoryTitle>
            </c:ext>
            <c:ext xmlns:c16="http://schemas.microsoft.com/office/drawing/2014/chart" uri="{C3380CC4-5D6E-409C-BE32-E72D297353CC}">
              <c16:uniqueId val="{00000001-7C7D-4A26-BAC6-FC37CA71CCFB}"/>
            </c:ext>
          </c:extLst>
        </c:ser>
        <c:ser>
          <c:idx val="2"/>
          <c:order val="2"/>
          <c:tx>
            <c:strRef>
              <c:f>'Com HDD trend model from 2009'!$G$36</c:f>
              <c:strCache>
                <c:ptCount val="1"/>
                <c:pt idx="0">
                  <c:v>Lower95%M</c:v>
                </c:pt>
              </c:strCache>
            </c:strRef>
          </c:tx>
          <c:spPr>
            <a:ln w="25400">
              <a:noFill/>
            </a:ln>
          </c:spPr>
          <c:marker>
            <c:symbol val="dash"/>
            <c:size val="7"/>
            <c:spPr>
              <a:noFill/>
              <a:ln w="12700">
                <a:solidFill>
                  <a:srgbClr val="000000"/>
                </a:solidFill>
              </a:ln>
              <a:extLst>
                <a:ext uri="{909E8E84-426E-40DD-AFC4-6F175D3DCCD1}">
                  <a14:hiddenFill xmlns:a14="http://schemas.microsoft.com/office/drawing/2010/main">
                    <a:solidFill>
                      <a:srgbClr val="A5A5A5"/>
                    </a:solidFill>
                  </a14:hiddenFill>
                </a:ext>
              </a:extLst>
            </c:spPr>
          </c:marker>
          <c:val>
            <c:numRef>
              <c:f>'Com HDD trend model from 2009'!$G$37</c:f>
            </c:numRef>
          </c:val>
          <c:smooth val="0"/>
          <c:extLst>
            <c:ext xmlns:c15="http://schemas.microsoft.com/office/drawing/2012/chart" uri="{02D57815-91ED-43cb-92C2-25804820EDAC}">
              <c15:filteredCategoryTitle>
                <c15:cat>
                  <c:multiLvlStrRef>
                    <c:extLst>
                      <c:ext uri="{02D57815-91ED-43cb-92C2-25804820EDAC}">
                        <c15:formulaRef>
                          <c15:sqref>'Com HDD trend model from 2009'!$A$37</c15:sqref>
                        </c15:formulaRef>
                      </c:ext>
                    </c:extLst>
                  </c:multiLvlStrRef>
                </c15:cat>
              </c15:filteredCategoryTitle>
            </c:ext>
            <c:ext xmlns:c16="http://schemas.microsoft.com/office/drawing/2014/chart" uri="{C3380CC4-5D6E-409C-BE32-E72D297353CC}">
              <c16:uniqueId val="{00000002-7C7D-4A26-BAC6-FC37CA71CCFB}"/>
            </c:ext>
          </c:extLst>
        </c:ser>
        <c:dLbls>
          <c:showLegendKey val="0"/>
          <c:showVal val="0"/>
          <c:showCatName val="0"/>
          <c:showSerName val="0"/>
          <c:showPercent val="0"/>
          <c:showBubbleSize val="0"/>
        </c:dLbls>
        <c:marker val="1"/>
        <c:smooth val="0"/>
        <c:axId val="84146816"/>
        <c:axId val="84157568"/>
      </c:lineChart>
      <c:catAx>
        <c:axId val="84146816"/>
        <c:scaling>
          <c:orientation val="minMax"/>
        </c:scaling>
        <c:delete val="0"/>
        <c:axPos val="b"/>
        <c:title>
          <c:tx>
            <c:rich>
              <a:bodyPr/>
              <a:lstStyle/>
              <a:p>
                <a:pPr>
                  <a:defRPr/>
                </a:pPr>
                <a:r>
                  <a:rPr lang="en-US"/>
                  <a:t>Observation #</a:t>
                </a:r>
              </a:p>
            </c:rich>
          </c:tx>
          <c:overlay val="0"/>
        </c:title>
        <c:numFmt formatCode="0" sourceLinked="1"/>
        <c:majorTickMark val="out"/>
        <c:minorTickMark val="none"/>
        <c:tickLblPos val="nextTo"/>
        <c:crossAx val="84157568"/>
        <c:crossesAt val="5000"/>
        <c:auto val="1"/>
        <c:lblAlgn val="ctr"/>
        <c:lblOffset val="100"/>
        <c:noMultiLvlLbl val="0"/>
      </c:catAx>
      <c:valAx>
        <c:axId val="84157568"/>
        <c:scaling>
          <c:orientation val="minMax"/>
          <c:min val="5000"/>
        </c:scaling>
        <c:delete val="0"/>
        <c:axPos val="l"/>
        <c:majorGridlines>
          <c:spPr>
            <a:ln w="3175">
              <a:solidFill>
                <a:srgbClr val="C0C0C0"/>
              </a:solidFill>
              <a:prstDash val="solid"/>
            </a:ln>
          </c:spPr>
        </c:majorGridlines>
        <c:title>
          <c:tx>
            <c:rich>
              <a:bodyPr/>
              <a:lstStyle/>
              <a:p>
                <a:pPr>
                  <a:defRPr/>
                </a:pPr>
                <a:r>
                  <a:rPr lang="en-US"/>
                  <a:t>_Commercial_Natural_Gas</a:t>
                </a:r>
              </a:p>
            </c:rich>
          </c:tx>
          <c:layout>
            <c:manualLayout>
              <c:xMode val="edge"/>
              <c:yMode val="edge"/>
              <c:x val="2.5776215582893967E-2"/>
              <c:y val="0.21829629629629629"/>
            </c:manualLayout>
          </c:layout>
          <c:overlay val="0"/>
        </c:title>
        <c:numFmt formatCode="General" sourceLinked="0"/>
        <c:majorTickMark val="out"/>
        <c:minorTickMark val="none"/>
        <c:tickLblPos val="nextTo"/>
        <c:crossAx val="84146816"/>
        <c:crosses val="autoZero"/>
        <c:crossBetween val="between"/>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txPr>
    <a:bodyPr/>
    <a:lstStyle/>
    <a:p>
      <a:pPr>
        <a:defRPr sz="1000">
          <a:latin typeface="Calibri"/>
          <a:ea typeface="Calibri"/>
          <a:cs typeface="Calibri"/>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'Com HDD trend model from 2009'!$AA$3</c:f>
          <c:strCache>
            <c:ptCount val="1"/>
            <c:pt idx="0">
              <c:v>Actual and predicted -vs- Observation # with 95.0% confidence limits
Com HDD trend model from 2009 for _Commercial_Natural_Gas
(2 variables, n=77)</c:v>
            </c:pt>
          </c:strCache>
        </c:strRef>
      </c:tx>
      <c:overlay val="0"/>
      <c:txPr>
        <a:bodyPr/>
        <a:lstStyle/>
        <a:p>
          <a:pPr>
            <a:defRPr sz="1000">
              <a:latin typeface="Calibri"/>
              <a:ea typeface="Calibri"/>
              <a:cs typeface="Calibri"/>
            </a:defRPr>
          </a:pPr>
          <a:endParaRPr lang="en-US"/>
        </a:p>
      </c:txPr>
    </c:title>
    <c:autoTitleDeleted val="0"/>
    <c:plotArea>
      <c:layout/>
      <c:scatterChart>
        <c:scatterStyle val="lineMarker"/>
        <c:varyColors val="0"/>
        <c:ser>
          <c:idx val="0"/>
          <c:order val="0"/>
          <c:tx>
            <c:v>Actual</c:v>
          </c:tx>
          <c:spPr>
            <a:ln w="9525" cap="rnd" cmpd="sng" algn="ctr">
              <a:solidFill>
                <a:srgbClr val="0000FF"/>
              </a:solidFill>
              <a:prstDash val="solid"/>
              <a:round/>
              <a:headEnd type="none" w="med" len="med"/>
              <a:tailEnd type="none" w="med" len="med"/>
            </a:ln>
          </c:spPr>
          <c:marker>
            <c:symbol val="diamond"/>
            <c:size val="6"/>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7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76</c:v>
              </c:pt>
              <c:pt idx="75">
                <c:v>77</c:v>
              </c:pt>
              <c:pt idx="76">
                <c:v>78</c:v>
              </c:pt>
            </c:numLit>
          </c:xVal>
          <c:yVal>
            <c:numLit>
              <c:formatCode>General</c:formatCode>
              <c:ptCount val="77"/>
              <c:pt idx="0">
                <c:v>8960</c:v>
              </c:pt>
              <c:pt idx="1">
                <c:v>6565</c:v>
              </c:pt>
              <c:pt idx="2">
                <c:v>5670</c:v>
              </c:pt>
              <c:pt idx="3">
                <c:v>3161</c:v>
              </c:pt>
              <c:pt idx="4">
                <c:v>2464</c:v>
              </c:pt>
              <c:pt idx="5">
                <c:v>1853</c:v>
              </c:pt>
              <c:pt idx="6">
                <c:v>1983</c:v>
              </c:pt>
              <c:pt idx="7">
                <c:v>2064</c:v>
              </c:pt>
              <c:pt idx="8">
                <c:v>2450</c:v>
              </c:pt>
              <c:pt idx="9">
                <c:v>3598</c:v>
              </c:pt>
              <c:pt idx="10">
                <c:v>4375</c:v>
              </c:pt>
              <c:pt idx="11">
                <c:v>8161</c:v>
              </c:pt>
              <c:pt idx="12">
                <c:v>9701</c:v>
              </c:pt>
              <c:pt idx="13">
                <c:v>8911</c:v>
              </c:pt>
              <c:pt idx="14">
                <c:v>5153</c:v>
              </c:pt>
              <c:pt idx="15">
                <c:v>2691</c:v>
              </c:pt>
              <c:pt idx="16">
                <c:v>2389</c:v>
              </c:pt>
              <c:pt idx="17">
                <c:v>1977</c:v>
              </c:pt>
              <c:pt idx="18">
                <c:v>1926</c:v>
              </c:pt>
              <c:pt idx="19">
                <c:v>2092</c:v>
              </c:pt>
              <c:pt idx="20">
                <c:v>2433</c:v>
              </c:pt>
              <c:pt idx="21">
                <c:v>3117</c:v>
              </c:pt>
              <c:pt idx="22">
                <c:v>5190</c:v>
              </c:pt>
              <c:pt idx="23">
                <c:v>10645</c:v>
              </c:pt>
              <c:pt idx="24">
                <c:v>9522</c:v>
              </c:pt>
              <c:pt idx="25">
                <c:v>6169</c:v>
              </c:pt>
              <c:pt idx="26">
                <c:v>5460</c:v>
              </c:pt>
              <c:pt idx="27">
                <c:v>2761</c:v>
              </c:pt>
              <c:pt idx="28">
                <c:v>2568</c:v>
              </c:pt>
              <c:pt idx="29">
                <c:v>2133</c:v>
              </c:pt>
              <c:pt idx="30">
                <c:v>1980</c:v>
              </c:pt>
              <c:pt idx="31">
                <c:v>2465</c:v>
              </c:pt>
              <c:pt idx="32">
                <c:v>2382</c:v>
              </c:pt>
              <c:pt idx="33">
                <c:v>3931</c:v>
              </c:pt>
              <c:pt idx="34">
                <c:v>4446</c:v>
              </c:pt>
              <c:pt idx="35">
                <c:v>6081</c:v>
              </c:pt>
              <c:pt idx="36">
                <c:v>8072</c:v>
              </c:pt>
              <c:pt idx="37">
                <c:v>6583</c:v>
              </c:pt>
              <c:pt idx="38">
                <c:v>3545</c:v>
              </c:pt>
              <c:pt idx="39">
                <c:v>3370</c:v>
              </c:pt>
              <c:pt idx="40">
                <c:v>2205</c:v>
              </c:pt>
              <c:pt idx="41">
                <c:v>2433</c:v>
              </c:pt>
              <c:pt idx="42">
                <c:v>1976</c:v>
              </c:pt>
              <c:pt idx="43">
                <c:v>2673</c:v>
              </c:pt>
              <c:pt idx="44">
                <c:v>2529</c:v>
              </c:pt>
              <c:pt idx="45">
                <c:v>4003</c:v>
              </c:pt>
              <c:pt idx="46">
                <c:v>5686</c:v>
              </c:pt>
              <c:pt idx="47">
                <c:v>5878</c:v>
              </c:pt>
              <c:pt idx="48">
                <c:v>6935</c:v>
              </c:pt>
              <c:pt idx="49">
                <c:v>7155</c:v>
              </c:pt>
              <c:pt idx="50">
                <c:v>7253</c:v>
              </c:pt>
              <c:pt idx="51">
                <c:v>3390</c:v>
              </c:pt>
              <c:pt idx="52">
                <c:v>3075</c:v>
              </c:pt>
              <c:pt idx="53">
                <c:v>2381</c:v>
              </c:pt>
              <c:pt idx="54">
                <c:v>2613</c:v>
              </c:pt>
              <c:pt idx="55">
                <c:v>2611</c:v>
              </c:pt>
              <c:pt idx="56">
                <c:v>2873</c:v>
              </c:pt>
              <c:pt idx="57">
                <c:v>3869</c:v>
              </c:pt>
              <c:pt idx="58">
                <c:v>6415</c:v>
              </c:pt>
              <c:pt idx="59">
                <c:v>6700</c:v>
              </c:pt>
              <c:pt idx="60">
                <c:v>11381</c:v>
              </c:pt>
              <c:pt idx="61">
                <c:v>7396</c:v>
              </c:pt>
              <c:pt idx="62">
                <c:v>7426</c:v>
              </c:pt>
              <c:pt idx="63">
                <c:v>3372</c:v>
              </c:pt>
              <c:pt idx="64">
                <c:v>3314</c:v>
              </c:pt>
              <c:pt idx="65">
                <c:v>2930</c:v>
              </c:pt>
              <c:pt idx="66">
                <c:v>2889</c:v>
              </c:pt>
              <c:pt idx="67">
                <c:v>2708</c:v>
              </c:pt>
              <c:pt idx="68">
                <c:v>2884</c:v>
              </c:pt>
              <c:pt idx="69">
                <c:v>3606</c:v>
              </c:pt>
              <c:pt idx="70">
                <c:v>6843</c:v>
              </c:pt>
              <c:pt idx="71">
                <c:v>7464</c:v>
              </c:pt>
              <c:pt idx="72">
                <c:v>9500</c:v>
              </c:pt>
              <c:pt idx="73">
                <c:v>10511</c:v>
              </c:pt>
              <c:pt idx="74">
                <c:v>3543</c:v>
              </c:pt>
              <c:pt idx="75">
                <c:v>2502</c:v>
              </c:pt>
              <c:pt idx="76">
                <c:v>2944</c:v>
              </c:pt>
            </c:numLit>
          </c:yVal>
          <c:smooth val="0"/>
          <c:extLst>
            <c:ext xmlns:c16="http://schemas.microsoft.com/office/drawing/2014/chart" uri="{C3380CC4-5D6E-409C-BE32-E72D297353CC}">
              <c16:uniqueId val="{00000000-8863-403D-9755-787FBFE0A1F9}"/>
            </c:ext>
          </c:extLst>
        </c:ser>
        <c:ser>
          <c:idx val="1"/>
          <c:order val="1"/>
          <c:tx>
            <c:v>Predicted</c:v>
          </c:tx>
          <c:spPr>
            <a:ln w="9525">
              <a:solidFill>
                <a:srgbClr val="FF0000"/>
              </a:solidFill>
              <a:prstDash val="sysDash"/>
            </a:ln>
          </c:spPr>
          <c:marker>
            <c:symbol val="circle"/>
            <c:size val="6"/>
            <c:spPr>
              <a:noFill/>
              <a:ln w="9525">
                <a:solidFill>
                  <a:srgbClr val="FF0000"/>
                </a:solidFill>
                <a:prstDash val="solid"/>
              </a:ln>
            </c:spPr>
          </c:marker>
          <c:xVal>
            <c:numLit>
              <c:formatCode>General</c:formatCode>
              <c:ptCount val="7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76</c:v>
              </c:pt>
              <c:pt idx="75">
                <c:v>77</c:v>
              </c:pt>
              <c:pt idx="76">
                <c:v>78</c:v>
              </c:pt>
            </c:numLit>
          </c:xVal>
          <c:yVal>
            <c:numLit>
              <c:formatCode>General</c:formatCode>
              <c:ptCount val="77"/>
              <c:pt idx="0">
                <c:v>8463.6939644322647</c:v>
              </c:pt>
              <c:pt idx="1">
                <c:v>6587.0588902607024</c:v>
              </c:pt>
              <c:pt idx="2">
                <c:v>5634.6585699058533</c:v>
              </c:pt>
              <c:pt idx="3">
                <c:v>3284.647168116202</c:v>
              </c:pt>
              <c:pt idx="4">
                <c:v>2196.63904143524</c:v>
              </c:pt>
              <c:pt idx="5">
                <c:v>1866.7335958762699</c:v>
              </c:pt>
              <c:pt idx="6">
                <c:v>1877.0986606558838</c:v>
              </c:pt>
              <c:pt idx="7">
                <c:v>1887.463725435498</c:v>
              </c:pt>
              <c:pt idx="8">
                <c:v>1991.4031805582224</c:v>
              </c:pt>
              <c:pt idx="9">
                <c:v>3550.999862997036</c:v>
              </c:pt>
              <c:pt idx="10">
                <c:v>4944.4644727411296</c:v>
              </c:pt>
              <c:pt idx="11">
                <c:v>8430.0923232581936</c:v>
              </c:pt>
              <c:pt idx="12">
                <c:v>9130.5059670920818</c:v>
              </c:pt>
              <c:pt idx="13">
                <c:v>8362.2520405675259</c:v>
              </c:pt>
              <c:pt idx="14">
                <c:v>5479.8173696598533</c:v>
              </c:pt>
              <c:pt idx="15">
                <c:v>2955.1671324170175</c:v>
              </c:pt>
              <c:pt idx="16">
                <c:v>2203.4263336000686</c:v>
              </c:pt>
              <c:pt idx="17">
                <c:v>1991.1143732316384</c:v>
              </c:pt>
              <c:pt idx="18">
                <c:v>2001.4794380112526</c:v>
              </c:pt>
              <c:pt idx="19">
                <c:v>2011.8445027908665</c:v>
              </c:pt>
              <c:pt idx="20">
                <c:v>2043.2262755619815</c:v>
              </c:pt>
              <c:pt idx="21">
                <c:v>3073.4020757387043</c:v>
              </c:pt>
              <c:pt idx="22">
                <c:v>5583.2541980789456</c:v>
              </c:pt>
              <c:pt idx="23">
                <c:v>9984.610039654257</c:v>
              </c:pt>
              <c:pt idx="24">
                <c:v>9330.9472114643122</c:v>
              </c:pt>
              <c:pt idx="25">
                <c:v>6269.3701248195621</c:v>
              </c:pt>
              <c:pt idx="26">
                <c:v>5706.7796979261193</c:v>
              </c:pt>
              <c:pt idx="27">
                <c:v>3224.6632744756062</c:v>
              </c:pt>
              <c:pt idx="28">
                <c:v>2469.4196909934062</c:v>
              </c:pt>
              <c:pt idx="29">
                <c:v>2115.4951505870072</c:v>
              </c:pt>
              <c:pt idx="30">
                <c:v>2125.8602153666211</c:v>
              </c:pt>
              <c:pt idx="31">
                <c:v>2136.2252801462355</c:v>
              </c:pt>
              <c:pt idx="32">
                <c:v>2292.7065052477119</c:v>
              </c:pt>
              <c:pt idx="33">
                <c:v>3936.8704174618506</c:v>
              </c:pt>
              <c:pt idx="34">
                <c:v>5228.2538741043691</c:v>
              </c:pt>
              <c:pt idx="35">
                <c:v>6636.7304181281052</c:v>
              </c:pt>
              <c:pt idx="36">
                <c:v>7504.2769302753577</c:v>
              </c:pt>
              <c:pt idx="37">
                <c:v>6685.4828250093333</c:v>
              </c:pt>
              <c:pt idx="38">
                <c:v>3790.5382088686274</c:v>
              </c:pt>
              <c:pt idx="39">
                <c:v>3758.8698576652396</c:v>
              </c:pt>
              <c:pt idx="40">
                <c:v>2347.1043483533022</c:v>
              </c:pt>
              <c:pt idx="41">
                <c:v>2250.8846797474475</c:v>
              </c:pt>
              <c:pt idx="42">
                <c:v>2250.2409927219896</c:v>
              </c:pt>
              <c:pt idx="43">
                <c:v>2260.606057501604</c:v>
              </c:pt>
              <c:pt idx="44">
                <c:v>2374.0530710014364</c:v>
              </c:pt>
              <c:pt idx="45">
                <c:v>3853.5861039488182</c:v>
              </c:pt>
              <c:pt idx="46">
                <c:v>6707.7119191022148</c:v>
              </c:pt>
              <c:pt idx="47">
                <c:v>6602.9854877378966</c:v>
              </c:pt>
              <c:pt idx="48">
                <c:v>7730.7388607323019</c:v>
              </c:pt>
              <c:pt idx="49">
                <c:v>7741.6043233212367</c:v>
              </c:pt>
              <c:pt idx="50">
                <c:v>7496.2661075375918</c:v>
              </c:pt>
              <c:pt idx="51">
                <c:v>3856.2291533172502</c:v>
              </c:pt>
              <c:pt idx="52">
                <c:v>3083.9720443181213</c:v>
              </c:pt>
              <c:pt idx="53">
                <c:v>2364.2567052977447</c:v>
              </c:pt>
              <c:pt idx="54">
                <c:v>2374.6217700773586</c:v>
              </c:pt>
              <c:pt idx="55">
                <c:v>2395.495188852723</c:v>
              </c:pt>
              <c:pt idx="56">
                <c:v>2482.9215162678402</c:v>
              </c:pt>
              <c:pt idx="57">
                <c:v>3665.7186482876041</c:v>
              </c:pt>
              <c:pt idx="58">
                <c:v>6810.575590656762</c:v>
              </c:pt>
              <c:pt idx="59">
                <c:v>7436.9303587110762</c:v>
              </c:pt>
              <c:pt idx="60">
                <c:v>10094.399834801146</c:v>
              </c:pt>
              <c:pt idx="61">
                <c:v>7428.6374153296611</c:v>
              </c:pt>
              <c:pt idx="62">
                <c:v>7365.4440021390228</c:v>
              </c:pt>
              <c:pt idx="63">
                <c:v>3865.0180367193652</c:v>
              </c:pt>
              <c:pt idx="64">
                <c:v>2744.4840524325091</c:v>
              </c:pt>
              <c:pt idx="65">
                <c:v>2488.6374826531132</c:v>
              </c:pt>
              <c:pt idx="66">
                <c:v>2499.0025474327272</c:v>
              </c:pt>
              <c:pt idx="67">
                <c:v>2509.3676122123416</c:v>
              </c:pt>
              <c:pt idx="68">
                <c:v>2632.822581898602</c:v>
              </c:pt>
              <c:pt idx="69">
                <c:v>3642.9824697024678</c:v>
              </c:pt>
              <c:pt idx="70">
                <c:v>7152.6294150669601</c:v>
              </c:pt>
              <c:pt idx="71">
                <c:v>7765.4734422695965</c:v>
              </c:pt>
              <c:pt idx="72">
                <c:v>9131.4161725010108</c:v>
              </c:pt>
              <c:pt idx="73">
                <c:v>9459.0334483904226</c:v>
              </c:pt>
              <c:pt idx="74">
                <c:v>3860.2961792698006</c:v>
              </c:pt>
              <c:pt idx="75">
                <c:v>2765.2824832583383</c:v>
              </c:pt>
              <c:pt idx="76">
                <c:v>2624.0270118135536</c:v>
              </c:pt>
            </c:numLit>
          </c:yVal>
          <c:smooth val="0"/>
          <c:extLst>
            <c:ext xmlns:c16="http://schemas.microsoft.com/office/drawing/2014/chart" uri="{C3380CC4-5D6E-409C-BE32-E72D297353CC}">
              <c16:uniqueId val="{00000001-8863-403D-9755-787FBFE0A1F9}"/>
            </c:ext>
          </c:extLst>
        </c:ser>
        <c:ser>
          <c:idx val="2"/>
          <c:order val="2"/>
          <c:tx>
            <c:v>Forecast</c:v>
          </c:tx>
          <c:spPr>
            <a:ln w="25400">
              <a:noFill/>
            </a:ln>
          </c:spPr>
          <c:marker>
            <c:symbol val="circle"/>
            <c:size val="7"/>
            <c:spPr>
              <a:solidFill>
                <a:srgbClr val="FF9999"/>
              </a:solidFill>
              <a:ln w="12700">
                <a:solidFill>
                  <a:srgbClr val="FF0000"/>
                </a:solidFill>
                <a:prstDash val="solid"/>
              </a:ln>
            </c:spPr>
          </c:marker>
          <c:errBars>
            <c:errDir val="y"/>
            <c:errBarType val="both"/>
            <c:errValType val="cust"/>
            <c:noEndCap val="0"/>
            <c:plus>
              <c:numRef>
                <c:f>'Com HDD trend model from 2009'!$CG$37</c:f>
              </c:numRef>
            </c:plus>
            <c:minus>
              <c:numRef>
                <c:f>'Com HDD trend model from 2009'!$CG$37</c:f>
              </c:numRef>
            </c:minus>
          </c:errBars>
          <c:xVal>
            <c:numRef>
              <c:f>'Com HDD trend model from 2009'!$A$37:$A$37</c:f>
            </c:numRef>
          </c:xVal>
          <c:yVal>
            <c:numRef>
              <c:f>'Com HDD trend model from 2009'!$B$37:$B$37</c:f>
            </c:numRef>
          </c:yVal>
          <c:smooth val="0"/>
          <c:extLst>
            <c:ext xmlns:c16="http://schemas.microsoft.com/office/drawing/2014/chart" uri="{C3380CC4-5D6E-409C-BE32-E72D297353CC}">
              <c16:uniqueId val="{00000002-8863-403D-9755-787FBFE0A1F9}"/>
            </c:ext>
          </c:extLst>
        </c:ser>
        <c:dLbls>
          <c:showLegendKey val="0"/>
          <c:showVal val="0"/>
          <c:showCatName val="0"/>
          <c:showSerName val="0"/>
          <c:showPercent val="0"/>
          <c:showBubbleSize val="0"/>
        </c:dLbls>
        <c:axId val="84175872"/>
        <c:axId val="84182144"/>
      </c:scatterChart>
      <c:valAx>
        <c:axId val="84175872"/>
        <c:scaling>
          <c:orientation val="minMax"/>
        </c:scaling>
        <c:delete val="0"/>
        <c:axPos val="b"/>
        <c:title>
          <c:tx>
            <c:rich>
              <a:bodyPr/>
              <a:lstStyle/>
              <a:p>
                <a:pPr>
                  <a:defRPr/>
                </a:pPr>
                <a:r>
                  <a:rPr lang="en-US"/>
                  <a:t>Observation #</a:t>
                </a:r>
              </a:p>
            </c:rich>
          </c:tx>
          <c:overlay val="0"/>
        </c:title>
        <c:numFmt formatCode="0" sourceLinked="0"/>
        <c:majorTickMark val="out"/>
        <c:minorTickMark val="none"/>
        <c:tickLblPos val="nextTo"/>
        <c:crossAx val="84182144"/>
        <c:crossesAt val="1000"/>
        <c:crossBetween val="midCat"/>
      </c:valAx>
      <c:valAx>
        <c:axId val="84182144"/>
        <c:scaling>
          <c:orientation val="minMax"/>
          <c:min val="1000"/>
        </c:scaling>
        <c:delete val="0"/>
        <c:axPos val="l"/>
        <c:majorGridlines>
          <c:spPr>
            <a:ln w="3175">
              <a:solidFill>
                <a:srgbClr val="C0C0C0"/>
              </a:solidFill>
              <a:prstDash val="solid"/>
            </a:ln>
          </c:spPr>
        </c:majorGridlines>
        <c:title>
          <c:tx>
            <c:rich>
              <a:bodyPr/>
              <a:lstStyle/>
              <a:p>
                <a:pPr>
                  <a:defRPr/>
                </a:pPr>
                <a:r>
                  <a:rPr lang="en-US"/>
                  <a:t>_Commercial_Natural_Gas</a:t>
                </a:r>
              </a:p>
            </c:rich>
          </c:tx>
          <c:layout>
            <c:manualLayout>
              <c:xMode val="edge"/>
              <c:yMode val="edge"/>
              <c:x val="2.5776215582893967E-2"/>
              <c:y val="0.21829629629629629"/>
            </c:manualLayout>
          </c:layout>
          <c:overlay val="0"/>
        </c:title>
        <c:numFmt formatCode="General" sourceLinked="1"/>
        <c:majorTickMark val="out"/>
        <c:minorTickMark val="none"/>
        <c:tickLblPos val="nextTo"/>
        <c:crossAx val="84175872"/>
        <c:crossesAt val="0"/>
        <c:crossBetween val="midCat"/>
      </c:valAx>
      <c:spPr>
        <a:ln w="6350">
          <a:solidFill>
            <a:srgbClr val="808080"/>
          </a:solidFill>
          <a:prstDash val="solid"/>
        </a:ln>
      </c:spPr>
    </c:plotArea>
    <c:legend>
      <c:legendPos val="r"/>
      <c:overlay val="0"/>
    </c:legend>
    <c:plotVisOnly val="1"/>
    <c:dispBlanksAs val="gap"/>
    <c:showDLblsOverMax val="0"/>
  </c:chart>
  <c:spPr>
    <a:solidFill>
      <a:srgbClr val="F3F3F3"/>
    </a:solidFill>
    <a:ln w="6350">
      <a:solidFill>
        <a:srgbClr val="808080"/>
      </a:solidFill>
      <a:prstDash val="solid"/>
    </a:ln>
  </c:spPr>
  <c:txPr>
    <a:bodyPr/>
    <a:lstStyle/>
    <a:p>
      <a:pPr>
        <a:defRPr sz="1000">
          <a:latin typeface="+mn-lt"/>
          <a:ea typeface="+mn-lt"/>
          <a:cs typeface="+mn-lt"/>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Residual -vs- Observation #
</a:t>
            </a:r>
            <a:r>
              <a:rPr lang="en-US" sz="1000"/>
              <a:t>Com HDD trend model from 2009 for _Commercial_Natural_Gas
(2 variables, n=77)</a:t>
            </a:r>
          </a:p>
        </c:rich>
      </c:tx>
      <c:overlay val="0"/>
    </c:title>
    <c:autoTitleDeleted val="0"/>
    <c:plotArea>
      <c:layout/>
      <c:barChart>
        <c:barDir val="col"/>
        <c:grouping val="clustered"/>
        <c:varyColors val="0"/>
        <c:ser>
          <c:idx val="0"/>
          <c:order val="0"/>
          <c:tx>
            <c:v>Actual</c:v>
          </c:tx>
          <c:spPr>
            <a:solidFill>
              <a:srgbClr val="9999FF"/>
            </a:solidFill>
            <a:ln w="9525" cap="flat" cmpd="sng" algn="ctr">
              <a:solidFill>
                <a:srgbClr val="0000FF"/>
              </a:solidFill>
              <a:prstDash val="solid"/>
              <a:round/>
              <a:headEnd type="none" w="med" len="med"/>
              <a:tailEnd type="none" w="med" len="med"/>
            </a:ln>
            <a:effectLst/>
          </c:spPr>
          <c:invertIfNegative val="0"/>
          <c:cat>
            <c:numLit>
              <c:formatCode>General</c:formatCode>
              <c:ptCount val="7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76</c:v>
              </c:pt>
              <c:pt idx="75">
                <c:v>77</c:v>
              </c:pt>
              <c:pt idx="76">
                <c:v>78</c:v>
              </c:pt>
            </c:numLit>
          </c:cat>
          <c:val>
            <c:numLit>
              <c:formatCode>General</c:formatCode>
              <c:ptCount val="77"/>
              <c:pt idx="0">
                <c:v>496.30603556773531</c:v>
              </c:pt>
              <c:pt idx="1">
                <c:v>-22.058890260702356</c:v>
              </c:pt>
              <c:pt idx="2">
                <c:v>35.341430094146745</c:v>
              </c:pt>
              <c:pt idx="3">
                <c:v>-123.64716811620201</c:v>
              </c:pt>
              <c:pt idx="4">
                <c:v>267.36095856476004</c:v>
              </c:pt>
              <c:pt idx="5">
                <c:v>-13.733595876269874</c:v>
              </c:pt>
              <c:pt idx="6">
                <c:v>105.9013393441162</c:v>
              </c:pt>
              <c:pt idx="7">
                <c:v>176.53627456450204</c:v>
              </c:pt>
              <c:pt idx="8">
                <c:v>458.5968194417776</c:v>
              </c:pt>
              <c:pt idx="9">
                <c:v>47.000137002964038</c:v>
              </c:pt>
              <c:pt idx="10">
                <c:v>-569.46447274112961</c:v>
              </c:pt>
              <c:pt idx="11">
                <c:v>-269.09232325819357</c:v>
              </c:pt>
              <c:pt idx="12">
                <c:v>570.49403290791815</c:v>
              </c:pt>
              <c:pt idx="13">
                <c:v>548.74795943247409</c:v>
              </c:pt>
              <c:pt idx="14">
                <c:v>-326.81736965985328</c:v>
              </c:pt>
              <c:pt idx="15">
                <c:v>-264.16713241701746</c:v>
              </c:pt>
              <c:pt idx="16">
                <c:v>185.57366639993143</c:v>
              </c:pt>
              <c:pt idx="17">
                <c:v>-14.11437323163841</c:v>
              </c:pt>
              <c:pt idx="18">
                <c:v>-75.479438011252569</c:v>
              </c:pt>
              <c:pt idx="19">
                <c:v>80.1554972091335</c:v>
              </c:pt>
              <c:pt idx="20">
                <c:v>389.77372443801846</c:v>
              </c:pt>
              <c:pt idx="21">
                <c:v>43.597924261295702</c:v>
              </c:pt>
              <c:pt idx="22">
                <c:v>-393.25419807894559</c:v>
              </c:pt>
              <c:pt idx="23">
                <c:v>660.38996034574302</c:v>
              </c:pt>
              <c:pt idx="24">
                <c:v>191.0527885356878</c:v>
              </c:pt>
              <c:pt idx="25">
                <c:v>-100.37012481956208</c:v>
              </c:pt>
              <c:pt idx="26">
                <c:v>-246.7796979261193</c:v>
              </c:pt>
              <c:pt idx="27">
                <c:v>-463.66327447560616</c:v>
              </c:pt>
              <c:pt idx="28">
                <c:v>98.580309006593779</c:v>
              </c:pt>
              <c:pt idx="29">
                <c:v>17.504849412992826</c:v>
              </c:pt>
              <c:pt idx="30">
                <c:v>-145.86021536662111</c:v>
              </c:pt>
              <c:pt idx="31">
                <c:v>328.77471985376451</c:v>
              </c:pt>
              <c:pt idx="32">
                <c:v>89.293494752288098</c:v>
              </c:pt>
              <c:pt idx="33">
                <c:v>-5.8704174618505931</c:v>
              </c:pt>
              <c:pt idx="34">
                <c:v>-782.25387410436906</c:v>
              </c:pt>
              <c:pt idx="35">
                <c:v>-555.73041812810516</c:v>
              </c:pt>
              <c:pt idx="36">
                <c:v>567.7230697246423</c:v>
              </c:pt>
              <c:pt idx="37">
                <c:v>-102.48282500933328</c:v>
              </c:pt>
              <c:pt idx="38">
                <c:v>-245.53820886862741</c:v>
              </c:pt>
              <c:pt idx="39">
                <c:v>-388.86985766523958</c:v>
              </c:pt>
              <c:pt idx="40">
                <c:v>-142.10434835330216</c:v>
              </c:pt>
              <c:pt idx="41">
                <c:v>182.11532025255246</c:v>
              </c:pt>
              <c:pt idx="42">
                <c:v>-274.24099272198964</c:v>
              </c:pt>
              <c:pt idx="43">
                <c:v>412.39394249839597</c:v>
              </c:pt>
              <c:pt idx="44">
                <c:v>154.94692899856364</c:v>
              </c:pt>
              <c:pt idx="45">
                <c:v>149.41389605118184</c:v>
              </c:pt>
              <c:pt idx="46">
                <c:v>-1021.7119191022148</c:v>
              </c:pt>
              <c:pt idx="47">
                <c:v>-724.98548773789662</c:v>
              </c:pt>
              <c:pt idx="48">
                <c:v>-795.73886073230187</c:v>
              </c:pt>
              <c:pt idx="49">
                <c:v>-586.60432332123673</c:v>
              </c:pt>
              <c:pt idx="50">
                <c:v>-243.26610753759178</c:v>
              </c:pt>
              <c:pt idx="51">
                <c:v>-466.22915331725017</c:v>
              </c:pt>
              <c:pt idx="52">
                <c:v>-8.9720443181213341</c:v>
              </c:pt>
              <c:pt idx="53">
                <c:v>16.743294702255298</c:v>
              </c:pt>
              <c:pt idx="54">
                <c:v>238.37822992264137</c:v>
              </c:pt>
              <c:pt idx="55">
                <c:v>215.504811147277</c:v>
              </c:pt>
              <c:pt idx="56">
                <c:v>390.07848373215984</c:v>
              </c:pt>
              <c:pt idx="57">
                <c:v>203.28135171239592</c:v>
              </c:pt>
              <c:pt idx="58">
                <c:v>-395.57559065676196</c:v>
              </c:pt>
              <c:pt idx="59">
                <c:v>-736.93035871107622</c:v>
              </c:pt>
              <c:pt idx="60">
                <c:v>1286.6001651988536</c:v>
              </c:pt>
              <c:pt idx="61">
                <c:v>-32.637415329661053</c:v>
              </c:pt>
              <c:pt idx="62">
                <c:v>60.555997860977186</c:v>
              </c:pt>
              <c:pt idx="63">
                <c:v>-493.01803671936523</c:v>
              </c:pt>
              <c:pt idx="64">
                <c:v>569.51594756749091</c:v>
              </c:pt>
              <c:pt idx="65">
                <c:v>441.36251734688676</c:v>
              </c:pt>
              <c:pt idx="66">
                <c:v>389.99745256727283</c:v>
              </c:pt>
              <c:pt idx="67">
                <c:v>198.63238778765844</c:v>
              </c:pt>
              <c:pt idx="68">
                <c:v>251.17741810139796</c:v>
              </c:pt>
              <c:pt idx="69">
                <c:v>-36.982469702467824</c:v>
              </c:pt>
              <c:pt idx="70">
                <c:v>-309.62941506696006</c:v>
              </c:pt>
              <c:pt idx="71">
                <c:v>-301.47344226959649</c:v>
              </c:pt>
              <c:pt idx="72">
                <c:v>368.58382749898919</c:v>
              </c:pt>
              <c:pt idx="73">
                <c:v>1051.9665516095774</c:v>
              </c:pt>
              <c:pt idx="74">
                <c:v>-317.29617926980063</c:v>
              </c:pt>
              <c:pt idx="75">
                <c:v>-263.28248325833829</c:v>
              </c:pt>
              <c:pt idx="76">
                <c:v>319.9729881864464</c:v>
              </c:pt>
            </c:numLit>
          </c:val>
          <c:extLst>
            <c:ext xmlns:c16="http://schemas.microsoft.com/office/drawing/2014/chart" uri="{C3380CC4-5D6E-409C-BE32-E72D297353CC}">
              <c16:uniqueId val="{00000000-AE66-4E8A-B4C1-3D976BE28F3C}"/>
            </c:ext>
          </c:extLst>
        </c:ser>
        <c:dLbls>
          <c:showLegendKey val="0"/>
          <c:showVal val="0"/>
          <c:showCatName val="0"/>
          <c:showSerName val="0"/>
          <c:showPercent val="0"/>
          <c:showBubbleSize val="0"/>
        </c:dLbls>
        <c:gapWidth val="25"/>
        <c:axId val="84628992"/>
        <c:axId val="84630912"/>
      </c:barChart>
      <c:catAx>
        <c:axId val="84628992"/>
        <c:scaling>
          <c:orientation val="minMax"/>
        </c:scaling>
        <c:delete val="0"/>
        <c:axPos val="b"/>
        <c:title>
          <c:tx>
            <c:rich>
              <a:bodyPr/>
              <a:lstStyle/>
              <a:p>
                <a:pPr>
                  <a:defRPr/>
                </a:pPr>
                <a:r>
                  <a:rPr lang="en-US"/>
                  <a:t>Observation #
</a:t>
                </a:r>
                <a:r>
                  <a:rPr lang="en-US" sz="750"/>
                  <a:t>Lag 1 autocorrelation = 0.17,   Durbin-Watson statistic = 1.68</a:t>
                </a:r>
              </a:p>
            </c:rich>
          </c:tx>
          <c:overlay val="0"/>
        </c:title>
        <c:numFmt formatCode="General" sourceLinked="1"/>
        <c:majorTickMark val="none"/>
        <c:minorTickMark val="none"/>
        <c:tickLblPos val="low"/>
        <c:txPr>
          <a:bodyPr rot="-5400000" vert="horz"/>
          <a:lstStyle/>
          <a:p>
            <a:pPr>
              <a:defRPr/>
            </a:pPr>
            <a:endParaRPr lang="en-US"/>
          </a:p>
        </c:txPr>
        <c:crossAx val="84630912"/>
        <c:crossesAt val="0"/>
        <c:auto val="1"/>
        <c:lblAlgn val="ctr"/>
        <c:lblOffset val="100"/>
        <c:noMultiLvlLbl val="0"/>
      </c:catAx>
      <c:valAx>
        <c:axId val="84630912"/>
        <c:scaling>
          <c:orientation val="minMax"/>
        </c:scaling>
        <c:delete val="0"/>
        <c:axPos val="l"/>
        <c:majorGridlines>
          <c:spPr>
            <a:ln w="3175">
              <a:solidFill>
                <a:srgbClr val="C0C0C0"/>
              </a:solidFill>
              <a:prstDash val="solid"/>
            </a:ln>
          </c:spPr>
        </c:majorGridlines>
        <c:title>
          <c:tx>
            <c:rich>
              <a:bodyPr/>
              <a:lstStyle/>
              <a:p>
                <a:pPr>
                  <a:defRPr/>
                </a:pPr>
                <a:r>
                  <a:rPr lang="en-US"/>
                  <a:t>Residual</a:t>
                </a:r>
              </a:p>
            </c:rich>
          </c:tx>
          <c:overlay val="0"/>
        </c:title>
        <c:numFmt formatCode="General" sourceLinked="1"/>
        <c:majorTickMark val="out"/>
        <c:minorTickMark val="none"/>
        <c:tickLblPos val="nextTo"/>
        <c:crossAx val="84628992"/>
        <c:crosses val="autoZero"/>
        <c:crossBetween val="between"/>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Residual -vs- Predicted
</a:t>
            </a:r>
            <a:r>
              <a:rPr lang="en-US" sz="1000"/>
              <a:t>Com HDD trend model from 2009 for _Commercial_Natural_Gas
(2 variables, n=77)</a:t>
            </a:r>
          </a:p>
        </c:rich>
      </c:tx>
      <c:overlay val="0"/>
    </c:title>
    <c:autoTitleDeleted val="0"/>
    <c:plotArea>
      <c:layout/>
      <c:scatterChart>
        <c:scatterStyle val="lineMarker"/>
        <c:varyColors val="0"/>
        <c:ser>
          <c:idx val="0"/>
          <c:order val="0"/>
          <c:tx>
            <c:v>Actual</c:v>
          </c:tx>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77"/>
              <c:pt idx="0">
                <c:v>8463.6939644322647</c:v>
              </c:pt>
              <c:pt idx="1">
                <c:v>6587.0588902607024</c:v>
              </c:pt>
              <c:pt idx="2">
                <c:v>5634.6585699058533</c:v>
              </c:pt>
              <c:pt idx="3">
                <c:v>3284.647168116202</c:v>
              </c:pt>
              <c:pt idx="4">
                <c:v>2196.63904143524</c:v>
              </c:pt>
              <c:pt idx="5">
                <c:v>1866.7335958762699</c:v>
              </c:pt>
              <c:pt idx="6">
                <c:v>1877.0986606558838</c:v>
              </c:pt>
              <c:pt idx="7">
                <c:v>1887.463725435498</c:v>
              </c:pt>
              <c:pt idx="8">
                <c:v>1991.4031805582224</c:v>
              </c:pt>
              <c:pt idx="9">
                <c:v>3550.999862997036</c:v>
              </c:pt>
              <c:pt idx="10">
                <c:v>4944.4644727411296</c:v>
              </c:pt>
              <c:pt idx="11">
                <c:v>8430.0923232581936</c:v>
              </c:pt>
              <c:pt idx="12">
                <c:v>9130.5059670920818</c:v>
              </c:pt>
              <c:pt idx="13">
                <c:v>8362.2520405675259</c:v>
              </c:pt>
              <c:pt idx="14">
                <c:v>5479.8173696598533</c:v>
              </c:pt>
              <c:pt idx="15">
                <c:v>2955.1671324170175</c:v>
              </c:pt>
              <c:pt idx="16">
                <c:v>2203.4263336000686</c:v>
              </c:pt>
              <c:pt idx="17">
                <c:v>1991.1143732316384</c:v>
              </c:pt>
              <c:pt idx="18">
                <c:v>2001.4794380112526</c:v>
              </c:pt>
              <c:pt idx="19">
                <c:v>2011.8445027908665</c:v>
              </c:pt>
              <c:pt idx="20">
                <c:v>2043.2262755619815</c:v>
              </c:pt>
              <c:pt idx="21">
                <c:v>3073.4020757387043</c:v>
              </c:pt>
              <c:pt idx="22">
                <c:v>5583.2541980789456</c:v>
              </c:pt>
              <c:pt idx="23">
                <c:v>9984.610039654257</c:v>
              </c:pt>
              <c:pt idx="24">
                <c:v>9330.9472114643122</c:v>
              </c:pt>
              <c:pt idx="25">
                <c:v>6269.3701248195621</c:v>
              </c:pt>
              <c:pt idx="26">
                <c:v>5706.7796979261193</c:v>
              </c:pt>
              <c:pt idx="27">
                <c:v>3224.6632744756062</c:v>
              </c:pt>
              <c:pt idx="28">
                <c:v>2469.4196909934062</c:v>
              </c:pt>
              <c:pt idx="29">
                <c:v>2115.4951505870072</c:v>
              </c:pt>
              <c:pt idx="30">
                <c:v>2125.8602153666211</c:v>
              </c:pt>
              <c:pt idx="31">
                <c:v>2136.2252801462355</c:v>
              </c:pt>
              <c:pt idx="32">
                <c:v>2292.7065052477119</c:v>
              </c:pt>
              <c:pt idx="33">
                <c:v>3936.8704174618506</c:v>
              </c:pt>
              <c:pt idx="34">
                <c:v>5228.2538741043691</c:v>
              </c:pt>
              <c:pt idx="35">
                <c:v>6636.7304181281052</c:v>
              </c:pt>
              <c:pt idx="36">
                <c:v>7504.2769302753577</c:v>
              </c:pt>
              <c:pt idx="37">
                <c:v>6685.4828250093333</c:v>
              </c:pt>
              <c:pt idx="38">
                <c:v>3790.5382088686274</c:v>
              </c:pt>
              <c:pt idx="39">
                <c:v>3758.8698576652396</c:v>
              </c:pt>
              <c:pt idx="40">
                <c:v>2347.1043483533022</c:v>
              </c:pt>
              <c:pt idx="41">
                <c:v>2250.8846797474475</c:v>
              </c:pt>
              <c:pt idx="42">
                <c:v>2250.2409927219896</c:v>
              </c:pt>
              <c:pt idx="43">
                <c:v>2260.606057501604</c:v>
              </c:pt>
              <c:pt idx="44">
                <c:v>2374.0530710014364</c:v>
              </c:pt>
              <c:pt idx="45">
                <c:v>3853.5861039488182</c:v>
              </c:pt>
              <c:pt idx="46">
                <c:v>6707.7119191022148</c:v>
              </c:pt>
              <c:pt idx="47">
                <c:v>6602.9854877378966</c:v>
              </c:pt>
              <c:pt idx="48">
                <c:v>7730.7388607323019</c:v>
              </c:pt>
              <c:pt idx="49">
                <c:v>7741.6043233212367</c:v>
              </c:pt>
              <c:pt idx="50">
                <c:v>7496.2661075375918</c:v>
              </c:pt>
              <c:pt idx="51">
                <c:v>3856.2291533172502</c:v>
              </c:pt>
              <c:pt idx="52">
                <c:v>3083.9720443181213</c:v>
              </c:pt>
              <c:pt idx="53">
                <c:v>2364.2567052977447</c:v>
              </c:pt>
              <c:pt idx="54">
                <c:v>2374.6217700773586</c:v>
              </c:pt>
              <c:pt idx="55">
                <c:v>2395.495188852723</c:v>
              </c:pt>
              <c:pt idx="56">
                <c:v>2482.9215162678402</c:v>
              </c:pt>
              <c:pt idx="57">
                <c:v>3665.7186482876041</c:v>
              </c:pt>
              <c:pt idx="58">
                <c:v>6810.575590656762</c:v>
              </c:pt>
              <c:pt idx="59">
                <c:v>7436.9303587110762</c:v>
              </c:pt>
              <c:pt idx="60">
                <c:v>10094.399834801146</c:v>
              </c:pt>
              <c:pt idx="61">
                <c:v>7428.6374153296611</c:v>
              </c:pt>
              <c:pt idx="62">
                <c:v>7365.4440021390228</c:v>
              </c:pt>
              <c:pt idx="63">
                <c:v>3865.0180367193652</c:v>
              </c:pt>
              <c:pt idx="64">
                <c:v>2744.4840524325091</c:v>
              </c:pt>
              <c:pt idx="65">
                <c:v>2488.6374826531132</c:v>
              </c:pt>
              <c:pt idx="66">
                <c:v>2499.0025474327272</c:v>
              </c:pt>
              <c:pt idx="67">
                <c:v>2509.3676122123416</c:v>
              </c:pt>
              <c:pt idx="68">
                <c:v>2632.822581898602</c:v>
              </c:pt>
              <c:pt idx="69">
                <c:v>3642.9824697024678</c:v>
              </c:pt>
              <c:pt idx="70">
                <c:v>7152.6294150669601</c:v>
              </c:pt>
              <c:pt idx="71">
                <c:v>7765.4734422695965</c:v>
              </c:pt>
              <c:pt idx="72">
                <c:v>9131.4161725010108</c:v>
              </c:pt>
              <c:pt idx="73">
                <c:v>9459.0334483904226</c:v>
              </c:pt>
              <c:pt idx="74">
                <c:v>3860.2961792698006</c:v>
              </c:pt>
              <c:pt idx="75">
                <c:v>2765.2824832583383</c:v>
              </c:pt>
              <c:pt idx="76">
                <c:v>2624.0270118135536</c:v>
              </c:pt>
            </c:numLit>
          </c:xVal>
          <c:yVal>
            <c:numLit>
              <c:formatCode>General</c:formatCode>
              <c:ptCount val="77"/>
              <c:pt idx="0">
                <c:v>496.30603556773531</c:v>
              </c:pt>
              <c:pt idx="1">
                <c:v>-22.058890260702356</c:v>
              </c:pt>
              <c:pt idx="2">
                <c:v>35.341430094146745</c:v>
              </c:pt>
              <c:pt idx="3">
                <c:v>-123.64716811620201</c:v>
              </c:pt>
              <c:pt idx="4">
                <c:v>267.36095856476004</c:v>
              </c:pt>
              <c:pt idx="5">
                <c:v>-13.733595876269874</c:v>
              </c:pt>
              <c:pt idx="6">
                <c:v>105.9013393441162</c:v>
              </c:pt>
              <c:pt idx="7">
                <c:v>176.53627456450204</c:v>
              </c:pt>
              <c:pt idx="8">
                <c:v>458.5968194417776</c:v>
              </c:pt>
              <c:pt idx="9">
                <c:v>47.000137002964038</c:v>
              </c:pt>
              <c:pt idx="10">
                <c:v>-569.46447274112961</c:v>
              </c:pt>
              <c:pt idx="11">
                <c:v>-269.09232325819357</c:v>
              </c:pt>
              <c:pt idx="12">
                <c:v>570.49403290791815</c:v>
              </c:pt>
              <c:pt idx="13">
                <c:v>548.74795943247409</c:v>
              </c:pt>
              <c:pt idx="14">
                <c:v>-326.81736965985328</c:v>
              </c:pt>
              <c:pt idx="15">
                <c:v>-264.16713241701746</c:v>
              </c:pt>
              <c:pt idx="16">
                <c:v>185.57366639993143</c:v>
              </c:pt>
              <c:pt idx="17">
                <c:v>-14.11437323163841</c:v>
              </c:pt>
              <c:pt idx="18">
                <c:v>-75.479438011252569</c:v>
              </c:pt>
              <c:pt idx="19">
                <c:v>80.1554972091335</c:v>
              </c:pt>
              <c:pt idx="20">
                <c:v>389.77372443801846</c:v>
              </c:pt>
              <c:pt idx="21">
                <c:v>43.597924261295702</c:v>
              </c:pt>
              <c:pt idx="22">
                <c:v>-393.25419807894559</c:v>
              </c:pt>
              <c:pt idx="23">
                <c:v>660.38996034574302</c:v>
              </c:pt>
              <c:pt idx="24">
                <c:v>191.0527885356878</c:v>
              </c:pt>
              <c:pt idx="25">
                <c:v>-100.37012481956208</c:v>
              </c:pt>
              <c:pt idx="26">
                <c:v>-246.7796979261193</c:v>
              </c:pt>
              <c:pt idx="27">
                <c:v>-463.66327447560616</c:v>
              </c:pt>
              <c:pt idx="28">
                <c:v>98.580309006593779</c:v>
              </c:pt>
              <c:pt idx="29">
                <c:v>17.504849412992826</c:v>
              </c:pt>
              <c:pt idx="30">
                <c:v>-145.86021536662111</c:v>
              </c:pt>
              <c:pt idx="31">
                <c:v>328.77471985376451</c:v>
              </c:pt>
              <c:pt idx="32">
                <c:v>89.293494752288098</c:v>
              </c:pt>
              <c:pt idx="33">
                <c:v>-5.8704174618505931</c:v>
              </c:pt>
              <c:pt idx="34">
                <c:v>-782.25387410436906</c:v>
              </c:pt>
              <c:pt idx="35">
                <c:v>-555.73041812810516</c:v>
              </c:pt>
              <c:pt idx="36">
                <c:v>567.7230697246423</c:v>
              </c:pt>
              <c:pt idx="37">
                <c:v>-102.48282500933328</c:v>
              </c:pt>
              <c:pt idx="38">
                <c:v>-245.53820886862741</c:v>
              </c:pt>
              <c:pt idx="39">
                <c:v>-388.86985766523958</c:v>
              </c:pt>
              <c:pt idx="40">
                <c:v>-142.10434835330216</c:v>
              </c:pt>
              <c:pt idx="41">
                <c:v>182.11532025255246</c:v>
              </c:pt>
              <c:pt idx="42">
                <c:v>-274.24099272198964</c:v>
              </c:pt>
              <c:pt idx="43">
                <c:v>412.39394249839597</c:v>
              </c:pt>
              <c:pt idx="44">
                <c:v>154.94692899856364</c:v>
              </c:pt>
              <c:pt idx="45">
                <c:v>149.41389605118184</c:v>
              </c:pt>
              <c:pt idx="46">
                <c:v>-1021.7119191022148</c:v>
              </c:pt>
              <c:pt idx="47">
                <c:v>-724.98548773789662</c:v>
              </c:pt>
              <c:pt idx="48">
                <c:v>-795.73886073230187</c:v>
              </c:pt>
              <c:pt idx="49">
                <c:v>-586.60432332123673</c:v>
              </c:pt>
              <c:pt idx="50">
                <c:v>-243.26610753759178</c:v>
              </c:pt>
              <c:pt idx="51">
                <c:v>-466.22915331725017</c:v>
              </c:pt>
              <c:pt idx="52">
                <c:v>-8.9720443181213341</c:v>
              </c:pt>
              <c:pt idx="53">
                <c:v>16.743294702255298</c:v>
              </c:pt>
              <c:pt idx="54">
                <c:v>238.37822992264137</c:v>
              </c:pt>
              <c:pt idx="55">
                <c:v>215.504811147277</c:v>
              </c:pt>
              <c:pt idx="56">
                <c:v>390.07848373215984</c:v>
              </c:pt>
              <c:pt idx="57">
                <c:v>203.28135171239592</c:v>
              </c:pt>
              <c:pt idx="58">
                <c:v>-395.57559065676196</c:v>
              </c:pt>
              <c:pt idx="59">
                <c:v>-736.93035871107622</c:v>
              </c:pt>
              <c:pt idx="60">
                <c:v>1286.6001651988536</c:v>
              </c:pt>
              <c:pt idx="61">
                <c:v>-32.637415329661053</c:v>
              </c:pt>
              <c:pt idx="62">
                <c:v>60.555997860977186</c:v>
              </c:pt>
              <c:pt idx="63">
                <c:v>-493.01803671936523</c:v>
              </c:pt>
              <c:pt idx="64">
                <c:v>569.51594756749091</c:v>
              </c:pt>
              <c:pt idx="65">
                <c:v>441.36251734688676</c:v>
              </c:pt>
              <c:pt idx="66">
                <c:v>389.99745256727283</c:v>
              </c:pt>
              <c:pt idx="67">
                <c:v>198.63238778765844</c:v>
              </c:pt>
              <c:pt idx="68">
                <c:v>251.17741810139796</c:v>
              </c:pt>
              <c:pt idx="69">
                <c:v>-36.982469702467824</c:v>
              </c:pt>
              <c:pt idx="70">
                <c:v>-309.62941506696006</c:v>
              </c:pt>
              <c:pt idx="71">
                <c:v>-301.47344226959649</c:v>
              </c:pt>
              <c:pt idx="72">
                <c:v>368.58382749898919</c:v>
              </c:pt>
              <c:pt idx="73">
                <c:v>1051.9665516095774</c:v>
              </c:pt>
              <c:pt idx="74">
                <c:v>-317.29617926980063</c:v>
              </c:pt>
              <c:pt idx="75">
                <c:v>-263.28248325833829</c:v>
              </c:pt>
              <c:pt idx="76">
                <c:v>319.9729881864464</c:v>
              </c:pt>
            </c:numLit>
          </c:yVal>
          <c:smooth val="0"/>
          <c:extLst>
            <c:ext xmlns:c16="http://schemas.microsoft.com/office/drawing/2014/chart" uri="{C3380CC4-5D6E-409C-BE32-E72D297353CC}">
              <c16:uniqueId val="{00000000-80E9-41CD-A11A-F429F0D88681}"/>
            </c:ext>
          </c:extLst>
        </c:ser>
        <c:dLbls>
          <c:showLegendKey val="0"/>
          <c:showVal val="0"/>
          <c:showCatName val="0"/>
          <c:showSerName val="0"/>
          <c:showPercent val="0"/>
          <c:showBubbleSize val="0"/>
        </c:dLbls>
        <c:axId val="85208064"/>
        <c:axId val="85210624"/>
      </c:scatterChart>
      <c:valAx>
        <c:axId val="85208064"/>
        <c:scaling>
          <c:orientation val="minMax"/>
          <c:min val="1000"/>
        </c:scaling>
        <c:delete val="0"/>
        <c:axPos val="b"/>
        <c:title>
          <c:tx>
            <c:rich>
              <a:bodyPr/>
              <a:lstStyle/>
              <a:p>
                <a:pPr>
                  <a:defRPr/>
                </a:pPr>
                <a:r>
                  <a:rPr lang="en-US"/>
                  <a:t>Predicted</a:t>
                </a:r>
              </a:p>
            </c:rich>
          </c:tx>
          <c:overlay val="0"/>
        </c:title>
        <c:numFmt formatCode="General" sourceLinked="1"/>
        <c:majorTickMark val="out"/>
        <c:minorTickMark val="none"/>
        <c:tickLblPos val="nextTo"/>
        <c:crossAx val="85210624"/>
        <c:crossesAt val="-1500"/>
        <c:crossBetween val="midCat"/>
      </c:valAx>
      <c:valAx>
        <c:axId val="85210624"/>
        <c:scaling>
          <c:orientation val="minMax"/>
        </c:scaling>
        <c:delete val="0"/>
        <c:axPos val="l"/>
        <c:majorGridlines>
          <c:spPr>
            <a:ln w="3175">
              <a:solidFill>
                <a:srgbClr val="C0C0C0"/>
              </a:solidFill>
              <a:prstDash val="solid"/>
            </a:ln>
          </c:spPr>
        </c:majorGridlines>
        <c:title>
          <c:tx>
            <c:rich>
              <a:bodyPr/>
              <a:lstStyle/>
              <a:p>
                <a:pPr>
                  <a:defRPr/>
                </a:pPr>
                <a:r>
                  <a:rPr lang="en-US"/>
                  <a:t>Residual</a:t>
                </a:r>
              </a:p>
            </c:rich>
          </c:tx>
          <c:overlay val="0"/>
        </c:title>
        <c:numFmt formatCode="General" sourceLinked="1"/>
        <c:majorTickMark val="out"/>
        <c:minorTickMark val="none"/>
        <c:tickLblPos val="nextTo"/>
        <c:crossAx val="85208064"/>
        <c:crossesAt val="0"/>
        <c:crossBetween val="midCat"/>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Histogram of Residuals
</a:t>
            </a:r>
            <a:r>
              <a:rPr lang="en-US" sz="1000"/>
              <a:t>Com HDD trend model from 2009 for _Commercial_Natural_Gas
(2 variables, n=77)</a:t>
            </a:r>
          </a:p>
        </c:rich>
      </c:tx>
      <c:overlay val="0"/>
    </c:title>
    <c:autoTitleDeleted val="0"/>
    <c:plotArea>
      <c:layout/>
      <c:barChart>
        <c:barDir val="col"/>
        <c:grouping val="clustered"/>
        <c:varyColors val="0"/>
        <c:ser>
          <c:idx val="0"/>
          <c:order val="0"/>
          <c:tx>
            <c:v>Actual</c:v>
          </c:tx>
          <c:spPr>
            <a:solidFill>
              <a:srgbClr val="9999FF"/>
            </a:solidFill>
            <a:ln w="9525" cap="flat" cmpd="sng" algn="ctr">
              <a:solidFill>
                <a:srgbClr val="0000FF"/>
              </a:solidFill>
              <a:prstDash val="solid"/>
              <a:round/>
              <a:headEnd type="none" w="med" len="med"/>
              <a:tailEnd type="none" w="med" len="med"/>
            </a:ln>
          </c:spPr>
          <c:invertIfNegative val="0"/>
          <c:cat>
            <c:strLit>
              <c:ptCount val="21"/>
              <c:pt idx="0">
                <c:v>-1,300</c:v>
              </c:pt>
              <c:pt idx="1">
                <c:v>-1,170</c:v>
              </c:pt>
              <c:pt idx="2">
                <c:v>-1,040</c:v>
              </c:pt>
              <c:pt idx="3">
                <c:v>-910</c:v>
              </c:pt>
              <c:pt idx="4">
                <c:v>-780</c:v>
              </c:pt>
              <c:pt idx="5">
                <c:v>-650</c:v>
              </c:pt>
              <c:pt idx="6">
                <c:v>-520</c:v>
              </c:pt>
              <c:pt idx="7">
                <c:v>-390</c:v>
              </c:pt>
              <c:pt idx="8">
                <c:v>-260</c:v>
              </c:pt>
              <c:pt idx="9">
                <c:v>-130</c:v>
              </c:pt>
              <c:pt idx="10">
                <c:v>0</c:v>
              </c:pt>
              <c:pt idx="11">
                <c:v>130</c:v>
              </c:pt>
              <c:pt idx="12">
                <c:v>260</c:v>
              </c:pt>
              <c:pt idx="13">
                <c:v>390</c:v>
              </c:pt>
              <c:pt idx="14">
                <c:v>520</c:v>
              </c:pt>
              <c:pt idx="15">
                <c:v>650</c:v>
              </c:pt>
              <c:pt idx="16">
                <c:v>780</c:v>
              </c:pt>
              <c:pt idx="17">
                <c:v>910</c:v>
              </c:pt>
              <c:pt idx="18">
                <c:v>1,040</c:v>
              </c:pt>
              <c:pt idx="19">
                <c:v>1,170</c:v>
              </c:pt>
              <c:pt idx="20">
                <c:v>1,300</c:v>
              </c:pt>
            </c:strLit>
          </c:cat>
          <c:val>
            <c:numLit>
              <c:formatCode>General</c:formatCode>
              <c:ptCount val="21"/>
              <c:pt idx="0">
                <c:v>0</c:v>
              </c:pt>
              <c:pt idx="1">
                <c:v>0</c:v>
              </c:pt>
              <c:pt idx="2">
                <c:v>1</c:v>
              </c:pt>
              <c:pt idx="3">
                <c:v>0</c:v>
              </c:pt>
              <c:pt idx="4">
                <c:v>4</c:v>
              </c:pt>
              <c:pt idx="5">
                <c:v>1</c:v>
              </c:pt>
              <c:pt idx="6">
                <c:v>5</c:v>
              </c:pt>
              <c:pt idx="7">
                <c:v>4</c:v>
              </c:pt>
              <c:pt idx="8">
                <c:v>10</c:v>
              </c:pt>
              <c:pt idx="9">
                <c:v>6</c:v>
              </c:pt>
              <c:pt idx="10">
                <c:v>13</c:v>
              </c:pt>
              <c:pt idx="11">
                <c:v>10</c:v>
              </c:pt>
              <c:pt idx="12">
                <c:v>7</c:v>
              </c:pt>
              <c:pt idx="13">
                <c:v>7</c:v>
              </c:pt>
              <c:pt idx="14">
                <c:v>6</c:v>
              </c:pt>
              <c:pt idx="15">
                <c:v>1</c:v>
              </c:pt>
              <c:pt idx="16">
                <c:v>0</c:v>
              </c:pt>
              <c:pt idx="17">
                <c:v>0</c:v>
              </c:pt>
              <c:pt idx="18">
                <c:v>1</c:v>
              </c:pt>
              <c:pt idx="19">
                <c:v>0</c:v>
              </c:pt>
              <c:pt idx="20">
                <c:v>1</c:v>
              </c:pt>
            </c:numLit>
          </c:val>
          <c:extLst>
            <c:ext xmlns:c16="http://schemas.microsoft.com/office/drawing/2014/chart" uri="{C3380CC4-5D6E-409C-BE32-E72D297353CC}">
              <c16:uniqueId val="{00000000-E8E3-4312-8F30-36D057AA5A6D}"/>
            </c:ext>
          </c:extLst>
        </c:ser>
        <c:ser>
          <c:idx val="1"/>
          <c:order val="1"/>
          <c:tx>
            <c:v>Theoretical</c:v>
          </c:tx>
          <c:spPr>
            <a:solidFill>
              <a:srgbClr val="FFD2D2"/>
            </a:solidFill>
            <a:ln w="9525">
              <a:solidFill>
                <a:srgbClr val="FF0000"/>
              </a:solidFill>
              <a:prstDash val="solid"/>
            </a:ln>
          </c:spPr>
          <c:invertIfNegative val="0"/>
          <c:cat>
            <c:strLit>
              <c:ptCount val="21"/>
              <c:pt idx="0">
                <c:v>-1,300</c:v>
              </c:pt>
              <c:pt idx="1">
                <c:v>-1,170</c:v>
              </c:pt>
              <c:pt idx="2">
                <c:v>-1,040</c:v>
              </c:pt>
              <c:pt idx="3">
                <c:v>-910</c:v>
              </c:pt>
              <c:pt idx="4">
                <c:v>-780</c:v>
              </c:pt>
              <c:pt idx="5">
                <c:v>-650</c:v>
              </c:pt>
              <c:pt idx="6">
                <c:v>-520</c:v>
              </c:pt>
              <c:pt idx="7">
                <c:v>-390</c:v>
              </c:pt>
              <c:pt idx="8">
                <c:v>-260</c:v>
              </c:pt>
              <c:pt idx="9">
                <c:v>-130</c:v>
              </c:pt>
              <c:pt idx="10">
                <c:v>0</c:v>
              </c:pt>
              <c:pt idx="11">
                <c:v>130</c:v>
              </c:pt>
              <c:pt idx="12">
                <c:v>260</c:v>
              </c:pt>
              <c:pt idx="13">
                <c:v>390</c:v>
              </c:pt>
              <c:pt idx="14">
                <c:v>520</c:v>
              </c:pt>
              <c:pt idx="15">
                <c:v>650</c:v>
              </c:pt>
              <c:pt idx="16">
                <c:v>780</c:v>
              </c:pt>
              <c:pt idx="17">
                <c:v>910</c:v>
              </c:pt>
              <c:pt idx="18">
                <c:v>1,040</c:v>
              </c:pt>
              <c:pt idx="19">
                <c:v>1,170</c:v>
              </c:pt>
              <c:pt idx="20">
                <c:v>1,300</c:v>
              </c:pt>
            </c:strLit>
          </c:cat>
          <c:val>
            <c:numLit>
              <c:formatCode>General</c:formatCode>
              <c:ptCount val="21"/>
              <c:pt idx="0">
                <c:v>7.309592060068959E-2</c:v>
              </c:pt>
              <c:pt idx="1">
                <c:v>0.18465105274046964</c:v>
              </c:pt>
              <c:pt idx="2">
                <c:v>0.42309522909455977</c:v>
              </c:pt>
              <c:pt idx="3">
                <c:v>0.87933600820904301</c:v>
              </c:pt>
              <c:pt idx="4">
                <c:v>1.6576940730612957</c:v>
              </c:pt>
              <c:pt idx="5">
                <c:v>2.8345806553446851</c:v>
              </c:pt>
              <c:pt idx="6">
                <c:v>4.3965291960994355</c:v>
              </c:pt>
              <c:pt idx="7">
                <c:v>6.1854214683249857</c:v>
              </c:pt>
              <c:pt idx="8">
                <c:v>7.8934704667671021</c:v>
              </c:pt>
              <c:pt idx="9">
                <c:v>9.1370682401634298</c:v>
              </c:pt>
              <c:pt idx="10">
                <c:v>9.5937067500367021</c:v>
              </c:pt>
              <c:pt idx="11">
                <c:v>9.1370682401634298</c:v>
              </c:pt>
              <c:pt idx="12">
                <c:v>7.8934704667671056</c:v>
              </c:pt>
              <c:pt idx="13">
                <c:v>6.1854214683249751</c:v>
              </c:pt>
              <c:pt idx="14">
                <c:v>4.3965291960994364</c:v>
              </c:pt>
              <c:pt idx="15">
                <c:v>2.8345806553446948</c:v>
              </c:pt>
              <c:pt idx="16">
                <c:v>1.6576940730612932</c:v>
              </c:pt>
              <c:pt idx="17">
                <c:v>0.87933600820903735</c:v>
              </c:pt>
              <c:pt idx="18">
                <c:v>0.42309522909457087</c:v>
              </c:pt>
              <c:pt idx="19">
                <c:v>0.18465105274046323</c:v>
              </c:pt>
              <c:pt idx="20">
                <c:v>7.3095920600692921E-2</c:v>
              </c:pt>
            </c:numLit>
          </c:val>
          <c:extLst>
            <c:ext xmlns:c16="http://schemas.microsoft.com/office/drawing/2014/chart" uri="{C3380CC4-5D6E-409C-BE32-E72D297353CC}">
              <c16:uniqueId val="{00000001-E8E3-4312-8F30-36D057AA5A6D}"/>
            </c:ext>
          </c:extLst>
        </c:ser>
        <c:dLbls>
          <c:showLegendKey val="0"/>
          <c:showVal val="0"/>
          <c:showCatName val="0"/>
          <c:showSerName val="0"/>
          <c:showPercent val="0"/>
          <c:showBubbleSize val="0"/>
        </c:dLbls>
        <c:gapWidth val="50"/>
        <c:axId val="85244928"/>
        <c:axId val="85247104"/>
      </c:barChart>
      <c:catAx>
        <c:axId val="85244928"/>
        <c:scaling>
          <c:orientation val="minMax"/>
        </c:scaling>
        <c:delete val="0"/>
        <c:axPos val="b"/>
        <c:title>
          <c:tx>
            <c:rich>
              <a:bodyPr/>
              <a:lstStyle/>
              <a:p>
                <a:pPr>
                  <a:defRPr/>
                </a:pPr>
                <a:r>
                  <a:rPr lang="en-US"/>
                  <a:t>Residual Range
</a:t>
                </a:r>
                <a:r>
                  <a:rPr lang="en-US" sz="750"/>
                  <a:t>Adjusted Anderson-Darling statistic is 0.258 (P=0.717)</a:t>
                </a:r>
              </a:p>
            </c:rich>
          </c:tx>
          <c:overlay val="0"/>
        </c:title>
        <c:numFmt formatCode="General" sourceLinked="0"/>
        <c:majorTickMark val="out"/>
        <c:minorTickMark val="none"/>
        <c:tickLblPos val="nextTo"/>
        <c:crossAx val="85247104"/>
        <c:crosses val="autoZero"/>
        <c:auto val="1"/>
        <c:lblAlgn val="ctr"/>
        <c:lblOffset val="100"/>
        <c:noMultiLvlLbl val="0"/>
      </c:catAx>
      <c:valAx>
        <c:axId val="85247104"/>
        <c:scaling>
          <c:orientation val="minMax"/>
        </c:scaling>
        <c:delete val="0"/>
        <c:axPos val="l"/>
        <c:majorGridlines>
          <c:spPr>
            <a:ln w="3175">
              <a:solidFill>
                <a:srgbClr val="C0C0C0"/>
              </a:solidFill>
              <a:prstDash val="solid"/>
            </a:ln>
          </c:spPr>
        </c:majorGridlines>
        <c:title>
          <c:tx>
            <c:rich>
              <a:bodyPr/>
              <a:lstStyle/>
              <a:p>
                <a:pPr>
                  <a:defRPr/>
                </a:pPr>
                <a:r>
                  <a:rPr lang="en-US"/>
                  <a:t>Frequency</a:t>
                </a:r>
              </a:p>
            </c:rich>
          </c:tx>
          <c:overlay val="0"/>
        </c:title>
        <c:numFmt formatCode="General" sourceLinked="1"/>
        <c:majorTickMark val="out"/>
        <c:minorTickMark val="none"/>
        <c:tickLblPos val="nextTo"/>
        <c:crossAx val="85244928"/>
        <c:crosses val="autoZero"/>
        <c:crossBetween val="between"/>
      </c:valAx>
      <c:spPr>
        <a:ln w="6350">
          <a:solidFill>
            <a:srgbClr val="808080"/>
          </a:solidFill>
          <a:prstDash val="solid"/>
        </a:ln>
      </c:spPr>
    </c:plotArea>
    <c:legend>
      <c:legendPos val="r"/>
      <c:overlay val="0"/>
    </c:legend>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Normal Quantile Plot
</a:t>
            </a:r>
            <a:r>
              <a:rPr lang="en-US" sz="1000"/>
              <a:t>Com HDD trend model from 2009 for _Commercial_Natural_Gas
(2 variables, n=77)</a:t>
            </a:r>
          </a:p>
        </c:rich>
      </c:tx>
      <c:overlay val="0"/>
    </c:title>
    <c:autoTitleDeleted val="0"/>
    <c:plotArea>
      <c:layout/>
      <c:scatterChart>
        <c:scatterStyle val="lineMarker"/>
        <c:varyColors val="0"/>
        <c:ser>
          <c:idx val="0"/>
          <c:order val="0"/>
          <c:tx>
            <c:v>Actual</c:v>
          </c:tx>
          <c:spPr>
            <a:ln w="25400">
              <a:noFill/>
            </a:ln>
          </c:spPr>
          <c:marker>
            <c:symbol val="diamond"/>
            <c:size val="6"/>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77"/>
              <c:pt idx="0">
                <c:v>-2.2316058352609232</c:v>
              </c:pt>
              <c:pt idx="1">
                <c:v>-1.9491119969398878</c:v>
              </c:pt>
              <c:pt idx="2">
                <c:v>-1.7688250385187059</c:v>
              </c:pt>
              <c:pt idx="3">
                <c:v>-1.6325479658463484</c:v>
              </c:pt>
              <c:pt idx="4">
                <c:v>-1.5212180464259339</c:v>
              </c:pt>
              <c:pt idx="5">
                <c:v>-1.4260768722728474</c:v>
              </c:pt>
              <c:pt idx="6">
                <c:v>-1.3423356800772619</c:v>
              </c:pt>
              <c:pt idx="7">
                <c:v>-1.2670757512664441</c:v>
              </c:pt>
              <c:pt idx="8">
                <c:v>-1.1983797023069247</c:v>
              </c:pt>
              <c:pt idx="9">
                <c:v>-1.1349166179934915</c:v>
              </c:pt>
              <c:pt idx="10">
                <c:v>-1.0757227225615089</c:v>
              </c:pt>
              <c:pt idx="11">
                <c:v>-1.020076232786199</c:v>
              </c:pt>
              <c:pt idx="12">
                <c:v>-0.96742156610170071</c:v>
              </c:pt>
              <c:pt idx="13">
                <c:v>-0.91732118561922948</c:v>
              </c:pt>
              <c:pt idx="14">
                <c:v>-0.86942377328888587</c:v>
              </c:pt>
              <c:pt idx="15">
                <c:v>-0.82344248722381863</c:v>
              </c:pt>
              <c:pt idx="16">
                <c:v>-0.77913968367299147</c:v>
              </c:pt>
              <c:pt idx="17">
                <c:v>-0.73631591737612934</c:v>
              </c:pt>
              <c:pt idx="18">
                <c:v>-0.69480185236536429</c:v>
              </c:pt>
              <c:pt idx="19">
                <c:v>-0.65445220073200361</c:v>
              </c:pt>
              <c:pt idx="20">
                <c:v>-0.61514110459597382</c:v>
              </c:pt>
              <c:pt idx="21">
                <c:v>-0.57675856450779794</c:v>
              </c:pt>
              <c:pt idx="22">
                <c:v>-0.5392076393250993</c:v>
              </c:pt>
              <c:pt idx="23">
                <c:v>-0.50240222337335538</c:v>
              </c:pt>
              <c:pt idx="24">
                <c:v>-0.46626526137063579</c:v>
              </c:pt>
              <c:pt idx="25">
                <c:v>-0.43072729929545767</c:v>
              </c:pt>
              <c:pt idx="26">
                <c:v>-0.39572529581448734</c:v>
              </c:pt>
              <c:pt idx="27">
                <c:v>-0.36120163771131919</c:v>
              </c:pt>
              <c:pt idx="28">
                <c:v>-0.32710331634752854</c:v>
              </c:pt>
              <c:pt idx="29">
                <c:v>-0.29338123212119332</c:v>
              </c:pt>
              <c:pt idx="30">
                <c:v>-0.25998960123107034</c:v>
              </c:pt>
              <c:pt idx="31">
                <c:v>-0.22688544453587917</c:v>
              </c:pt>
              <c:pt idx="32">
                <c:v>-0.19402814242392633</c:v>
              </c:pt>
              <c:pt idx="33">
                <c:v>-0.16137904273423911</c:v>
              </c:pt>
              <c:pt idx="34">
                <c:v>-0.12890111114904174</c:v>
              </c:pt>
              <c:pt idx="35">
                <c:v>-9.6558615289639077E-2</c:v>
              </c:pt>
              <c:pt idx="36">
                <c:v>-6.4316835123874427E-2</c:v>
              </c:pt>
              <c:pt idx="37">
                <c:v>-3.2141793327338422E-2</c:v>
              </c:pt>
              <c:pt idx="38">
                <c:v>0</c:v>
              </c:pt>
              <c:pt idx="39">
                <c:v>3.2141793327338283E-2</c:v>
              </c:pt>
              <c:pt idx="40">
                <c:v>6.4316835123874427E-2</c:v>
              </c:pt>
              <c:pt idx="41">
                <c:v>9.6558615289639077E-2</c:v>
              </c:pt>
              <c:pt idx="42">
                <c:v>0.12890111114904187</c:v>
              </c:pt>
              <c:pt idx="43">
                <c:v>0.16137904273423911</c:v>
              </c:pt>
              <c:pt idx="44">
                <c:v>0.19402814242392619</c:v>
              </c:pt>
              <c:pt idx="45">
                <c:v>0.22688544453587917</c:v>
              </c:pt>
              <c:pt idx="46">
                <c:v>0.25998960123107023</c:v>
              </c:pt>
              <c:pt idx="47">
                <c:v>0.29338123212119344</c:v>
              </c:pt>
              <c:pt idx="48">
                <c:v>0.32710331634752854</c:v>
              </c:pt>
              <c:pt idx="49">
                <c:v>0.36120163771131936</c:v>
              </c:pt>
              <c:pt idx="50">
                <c:v>0.39572529581448734</c:v>
              </c:pt>
              <c:pt idx="51">
                <c:v>0.4307272992954575</c:v>
              </c:pt>
              <c:pt idx="52">
                <c:v>0.46626526137063601</c:v>
              </c:pt>
              <c:pt idx="53">
                <c:v>0.50240222337335538</c:v>
              </c:pt>
              <c:pt idx="54">
                <c:v>0.53920763932509952</c:v>
              </c:pt>
              <c:pt idx="55">
                <c:v>0.57675856450779794</c:v>
              </c:pt>
              <c:pt idx="56">
                <c:v>0.61514110459597326</c:v>
              </c:pt>
              <c:pt idx="57">
                <c:v>0.65445220073200361</c:v>
              </c:pt>
              <c:pt idx="58">
                <c:v>0.69480185236536429</c:v>
              </c:pt>
              <c:pt idx="59">
                <c:v>0.73631591737612956</c:v>
              </c:pt>
              <c:pt idx="60">
                <c:v>0.77913968367299147</c:v>
              </c:pt>
              <c:pt idx="61">
                <c:v>0.82344248722381752</c:v>
              </c:pt>
              <c:pt idx="62">
                <c:v>0.86942377328888587</c:v>
              </c:pt>
              <c:pt idx="63">
                <c:v>0.91732118561922948</c:v>
              </c:pt>
              <c:pt idx="64">
                <c:v>0.96742156610170071</c:v>
              </c:pt>
              <c:pt idx="65">
                <c:v>1.020076232786199</c:v>
              </c:pt>
              <c:pt idx="66">
                <c:v>1.0757227225615085</c:v>
              </c:pt>
              <c:pt idx="67">
                <c:v>1.1349166179934915</c:v>
              </c:pt>
              <c:pt idx="68">
                <c:v>1.1983797023069247</c:v>
              </c:pt>
              <c:pt idx="69">
                <c:v>1.2670757512664441</c:v>
              </c:pt>
              <c:pt idx="70">
                <c:v>1.3423356800772619</c:v>
              </c:pt>
              <c:pt idx="71">
                <c:v>1.4260768722728485</c:v>
              </c:pt>
              <c:pt idx="72">
                <c:v>1.5212180464259335</c:v>
              </c:pt>
              <c:pt idx="73">
                <c:v>1.632547965846348</c:v>
              </c:pt>
              <c:pt idx="74">
                <c:v>1.7688250385187059</c:v>
              </c:pt>
              <c:pt idx="75">
                <c:v>1.9491119969398871</c:v>
              </c:pt>
              <c:pt idx="76">
                <c:v>2.2316058352609245</c:v>
              </c:pt>
            </c:numLit>
          </c:xVal>
          <c:yVal>
            <c:numLit>
              <c:formatCode>General</c:formatCode>
              <c:ptCount val="77"/>
              <c:pt idx="0">
                <c:v>-2.4646050819166514</c:v>
              </c:pt>
              <c:pt idx="1">
                <c:v>-1.9195058835789072</c:v>
              </c:pt>
              <c:pt idx="2">
                <c:v>-1.8869769818881201</c:v>
              </c:pt>
              <c:pt idx="3">
                <c:v>-1.7776461966832331</c:v>
              </c:pt>
              <c:pt idx="4">
                <c:v>-1.7488324095942016</c:v>
              </c:pt>
              <c:pt idx="5">
                <c:v>-1.4150250861340514</c:v>
              </c:pt>
              <c:pt idx="6">
                <c:v>-1.373679808611848</c:v>
              </c:pt>
              <c:pt idx="7">
                <c:v>-1.3405500974264053</c:v>
              </c:pt>
              <c:pt idx="8">
                <c:v>-1.1892733519667948</c:v>
              </c:pt>
              <c:pt idx="9">
                <c:v>-1.1246523791296168</c:v>
              </c:pt>
              <c:pt idx="10">
                <c:v>-1.1184628868525226</c:v>
              </c:pt>
              <c:pt idx="11">
                <c:v>-0.95421967071845548</c:v>
              </c:pt>
              <c:pt idx="12">
                <c:v>-0.9486199357663202</c:v>
              </c:pt>
              <c:pt idx="13">
                <c:v>-0.93804389425946633</c:v>
              </c:pt>
              <c:pt idx="14">
                <c:v>-0.78835896407089412</c:v>
              </c:pt>
              <c:pt idx="15">
                <c:v>-0.76539165422308553</c:v>
              </c:pt>
              <c:pt idx="16">
                <c:v>-0.74689764856170382</c:v>
              </c:pt>
              <c:pt idx="17">
                <c:v>-0.72722355880260681</c:v>
              </c:pt>
              <c:pt idx="18">
                <c:v>-0.66153260199450081</c:v>
              </c:pt>
              <c:pt idx="19">
                <c:v>-0.64911282232046985</c:v>
              </c:pt>
              <c:pt idx="20">
                <c:v>-0.63723212468973423</c:v>
              </c:pt>
              <c:pt idx="21">
                <c:v>-0.63509814663640018</c:v>
              </c:pt>
              <c:pt idx="22">
                <c:v>-0.59528961760278964</c:v>
              </c:pt>
              <c:pt idx="23">
                <c:v>-0.59229485931228532</c:v>
              </c:pt>
              <c:pt idx="24">
                <c:v>-0.58681402622968737</c:v>
              </c:pt>
              <c:pt idx="25">
                <c:v>-0.35184852140896627</c:v>
              </c:pt>
              <c:pt idx="26">
                <c:v>-0.34278850287050883</c:v>
              </c:pt>
              <c:pt idx="27">
                <c:v>-0.29826552201874323</c:v>
              </c:pt>
              <c:pt idx="28">
                <c:v>-0.24721223918883239</c:v>
              </c:pt>
              <c:pt idx="29">
                <c:v>-0.24211591846777067</c:v>
              </c:pt>
              <c:pt idx="30">
                <c:v>-0.18207383414515624</c:v>
              </c:pt>
              <c:pt idx="31">
                <c:v>-8.9210256889850556E-2</c:v>
              </c:pt>
              <c:pt idx="32">
                <c:v>-7.8728982385552246E-2</c:v>
              </c:pt>
              <c:pt idx="33">
                <c:v>-5.3211137133195946E-2</c:v>
              </c:pt>
              <c:pt idx="34">
                <c:v>-3.4047127516464118E-2</c:v>
              </c:pt>
              <c:pt idx="35">
                <c:v>-3.312860460645959E-2</c:v>
              </c:pt>
              <c:pt idx="36">
                <c:v>-2.1642642713861751E-2</c:v>
              </c:pt>
              <c:pt idx="37">
                <c:v>-1.4160802510909907E-2</c:v>
              </c:pt>
              <c:pt idx="38">
                <c:v>4.0388693172403164E-2</c:v>
              </c:pt>
              <c:pt idx="39">
                <c:v>4.2225738992413317E-2</c:v>
              </c:pt>
              <c:pt idx="40">
                <c:v>8.5251690406796712E-2</c:v>
              </c:pt>
              <c:pt idx="41">
                <c:v>0.10516826092214444</c:v>
              </c:pt>
              <c:pt idx="42">
                <c:v>0.11337518369176958</c:v>
              </c:pt>
              <c:pt idx="43">
                <c:v>0.14607505039174082</c:v>
              </c:pt>
              <c:pt idx="44">
                <c:v>0.1933535687229492</c:v>
              </c:pt>
              <c:pt idx="45">
                <c:v>0.21539652893740038</c:v>
              </c:pt>
              <c:pt idx="46">
                <c:v>0.23779846942380473</c:v>
              </c:pt>
              <c:pt idx="47">
                <c:v>0.25545848516540304</c:v>
              </c:pt>
              <c:pt idx="48">
                <c:v>0.36042081983372526</c:v>
              </c:pt>
              <c:pt idx="49">
                <c:v>0.37376777298712699</c:v>
              </c:pt>
              <c:pt idx="50">
                <c:v>0.42584625988960123</c:v>
              </c:pt>
              <c:pt idx="51">
                <c:v>0.43930420639872741</c:v>
              </c:pt>
              <c:pt idx="52">
                <c:v>0.44764653590521558</c:v>
              </c:pt>
              <c:pt idx="53">
                <c:v>0.46086344373192778</c:v>
              </c:pt>
              <c:pt idx="54">
                <c:v>0.47914718740373829</c:v>
              </c:pt>
              <c:pt idx="55">
                <c:v>0.49036156192588665</c:v>
              </c:pt>
              <c:pt idx="56">
                <c:v>0.51984736871600601</c:v>
              </c:pt>
              <c:pt idx="57">
                <c:v>0.57502333671695383</c:v>
              </c:pt>
              <c:pt idx="58">
                <c:v>0.60589793418420246</c:v>
              </c:pt>
              <c:pt idx="59">
                <c:v>0.64493637087431577</c:v>
              </c:pt>
              <c:pt idx="60">
                <c:v>0.77184873545698363</c:v>
              </c:pt>
              <c:pt idx="61">
                <c:v>0.7930805447286231</c:v>
              </c:pt>
              <c:pt idx="62">
                <c:v>0.88910930506177155</c:v>
              </c:pt>
              <c:pt idx="63">
                <c:v>0.94022422963572772</c:v>
              </c:pt>
              <c:pt idx="64">
                <c:v>0.94076391354664113</c:v>
              </c:pt>
              <c:pt idx="65">
                <c:v>0.94095937942801178</c:v>
              </c:pt>
              <c:pt idx="66">
                <c:v>0.99478941904318519</c:v>
              </c:pt>
              <c:pt idx="67">
                <c:v>1.0646683109819319</c:v>
              </c:pt>
              <c:pt idx="68">
                <c:v>1.1062414273684751</c:v>
              </c:pt>
              <c:pt idx="69">
                <c:v>1.1972047644515877</c:v>
              </c:pt>
              <c:pt idx="70">
                <c:v>1.323706794667789</c:v>
              </c:pt>
              <c:pt idx="71">
                <c:v>1.3694791424124453</c:v>
              </c:pt>
              <c:pt idx="72">
                <c:v>1.3738039777795645</c:v>
              </c:pt>
              <c:pt idx="73">
                <c:v>1.3761633454794964</c:v>
              </c:pt>
              <c:pt idx="74">
                <c:v>1.5930130811677696</c:v>
              </c:pt>
              <c:pt idx="75">
                <c:v>2.537586241904183</c:v>
              </c:pt>
              <c:pt idx="76">
                <c:v>3.1035766993207274</c:v>
              </c:pt>
            </c:numLit>
          </c:yVal>
          <c:smooth val="0"/>
          <c:extLst>
            <c:ext xmlns:c16="http://schemas.microsoft.com/office/drawing/2014/chart" uri="{C3380CC4-5D6E-409C-BE32-E72D297353CC}">
              <c16:uniqueId val="{00000000-16A7-4A8D-B9CB-4B4EF5DCA0DE}"/>
            </c:ext>
          </c:extLst>
        </c:ser>
        <c:ser>
          <c:idx val="1"/>
          <c:order val="1"/>
          <c:tx>
            <c:v>Theoretical</c:v>
          </c:tx>
          <c:spPr>
            <a:ln w="12700">
              <a:solidFill>
                <a:srgbClr val="FF0000"/>
              </a:solidFill>
              <a:prstDash val="solid"/>
            </a:ln>
          </c:spPr>
          <c:marker>
            <c:symbol val="none"/>
          </c:marker>
          <c:xVal>
            <c:numLit>
              <c:formatCode>General</c:formatCode>
              <c:ptCount val="77"/>
              <c:pt idx="0">
                <c:v>-2.2316058352609232</c:v>
              </c:pt>
              <c:pt idx="1">
                <c:v>-1.9491119969398878</c:v>
              </c:pt>
              <c:pt idx="2">
                <c:v>-1.7688250385187059</c:v>
              </c:pt>
              <c:pt idx="3">
                <c:v>-1.6325479658463484</c:v>
              </c:pt>
              <c:pt idx="4">
                <c:v>-1.5212180464259339</c:v>
              </c:pt>
              <c:pt idx="5">
                <c:v>-1.4260768722728474</c:v>
              </c:pt>
              <c:pt idx="6">
                <c:v>-1.3423356800772619</c:v>
              </c:pt>
              <c:pt idx="7">
                <c:v>-1.2670757512664441</c:v>
              </c:pt>
              <c:pt idx="8">
                <c:v>-1.1983797023069247</c:v>
              </c:pt>
              <c:pt idx="9">
                <c:v>-1.1349166179934915</c:v>
              </c:pt>
              <c:pt idx="10">
                <c:v>-1.0757227225615089</c:v>
              </c:pt>
              <c:pt idx="11">
                <c:v>-1.020076232786199</c:v>
              </c:pt>
              <c:pt idx="12">
                <c:v>-0.96742156610170071</c:v>
              </c:pt>
              <c:pt idx="13">
                <c:v>-0.91732118561922948</c:v>
              </c:pt>
              <c:pt idx="14">
                <c:v>-0.86942377328888587</c:v>
              </c:pt>
              <c:pt idx="15">
                <c:v>-0.82344248722381863</c:v>
              </c:pt>
              <c:pt idx="16">
                <c:v>-0.77913968367299147</c:v>
              </c:pt>
              <c:pt idx="17">
                <c:v>-0.73631591737612934</c:v>
              </c:pt>
              <c:pt idx="18">
                <c:v>-0.69480185236536429</c:v>
              </c:pt>
              <c:pt idx="19">
                <c:v>-0.65445220073200361</c:v>
              </c:pt>
              <c:pt idx="20">
                <c:v>-0.61514110459597382</c:v>
              </c:pt>
              <c:pt idx="21">
                <c:v>-0.57675856450779794</c:v>
              </c:pt>
              <c:pt idx="22">
                <c:v>-0.5392076393250993</c:v>
              </c:pt>
              <c:pt idx="23">
                <c:v>-0.50240222337335538</c:v>
              </c:pt>
              <c:pt idx="24">
                <c:v>-0.46626526137063579</c:v>
              </c:pt>
              <c:pt idx="25">
                <c:v>-0.43072729929545767</c:v>
              </c:pt>
              <c:pt idx="26">
                <c:v>-0.39572529581448734</c:v>
              </c:pt>
              <c:pt idx="27">
                <c:v>-0.36120163771131919</c:v>
              </c:pt>
              <c:pt idx="28">
                <c:v>-0.32710331634752854</c:v>
              </c:pt>
              <c:pt idx="29">
                <c:v>-0.29338123212119332</c:v>
              </c:pt>
              <c:pt idx="30">
                <c:v>-0.25998960123107034</c:v>
              </c:pt>
              <c:pt idx="31">
                <c:v>-0.22688544453587917</c:v>
              </c:pt>
              <c:pt idx="32">
                <c:v>-0.19402814242392633</c:v>
              </c:pt>
              <c:pt idx="33">
                <c:v>-0.16137904273423911</c:v>
              </c:pt>
              <c:pt idx="34">
                <c:v>-0.12890111114904174</c:v>
              </c:pt>
              <c:pt idx="35">
                <c:v>-9.6558615289639077E-2</c:v>
              </c:pt>
              <c:pt idx="36">
                <c:v>-6.4316835123874427E-2</c:v>
              </c:pt>
              <c:pt idx="37">
                <c:v>-3.2141793327338422E-2</c:v>
              </c:pt>
              <c:pt idx="38">
                <c:v>0</c:v>
              </c:pt>
              <c:pt idx="39">
                <c:v>3.2141793327338283E-2</c:v>
              </c:pt>
              <c:pt idx="40">
                <c:v>6.4316835123874427E-2</c:v>
              </c:pt>
              <c:pt idx="41">
                <c:v>9.6558615289639077E-2</c:v>
              </c:pt>
              <c:pt idx="42">
                <c:v>0.12890111114904187</c:v>
              </c:pt>
              <c:pt idx="43">
                <c:v>0.16137904273423911</c:v>
              </c:pt>
              <c:pt idx="44">
                <c:v>0.19402814242392619</c:v>
              </c:pt>
              <c:pt idx="45">
                <c:v>0.22688544453587917</c:v>
              </c:pt>
              <c:pt idx="46">
                <c:v>0.25998960123107023</c:v>
              </c:pt>
              <c:pt idx="47">
                <c:v>0.29338123212119344</c:v>
              </c:pt>
              <c:pt idx="48">
                <c:v>0.32710331634752854</c:v>
              </c:pt>
              <c:pt idx="49">
                <c:v>0.36120163771131936</c:v>
              </c:pt>
              <c:pt idx="50">
                <c:v>0.39572529581448734</c:v>
              </c:pt>
              <c:pt idx="51">
                <c:v>0.4307272992954575</c:v>
              </c:pt>
              <c:pt idx="52">
                <c:v>0.46626526137063601</c:v>
              </c:pt>
              <c:pt idx="53">
                <c:v>0.50240222337335538</c:v>
              </c:pt>
              <c:pt idx="54">
                <c:v>0.53920763932509952</c:v>
              </c:pt>
              <c:pt idx="55">
                <c:v>0.57675856450779794</c:v>
              </c:pt>
              <c:pt idx="56">
                <c:v>0.61514110459597326</c:v>
              </c:pt>
              <c:pt idx="57">
                <c:v>0.65445220073200361</c:v>
              </c:pt>
              <c:pt idx="58">
                <c:v>0.69480185236536429</c:v>
              </c:pt>
              <c:pt idx="59">
                <c:v>0.73631591737612956</c:v>
              </c:pt>
              <c:pt idx="60">
                <c:v>0.77913968367299147</c:v>
              </c:pt>
              <c:pt idx="61">
                <c:v>0.82344248722381752</c:v>
              </c:pt>
              <c:pt idx="62">
                <c:v>0.86942377328888587</c:v>
              </c:pt>
              <c:pt idx="63">
                <c:v>0.91732118561922948</c:v>
              </c:pt>
              <c:pt idx="64">
                <c:v>0.96742156610170071</c:v>
              </c:pt>
              <c:pt idx="65">
                <c:v>1.020076232786199</c:v>
              </c:pt>
              <c:pt idx="66">
                <c:v>1.0757227225615085</c:v>
              </c:pt>
              <c:pt idx="67">
                <c:v>1.1349166179934915</c:v>
              </c:pt>
              <c:pt idx="68">
                <c:v>1.1983797023069247</c:v>
              </c:pt>
              <c:pt idx="69">
                <c:v>1.2670757512664441</c:v>
              </c:pt>
              <c:pt idx="70">
                <c:v>1.3423356800772619</c:v>
              </c:pt>
              <c:pt idx="71">
                <c:v>1.4260768722728485</c:v>
              </c:pt>
              <c:pt idx="72">
                <c:v>1.5212180464259335</c:v>
              </c:pt>
              <c:pt idx="73">
                <c:v>1.632547965846348</c:v>
              </c:pt>
              <c:pt idx="74">
                <c:v>1.7688250385187059</c:v>
              </c:pt>
              <c:pt idx="75">
                <c:v>1.9491119969398871</c:v>
              </c:pt>
              <c:pt idx="76">
                <c:v>2.2316058352609245</c:v>
              </c:pt>
            </c:numLit>
          </c:xVal>
          <c:yVal>
            <c:numLit>
              <c:formatCode>General</c:formatCode>
              <c:ptCount val="77"/>
              <c:pt idx="0">
                <c:v>-2.2316058352609232</c:v>
              </c:pt>
              <c:pt idx="1">
                <c:v>-1.9491119969398878</c:v>
              </c:pt>
              <c:pt idx="2">
                <c:v>-1.7688250385187059</c:v>
              </c:pt>
              <c:pt idx="3">
                <c:v>-1.6325479658463484</c:v>
              </c:pt>
              <c:pt idx="4">
                <c:v>-1.5212180464259339</c:v>
              </c:pt>
              <c:pt idx="5">
                <c:v>-1.4260768722728474</c:v>
              </c:pt>
              <c:pt idx="6">
                <c:v>-1.3423356800772619</c:v>
              </c:pt>
              <c:pt idx="7">
                <c:v>-1.2670757512664441</c:v>
              </c:pt>
              <c:pt idx="8">
                <c:v>-1.1983797023069247</c:v>
              </c:pt>
              <c:pt idx="9">
                <c:v>-1.1349166179934915</c:v>
              </c:pt>
              <c:pt idx="10">
                <c:v>-1.0757227225615089</c:v>
              </c:pt>
              <c:pt idx="11">
                <c:v>-1.020076232786199</c:v>
              </c:pt>
              <c:pt idx="12">
                <c:v>-0.96742156610170071</c:v>
              </c:pt>
              <c:pt idx="13">
                <c:v>-0.91732118561922948</c:v>
              </c:pt>
              <c:pt idx="14">
                <c:v>-0.86942377328888587</c:v>
              </c:pt>
              <c:pt idx="15">
                <c:v>-0.82344248722381863</c:v>
              </c:pt>
              <c:pt idx="16">
                <c:v>-0.77913968367299147</c:v>
              </c:pt>
              <c:pt idx="17">
                <c:v>-0.73631591737612934</c:v>
              </c:pt>
              <c:pt idx="18">
                <c:v>-0.69480185236536429</c:v>
              </c:pt>
              <c:pt idx="19">
                <c:v>-0.65445220073200361</c:v>
              </c:pt>
              <c:pt idx="20">
                <c:v>-0.61514110459597382</c:v>
              </c:pt>
              <c:pt idx="21">
                <c:v>-0.57675856450779794</c:v>
              </c:pt>
              <c:pt idx="22">
                <c:v>-0.5392076393250993</c:v>
              </c:pt>
              <c:pt idx="23">
                <c:v>-0.50240222337335538</c:v>
              </c:pt>
              <c:pt idx="24">
                <c:v>-0.46626526137063579</c:v>
              </c:pt>
              <c:pt idx="25">
                <c:v>-0.43072729929545767</c:v>
              </c:pt>
              <c:pt idx="26">
                <c:v>-0.39572529581448734</c:v>
              </c:pt>
              <c:pt idx="27">
                <c:v>-0.36120163771131919</c:v>
              </c:pt>
              <c:pt idx="28">
                <c:v>-0.32710331634752854</c:v>
              </c:pt>
              <c:pt idx="29">
                <c:v>-0.29338123212119332</c:v>
              </c:pt>
              <c:pt idx="30">
                <c:v>-0.25998960123107034</c:v>
              </c:pt>
              <c:pt idx="31">
                <c:v>-0.22688544453587917</c:v>
              </c:pt>
              <c:pt idx="32">
                <c:v>-0.19402814242392633</c:v>
              </c:pt>
              <c:pt idx="33">
                <c:v>-0.16137904273423911</c:v>
              </c:pt>
              <c:pt idx="34">
                <c:v>-0.12890111114904174</c:v>
              </c:pt>
              <c:pt idx="35">
                <c:v>-9.6558615289639077E-2</c:v>
              </c:pt>
              <c:pt idx="36">
                <c:v>-6.4316835123874427E-2</c:v>
              </c:pt>
              <c:pt idx="37">
                <c:v>-3.2141793327338422E-2</c:v>
              </c:pt>
              <c:pt idx="38">
                <c:v>0</c:v>
              </c:pt>
              <c:pt idx="39">
                <c:v>3.2141793327338283E-2</c:v>
              </c:pt>
              <c:pt idx="40">
                <c:v>6.4316835123874427E-2</c:v>
              </c:pt>
              <c:pt idx="41">
                <c:v>9.6558615289639077E-2</c:v>
              </c:pt>
              <c:pt idx="42">
                <c:v>0.12890111114904187</c:v>
              </c:pt>
              <c:pt idx="43">
                <c:v>0.16137904273423911</c:v>
              </c:pt>
              <c:pt idx="44">
                <c:v>0.19402814242392619</c:v>
              </c:pt>
              <c:pt idx="45">
                <c:v>0.22688544453587917</c:v>
              </c:pt>
              <c:pt idx="46">
                <c:v>0.25998960123107023</c:v>
              </c:pt>
              <c:pt idx="47">
                <c:v>0.29338123212119344</c:v>
              </c:pt>
              <c:pt idx="48">
                <c:v>0.32710331634752854</c:v>
              </c:pt>
              <c:pt idx="49">
                <c:v>0.36120163771131936</c:v>
              </c:pt>
              <c:pt idx="50">
                <c:v>0.39572529581448734</c:v>
              </c:pt>
              <c:pt idx="51">
                <c:v>0.4307272992954575</c:v>
              </c:pt>
              <c:pt idx="52">
                <c:v>0.46626526137063601</c:v>
              </c:pt>
              <c:pt idx="53">
                <c:v>0.50240222337335538</c:v>
              </c:pt>
              <c:pt idx="54">
                <c:v>0.53920763932509952</c:v>
              </c:pt>
              <c:pt idx="55">
                <c:v>0.57675856450779794</c:v>
              </c:pt>
              <c:pt idx="56">
                <c:v>0.61514110459597326</c:v>
              </c:pt>
              <c:pt idx="57">
                <c:v>0.65445220073200361</c:v>
              </c:pt>
              <c:pt idx="58">
                <c:v>0.69480185236536429</c:v>
              </c:pt>
              <c:pt idx="59">
                <c:v>0.73631591737612956</c:v>
              </c:pt>
              <c:pt idx="60">
                <c:v>0.77913968367299147</c:v>
              </c:pt>
              <c:pt idx="61">
                <c:v>0.82344248722381752</c:v>
              </c:pt>
              <c:pt idx="62">
                <c:v>0.86942377328888587</c:v>
              </c:pt>
              <c:pt idx="63">
                <c:v>0.91732118561922948</c:v>
              </c:pt>
              <c:pt idx="64">
                <c:v>0.96742156610170071</c:v>
              </c:pt>
              <c:pt idx="65">
                <c:v>1.020076232786199</c:v>
              </c:pt>
              <c:pt idx="66">
                <c:v>1.0757227225615085</c:v>
              </c:pt>
              <c:pt idx="67">
                <c:v>1.1349166179934915</c:v>
              </c:pt>
              <c:pt idx="68">
                <c:v>1.1983797023069247</c:v>
              </c:pt>
              <c:pt idx="69">
                <c:v>1.2670757512664441</c:v>
              </c:pt>
              <c:pt idx="70">
                <c:v>1.3423356800772619</c:v>
              </c:pt>
              <c:pt idx="71">
                <c:v>1.4260768722728485</c:v>
              </c:pt>
              <c:pt idx="72">
                <c:v>1.5212180464259335</c:v>
              </c:pt>
              <c:pt idx="73">
                <c:v>1.632547965846348</c:v>
              </c:pt>
              <c:pt idx="74">
                <c:v>1.7688250385187059</c:v>
              </c:pt>
              <c:pt idx="75">
                <c:v>1.9491119969398871</c:v>
              </c:pt>
              <c:pt idx="76">
                <c:v>2.2316058352609245</c:v>
              </c:pt>
            </c:numLit>
          </c:yVal>
          <c:smooth val="0"/>
          <c:extLst>
            <c:ext xmlns:c16="http://schemas.microsoft.com/office/drawing/2014/chart" uri="{C3380CC4-5D6E-409C-BE32-E72D297353CC}">
              <c16:uniqueId val="{00000001-16A7-4A8D-B9CB-4B4EF5DCA0DE}"/>
            </c:ext>
          </c:extLst>
        </c:ser>
        <c:dLbls>
          <c:showLegendKey val="0"/>
          <c:showVal val="0"/>
          <c:showCatName val="0"/>
          <c:showSerName val="0"/>
          <c:showPercent val="0"/>
          <c:showBubbleSize val="0"/>
        </c:dLbls>
        <c:axId val="85272064"/>
        <c:axId val="85273984"/>
      </c:scatterChart>
      <c:valAx>
        <c:axId val="85272064"/>
        <c:scaling>
          <c:orientation val="minMax"/>
        </c:scaling>
        <c:delete val="0"/>
        <c:axPos val="b"/>
        <c:title>
          <c:tx>
            <c:rich>
              <a:bodyPr/>
              <a:lstStyle/>
              <a:p>
                <a:pPr>
                  <a:defRPr/>
                </a:pPr>
                <a:r>
                  <a:rPr lang="en-US"/>
                  <a:t>Theoretical Standardized Residual
</a:t>
                </a:r>
                <a:r>
                  <a:rPr lang="en-US" sz="750"/>
                  <a:t>Adjusted Anderson-Darling statistic is 0.258 (P=0.717)</a:t>
                </a:r>
              </a:p>
            </c:rich>
          </c:tx>
          <c:overlay val="0"/>
        </c:title>
        <c:numFmt formatCode="General" sourceLinked="1"/>
        <c:majorTickMark val="out"/>
        <c:minorTickMark val="none"/>
        <c:tickLblPos val="nextTo"/>
        <c:crossAx val="85273984"/>
        <c:crosses val="autoZero"/>
        <c:crossBetween val="midCat"/>
      </c:valAx>
      <c:valAx>
        <c:axId val="85273984"/>
        <c:scaling>
          <c:orientation val="minMax"/>
        </c:scaling>
        <c:delete val="0"/>
        <c:axPos val="l"/>
        <c:title>
          <c:tx>
            <c:rich>
              <a:bodyPr/>
              <a:lstStyle/>
              <a:p>
                <a:pPr>
                  <a:defRPr/>
                </a:pPr>
                <a:r>
                  <a:rPr lang="en-US"/>
                  <a:t>Actual Standardized Residual</a:t>
                </a:r>
              </a:p>
            </c:rich>
          </c:tx>
          <c:overlay val="0"/>
        </c:title>
        <c:numFmt formatCode="General" sourceLinked="1"/>
        <c:majorTickMark val="out"/>
        <c:minorTickMark val="none"/>
        <c:tickLblPos val="nextTo"/>
        <c:crossAx val="85272064"/>
        <c:crossesAt val="-3"/>
        <c:crossBetween val="midCat"/>
      </c:valAx>
      <c:spPr>
        <a:ln w="6350">
          <a:solidFill>
            <a:srgbClr val="808080"/>
          </a:solidFill>
          <a:prstDash val="solid"/>
        </a:ln>
      </c:spPr>
    </c:plotArea>
    <c:legend>
      <c:legendPos val="r"/>
      <c:overlay val="0"/>
    </c:legend>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'Com HDD quadratic model'!$AA$2</c:f>
          <c:strCache>
            <c:ptCount val="1"/>
            <c:pt idx="0">
              <c:v>Forecasts and 95.0% confidence limits for means and forecasts
Com HDD quadratic model for _Commercial_Natural_Gas    (3 variables, n=77)</c:v>
            </c:pt>
          </c:strCache>
        </c:strRef>
      </c:tx>
      <c:overlay val="0"/>
      <c:txPr>
        <a:bodyPr/>
        <a:lstStyle/>
        <a:p>
          <a:pPr>
            <a:defRPr sz="1000"/>
          </a:pPr>
          <a:endParaRPr lang="en-US"/>
        </a:p>
      </c:txPr>
    </c:title>
    <c:autoTitleDeleted val="0"/>
    <c:plotArea>
      <c:layout/>
      <c:lineChart>
        <c:grouping val="standard"/>
        <c:varyColors val="0"/>
        <c:ser>
          <c:idx val="0"/>
          <c:order val="0"/>
          <c:tx>
            <c:v>Forecast</c:v>
          </c:tx>
          <c:spPr>
            <a:ln w="25400">
              <a:noFill/>
            </a:ln>
          </c:spPr>
          <c:marker>
            <c:symbol val="circle"/>
            <c:size val="7"/>
            <c:spPr>
              <a:solidFill>
                <a:srgbClr val="FF9999"/>
              </a:solidFill>
              <a:ln w="12700">
                <a:solidFill>
                  <a:srgbClr val="FF0000"/>
                </a:solidFill>
                <a:prstDash val="solid"/>
              </a:ln>
            </c:spPr>
          </c:marker>
          <c:errBars>
            <c:errDir val="y"/>
            <c:errBarType val="both"/>
            <c:errValType val="cust"/>
            <c:noEndCap val="0"/>
            <c:plus>
              <c:numRef>
                <c:f>'Com HDD quadratic model'!$CG$38</c:f>
              </c:numRef>
            </c:plus>
            <c:minus>
              <c:numRef>
                <c:f>'Com HDD quadratic model'!$CG$38</c:f>
              </c:numRef>
            </c:minus>
          </c:errBars>
          <c:val>
            <c:numRef>
              <c:f>'Com HDD quadratic model'!$B$38</c:f>
            </c:numRef>
          </c:val>
          <c:smooth val="0"/>
          <c:extLst>
            <c:ext xmlns:c15="http://schemas.microsoft.com/office/drawing/2012/chart" uri="{02D57815-91ED-43cb-92C2-25804820EDAC}">
              <c15:filteredCategoryTitle>
                <c15:cat>
                  <c:multiLvlStrRef>
                    <c:extLst>
                      <c:ext uri="{02D57815-91ED-43cb-92C2-25804820EDAC}">
                        <c15:formulaRef>
                          <c15:sqref>'Com HDD quadratic model'!$A$38</c15:sqref>
                        </c15:formulaRef>
                      </c:ext>
                    </c:extLst>
                  </c:multiLvlStrRef>
                </c15:cat>
              </c15:filteredCategoryTitle>
            </c:ext>
            <c:ext xmlns:c16="http://schemas.microsoft.com/office/drawing/2014/chart" uri="{C3380CC4-5D6E-409C-BE32-E72D297353CC}">
              <c16:uniqueId val="{00000000-7001-4728-A036-540E581C0A7C}"/>
            </c:ext>
          </c:extLst>
        </c:ser>
        <c:ser>
          <c:idx val="1"/>
          <c:order val="1"/>
          <c:tx>
            <c:strRef>
              <c:f>'Com HDD quadratic model'!$H$37</c:f>
              <c:strCache>
                <c:ptCount val="1"/>
                <c:pt idx="0">
                  <c:v>Upper95%M</c:v>
                </c:pt>
              </c:strCache>
            </c:strRef>
          </c:tx>
          <c:spPr>
            <a:ln w="25400">
              <a:noFill/>
            </a:ln>
          </c:spPr>
          <c:marker>
            <c:symbol val="dash"/>
            <c:size val="7"/>
            <c:spPr>
              <a:noFill/>
              <a:ln w="12700">
                <a:solidFill>
                  <a:srgbClr val="000000"/>
                </a:solidFill>
              </a:ln>
              <a:extLst>
                <a:ext uri="{909E8E84-426E-40DD-AFC4-6F175D3DCCD1}">
                  <a14:hiddenFill xmlns:a14="http://schemas.microsoft.com/office/drawing/2010/main">
                    <a:solidFill>
                      <a:srgbClr val="ED7D31"/>
                    </a:solidFill>
                  </a14:hiddenFill>
                </a:ext>
              </a:extLst>
            </c:spPr>
          </c:marker>
          <c:val>
            <c:numRef>
              <c:f>'Com HDD quadratic model'!$H$38</c:f>
            </c:numRef>
          </c:val>
          <c:smooth val="0"/>
          <c:extLst>
            <c:ext xmlns:c15="http://schemas.microsoft.com/office/drawing/2012/chart" uri="{02D57815-91ED-43cb-92C2-25804820EDAC}">
              <c15:filteredCategoryTitle>
                <c15:cat>
                  <c:multiLvlStrRef>
                    <c:extLst>
                      <c:ext uri="{02D57815-91ED-43cb-92C2-25804820EDAC}">
                        <c15:formulaRef>
                          <c15:sqref>'Com HDD quadratic model'!$A$38</c15:sqref>
                        </c15:formulaRef>
                      </c:ext>
                    </c:extLst>
                  </c:multiLvlStrRef>
                </c15:cat>
              </c15:filteredCategoryTitle>
            </c:ext>
            <c:ext xmlns:c16="http://schemas.microsoft.com/office/drawing/2014/chart" uri="{C3380CC4-5D6E-409C-BE32-E72D297353CC}">
              <c16:uniqueId val="{00000001-7001-4728-A036-540E581C0A7C}"/>
            </c:ext>
          </c:extLst>
        </c:ser>
        <c:ser>
          <c:idx val="2"/>
          <c:order val="2"/>
          <c:tx>
            <c:strRef>
              <c:f>'Com HDD quadratic model'!$G$37</c:f>
              <c:strCache>
                <c:ptCount val="1"/>
                <c:pt idx="0">
                  <c:v>Lower95%M</c:v>
                </c:pt>
              </c:strCache>
            </c:strRef>
          </c:tx>
          <c:spPr>
            <a:ln w="25400">
              <a:noFill/>
            </a:ln>
          </c:spPr>
          <c:marker>
            <c:symbol val="dash"/>
            <c:size val="7"/>
            <c:spPr>
              <a:noFill/>
              <a:ln w="12700">
                <a:solidFill>
                  <a:srgbClr val="000000"/>
                </a:solidFill>
              </a:ln>
              <a:extLst>
                <a:ext uri="{909E8E84-426E-40DD-AFC4-6F175D3DCCD1}">
                  <a14:hiddenFill xmlns:a14="http://schemas.microsoft.com/office/drawing/2010/main">
                    <a:solidFill>
                      <a:srgbClr val="A5A5A5"/>
                    </a:solidFill>
                  </a14:hiddenFill>
                </a:ext>
              </a:extLst>
            </c:spPr>
          </c:marker>
          <c:val>
            <c:numRef>
              <c:f>'Com HDD quadratic model'!$G$38</c:f>
            </c:numRef>
          </c:val>
          <c:smooth val="0"/>
          <c:extLst>
            <c:ext xmlns:c15="http://schemas.microsoft.com/office/drawing/2012/chart" uri="{02D57815-91ED-43cb-92C2-25804820EDAC}">
              <c15:filteredCategoryTitle>
                <c15:cat>
                  <c:multiLvlStrRef>
                    <c:extLst>
                      <c:ext uri="{02D57815-91ED-43cb-92C2-25804820EDAC}">
                        <c15:formulaRef>
                          <c15:sqref>'Com HDD quadratic model'!$A$38</c15:sqref>
                        </c15:formulaRef>
                      </c:ext>
                    </c:extLst>
                  </c:multiLvlStrRef>
                </c15:cat>
              </c15:filteredCategoryTitle>
            </c:ext>
            <c:ext xmlns:c16="http://schemas.microsoft.com/office/drawing/2014/chart" uri="{C3380CC4-5D6E-409C-BE32-E72D297353CC}">
              <c16:uniqueId val="{00000002-7001-4728-A036-540E581C0A7C}"/>
            </c:ext>
          </c:extLst>
        </c:ser>
        <c:dLbls>
          <c:showLegendKey val="0"/>
          <c:showVal val="0"/>
          <c:showCatName val="0"/>
          <c:showSerName val="0"/>
          <c:showPercent val="0"/>
          <c:showBubbleSize val="0"/>
        </c:dLbls>
        <c:marker val="1"/>
        <c:smooth val="0"/>
        <c:axId val="85604992"/>
        <c:axId val="85623936"/>
      </c:lineChart>
      <c:catAx>
        <c:axId val="85604992"/>
        <c:scaling>
          <c:orientation val="minMax"/>
        </c:scaling>
        <c:delete val="0"/>
        <c:axPos val="b"/>
        <c:title>
          <c:tx>
            <c:rich>
              <a:bodyPr/>
              <a:lstStyle/>
              <a:p>
                <a:pPr>
                  <a:defRPr/>
                </a:pPr>
                <a:r>
                  <a:rPr lang="en-US"/>
                  <a:t>Observation #</a:t>
                </a:r>
              </a:p>
            </c:rich>
          </c:tx>
          <c:overlay val="0"/>
        </c:title>
        <c:numFmt formatCode="0" sourceLinked="1"/>
        <c:majorTickMark val="out"/>
        <c:minorTickMark val="none"/>
        <c:tickLblPos val="nextTo"/>
        <c:crossAx val="85623936"/>
        <c:crossesAt val="4800"/>
        <c:auto val="1"/>
        <c:lblAlgn val="ctr"/>
        <c:lblOffset val="100"/>
        <c:noMultiLvlLbl val="0"/>
      </c:catAx>
      <c:valAx>
        <c:axId val="85623936"/>
        <c:scaling>
          <c:orientation val="minMax"/>
          <c:min val="4800"/>
        </c:scaling>
        <c:delete val="0"/>
        <c:axPos val="l"/>
        <c:majorGridlines>
          <c:spPr>
            <a:ln w="3175">
              <a:solidFill>
                <a:srgbClr val="C0C0C0"/>
              </a:solidFill>
              <a:prstDash val="solid"/>
            </a:ln>
          </c:spPr>
        </c:majorGridlines>
        <c:title>
          <c:tx>
            <c:rich>
              <a:bodyPr/>
              <a:lstStyle/>
              <a:p>
                <a:pPr>
                  <a:defRPr/>
                </a:pPr>
                <a:r>
                  <a:rPr lang="en-US"/>
                  <a:t>_Commercial_Natural_Gas</a:t>
                </a:r>
              </a:p>
            </c:rich>
          </c:tx>
          <c:layout>
            <c:manualLayout>
              <c:xMode val="edge"/>
              <c:yMode val="edge"/>
              <c:x val="2.8097062579821201E-2"/>
              <c:y val="0.21829629629629629"/>
            </c:manualLayout>
          </c:layout>
          <c:overlay val="0"/>
        </c:title>
        <c:numFmt formatCode="General" sourceLinked="0"/>
        <c:majorTickMark val="out"/>
        <c:minorTickMark val="none"/>
        <c:tickLblPos val="nextTo"/>
        <c:crossAx val="85604992"/>
        <c:crosses val="autoZero"/>
        <c:crossBetween val="between"/>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txPr>
    <a:bodyPr/>
    <a:lstStyle/>
    <a:p>
      <a:pPr>
        <a:defRPr sz="1000">
          <a:latin typeface="Calibri"/>
          <a:ea typeface="Calibri"/>
          <a:cs typeface="Calibri"/>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'Com HDD quadratic model'!$AA$3</c:f>
          <c:strCache>
            <c:ptCount val="1"/>
            <c:pt idx="0">
              <c:v>Actual and predicted -vs- Observation # with 95.0% confidence limits
Com HDD quadratic model for _Commercial_Natural_Gas    (3 variables, n=77)</c:v>
            </c:pt>
          </c:strCache>
        </c:strRef>
      </c:tx>
      <c:overlay val="0"/>
      <c:txPr>
        <a:bodyPr/>
        <a:lstStyle/>
        <a:p>
          <a:pPr>
            <a:defRPr sz="1000">
              <a:latin typeface="Calibri"/>
              <a:ea typeface="Calibri"/>
              <a:cs typeface="Calibri"/>
            </a:defRPr>
          </a:pPr>
          <a:endParaRPr lang="en-US"/>
        </a:p>
      </c:txPr>
    </c:title>
    <c:autoTitleDeleted val="0"/>
    <c:plotArea>
      <c:layout/>
      <c:scatterChart>
        <c:scatterStyle val="lineMarker"/>
        <c:varyColors val="0"/>
        <c:ser>
          <c:idx val="0"/>
          <c:order val="0"/>
          <c:tx>
            <c:v>Actual</c:v>
          </c:tx>
          <c:spPr>
            <a:ln w="9525" cap="rnd" cmpd="sng" algn="ctr">
              <a:solidFill>
                <a:srgbClr val="0000FF"/>
              </a:solidFill>
              <a:prstDash val="solid"/>
              <a:round/>
              <a:headEnd type="none" w="med" len="med"/>
              <a:tailEnd type="none" w="med" len="med"/>
            </a:ln>
          </c:spPr>
          <c:marker>
            <c:symbol val="diamond"/>
            <c:size val="6"/>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7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76</c:v>
              </c:pt>
              <c:pt idx="75">
                <c:v>77</c:v>
              </c:pt>
              <c:pt idx="76">
                <c:v>78</c:v>
              </c:pt>
            </c:numLit>
          </c:xVal>
          <c:yVal>
            <c:numLit>
              <c:formatCode>General</c:formatCode>
              <c:ptCount val="77"/>
              <c:pt idx="0">
                <c:v>8960</c:v>
              </c:pt>
              <c:pt idx="1">
                <c:v>6565</c:v>
              </c:pt>
              <c:pt idx="2">
                <c:v>5670</c:v>
              </c:pt>
              <c:pt idx="3">
                <c:v>3161</c:v>
              </c:pt>
              <c:pt idx="4">
                <c:v>2464</c:v>
              </c:pt>
              <c:pt idx="5">
                <c:v>1853</c:v>
              </c:pt>
              <c:pt idx="6">
                <c:v>1983</c:v>
              </c:pt>
              <c:pt idx="7">
                <c:v>2064</c:v>
              </c:pt>
              <c:pt idx="8">
                <c:v>2450</c:v>
              </c:pt>
              <c:pt idx="9">
                <c:v>3598</c:v>
              </c:pt>
              <c:pt idx="10">
                <c:v>4375</c:v>
              </c:pt>
              <c:pt idx="11">
                <c:v>8161</c:v>
              </c:pt>
              <c:pt idx="12">
                <c:v>9701</c:v>
              </c:pt>
              <c:pt idx="13">
                <c:v>8911</c:v>
              </c:pt>
              <c:pt idx="14">
                <c:v>5153</c:v>
              </c:pt>
              <c:pt idx="15">
                <c:v>2691</c:v>
              </c:pt>
              <c:pt idx="16">
                <c:v>2389</c:v>
              </c:pt>
              <c:pt idx="17">
                <c:v>1977</c:v>
              </c:pt>
              <c:pt idx="18">
                <c:v>1926</c:v>
              </c:pt>
              <c:pt idx="19">
                <c:v>2092</c:v>
              </c:pt>
              <c:pt idx="20">
                <c:v>2433</c:v>
              </c:pt>
              <c:pt idx="21">
                <c:v>3117</c:v>
              </c:pt>
              <c:pt idx="22">
                <c:v>5190</c:v>
              </c:pt>
              <c:pt idx="23">
                <c:v>10645</c:v>
              </c:pt>
              <c:pt idx="24">
                <c:v>9522</c:v>
              </c:pt>
              <c:pt idx="25">
                <c:v>6169</c:v>
              </c:pt>
              <c:pt idx="26">
                <c:v>5460</c:v>
              </c:pt>
              <c:pt idx="27">
                <c:v>2761</c:v>
              </c:pt>
              <c:pt idx="28">
                <c:v>2568</c:v>
              </c:pt>
              <c:pt idx="29">
                <c:v>2133</c:v>
              </c:pt>
              <c:pt idx="30">
                <c:v>1980</c:v>
              </c:pt>
              <c:pt idx="31">
                <c:v>2465</c:v>
              </c:pt>
              <c:pt idx="32">
                <c:v>2382</c:v>
              </c:pt>
              <c:pt idx="33">
                <c:v>3931</c:v>
              </c:pt>
              <c:pt idx="34">
                <c:v>4446</c:v>
              </c:pt>
              <c:pt idx="35">
                <c:v>6081</c:v>
              </c:pt>
              <c:pt idx="36">
                <c:v>8072</c:v>
              </c:pt>
              <c:pt idx="37">
                <c:v>6583</c:v>
              </c:pt>
              <c:pt idx="38">
                <c:v>3545</c:v>
              </c:pt>
              <c:pt idx="39">
                <c:v>3370</c:v>
              </c:pt>
              <c:pt idx="40">
                <c:v>2205</c:v>
              </c:pt>
              <c:pt idx="41">
                <c:v>2433</c:v>
              </c:pt>
              <c:pt idx="42">
                <c:v>1976</c:v>
              </c:pt>
              <c:pt idx="43">
                <c:v>2673</c:v>
              </c:pt>
              <c:pt idx="44">
                <c:v>2529</c:v>
              </c:pt>
              <c:pt idx="45">
                <c:v>4003</c:v>
              </c:pt>
              <c:pt idx="46">
                <c:v>5686</c:v>
              </c:pt>
              <c:pt idx="47">
                <c:v>5878</c:v>
              </c:pt>
              <c:pt idx="48">
                <c:v>6935</c:v>
              </c:pt>
              <c:pt idx="49">
                <c:v>7155</c:v>
              </c:pt>
              <c:pt idx="50">
                <c:v>7253</c:v>
              </c:pt>
              <c:pt idx="51">
                <c:v>3390</c:v>
              </c:pt>
              <c:pt idx="52">
                <c:v>3075</c:v>
              </c:pt>
              <c:pt idx="53">
                <c:v>2381</c:v>
              </c:pt>
              <c:pt idx="54">
                <c:v>2613</c:v>
              </c:pt>
              <c:pt idx="55">
                <c:v>2611</c:v>
              </c:pt>
              <c:pt idx="56">
                <c:v>2873</c:v>
              </c:pt>
              <c:pt idx="57">
                <c:v>3869</c:v>
              </c:pt>
              <c:pt idx="58">
                <c:v>6415</c:v>
              </c:pt>
              <c:pt idx="59">
                <c:v>6700</c:v>
              </c:pt>
              <c:pt idx="60">
                <c:v>11381</c:v>
              </c:pt>
              <c:pt idx="61">
                <c:v>7396</c:v>
              </c:pt>
              <c:pt idx="62">
                <c:v>7426</c:v>
              </c:pt>
              <c:pt idx="63">
                <c:v>3372</c:v>
              </c:pt>
              <c:pt idx="64">
                <c:v>3314</c:v>
              </c:pt>
              <c:pt idx="65">
                <c:v>2930</c:v>
              </c:pt>
              <c:pt idx="66">
                <c:v>2889</c:v>
              </c:pt>
              <c:pt idx="67">
                <c:v>2708</c:v>
              </c:pt>
              <c:pt idx="68">
                <c:v>2884</c:v>
              </c:pt>
              <c:pt idx="69">
                <c:v>3606</c:v>
              </c:pt>
              <c:pt idx="70">
                <c:v>6843</c:v>
              </c:pt>
              <c:pt idx="71">
                <c:v>7464</c:v>
              </c:pt>
              <c:pt idx="72">
                <c:v>9500</c:v>
              </c:pt>
              <c:pt idx="73">
                <c:v>10511</c:v>
              </c:pt>
              <c:pt idx="74">
                <c:v>3543</c:v>
              </c:pt>
              <c:pt idx="75">
                <c:v>2502</c:v>
              </c:pt>
              <c:pt idx="76">
                <c:v>2944</c:v>
              </c:pt>
            </c:numLit>
          </c:yVal>
          <c:smooth val="0"/>
          <c:extLst>
            <c:ext xmlns:c16="http://schemas.microsoft.com/office/drawing/2014/chart" uri="{C3380CC4-5D6E-409C-BE32-E72D297353CC}">
              <c16:uniqueId val="{00000000-CA30-46DE-B459-96CBFD6A1D1F}"/>
            </c:ext>
          </c:extLst>
        </c:ser>
        <c:ser>
          <c:idx val="1"/>
          <c:order val="1"/>
          <c:tx>
            <c:v>Predicted</c:v>
          </c:tx>
          <c:spPr>
            <a:ln w="9525">
              <a:solidFill>
                <a:srgbClr val="FF0000"/>
              </a:solidFill>
              <a:prstDash val="sysDash"/>
            </a:ln>
          </c:spPr>
          <c:marker>
            <c:symbol val="circle"/>
            <c:size val="6"/>
            <c:spPr>
              <a:noFill/>
              <a:ln w="9525">
                <a:solidFill>
                  <a:srgbClr val="FF0000"/>
                </a:solidFill>
                <a:prstDash val="solid"/>
              </a:ln>
            </c:spPr>
          </c:marker>
          <c:xVal>
            <c:numLit>
              <c:formatCode>General</c:formatCode>
              <c:ptCount val="7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76</c:v>
              </c:pt>
              <c:pt idx="75">
                <c:v>77</c:v>
              </c:pt>
              <c:pt idx="76">
                <c:v>78</c:v>
              </c:pt>
            </c:numLit>
          </c:xVal>
          <c:yVal>
            <c:numLit>
              <c:formatCode>General</c:formatCode>
              <c:ptCount val="77"/>
              <c:pt idx="0">
                <c:v>8772.405353712471</c:v>
              </c:pt>
              <c:pt idx="1">
                <c:v>6310.2116458178534</c:v>
              </c:pt>
              <c:pt idx="2">
                <c:v>5228.0864182838604</c:v>
              </c:pt>
              <c:pt idx="3">
                <c:v>3043.1062184936795</c:v>
              </c:pt>
              <c:pt idx="4">
                <c:v>2265.9353170517797</c:v>
              </c:pt>
              <c:pt idx="5">
                <c:v>2062.5220634139641</c:v>
              </c:pt>
              <c:pt idx="6">
                <c:v>2072.9489401069909</c:v>
              </c:pt>
              <c:pt idx="7">
                <c:v>2083.3758168000172</c:v>
              </c:pt>
              <c:pt idx="8">
                <c:v>2151.1867850465328</c:v>
              </c:pt>
              <c:pt idx="9">
                <c:v>3268.4443319499551</c:v>
              </c:pt>
              <c:pt idx="10">
                <c:v>4516.8321760120889</c:v>
              </c:pt>
              <c:pt idx="11">
                <c:v>8677.8554136224848</c:v>
              </c:pt>
              <c:pt idx="12">
                <c:v>9689.4729240316028</c:v>
              </c:pt>
              <c:pt idx="13">
                <c:v>8574.4503906495411</c:v>
              </c:pt>
              <c:pt idx="14">
                <c:v>5057.7075298698373</c:v>
              </c:pt>
              <c:pt idx="15">
                <c:v>2824.7655669953924</c:v>
              </c:pt>
              <c:pt idx="16">
                <c:v>2315.5442502910346</c:v>
              </c:pt>
              <c:pt idx="17">
                <c:v>2187.6445837302817</c:v>
              </c:pt>
              <c:pt idx="18">
                <c:v>2198.0714604233081</c:v>
              </c:pt>
              <c:pt idx="19">
                <c:v>2208.4983371163344</c:v>
              </c:pt>
              <c:pt idx="20">
                <c:v>2231.7196878794512</c:v>
              </c:pt>
              <c:pt idx="21">
                <c:v>2928.3656944111617</c:v>
              </c:pt>
              <c:pt idx="22">
                <c:v>5162.5080722157754</c:v>
              </c:pt>
              <c:pt idx="23">
                <c:v>10943.158383693655</c:v>
              </c:pt>
              <c:pt idx="24">
                <c:v>9928.5408077036791</c:v>
              </c:pt>
              <c:pt idx="25">
                <c:v>5903.8171648935886</c:v>
              </c:pt>
              <c:pt idx="26">
                <c:v>5290.2762455386837</c:v>
              </c:pt>
              <c:pt idx="27">
                <c:v>3056.9456214829952</c:v>
              </c:pt>
              <c:pt idx="28">
                <c:v>2531.8139277001756</c:v>
              </c:pt>
              <c:pt idx="29">
                <c:v>2312.7671040465989</c:v>
              </c:pt>
              <c:pt idx="30">
                <c:v>2323.1939807396252</c:v>
              </c:pt>
              <c:pt idx="31">
                <c:v>2333.620857432652</c:v>
              </c:pt>
              <c:pt idx="32">
                <c:v>2434.12573626828</c:v>
              </c:pt>
              <c:pt idx="33">
                <c:v>3630.8874329103073</c:v>
              </c:pt>
              <c:pt idx="34">
                <c:v>4801.4891318067421</c:v>
              </c:pt>
              <c:pt idx="35">
                <c:v>6308.8652753965971</c:v>
              </c:pt>
              <c:pt idx="36">
                <c:v>7356.1510386967439</c:v>
              </c:pt>
              <c:pt idx="37">
                <c:v>6362.1839604728384</c:v>
              </c:pt>
              <c:pt idx="38">
                <c:v>3521.6121146704663</c:v>
              </c:pt>
              <c:pt idx="39">
                <c:v>3498.4224612289145</c:v>
              </c:pt>
              <c:pt idx="40">
                <c:v>2499.7504271450271</c:v>
              </c:pt>
              <c:pt idx="41">
                <c:v>2444.5847052192421</c:v>
              </c:pt>
              <c:pt idx="42">
                <c:v>2448.3165010559424</c:v>
              </c:pt>
              <c:pt idx="43">
                <c:v>2458.7433777489687</c:v>
              </c:pt>
              <c:pt idx="44">
                <c:v>2532.44518431509</c:v>
              </c:pt>
              <c:pt idx="45">
                <c:v>3586.9774640525347</c:v>
              </c:pt>
              <c:pt idx="46">
                <c:v>6373.8924162420844</c:v>
              </c:pt>
              <c:pt idx="47">
                <c:v>6252.6059337166189</c:v>
              </c:pt>
              <c:pt idx="48">
                <c:v>7610.7841673318417</c:v>
              </c:pt>
              <c:pt idx="49">
                <c:v>7621.8490618464375</c:v>
              </c:pt>
              <c:pt idx="50">
                <c:v>7310.2684529467924</c:v>
              </c:pt>
              <c:pt idx="51">
                <c:v>3602.0492938943562</c:v>
              </c:pt>
              <c:pt idx="52">
                <c:v>3028.9283331800825</c:v>
              </c:pt>
              <c:pt idx="53">
                <c:v>2563.0121446792336</c:v>
              </c:pt>
              <c:pt idx="54">
                <c:v>2573.43902137226</c:v>
              </c:pt>
              <c:pt idx="55">
                <c:v>2590.2563331627152</c:v>
              </c:pt>
              <c:pt idx="56">
                <c:v>2647.962074535661</c:v>
              </c:pt>
              <c:pt idx="57">
                <c:v>3467.9401560764909</c:v>
              </c:pt>
              <c:pt idx="58">
                <c:v>6474.2662415140758</c:v>
              </c:pt>
              <c:pt idx="59">
                <c:v>7215.7527933879483</c:v>
              </c:pt>
              <c:pt idx="60">
                <c:v>10899.840550978763</c:v>
              </c:pt>
              <c:pt idx="61">
                <c:v>7201.112468707468</c:v>
              </c:pt>
              <c:pt idx="62">
                <c:v>7122.0450155781718</c:v>
              </c:pt>
              <c:pt idx="63">
                <c:v>3636.2334713752816</c:v>
              </c:pt>
              <c:pt idx="64">
                <c:v>2843.791827425749</c:v>
              </c:pt>
              <c:pt idx="65">
                <c:v>2688.1346649955503</c:v>
              </c:pt>
              <c:pt idx="66">
                <c:v>2698.5615416885771</c:v>
              </c:pt>
              <c:pt idx="67">
                <c:v>2708.9884183816034</c:v>
              </c:pt>
              <c:pt idx="68">
                <c:v>2788.9031380273759</c:v>
              </c:pt>
              <c:pt idx="69">
                <c:v>3482.188620037773</c:v>
              </c:pt>
              <c:pt idx="70">
                <c:v>6852.3835500563346</c:v>
              </c:pt>
              <c:pt idx="71">
                <c:v>7593.49030817107</c:v>
              </c:pt>
              <c:pt idx="72">
                <c:v>9411.4450925459023</c:v>
              </c:pt>
              <c:pt idx="73">
                <c:v>9877.5865782864803</c:v>
              </c:pt>
              <c:pt idx="74">
                <c:v>3661.7344013198954</c:v>
              </c:pt>
              <c:pt idx="75">
                <c:v>2903.2537802207526</c:v>
              </c:pt>
              <c:pt idx="76">
                <c:v>2819.9522661681935</c:v>
              </c:pt>
            </c:numLit>
          </c:yVal>
          <c:smooth val="0"/>
          <c:extLst>
            <c:ext xmlns:c16="http://schemas.microsoft.com/office/drawing/2014/chart" uri="{C3380CC4-5D6E-409C-BE32-E72D297353CC}">
              <c16:uniqueId val="{00000001-CA30-46DE-B459-96CBFD6A1D1F}"/>
            </c:ext>
          </c:extLst>
        </c:ser>
        <c:ser>
          <c:idx val="2"/>
          <c:order val="2"/>
          <c:tx>
            <c:v>Forecast</c:v>
          </c:tx>
          <c:spPr>
            <a:ln w="25400">
              <a:noFill/>
            </a:ln>
          </c:spPr>
          <c:marker>
            <c:symbol val="circle"/>
            <c:size val="7"/>
            <c:spPr>
              <a:solidFill>
                <a:srgbClr val="FF9999"/>
              </a:solidFill>
              <a:ln w="12700">
                <a:solidFill>
                  <a:srgbClr val="FF0000"/>
                </a:solidFill>
                <a:prstDash val="solid"/>
              </a:ln>
            </c:spPr>
          </c:marker>
          <c:errBars>
            <c:errDir val="y"/>
            <c:errBarType val="both"/>
            <c:errValType val="cust"/>
            <c:noEndCap val="0"/>
            <c:plus>
              <c:numRef>
                <c:f>'Com HDD quadratic model'!$CG$38</c:f>
              </c:numRef>
            </c:plus>
            <c:minus>
              <c:numRef>
                <c:f>'Com HDD quadratic model'!$CG$38</c:f>
              </c:numRef>
            </c:minus>
          </c:errBars>
          <c:xVal>
            <c:numRef>
              <c:f>'Com HDD quadratic model'!$A$38:$A$38</c:f>
            </c:numRef>
          </c:xVal>
          <c:yVal>
            <c:numRef>
              <c:f>'Com HDD quadratic model'!$B$38:$B$38</c:f>
            </c:numRef>
          </c:yVal>
          <c:smooth val="0"/>
          <c:extLst>
            <c:ext xmlns:c16="http://schemas.microsoft.com/office/drawing/2014/chart" uri="{C3380CC4-5D6E-409C-BE32-E72D297353CC}">
              <c16:uniqueId val="{00000002-CA30-46DE-B459-96CBFD6A1D1F}"/>
            </c:ext>
          </c:extLst>
        </c:ser>
        <c:dLbls>
          <c:showLegendKey val="0"/>
          <c:showVal val="0"/>
          <c:showCatName val="0"/>
          <c:showSerName val="0"/>
          <c:showPercent val="0"/>
          <c:showBubbleSize val="0"/>
        </c:dLbls>
        <c:axId val="85654528"/>
        <c:axId val="85787776"/>
      </c:scatterChart>
      <c:valAx>
        <c:axId val="85654528"/>
        <c:scaling>
          <c:orientation val="minMax"/>
        </c:scaling>
        <c:delete val="0"/>
        <c:axPos val="b"/>
        <c:title>
          <c:tx>
            <c:rich>
              <a:bodyPr/>
              <a:lstStyle/>
              <a:p>
                <a:pPr>
                  <a:defRPr/>
                </a:pPr>
                <a:r>
                  <a:rPr lang="en-US"/>
                  <a:t>Observation #</a:t>
                </a:r>
              </a:p>
            </c:rich>
          </c:tx>
          <c:overlay val="0"/>
        </c:title>
        <c:numFmt formatCode="0" sourceLinked="0"/>
        <c:majorTickMark val="out"/>
        <c:minorTickMark val="none"/>
        <c:tickLblPos val="nextTo"/>
        <c:crossAx val="85787776"/>
        <c:crossesAt val="1000"/>
        <c:crossBetween val="midCat"/>
      </c:valAx>
      <c:valAx>
        <c:axId val="85787776"/>
        <c:scaling>
          <c:orientation val="minMax"/>
          <c:min val="1000"/>
        </c:scaling>
        <c:delete val="0"/>
        <c:axPos val="l"/>
        <c:majorGridlines>
          <c:spPr>
            <a:ln w="3175">
              <a:solidFill>
                <a:srgbClr val="C0C0C0"/>
              </a:solidFill>
              <a:prstDash val="solid"/>
            </a:ln>
          </c:spPr>
        </c:majorGridlines>
        <c:title>
          <c:tx>
            <c:rich>
              <a:bodyPr/>
              <a:lstStyle/>
              <a:p>
                <a:pPr>
                  <a:defRPr/>
                </a:pPr>
                <a:r>
                  <a:rPr lang="en-US"/>
                  <a:t>_Commercial_Natural_Gas</a:t>
                </a:r>
              </a:p>
            </c:rich>
          </c:tx>
          <c:layout>
            <c:manualLayout>
              <c:xMode val="edge"/>
              <c:yMode val="edge"/>
              <c:x val="2.8097062579821201E-2"/>
              <c:y val="0.21829629629629629"/>
            </c:manualLayout>
          </c:layout>
          <c:overlay val="0"/>
        </c:title>
        <c:numFmt formatCode="General" sourceLinked="1"/>
        <c:majorTickMark val="out"/>
        <c:minorTickMark val="none"/>
        <c:tickLblPos val="nextTo"/>
        <c:crossAx val="85654528"/>
        <c:crossesAt val="0"/>
        <c:crossBetween val="midCat"/>
      </c:valAx>
      <c:spPr>
        <a:ln w="6350">
          <a:solidFill>
            <a:srgbClr val="808080"/>
          </a:solidFill>
          <a:prstDash val="solid"/>
        </a:ln>
      </c:spPr>
    </c:plotArea>
    <c:legend>
      <c:legendPos val="r"/>
      <c:overlay val="0"/>
    </c:legend>
    <c:plotVisOnly val="1"/>
    <c:dispBlanksAs val="gap"/>
    <c:showDLblsOverMax val="0"/>
  </c:chart>
  <c:spPr>
    <a:solidFill>
      <a:srgbClr val="F3F3F3"/>
    </a:solidFill>
    <a:ln w="6350">
      <a:solidFill>
        <a:srgbClr val="808080"/>
      </a:solidFill>
      <a:prstDash val="solid"/>
    </a:ln>
  </c:spPr>
  <c:txPr>
    <a:bodyPr/>
    <a:lstStyle/>
    <a:p>
      <a:pPr>
        <a:defRPr sz="1000">
          <a:latin typeface="+mn-lt"/>
          <a:ea typeface="+mn-lt"/>
          <a:cs typeface="+mn-lt"/>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Residual -vs- Observation #
</a:t>
            </a:r>
            <a:r>
              <a:rPr lang="en-US" sz="1000"/>
              <a:t>Com HDD quadratic model for _Commercial_Natural_Gas    (3 variables, n=77)</a:t>
            </a:r>
          </a:p>
        </c:rich>
      </c:tx>
      <c:overlay val="0"/>
    </c:title>
    <c:autoTitleDeleted val="0"/>
    <c:plotArea>
      <c:layout/>
      <c:barChart>
        <c:barDir val="col"/>
        <c:grouping val="clustered"/>
        <c:varyColors val="0"/>
        <c:ser>
          <c:idx val="0"/>
          <c:order val="0"/>
          <c:tx>
            <c:v>Actual</c:v>
          </c:tx>
          <c:spPr>
            <a:solidFill>
              <a:srgbClr val="9999FF"/>
            </a:solidFill>
            <a:ln w="9525" cap="flat" cmpd="sng" algn="ctr">
              <a:solidFill>
                <a:srgbClr val="0000FF"/>
              </a:solidFill>
              <a:prstDash val="solid"/>
              <a:round/>
              <a:headEnd type="none" w="med" len="med"/>
              <a:tailEnd type="none" w="med" len="med"/>
            </a:ln>
            <a:effectLst/>
          </c:spPr>
          <c:invertIfNegative val="0"/>
          <c:cat>
            <c:numLit>
              <c:formatCode>General</c:formatCode>
              <c:ptCount val="7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76</c:v>
              </c:pt>
              <c:pt idx="75">
                <c:v>77</c:v>
              </c:pt>
              <c:pt idx="76">
                <c:v>78</c:v>
              </c:pt>
            </c:numLit>
          </c:cat>
          <c:val>
            <c:numLit>
              <c:formatCode>General</c:formatCode>
              <c:ptCount val="77"/>
              <c:pt idx="0">
                <c:v>187.59464628752903</c:v>
              </c:pt>
              <c:pt idx="1">
                <c:v>254.78835418214658</c:v>
              </c:pt>
              <c:pt idx="2">
                <c:v>441.91358171613956</c:v>
              </c:pt>
              <c:pt idx="3">
                <c:v>117.89378150632047</c:v>
              </c:pt>
              <c:pt idx="4">
                <c:v>198.06468294822025</c:v>
              </c:pt>
              <c:pt idx="5">
                <c:v>-209.52206341396413</c:v>
              </c:pt>
              <c:pt idx="6">
                <c:v>-89.948940106990904</c:v>
              </c:pt>
              <c:pt idx="7">
                <c:v>-19.375816800017219</c:v>
              </c:pt>
              <c:pt idx="8">
                <c:v>298.8132149534672</c:v>
              </c:pt>
              <c:pt idx="9">
                <c:v>329.55566805004491</c:v>
              </c:pt>
              <c:pt idx="10">
                <c:v>-141.83217601208889</c:v>
              </c:pt>
              <c:pt idx="11">
                <c:v>-516.85541362248478</c:v>
              </c:pt>
              <c:pt idx="12">
                <c:v>11.527075968397185</c:v>
              </c:pt>
              <c:pt idx="13">
                <c:v>336.54960935045892</c:v>
              </c:pt>
              <c:pt idx="14">
                <c:v>95.292470130162656</c:v>
              </c:pt>
              <c:pt idx="15">
                <c:v>-133.76556699539242</c:v>
              </c:pt>
              <c:pt idx="16">
                <c:v>73.455749708965413</c:v>
              </c:pt>
              <c:pt idx="17">
                <c:v>-210.64458373028174</c:v>
              </c:pt>
              <c:pt idx="18">
                <c:v>-272.07146042330805</c:v>
              </c:pt>
              <c:pt idx="19">
                <c:v>-116.49833711633437</c:v>
              </c:pt>
              <c:pt idx="20">
                <c:v>201.28031212054884</c:v>
              </c:pt>
              <c:pt idx="21">
                <c:v>188.63430558883829</c:v>
              </c:pt>
              <c:pt idx="22">
                <c:v>27.491927784224572</c:v>
              </c:pt>
              <c:pt idx="23">
                <c:v>-298.1583836936552</c:v>
              </c:pt>
              <c:pt idx="24">
                <c:v>-406.54080770367909</c:v>
              </c:pt>
              <c:pt idx="25">
                <c:v>265.1828351064114</c:v>
              </c:pt>
              <c:pt idx="26">
                <c:v>169.72375446131628</c:v>
              </c:pt>
              <c:pt idx="27">
                <c:v>-295.94562148299519</c:v>
              </c:pt>
              <c:pt idx="28">
                <c:v>36.186072299824446</c:v>
              </c:pt>
              <c:pt idx="29">
                <c:v>-179.76710404659889</c:v>
              </c:pt>
              <c:pt idx="30">
                <c:v>-343.1939807396252</c:v>
              </c:pt>
              <c:pt idx="31">
                <c:v>131.37914256734803</c:v>
              </c:pt>
              <c:pt idx="32">
                <c:v>-52.125736268279979</c:v>
              </c:pt>
              <c:pt idx="33">
                <c:v>300.11256708969267</c:v>
              </c:pt>
              <c:pt idx="34">
                <c:v>-355.48913180674208</c:v>
              </c:pt>
              <c:pt idx="35">
                <c:v>-227.8652753965971</c:v>
              </c:pt>
              <c:pt idx="36">
                <c:v>715.84896130325615</c:v>
              </c:pt>
              <c:pt idx="37">
                <c:v>220.81603952716159</c:v>
              </c:pt>
              <c:pt idx="38">
                <c:v>23.387885329533674</c:v>
              </c:pt>
              <c:pt idx="39">
                <c:v>-128.42246122891447</c:v>
              </c:pt>
              <c:pt idx="40">
                <c:v>-294.75042714502706</c:v>
              </c:pt>
              <c:pt idx="41">
                <c:v>-11.584705219242096</c:v>
              </c:pt>
              <c:pt idx="42">
                <c:v>-472.31650105594235</c:v>
              </c:pt>
              <c:pt idx="43">
                <c:v>214.25662225103133</c:v>
              </c:pt>
              <c:pt idx="44">
                <c:v>-3.4451843150900459</c:v>
              </c:pt>
              <c:pt idx="45">
                <c:v>416.02253594746526</c:v>
              </c:pt>
              <c:pt idx="46">
                <c:v>-687.89241624208444</c:v>
              </c:pt>
              <c:pt idx="47">
                <c:v>-374.60593371661889</c:v>
              </c:pt>
              <c:pt idx="48">
                <c:v>-675.78416733184167</c:v>
              </c:pt>
              <c:pt idx="49">
                <c:v>-466.84906184643751</c:v>
              </c:pt>
              <c:pt idx="50">
                <c:v>-57.268452946792422</c:v>
              </c:pt>
              <c:pt idx="51">
                <c:v>-212.0492938943562</c:v>
              </c:pt>
              <c:pt idx="52">
                <c:v>46.071666819917482</c:v>
              </c:pt>
              <c:pt idx="53">
                <c:v>-182.01214467923364</c:v>
              </c:pt>
              <c:pt idx="54">
                <c:v>39.560978627740042</c:v>
              </c:pt>
              <c:pt idx="55">
                <c:v>20.743666837284763</c:v>
              </c:pt>
              <c:pt idx="56">
                <c:v>225.03792546433897</c:v>
              </c:pt>
              <c:pt idx="57">
                <c:v>401.05984392350911</c:v>
              </c:pt>
              <c:pt idx="58">
                <c:v>-59.266241514075773</c:v>
              </c:pt>
              <c:pt idx="59">
                <c:v>-515.75279338794826</c:v>
              </c:pt>
              <c:pt idx="60">
                <c:v>481.15944902123738</c:v>
              </c:pt>
              <c:pt idx="61">
                <c:v>194.887531292532</c:v>
              </c:pt>
              <c:pt idx="62">
                <c:v>303.95498442182816</c:v>
              </c:pt>
              <c:pt idx="63">
                <c:v>-264.23347137528162</c:v>
              </c:pt>
              <c:pt idx="64">
                <c:v>470.20817257425097</c:v>
              </c:pt>
              <c:pt idx="65">
                <c:v>241.86533500444966</c:v>
              </c:pt>
              <c:pt idx="66">
                <c:v>190.43845831142289</c:v>
              </c:pt>
              <c:pt idx="67">
                <c:v>-0.98841838160342377</c:v>
              </c:pt>
              <c:pt idx="68">
                <c:v>95.096861972624083</c:v>
              </c:pt>
              <c:pt idx="69">
                <c:v>123.81137996222697</c:v>
              </c:pt>
              <c:pt idx="70">
                <c:v>-9.3835500563345704</c:v>
              </c:pt>
              <c:pt idx="71">
                <c:v>-129.49030817106996</c:v>
              </c:pt>
              <c:pt idx="72">
                <c:v>88.554907454097702</c:v>
              </c:pt>
              <c:pt idx="73">
                <c:v>633.41342171351971</c:v>
              </c:pt>
              <c:pt idx="74">
                <c:v>-118.73440131989537</c:v>
              </c:pt>
              <c:pt idx="75">
                <c:v>-401.25378022075256</c:v>
              </c:pt>
              <c:pt idx="76">
                <c:v>124.04773383180645</c:v>
              </c:pt>
            </c:numLit>
          </c:val>
          <c:extLst>
            <c:ext xmlns:c16="http://schemas.microsoft.com/office/drawing/2014/chart" uri="{C3380CC4-5D6E-409C-BE32-E72D297353CC}">
              <c16:uniqueId val="{00000000-B500-424C-84B5-E2899E194E06}"/>
            </c:ext>
          </c:extLst>
        </c:ser>
        <c:dLbls>
          <c:showLegendKey val="0"/>
          <c:showVal val="0"/>
          <c:showCatName val="0"/>
          <c:showSerName val="0"/>
          <c:showPercent val="0"/>
          <c:showBubbleSize val="0"/>
        </c:dLbls>
        <c:gapWidth val="25"/>
        <c:axId val="85874176"/>
        <c:axId val="85876096"/>
      </c:barChart>
      <c:catAx>
        <c:axId val="85874176"/>
        <c:scaling>
          <c:orientation val="minMax"/>
        </c:scaling>
        <c:delete val="0"/>
        <c:axPos val="b"/>
        <c:title>
          <c:tx>
            <c:rich>
              <a:bodyPr/>
              <a:lstStyle/>
              <a:p>
                <a:pPr>
                  <a:defRPr/>
                </a:pPr>
                <a:r>
                  <a:rPr lang="en-US"/>
                  <a:t>Observation #
</a:t>
                </a:r>
                <a:r>
                  <a:rPr lang="en-US" sz="750"/>
                  <a:t>Lag 1 autocorrelation = 0.14,   Durbin-Watson statistic = 1.74</a:t>
                </a:r>
              </a:p>
            </c:rich>
          </c:tx>
          <c:overlay val="0"/>
        </c:title>
        <c:numFmt formatCode="General" sourceLinked="1"/>
        <c:majorTickMark val="none"/>
        <c:minorTickMark val="none"/>
        <c:tickLblPos val="low"/>
        <c:txPr>
          <a:bodyPr rot="-5400000" vert="horz"/>
          <a:lstStyle/>
          <a:p>
            <a:pPr>
              <a:defRPr/>
            </a:pPr>
            <a:endParaRPr lang="en-US"/>
          </a:p>
        </c:txPr>
        <c:crossAx val="85876096"/>
        <c:crossesAt val="0"/>
        <c:auto val="1"/>
        <c:lblAlgn val="ctr"/>
        <c:lblOffset val="100"/>
        <c:noMultiLvlLbl val="0"/>
      </c:catAx>
      <c:valAx>
        <c:axId val="85876096"/>
        <c:scaling>
          <c:orientation val="minMax"/>
        </c:scaling>
        <c:delete val="0"/>
        <c:axPos val="l"/>
        <c:majorGridlines>
          <c:spPr>
            <a:ln w="3175">
              <a:solidFill>
                <a:srgbClr val="C0C0C0"/>
              </a:solidFill>
              <a:prstDash val="solid"/>
            </a:ln>
          </c:spPr>
        </c:majorGridlines>
        <c:title>
          <c:tx>
            <c:rich>
              <a:bodyPr/>
              <a:lstStyle/>
              <a:p>
                <a:pPr>
                  <a:defRPr/>
                </a:pPr>
                <a:r>
                  <a:rPr lang="en-US"/>
                  <a:t>Residual</a:t>
                </a:r>
              </a:p>
            </c:rich>
          </c:tx>
          <c:overlay val="0"/>
        </c:title>
        <c:numFmt formatCode="General" sourceLinked="1"/>
        <c:majorTickMark val="out"/>
        <c:minorTickMark val="none"/>
        <c:tickLblPos val="nextTo"/>
        <c:crossAx val="85874176"/>
        <c:crosses val="autoZero"/>
        <c:crossBetween val="between"/>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5.0347222222222224E-2"/>
          <c:y val="3.5833333333333335E-2"/>
          <c:w val="0.92720827865266842"/>
          <c:h val="0.96416666666666662"/>
        </c:manualLayout>
      </c:layout>
      <c:scatterChart>
        <c:scatterStyle val="lineMarker"/>
        <c:varyColors val="0"/>
        <c:ser>
          <c:idx val="0"/>
          <c:order val="0"/>
          <c:spPr>
            <a:ln w="9525" cap="rnd" cmpd="sng" algn="ctr">
              <a:solidFill>
                <a:srgbClr val="0000FF"/>
              </a:solidFill>
              <a:prstDash val="solid"/>
              <a:round/>
              <a:headEnd type="none" w="med" len="med"/>
              <a:tailEnd type="none" w="med" len="med"/>
            </a:ln>
            <a:effectLst/>
          </c:spPr>
          <c:marker>
            <c:symbol val="diamond"/>
            <c:size val="5"/>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17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151</c:v>
              </c:pt>
              <c:pt idx="150">
                <c:v>152</c:v>
              </c:pt>
              <c:pt idx="151">
                <c:v>153</c:v>
              </c:pt>
              <c:pt idx="152">
                <c:v>154</c:v>
              </c:pt>
              <c:pt idx="153">
                <c:v>155</c:v>
              </c:pt>
              <c:pt idx="154">
                <c:v>156</c:v>
              </c:pt>
              <c:pt idx="155">
                <c:v>157</c:v>
              </c:pt>
              <c:pt idx="156">
                <c:v>158</c:v>
              </c:pt>
              <c:pt idx="157">
                <c:v>159</c:v>
              </c:pt>
              <c:pt idx="158">
                <c:v>160</c:v>
              </c:pt>
              <c:pt idx="159">
                <c:v>161</c:v>
              </c:pt>
              <c:pt idx="160">
                <c:v>162</c:v>
              </c:pt>
              <c:pt idx="161">
                <c:v>163</c:v>
              </c:pt>
              <c:pt idx="162">
                <c:v>164</c:v>
              </c:pt>
              <c:pt idx="163">
                <c:v>165</c:v>
              </c:pt>
              <c:pt idx="164">
                <c:v>166</c:v>
              </c:pt>
              <c:pt idx="165">
                <c:v>167</c:v>
              </c:pt>
              <c:pt idx="166">
                <c:v>168</c:v>
              </c:pt>
              <c:pt idx="167">
                <c:v>169</c:v>
              </c:pt>
              <c:pt idx="168">
                <c:v>170</c:v>
              </c:pt>
              <c:pt idx="169">
                <c:v>172</c:v>
              </c:pt>
              <c:pt idx="170">
                <c:v>173</c:v>
              </c:pt>
              <c:pt idx="171">
                <c:v>174</c:v>
              </c:pt>
            </c:numLit>
          </c:xVal>
          <c:yVal>
            <c:numLit>
              <c:formatCode>General</c:formatCode>
              <c:ptCount val="172"/>
              <c:pt idx="0">
                <c:v>7082</c:v>
              </c:pt>
              <c:pt idx="1">
                <c:v>6749</c:v>
              </c:pt>
              <c:pt idx="2">
                <c:v>7837</c:v>
              </c:pt>
              <c:pt idx="3">
                <c:v>5882</c:v>
              </c:pt>
              <c:pt idx="4">
                <c:v>6904</c:v>
              </c:pt>
              <c:pt idx="5">
                <c:v>7048</c:v>
              </c:pt>
              <c:pt idx="6">
                <c:v>6810</c:v>
              </c:pt>
              <c:pt idx="7">
                <c:v>7331</c:v>
              </c:pt>
              <c:pt idx="8">
                <c:v>7421</c:v>
              </c:pt>
              <c:pt idx="9">
                <c:v>9111</c:v>
              </c:pt>
              <c:pt idx="10">
                <c:v>8170</c:v>
              </c:pt>
              <c:pt idx="11">
                <c:v>8498</c:v>
              </c:pt>
              <c:pt idx="12">
                <c:v>8843</c:v>
              </c:pt>
              <c:pt idx="13">
                <c:v>8714</c:v>
              </c:pt>
              <c:pt idx="14">
                <c:v>8888</c:v>
              </c:pt>
              <c:pt idx="15">
                <c:v>7805</c:v>
              </c:pt>
              <c:pt idx="16">
                <c:v>8045</c:v>
              </c:pt>
              <c:pt idx="17">
                <c:v>7271</c:v>
              </c:pt>
              <c:pt idx="18">
                <c:v>7074</c:v>
              </c:pt>
              <c:pt idx="19">
                <c:v>7771</c:v>
              </c:pt>
              <c:pt idx="20">
                <c:v>7733</c:v>
              </c:pt>
              <c:pt idx="21">
                <c:v>8589</c:v>
              </c:pt>
              <c:pt idx="22">
                <c:v>8746</c:v>
              </c:pt>
              <c:pt idx="23">
                <c:v>8826</c:v>
              </c:pt>
              <c:pt idx="24">
                <c:v>9007</c:v>
              </c:pt>
              <c:pt idx="25">
                <c:v>9247</c:v>
              </c:pt>
              <c:pt idx="26">
                <c:v>7603</c:v>
              </c:pt>
              <c:pt idx="27">
                <c:v>7196</c:v>
              </c:pt>
              <c:pt idx="28">
                <c:v>6729</c:v>
              </c:pt>
              <c:pt idx="29">
                <c:v>5652</c:v>
              </c:pt>
              <c:pt idx="30">
                <c:v>6005</c:v>
              </c:pt>
              <c:pt idx="31">
                <c:v>6840</c:v>
              </c:pt>
              <c:pt idx="32">
                <c:v>6894</c:v>
              </c:pt>
              <c:pt idx="33">
                <c:v>7555</c:v>
              </c:pt>
              <c:pt idx="34">
                <c:v>7175</c:v>
              </c:pt>
              <c:pt idx="35">
                <c:v>8542</c:v>
              </c:pt>
              <c:pt idx="36">
                <c:v>8627</c:v>
              </c:pt>
              <c:pt idx="37">
                <c:v>8576</c:v>
              </c:pt>
              <c:pt idx="38">
                <c:v>8451</c:v>
              </c:pt>
              <c:pt idx="39">
                <c:v>7575</c:v>
              </c:pt>
              <c:pt idx="40">
                <c:v>7272</c:v>
              </c:pt>
              <c:pt idx="41">
                <c:v>6572</c:v>
              </c:pt>
              <c:pt idx="42">
                <c:v>5975</c:v>
              </c:pt>
              <c:pt idx="43">
                <c:v>6411</c:v>
              </c:pt>
              <c:pt idx="44">
                <c:v>7211</c:v>
              </c:pt>
              <c:pt idx="45">
                <c:v>7413</c:v>
              </c:pt>
              <c:pt idx="46">
                <c:v>7730</c:v>
              </c:pt>
              <c:pt idx="47">
                <c:v>8320</c:v>
              </c:pt>
              <c:pt idx="48">
                <c:v>8558</c:v>
              </c:pt>
              <c:pt idx="49">
                <c:v>8290</c:v>
              </c:pt>
              <c:pt idx="50">
                <c:v>8545</c:v>
              </c:pt>
              <c:pt idx="51">
                <c:v>7185</c:v>
              </c:pt>
              <c:pt idx="52">
                <c:v>7155</c:v>
              </c:pt>
              <c:pt idx="53">
                <c:v>6750</c:v>
              </c:pt>
              <c:pt idx="54">
                <c:v>6195</c:v>
              </c:pt>
              <c:pt idx="55">
                <c:v>6671</c:v>
              </c:pt>
              <c:pt idx="56">
                <c:v>6437</c:v>
              </c:pt>
              <c:pt idx="57">
                <c:v>7024</c:v>
              </c:pt>
              <c:pt idx="58">
                <c:v>6886</c:v>
              </c:pt>
              <c:pt idx="59">
                <c:v>7125</c:v>
              </c:pt>
              <c:pt idx="60">
                <c:v>7286</c:v>
              </c:pt>
              <c:pt idx="61">
                <c:v>7493</c:v>
              </c:pt>
              <c:pt idx="62">
                <c:v>8275</c:v>
              </c:pt>
              <c:pt idx="63">
                <c:v>6857</c:v>
              </c:pt>
              <c:pt idx="64">
                <c:v>7138</c:v>
              </c:pt>
              <c:pt idx="65">
                <c:v>6681</c:v>
              </c:pt>
              <c:pt idx="66">
                <c:v>6435</c:v>
              </c:pt>
              <c:pt idx="67">
                <c:v>6954</c:v>
              </c:pt>
              <c:pt idx="68">
                <c:v>6813</c:v>
              </c:pt>
              <c:pt idx="69">
                <c:v>7653</c:v>
              </c:pt>
              <c:pt idx="70">
                <c:v>7767</c:v>
              </c:pt>
              <c:pt idx="71">
                <c:v>7799</c:v>
              </c:pt>
              <c:pt idx="72">
                <c:v>8404</c:v>
              </c:pt>
              <c:pt idx="73">
                <c:v>7885</c:v>
              </c:pt>
              <c:pt idx="74">
                <c:v>7446</c:v>
              </c:pt>
              <c:pt idx="75">
                <c:v>6927</c:v>
              </c:pt>
              <c:pt idx="76">
                <c:v>6857</c:v>
              </c:pt>
              <c:pt idx="77">
                <c:v>6633</c:v>
              </c:pt>
              <c:pt idx="78">
                <c:v>6483</c:v>
              </c:pt>
              <c:pt idx="79">
                <c:v>6924</c:v>
              </c:pt>
              <c:pt idx="80">
                <c:v>6941</c:v>
              </c:pt>
              <c:pt idx="81">
                <c:v>7692</c:v>
              </c:pt>
              <c:pt idx="82">
                <c:v>8106</c:v>
              </c:pt>
              <c:pt idx="83">
                <c:v>8102</c:v>
              </c:pt>
              <c:pt idx="84">
                <c:v>9226</c:v>
              </c:pt>
              <c:pt idx="85">
                <c:v>8470</c:v>
              </c:pt>
              <c:pt idx="86">
                <c:v>8193</c:v>
              </c:pt>
              <c:pt idx="87">
                <c:v>7492</c:v>
              </c:pt>
              <c:pt idx="88">
                <c:v>7160</c:v>
              </c:pt>
              <c:pt idx="89">
                <c:v>6569</c:v>
              </c:pt>
              <c:pt idx="90">
                <c:v>6752</c:v>
              </c:pt>
              <c:pt idx="91">
                <c:v>6815</c:v>
              </c:pt>
              <c:pt idx="92">
                <c:v>6739</c:v>
              </c:pt>
              <c:pt idx="93">
                <c:v>7470</c:v>
              </c:pt>
              <c:pt idx="94">
                <c:v>7450</c:v>
              </c:pt>
              <c:pt idx="95">
                <c:v>6981</c:v>
              </c:pt>
              <c:pt idx="96">
                <c:v>7722</c:v>
              </c:pt>
              <c:pt idx="97">
                <c:v>7121</c:v>
              </c:pt>
              <c:pt idx="98">
                <c:v>7493</c:v>
              </c:pt>
              <c:pt idx="99">
                <c:v>6412</c:v>
              </c:pt>
              <c:pt idx="100">
                <c:v>6215</c:v>
              </c:pt>
              <c:pt idx="101">
                <c:v>6053</c:v>
              </c:pt>
              <c:pt idx="102">
                <c:v>6052</c:v>
              </c:pt>
              <c:pt idx="103">
                <c:v>6300</c:v>
              </c:pt>
              <c:pt idx="104">
                <c:v>6337</c:v>
              </c:pt>
              <c:pt idx="105">
                <c:v>7166</c:v>
              </c:pt>
              <c:pt idx="106">
                <c:v>7215</c:v>
              </c:pt>
              <c:pt idx="107">
                <c:v>8166</c:v>
              </c:pt>
              <c:pt idx="108">
                <c:v>8409</c:v>
              </c:pt>
              <c:pt idx="109">
                <c:v>8600</c:v>
              </c:pt>
              <c:pt idx="110">
                <c:v>8362</c:v>
              </c:pt>
              <c:pt idx="111">
                <c:v>6938</c:v>
              </c:pt>
              <c:pt idx="112">
                <c:v>6905</c:v>
              </c:pt>
              <c:pt idx="113">
                <c:v>6890</c:v>
              </c:pt>
              <c:pt idx="114">
                <c:v>6773</c:v>
              </c:pt>
              <c:pt idx="115">
                <c:v>7105</c:v>
              </c:pt>
              <c:pt idx="116">
                <c:v>7014</c:v>
              </c:pt>
              <c:pt idx="117">
                <c:v>7762</c:v>
              </c:pt>
              <c:pt idx="118">
                <c:v>8395</c:v>
              </c:pt>
              <c:pt idx="119">
                <c:v>9166</c:v>
              </c:pt>
              <c:pt idx="120">
                <c:v>10100</c:v>
              </c:pt>
              <c:pt idx="121">
                <c:v>8880</c:v>
              </c:pt>
              <c:pt idx="122">
                <c:v>9149</c:v>
              </c:pt>
              <c:pt idx="123">
                <c:v>7820</c:v>
              </c:pt>
              <c:pt idx="124">
                <c:v>7768</c:v>
              </c:pt>
              <c:pt idx="125">
                <c:v>7322</c:v>
              </c:pt>
              <c:pt idx="126">
                <c:v>7247</c:v>
              </c:pt>
              <c:pt idx="127">
                <c:v>7646</c:v>
              </c:pt>
              <c:pt idx="128">
                <c:v>7506</c:v>
              </c:pt>
              <c:pt idx="129">
                <c:v>8383</c:v>
              </c:pt>
              <c:pt idx="130">
                <c:v>8531</c:v>
              </c:pt>
              <c:pt idx="131">
                <c:v>8758</c:v>
              </c:pt>
              <c:pt idx="132">
                <c:v>9703</c:v>
              </c:pt>
              <c:pt idx="133">
                <c:v>9092</c:v>
              </c:pt>
              <c:pt idx="134">
                <c:v>8638</c:v>
              </c:pt>
              <c:pt idx="135">
                <c:v>8003</c:v>
              </c:pt>
              <c:pt idx="136">
                <c:v>8008</c:v>
              </c:pt>
              <c:pt idx="137">
                <c:v>7571</c:v>
              </c:pt>
              <c:pt idx="138">
                <c:v>7495</c:v>
              </c:pt>
              <c:pt idx="139">
                <c:v>7996</c:v>
              </c:pt>
              <c:pt idx="140">
                <c:v>7827</c:v>
              </c:pt>
              <c:pt idx="141">
                <c:v>9030</c:v>
              </c:pt>
              <c:pt idx="142">
                <c:v>9415</c:v>
              </c:pt>
              <c:pt idx="143">
                <c:v>9373</c:v>
              </c:pt>
              <c:pt idx="144">
                <c:v>10322</c:v>
              </c:pt>
              <c:pt idx="145">
                <c:v>9624</c:v>
              </c:pt>
              <c:pt idx="146">
                <c:v>10428</c:v>
              </c:pt>
              <c:pt idx="147">
                <c:v>9182</c:v>
              </c:pt>
              <c:pt idx="148">
                <c:v>8594</c:v>
              </c:pt>
              <c:pt idx="149">
                <c:v>8200</c:v>
              </c:pt>
              <c:pt idx="150">
                <c:v>8535</c:v>
              </c:pt>
              <c:pt idx="151">
                <c:v>8307</c:v>
              </c:pt>
              <c:pt idx="152">
                <c:v>9062</c:v>
              </c:pt>
              <c:pt idx="153">
                <c:v>9626</c:v>
              </c:pt>
              <c:pt idx="154">
                <c:v>9743</c:v>
              </c:pt>
              <c:pt idx="155">
                <c:v>10165</c:v>
              </c:pt>
              <c:pt idx="156">
                <c:v>9690</c:v>
              </c:pt>
              <c:pt idx="157">
                <c:v>10326</c:v>
              </c:pt>
              <c:pt idx="158">
                <c:v>8882</c:v>
              </c:pt>
              <c:pt idx="159">
                <c:v>8333</c:v>
              </c:pt>
              <c:pt idx="160">
                <c:v>7903</c:v>
              </c:pt>
              <c:pt idx="161">
                <c:v>7925</c:v>
              </c:pt>
              <c:pt idx="162">
                <c:v>8245</c:v>
              </c:pt>
              <c:pt idx="163">
                <c:v>8138</c:v>
              </c:pt>
              <c:pt idx="164">
                <c:v>8946</c:v>
              </c:pt>
              <c:pt idx="165">
                <c:v>9429</c:v>
              </c:pt>
              <c:pt idx="166">
                <c:v>9781</c:v>
              </c:pt>
              <c:pt idx="167">
                <c:v>10418</c:v>
              </c:pt>
              <c:pt idx="168">
                <c:v>9383</c:v>
              </c:pt>
              <c:pt idx="169">
                <c:v>8550</c:v>
              </c:pt>
              <c:pt idx="170">
                <c:v>8135</c:v>
              </c:pt>
              <c:pt idx="171">
                <c:v>7796</c:v>
              </c:pt>
            </c:numLit>
          </c:yVal>
          <c:smooth val="0"/>
          <c:extLst>
            <c:ext xmlns:c16="http://schemas.microsoft.com/office/drawing/2014/chart" uri="{C3380CC4-5D6E-409C-BE32-E72D297353CC}">
              <c16:uniqueId val="{00000000-67A7-4434-994C-5D0B6BF6BBC0}"/>
            </c:ext>
          </c:extLst>
        </c:ser>
        <c:dLbls>
          <c:showLegendKey val="0"/>
          <c:showVal val="0"/>
          <c:showCatName val="0"/>
          <c:showSerName val="0"/>
          <c:showPercent val="0"/>
          <c:showBubbleSize val="0"/>
        </c:dLbls>
        <c:axId val="104601472"/>
        <c:axId val="104669184"/>
      </c:scatterChart>
      <c:valAx>
        <c:axId val="104601472"/>
        <c:scaling>
          <c:orientation val="minMax"/>
          <c:min val="0"/>
        </c:scaling>
        <c:delete val="0"/>
        <c:axPos val="b"/>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04669184"/>
        <c:crossesAt val="5500"/>
        <c:crossBetween val="midCat"/>
      </c:valAx>
      <c:valAx>
        <c:axId val="104669184"/>
        <c:scaling>
          <c:orientation val="minMax"/>
          <c:min val="5500"/>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title>
          <c:tx>
            <c:rich>
              <a:bodyPr/>
              <a:lstStyle/>
              <a:p>
                <a:pPr>
                  <a:defRPr/>
                </a:pPr>
                <a:r>
                  <a:rPr lang="en-US"/>
                  <a:t>_Industrial_Natural_Gas</a:t>
                </a:r>
              </a:p>
            </c:rich>
          </c:tx>
          <c:overlay val="0"/>
        </c:title>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04601472"/>
        <c:crossesAt val="0"/>
        <c:crossBetween val="midCat"/>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Residual -vs- Predicted
</a:t>
            </a:r>
            <a:r>
              <a:rPr lang="en-US" sz="1000"/>
              <a:t>Com HDD quadratic model for _Commercial_Natural_Gas    (3 variables, n=77)</a:t>
            </a:r>
          </a:p>
        </c:rich>
      </c:tx>
      <c:overlay val="0"/>
    </c:title>
    <c:autoTitleDeleted val="0"/>
    <c:plotArea>
      <c:layout/>
      <c:scatterChart>
        <c:scatterStyle val="lineMarker"/>
        <c:varyColors val="0"/>
        <c:ser>
          <c:idx val="0"/>
          <c:order val="0"/>
          <c:tx>
            <c:v>Actual</c:v>
          </c:tx>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77"/>
              <c:pt idx="0">
                <c:v>8772.405353712471</c:v>
              </c:pt>
              <c:pt idx="1">
                <c:v>6310.2116458178534</c:v>
              </c:pt>
              <c:pt idx="2">
                <c:v>5228.0864182838604</c:v>
              </c:pt>
              <c:pt idx="3">
                <c:v>3043.1062184936795</c:v>
              </c:pt>
              <c:pt idx="4">
                <c:v>2265.9353170517797</c:v>
              </c:pt>
              <c:pt idx="5">
                <c:v>2062.5220634139641</c:v>
              </c:pt>
              <c:pt idx="6">
                <c:v>2072.9489401069909</c:v>
              </c:pt>
              <c:pt idx="7">
                <c:v>2083.3758168000172</c:v>
              </c:pt>
              <c:pt idx="8">
                <c:v>2151.1867850465328</c:v>
              </c:pt>
              <c:pt idx="9">
                <c:v>3268.4443319499551</c:v>
              </c:pt>
              <c:pt idx="10">
                <c:v>4516.8321760120889</c:v>
              </c:pt>
              <c:pt idx="11">
                <c:v>8677.8554136224848</c:v>
              </c:pt>
              <c:pt idx="12">
                <c:v>9689.4729240316028</c:v>
              </c:pt>
              <c:pt idx="13">
                <c:v>8574.4503906495411</c:v>
              </c:pt>
              <c:pt idx="14">
                <c:v>5057.7075298698373</c:v>
              </c:pt>
              <c:pt idx="15">
                <c:v>2824.7655669953924</c:v>
              </c:pt>
              <c:pt idx="16">
                <c:v>2315.5442502910346</c:v>
              </c:pt>
              <c:pt idx="17">
                <c:v>2187.6445837302817</c:v>
              </c:pt>
              <c:pt idx="18">
                <c:v>2198.0714604233081</c:v>
              </c:pt>
              <c:pt idx="19">
                <c:v>2208.4983371163344</c:v>
              </c:pt>
              <c:pt idx="20">
                <c:v>2231.7196878794512</c:v>
              </c:pt>
              <c:pt idx="21">
                <c:v>2928.3656944111617</c:v>
              </c:pt>
              <c:pt idx="22">
                <c:v>5162.5080722157754</c:v>
              </c:pt>
              <c:pt idx="23">
                <c:v>10943.158383693655</c:v>
              </c:pt>
              <c:pt idx="24">
                <c:v>9928.5408077036791</c:v>
              </c:pt>
              <c:pt idx="25">
                <c:v>5903.8171648935886</c:v>
              </c:pt>
              <c:pt idx="26">
                <c:v>5290.2762455386837</c:v>
              </c:pt>
              <c:pt idx="27">
                <c:v>3056.9456214829952</c:v>
              </c:pt>
              <c:pt idx="28">
                <c:v>2531.8139277001756</c:v>
              </c:pt>
              <c:pt idx="29">
                <c:v>2312.7671040465989</c:v>
              </c:pt>
              <c:pt idx="30">
                <c:v>2323.1939807396252</c:v>
              </c:pt>
              <c:pt idx="31">
                <c:v>2333.620857432652</c:v>
              </c:pt>
              <c:pt idx="32">
                <c:v>2434.12573626828</c:v>
              </c:pt>
              <c:pt idx="33">
                <c:v>3630.8874329103073</c:v>
              </c:pt>
              <c:pt idx="34">
                <c:v>4801.4891318067421</c:v>
              </c:pt>
              <c:pt idx="35">
                <c:v>6308.8652753965971</c:v>
              </c:pt>
              <c:pt idx="36">
                <c:v>7356.1510386967439</c:v>
              </c:pt>
              <c:pt idx="37">
                <c:v>6362.1839604728384</c:v>
              </c:pt>
              <c:pt idx="38">
                <c:v>3521.6121146704663</c:v>
              </c:pt>
              <c:pt idx="39">
                <c:v>3498.4224612289145</c:v>
              </c:pt>
              <c:pt idx="40">
                <c:v>2499.7504271450271</c:v>
              </c:pt>
              <c:pt idx="41">
                <c:v>2444.5847052192421</c:v>
              </c:pt>
              <c:pt idx="42">
                <c:v>2448.3165010559424</c:v>
              </c:pt>
              <c:pt idx="43">
                <c:v>2458.7433777489687</c:v>
              </c:pt>
              <c:pt idx="44">
                <c:v>2532.44518431509</c:v>
              </c:pt>
              <c:pt idx="45">
                <c:v>3586.9774640525347</c:v>
              </c:pt>
              <c:pt idx="46">
                <c:v>6373.8924162420844</c:v>
              </c:pt>
              <c:pt idx="47">
                <c:v>6252.6059337166189</c:v>
              </c:pt>
              <c:pt idx="48">
                <c:v>7610.7841673318417</c:v>
              </c:pt>
              <c:pt idx="49">
                <c:v>7621.8490618464375</c:v>
              </c:pt>
              <c:pt idx="50">
                <c:v>7310.2684529467924</c:v>
              </c:pt>
              <c:pt idx="51">
                <c:v>3602.0492938943562</c:v>
              </c:pt>
              <c:pt idx="52">
                <c:v>3028.9283331800825</c:v>
              </c:pt>
              <c:pt idx="53">
                <c:v>2563.0121446792336</c:v>
              </c:pt>
              <c:pt idx="54">
                <c:v>2573.43902137226</c:v>
              </c:pt>
              <c:pt idx="55">
                <c:v>2590.2563331627152</c:v>
              </c:pt>
              <c:pt idx="56">
                <c:v>2647.962074535661</c:v>
              </c:pt>
              <c:pt idx="57">
                <c:v>3467.9401560764909</c:v>
              </c:pt>
              <c:pt idx="58">
                <c:v>6474.2662415140758</c:v>
              </c:pt>
              <c:pt idx="59">
                <c:v>7215.7527933879483</c:v>
              </c:pt>
              <c:pt idx="60">
                <c:v>10899.840550978763</c:v>
              </c:pt>
              <c:pt idx="61">
                <c:v>7201.112468707468</c:v>
              </c:pt>
              <c:pt idx="62">
                <c:v>7122.0450155781718</c:v>
              </c:pt>
              <c:pt idx="63">
                <c:v>3636.2334713752816</c:v>
              </c:pt>
              <c:pt idx="64">
                <c:v>2843.791827425749</c:v>
              </c:pt>
              <c:pt idx="65">
                <c:v>2688.1346649955503</c:v>
              </c:pt>
              <c:pt idx="66">
                <c:v>2698.5615416885771</c:v>
              </c:pt>
              <c:pt idx="67">
                <c:v>2708.9884183816034</c:v>
              </c:pt>
              <c:pt idx="68">
                <c:v>2788.9031380273759</c:v>
              </c:pt>
              <c:pt idx="69">
                <c:v>3482.188620037773</c:v>
              </c:pt>
              <c:pt idx="70">
                <c:v>6852.3835500563346</c:v>
              </c:pt>
              <c:pt idx="71">
                <c:v>7593.49030817107</c:v>
              </c:pt>
              <c:pt idx="72">
                <c:v>9411.4450925459023</c:v>
              </c:pt>
              <c:pt idx="73">
                <c:v>9877.5865782864803</c:v>
              </c:pt>
              <c:pt idx="74">
                <c:v>3661.7344013198954</c:v>
              </c:pt>
              <c:pt idx="75">
                <c:v>2903.2537802207526</c:v>
              </c:pt>
              <c:pt idx="76">
                <c:v>2819.9522661681935</c:v>
              </c:pt>
            </c:numLit>
          </c:xVal>
          <c:yVal>
            <c:numLit>
              <c:formatCode>General</c:formatCode>
              <c:ptCount val="77"/>
              <c:pt idx="0">
                <c:v>187.59464628752903</c:v>
              </c:pt>
              <c:pt idx="1">
                <c:v>254.78835418214658</c:v>
              </c:pt>
              <c:pt idx="2">
                <c:v>441.91358171613956</c:v>
              </c:pt>
              <c:pt idx="3">
                <c:v>117.89378150632047</c:v>
              </c:pt>
              <c:pt idx="4">
                <c:v>198.06468294822025</c:v>
              </c:pt>
              <c:pt idx="5">
                <c:v>-209.52206341396413</c:v>
              </c:pt>
              <c:pt idx="6">
                <c:v>-89.948940106990904</c:v>
              </c:pt>
              <c:pt idx="7">
                <c:v>-19.375816800017219</c:v>
              </c:pt>
              <c:pt idx="8">
                <c:v>298.8132149534672</c:v>
              </c:pt>
              <c:pt idx="9">
                <c:v>329.55566805004491</c:v>
              </c:pt>
              <c:pt idx="10">
                <c:v>-141.83217601208889</c:v>
              </c:pt>
              <c:pt idx="11">
                <c:v>-516.85541362248478</c:v>
              </c:pt>
              <c:pt idx="12">
                <c:v>11.527075968397185</c:v>
              </c:pt>
              <c:pt idx="13">
                <c:v>336.54960935045892</c:v>
              </c:pt>
              <c:pt idx="14">
                <c:v>95.292470130162656</c:v>
              </c:pt>
              <c:pt idx="15">
                <c:v>-133.76556699539242</c:v>
              </c:pt>
              <c:pt idx="16">
                <c:v>73.455749708965413</c:v>
              </c:pt>
              <c:pt idx="17">
                <c:v>-210.64458373028174</c:v>
              </c:pt>
              <c:pt idx="18">
                <c:v>-272.07146042330805</c:v>
              </c:pt>
              <c:pt idx="19">
                <c:v>-116.49833711633437</c:v>
              </c:pt>
              <c:pt idx="20">
                <c:v>201.28031212054884</c:v>
              </c:pt>
              <c:pt idx="21">
                <c:v>188.63430558883829</c:v>
              </c:pt>
              <c:pt idx="22">
                <c:v>27.491927784224572</c:v>
              </c:pt>
              <c:pt idx="23">
                <c:v>-298.1583836936552</c:v>
              </c:pt>
              <c:pt idx="24">
                <c:v>-406.54080770367909</c:v>
              </c:pt>
              <c:pt idx="25">
                <c:v>265.1828351064114</c:v>
              </c:pt>
              <c:pt idx="26">
                <c:v>169.72375446131628</c:v>
              </c:pt>
              <c:pt idx="27">
                <c:v>-295.94562148299519</c:v>
              </c:pt>
              <c:pt idx="28">
                <c:v>36.186072299824446</c:v>
              </c:pt>
              <c:pt idx="29">
                <c:v>-179.76710404659889</c:v>
              </c:pt>
              <c:pt idx="30">
                <c:v>-343.1939807396252</c:v>
              </c:pt>
              <c:pt idx="31">
                <c:v>131.37914256734803</c:v>
              </c:pt>
              <c:pt idx="32">
                <c:v>-52.125736268279979</c:v>
              </c:pt>
              <c:pt idx="33">
                <c:v>300.11256708969267</c:v>
              </c:pt>
              <c:pt idx="34">
                <c:v>-355.48913180674208</c:v>
              </c:pt>
              <c:pt idx="35">
                <c:v>-227.8652753965971</c:v>
              </c:pt>
              <c:pt idx="36">
                <c:v>715.84896130325615</c:v>
              </c:pt>
              <c:pt idx="37">
                <c:v>220.81603952716159</c:v>
              </c:pt>
              <c:pt idx="38">
                <c:v>23.387885329533674</c:v>
              </c:pt>
              <c:pt idx="39">
                <c:v>-128.42246122891447</c:v>
              </c:pt>
              <c:pt idx="40">
                <c:v>-294.75042714502706</c:v>
              </c:pt>
              <c:pt idx="41">
                <c:v>-11.584705219242096</c:v>
              </c:pt>
              <c:pt idx="42">
                <c:v>-472.31650105594235</c:v>
              </c:pt>
              <c:pt idx="43">
                <c:v>214.25662225103133</c:v>
              </c:pt>
              <c:pt idx="44">
                <c:v>-3.4451843150900459</c:v>
              </c:pt>
              <c:pt idx="45">
                <c:v>416.02253594746526</c:v>
              </c:pt>
              <c:pt idx="46">
                <c:v>-687.89241624208444</c:v>
              </c:pt>
              <c:pt idx="47">
                <c:v>-374.60593371661889</c:v>
              </c:pt>
              <c:pt idx="48">
                <c:v>-675.78416733184167</c:v>
              </c:pt>
              <c:pt idx="49">
                <c:v>-466.84906184643751</c:v>
              </c:pt>
              <c:pt idx="50">
                <c:v>-57.268452946792422</c:v>
              </c:pt>
              <c:pt idx="51">
                <c:v>-212.0492938943562</c:v>
              </c:pt>
              <c:pt idx="52">
                <c:v>46.071666819917482</c:v>
              </c:pt>
              <c:pt idx="53">
                <c:v>-182.01214467923364</c:v>
              </c:pt>
              <c:pt idx="54">
                <c:v>39.560978627740042</c:v>
              </c:pt>
              <c:pt idx="55">
                <c:v>20.743666837284763</c:v>
              </c:pt>
              <c:pt idx="56">
                <c:v>225.03792546433897</c:v>
              </c:pt>
              <c:pt idx="57">
                <c:v>401.05984392350911</c:v>
              </c:pt>
              <c:pt idx="58">
                <c:v>-59.266241514075773</c:v>
              </c:pt>
              <c:pt idx="59">
                <c:v>-515.75279338794826</c:v>
              </c:pt>
              <c:pt idx="60">
                <c:v>481.15944902123738</c:v>
              </c:pt>
              <c:pt idx="61">
                <c:v>194.887531292532</c:v>
              </c:pt>
              <c:pt idx="62">
                <c:v>303.95498442182816</c:v>
              </c:pt>
              <c:pt idx="63">
                <c:v>-264.23347137528162</c:v>
              </c:pt>
              <c:pt idx="64">
                <c:v>470.20817257425097</c:v>
              </c:pt>
              <c:pt idx="65">
                <c:v>241.86533500444966</c:v>
              </c:pt>
              <c:pt idx="66">
                <c:v>190.43845831142289</c:v>
              </c:pt>
              <c:pt idx="67">
                <c:v>-0.98841838160342377</c:v>
              </c:pt>
              <c:pt idx="68">
                <c:v>95.096861972624083</c:v>
              </c:pt>
              <c:pt idx="69">
                <c:v>123.81137996222697</c:v>
              </c:pt>
              <c:pt idx="70">
                <c:v>-9.3835500563345704</c:v>
              </c:pt>
              <c:pt idx="71">
                <c:v>-129.49030817106996</c:v>
              </c:pt>
              <c:pt idx="72">
                <c:v>88.554907454097702</c:v>
              </c:pt>
              <c:pt idx="73">
                <c:v>633.41342171351971</c:v>
              </c:pt>
              <c:pt idx="74">
                <c:v>-118.73440131989537</c:v>
              </c:pt>
              <c:pt idx="75">
                <c:v>-401.25378022075256</c:v>
              </c:pt>
              <c:pt idx="76">
                <c:v>124.04773383180645</c:v>
              </c:pt>
            </c:numLit>
          </c:yVal>
          <c:smooth val="0"/>
          <c:extLst>
            <c:ext xmlns:c16="http://schemas.microsoft.com/office/drawing/2014/chart" uri="{C3380CC4-5D6E-409C-BE32-E72D297353CC}">
              <c16:uniqueId val="{00000000-0371-4C19-9ED4-CA3B63D1C934}"/>
            </c:ext>
          </c:extLst>
        </c:ser>
        <c:dLbls>
          <c:showLegendKey val="0"/>
          <c:showVal val="0"/>
          <c:showCatName val="0"/>
          <c:showSerName val="0"/>
          <c:showPercent val="0"/>
          <c:showBubbleSize val="0"/>
        </c:dLbls>
        <c:axId val="86748160"/>
        <c:axId val="86922752"/>
      </c:scatterChart>
      <c:valAx>
        <c:axId val="86748160"/>
        <c:scaling>
          <c:orientation val="minMax"/>
          <c:min val="2000"/>
        </c:scaling>
        <c:delete val="0"/>
        <c:axPos val="b"/>
        <c:title>
          <c:tx>
            <c:rich>
              <a:bodyPr/>
              <a:lstStyle/>
              <a:p>
                <a:pPr>
                  <a:defRPr/>
                </a:pPr>
                <a:r>
                  <a:rPr lang="en-US"/>
                  <a:t>Predicted</a:t>
                </a:r>
              </a:p>
            </c:rich>
          </c:tx>
          <c:overlay val="0"/>
        </c:title>
        <c:numFmt formatCode="General" sourceLinked="1"/>
        <c:majorTickMark val="out"/>
        <c:minorTickMark val="none"/>
        <c:tickLblPos val="nextTo"/>
        <c:crossAx val="86922752"/>
        <c:crossesAt val="-1000"/>
        <c:crossBetween val="midCat"/>
      </c:valAx>
      <c:valAx>
        <c:axId val="86922752"/>
        <c:scaling>
          <c:orientation val="minMax"/>
        </c:scaling>
        <c:delete val="0"/>
        <c:axPos val="l"/>
        <c:majorGridlines>
          <c:spPr>
            <a:ln w="3175">
              <a:solidFill>
                <a:srgbClr val="C0C0C0"/>
              </a:solidFill>
              <a:prstDash val="solid"/>
            </a:ln>
          </c:spPr>
        </c:majorGridlines>
        <c:title>
          <c:tx>
            <c:rich>
              <a:bodyPr/>
              <a:lstStyle/>
              <a:p>
                <a:pPr>
                  <a:defRPr/>
                </a:pPr>
                <a:r>
                  <a:rPr lang="en-US"/>
                  <a:t>Residual</a:t>
                </a:r>
              </a:p>
            </c:rich>
          </c:tx>
          <c:overlay val="0"/>
        </c:title>
        <c:numFmt formatCode="General" sourceLinked="1"/>
        <c:majorTickMark val="out"/>
        <c:minorTickMark val="none"/>
        <c:tickLblPos val="nextTo"/>
        <c:crossAx val="86748160"/>
        <c:crossesAt val="0"/>
        <c:crossBetween val="midCat"/>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Histogram of Residuals
</a:t>
            </a:r>
            <a:r>
              <a:rPr lang="en-US" sz="1000"/>
              <a:t>Com HDD quadratic model for _Commercial_Natural_Gas    (3 variables, n=77)</a:t>
            </a:r>
          </a:p>
        </c:rich>
      </c:tx>
      <c:overlay val="0"/>
    </c:title>
    <c:autoTitleDeleted val="0"/>
    <c:plotArea>
      <c:layout/>
      <c:barChart>
        <c:barDir val="col"/>
        <c:grouping val="clustered"/>
        <c:varyColors val="0"/>
        <c:ser>
          <c:idx val="0"/>
          <c:order val="0"/>
          <c:tx>
            <c:v>Actual</c:v>
          </c:tx>
          <c:spPr>
            <a:solidFill>
              <a:srgbClr val="9999FF"/>
            </a:solidFill>
            <a:ln w="9525" cap="flat" cmpd="sng" algn="ctr">
              <a:solidFill>
                <a:srgbClr val="0000FF"/>
              </a:solidFill>
              <a:prstDash val="solid"/>
              <a:round/>
              <a:headEnd type="none" w="med" len="med"/>
              <a:tailEnd type="none" w="med" len="med"/>
            </a:ln>
          </c:spPr>
          <c:invertIfNegative val="0"/>
          <c:cat>
            <c:strLit>
              <c:ptCount val="21"/>
              <c:pt idx="0">
                <c:v>-720</c:v>
              </c:pt>
              <c:pt idx="1">
                <c:v>-648</c:v>
              </c:pt>
              <c:pt idx="2">
                <c:v>-576</c:v>
              </c:pt>
              <c:pt idx="3">
                <c:v>-504</c:v>
              </c:pt>
              <c:pt idx="4">
                <c:v>-432</c:v>
              </c:pt>
              <c:pt idx="5">
                <c:v>-360</c:v>
              </c:pt>
              <c:pt idx="6">
                <c:v>-288</c:v>
              </c:pt>
              <c:pt idx="7">
                <c:v>-216</c:v>
              </c:pt>
              <c:pt idx="8">
                <c:v>-144</c:v>
              </c:pt>
              <c:pt idx="9">
                <c:v>-72</c:v>
              </c:pt>
              <c:pt idx="10">
                <c:v>0</c:v>
              </c:pt>
              <c:pt idx="11">
                <c:v>72</c:v>
              </c:pt>
              <c:pt idx="12">
                <c:v>144</c:v>
              </c:pt>
              <c:pt idx="13">
                <c:v>216</c:v>
              </c:pt>
              <c:pt idx="14">
                <c:v>288</c:v>
              </c:pt>
              <c:pt idx="15">
                <c:v>360</c:v>
              </c:pt>
              <c:pt idx="16">
                <c:v>432</c:v>
              </c:pt>
              <c:pt idx="17">
                <c:v>504</c:v>
              </c:pt>
              <c:pt idx="18">
                <c:v>576</c:v>
              </c:pt>
              <c:pt idx="19">
                <c:v>648</c:v>
              </c:pt>
              <c:pt idx="20">
                <c:v>720</c:v>
              </c:pt>
            </c:strLit>
          </c:cat>
          <c:val>
            <c:numLit>
              <c:formatCode>General</c:formatCode>
              <c:ptCount val="21"/>
              <c:pt idx="0">
                <c:v>1</c:v>
              </c:pt>
              <c:pt idx="1">
                <c:v>1</c:v>
              </c:pt>
              <c:pt idx="2">
                <c:v>0</c:v>
              </c:pt>
              <c:pt idx="3">
                <c:v>3</c:v>
              </c:pt>
              <c:pt idx="4">
                <c:v>3</c:v>
              </c:pt>
              <c:pt idx="5">
                <c:v>3</c:v>
              </c:pt>
              <c:pt idx="6">
                <c:v>5</c:v>
              </c:pt>
              <c:pt idx="7">
                <c:v>5</c:v>
              </c:pt>
              <c:pt idx="8">
                <c:v>7</c:v>
              </c:pt>
              <c:pt idx="9">
                <c:v>4</c:v>
              </c:pt>
              <c:pt idx="10">
                <c:v>9</c:v>
              </c:pt>
              <c:pt idx="11">
                <c:v>7</c:v>
              </c:pt>
              <c:pt idx="12">
                <c:v>5</c:v>
              </c:pt>
              <c:pt idx="13">
                <c:v>10</c:v>
              </c:pt>
              <c:pt idx="14">
                <c:v>5</c:v>
              </c:pt>
              <c:pt idx="15">
                <c:v>2</c:v>
              </c:pt>
              <c:pt idx="16">
                <c:v>3</c:v>
              </c:pt>
              <c:pt idx="17">
                <c:v>2</c:v>
              </c:pt>
              <c:pt idx="18">
                <c:v>0</c:v>
              </c:pt>
              <c:pt idx="19">
                <c:v>1</c:v>
              </c:pt>
              <c:pt idx="20">
                <c:v>1</c:v>
              </c:pt>
            </c:numLit>
          </c:val>
          <c:extLst>
            <c:ext xmlns:c16="http://schemas.microsoft.com/office/drawing/2014/chart" uri="{C3380CC4-5D6E-409C-BE32-E72D297353CC}">
              <c16:uniqueId val="{00000000-E3BD-42FC-B9B8-8D267288A6E1}"/>
            </c:ext>
          </c:extLst>
        </c:ser>
        <c:ser>
          <c:idx val="1"/>
          <c:order val="1"/>
          <c:tx>
            <c:v>Theoretical</c:v>
          </c:tx>
          <c:spPr>
            <a:solidFill>
              <a:srgbClr val="FFD2D2"/>
            </a:solidFill>
            <a:ln w="9525">
              <a:solidFill>
                <a:srgbClr val="FF0000"/>
              </a:solidFill>
              <a:prstDash val="solid"/>
            </a:ln>
          </c:spPr>
          <c:invertIfNegative val="0"/>
          <c:cat>
            <c:strLit>
              <c:ptCount val="21"/>
              <c:pt idx="0">
                <c:v>-720</c:v>
              </c:pt>
              <c:pt idx="1">
                <c:v>-648</c:v>
              </c:pt>
              <c:pt idx="2">
                <c:v>-576</c:v>
              </c:pt>
              <c:pt idx="3">
                <c:v>-504</c:v>
              </c:pt>
              <c:pt idx="4">
                <c:v>-432</c:v>
              </c:pt>
              <c:pt idx="5">
                <c:v>-360</c:v>
              </c:pt>
              <c:pt idx="6">
                <c:v>-288</c:v>
              </c:pt>
              <c:pt idx="7">
                <c:v>-216</c:v>
              </c:pt>
              <c:pt idx="8">
                <c:v>-144</c:v>
              </c:pt>
              <c:pt idx="9">
                <c:v>-72</c:v>
              </c:pt>
              <c:pt idx="10">
                <c:v>0</c:v>
              </c:pt>
              <c:pt idx="11">
                <c:v>72</c:v>
              </c:pt>
              <c:pt idx="12">
                <c:v>144</c:v>
              </c:pt>
              <c:pt idx="13">
                <c:v>216</c:v>
              </c:pt>
              <c:pt idx="14">
                <c:v>288</c:v>
              </c:pt>
              <c:pt idx="15">
                <c:v>360</c:v>
              </c:pt>
              <c:pt idx="16">
                <c:v>432</c:v>
              </c:pt>
              <c:pt idx="17">
                <c:v>504</c:v>
              </c:pt>
              <c:pt idx="18">
                <c:v>576</c:v>
              </c:pt>
              <c:pt idx="19">
                <c:v>648</c:v>
              </c:pt>
              <c:pt idx="20">
                <c:v>720</c:v>
              </c:pt>
            </c:strLit>
          </c:cat>
          <c:val>
            <c:numLit>
              <c:formatCode>General</c:formatCode>
              <c:ptCount val="21"/>
              <c:pt idx="0">
                <c:v>0.36579214026870266</c:v>
              </c:pt>
              <c:pt idx="1">
                <c:v>0.65034603791108014</c:v>
              </c:pt>
              <c:pt idx="2">
                <c:v>1.0882960578827567</c:v>
              </c:pt>
              <c:pt idx="3">
                <c:v>1.7141248568172189</c:v>
              </c:pt>
              <c:pt idx="4">
                <c:v>2.5411543996011003</c:v>
              </c:pt>
              <c:pt idx="5">
                <c:v>3.5457913428894274</c:v>
              </c:pt>
              <c:pt idx="6">
                <c:v>4.6568161012959823</c:v>
              </c:pt>
              <c:pt idx="7">
                <c:v>5.7565066685989947</c:v>
              </c:pt>
              <c:pt idx="8">
                <c:v>6.6976603561776464</c:v>
              </c:pt>
              <c:pt idx="9">
                <c:v>7.3346861618011552</c:v>
              </c:pt>
              <c:pt idx="10">
                <c:v>7.5602182473463415</c:v>
              </c:pt>
              <c:pt idx="11">
                <c:v>7.3346861618011587</c:v>
              </c:pt>
              <c:pt idx="12">
                <c:v>6.6976603561776429</c:v>
              </c:pt>
              <c:pt idx="13">
                <c:v>5.7565066685989947</c:v>
              </c:pt>
              <c:pt idx="14">
                <c:v>4.6568161012959877</c:v>
              </c:pt>
              <c:pt idx="15">
                <c:v>3.5457913428894159</c:v>
              </c:pt>
              <c:pt idx="16">
                <c:v>2.5411543996011119</c:v>
              </c:pt>
              <c:pt idx="17">
                <c:v>1.7141248568172074</c:v>
              </c:pt>
              <c:pt idx="18">
                <c:v>1.0882960578827721</c:v>
              </c:pt>
              <c:pt idx="19">
                <c:v>0.6503460379110777</c:v>
              </c:pt>
              <c:pt idx="20">
                <c:v>0.36579214026869522</c:v>
              </c:pt>
            </c:numLit>
          </c:val>
          <c:extLst>
            <c:ext xmlns:c16="http://schemas.microsoft.com/office/drawing/2014/chart" uri="{C3380CC4-5D6E-409C-BE32-E72D297353CC}">
              <c16:uniqueId val="{00000001-E3BD-42FC-B9B8-8D267288A6E1}"/>
            </c:ext>
          </c:extLst>
        </c:ser>
        <c:dLbls>
          <c:showLegendKey val="0"/>
          <c:showVal val="0"/>
          <c:showCatName val="0"/>
          <c:showSerName val="0"/>
          <c:showPercent val="0"/>
          <c:showBubbleSize val="0"/>
        </c:dLbls>
        <c:gapWidth val="50"/>
        <c:axId val="87456768"/>
        <c:axId val="87475328"/>
      </c:barChart>
      <c:catAx>
        <c:axId val="87456768"/>
        <c:scaling>
          <c:orientation val="minMax"/>
        </c:scaling>
        <c:delete val="0"/>
        <c:axPos val="b"/>
        <c:title>
          <c:tx>
            <c:rich>
              <a:bodyPr/>
              <a:lstStyle/>
              <a:p>
                <a:pPr>
                  <a:defRPr/>
                </a:pPr>
                <a:r>
                  <a:rPr lang="en-US"/>
                  <a:t>Residual Range
</a:t>
                </a:r>
                <a:r>
                  <a:rPr lang="en-US" sz="750"/>
                  <a:t>Adjusted Anderson-Darling statistic is 0.183 (P=0.911)</a:t>
                </a:r>
              </a:p>
            </c:rich>
          </c:tx>
          <c:overlay val="0"/>
        </c:title>
        <c:numFmt formatCode="General" sourceLinked="0"/>
        <c:majorTickMark val="out"/>
        <c:minorTickMark val="none"/>
        <c:tickLblPos val="nextTo"/>
        <c:crossAx val="87475328"/>
        <c:crosses val="autoZero"/>
        <c:auto val="1"/>
        <c:lblAlgn val="ctr"/>
        <c:lblOffset val="100"/>
        <c:noMultiLvlLbl val="0"/>
      </c:catAx>
      <c:valAx>
        <c:axId val="87475328"/>
        <c:scaling>
          <c:orientation val="minMax"/>
        </c:scaling>
        <c:delete val="0"/>
        <c:axPos val="l"/>
        <c:majorGridlines>
          <c:spPr>
            <a:ln w="3175">
              <a:solidFill>
                <a:srgbClr val="C0C0C0"/>
              </a:solidFill>
              <a:prstDash val="solid"/>
            </a:ln>
          </c:spPr>
        </c:majorGridlines>
        <c:title>
          <c:tx>
            <c:rich>
              <a:bodyPr/>
              <a:lstStyle/>
              <a:p>
                <a:pPr>
                  <a:defRPr/>
                </a:pPr>
                <a:r>
                  <a:rPr lang="en-US"/>
                  <a:t>Frequency</a:t>
                </a:r>
              </a:p>
            </c:rich>
          </c:tx>
          <c:overlay val="0"/>
        </c:title>
        <c:numFmt formatCode="General" sourceLinked="1"/>
        <c:majorTickMark val="out"/>
        <c:minorTickMark val="none"/>
        <c:tickLblPos val="nextTo"/>
        <c:crossAx val="87456768"/>
        <c:crosses val="autoZero"/>
        <c:crossBetween val="between"/>
      </c:valAx>
      <c:spPr>
        <a:ln w="6350">
          <a:solidFill>
            <a:srgbClr val="808080"/>
          </a:solidFill>
          <a:prstDash val="solid"/>
        </a:ln>
      </c:spPr>
    </c:plotArea>
    <c:legend>
      <c:legendPos val="r"/>
      <c:overlay val="0"/>
    </c:legend>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Normal Quantile Plot
</a:t>
            </a:r>
            <a:r>
              <a:rPr lang="en-US" sz="1000"/>
              <a:t>Com HDD quadratic model for _Commercial_Natural_Gas    (3 variables, n=77)</a:t>
            </a:r>
          </a:p>
        </c:rich>
      </c:tx>
      <c:overlay val="0"/>
    </c:title>
    <c:autoTitleDeleted val="0"/>
    <c:plotArea>
      <c:layout/>
      <c:scatterChart>
        <c:scatterStyle val="lineMarker"/>
        <c:varyColors val="0"/>
        <c:ser>
          <c:idx val="0"/>
          <c:order val="0"/>
          <c:tx>
            <c:v>Actual</c:v>
          </c:tx>
          <c:spPr>
            <a:ln w="25400">
              <a:noFill/>
            </a:ln>
          </c:spPr>
          <c:marker>
            <c:symbol val="diamond"/>
            <c:size val="6"/>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77"/>
              <c:pt idx="0">
                <c:v>-2.2316058352609232</c:v>
              </c:pt>
              <c:pt idx="1">
                <c:v>-1.9491119969398878</c:v>
              </c:pt>
              <c:pt idx="2">
                <c:v>-1.7688250385187059</c:v>
              </c:pt>
              <c:pt idx="3">
                <c:v>-1.6325479658463484</c:v>
              </c:pt>
              <c:pt idx="4">
                <c:v>-1.5212180464259339</c:v>
              </c:pt>
              <c:pt idx="5">
                <c:v>-1.4260768722728474</c:v>
              </c:pt>
              <c:pt idx="6">
                <c:v>-1.3423356800772619</c:v>
              </c:pt>
              <c:pt idx="7">
                <c:v>-1.2670757512664441</c:v>
              </c:pt>
              <c:pt idx="8">
                <c:v>-1.1983797023069247</c:v>
              </c:pt>
              <c:pt idx="9">
                <c:v>-1.1349166179934915</c:v>
              </c:pt>
              <c:pt idx="10">
                <c:v>-1.0757227225615089</c:v>
              </c:pt>
              <c:pt idx="11">
                <c:v>-1.020076232786199</c:v>
              </c:pt>
              <c:pt idx="12">
                <c:v>-0.96742156610170071</c:v>
              </c:pt>
              <c:pt idx="13">
                <c:v>-0.91732118561922948</c:v>
              </c:pt>
              <c:pt idx="14">
                <c:v>-0.86942377328888587</c:v>
              </c:pt>
              <c:pt idx="15">
                <c:v>-0.82344248722381863</c:v>
              </c:pt>
              <c:pt idx="16">
                <c:v>-0.77913968367299147</c:v>
              </c:pt>
              <c:pt idx="17">
                <c:v>-0.73631591737612934</c:v>
              </c:pt>
              <c:pt idx="18">
                <c:v>-0.69480185236536429</c:v>
              </c:pt>
              <c:pt idx="19">
                <c:v>-0.65445220073200361</c:v>
              </c:pt>
              <c:pt idx="20">
                <c:v>-0.61514110459597382</c:v>
              </c:pt>
              <c:pt idx="21">
                <c:v>-0.57675856450779794</c:v>
              </c:pt>
              <c:pt idx="22">
                <c:v>-0.5392076393250993</c:v>
              </c:pt>
              <c:pt idx="23">
                <c:v>-0.50240222337335538</c:v>
              </c:pt>
              <c:pt idx="24">
                <c:v>-0.46626526137063579</c:v>
              </c:pt>
              <c:pt idx="25">
                <c:v>-0.43072729929545767</c:v>
              </c:pt>
              <c:pt idx="26">
                <c:v>-0.39572529581448734</c:v>
              </c:pt>
              <c:pt idx="27">
                <c:v>-0.36120163771131919</c:v>
              </c:pt>
              <c:pt idx="28">
                <c:v>-0.32710331634752854</c:v>
              </c:pt>
              <c:pt idx="29">
                <c:v>-0.29338123212119332</c:v>
              </c:pt>
              <c:pt idx="30">
                <c:v>-0.25998960123107034</c:v>
              </c:pt>
              <c:pt idx="31">
                <c:v>-0.22688544453587917</c:v>
              </c:pt>
              <c:pt idx="32">
                <c:v>-0.19402814242392633</c:v>
              </c:pt>
              <c:pt idx="33">
                <c:v>-0.16137904273423911</c:v>
              </c:pt>
              <c:pt idx="34">
                <c:v>-0.12890111114904174</c:v>
              </c:pt>
              <c:pt idx="35">
                <c:v>-9.6558615289639077E-2</c:v>
              </c:pt>
              <c:pt idx="36">
                <c:v>-6.4316835123874427E-2</c:v>
              </c:pt>
              <c:pt idx="37">
                <c:v>-3.2141793327338422E-2</c:v>
              </c:pt>
              <c:pt idx="38">
                <c:v>0</c:v>
              </c:pt>
              <c:pt idx="39">
                <c:v>3.2141793327338283E-2</c:v>
              </c:pt>
              <c:pt idx="40">
                <c:v>6.4316835123874427E-2</c:v>
              </c:pt>
              <c:pt idx="41">
                <c:v>9.6558615289639077E-2</c:v>
              </c:pt>
              <c:pt idx="42">
                <c:v>0.12890111114904187</c:v>
              </c:pt>
              <c:pt idx="43">
                <c:v>0.16137904273423911</c:v>
              </c:pt>
              <c:pt idx="44">
                <c:v>0.19402814242392619</c:v>
              </c:pt>
              <c:pt idx="45">
                <c:v>0.22688544453587917</c:v>
              </c:pt>
              <c:pt idx="46">
                <c:v>0.25998960123107023</c:v>
              </c:pt>
              <c:pt idx="47">
                <c:v>0.29338123212119344</c:v>
              </c:pt>
              <c:pt idx="48">
                <c:v>0.32710331634752854</c:v>
              </c:pt>
              <c:pt idx="49">
                <c:v>0.36120163771131936</c:v>
              </c:pt>
              <c:pt idx="50">
                <c:v>0.39572529581448734</c:v>
              </c:pt>
              <c:pt idx="51">
                <c:v>0.4307272992954575</c:v>
              </c:pt>
              <c:pt idx="52">
                <c:v>0.46626526137063601</c:v>
              </c:pt>
              <c:pt idx="53">
                <c:v>0.50240222337335538</c:v>
              </c:pt>
              <c:pt idx="54">
                <c:v>0.53920763932509952</c:v>
              </c:pt>
              <c:pt idx="55">
                <c:v>0.57675856450779794</c:v>
              </c:pt>
              <c:pt idx="56">
                <c:v>0.61514110459597326</c:v>
              </c:pt>
              <c:pt idx="57">
                <c:v>0.65445220073200361</c:v>
              </c:pt>
              <c:pt idx="58">
                <c:v>0.69480185236536429</c:v>
              </c:pt>
              <c:pt idx="59">
                <c:v>0.73631591737612956</c:v>
              </c:pt>
              <c:pt idx="60">
                <c:v>0.77913968367299147</c:v>
              </c:pt>
              <c:pt idx="61">
                <c:v>0.82344248722381752</c:v>
              </c:pt>
              <c:pt idx="62">
                <c:v>0.86942377328888587</c:v>
              </c:pt>
              <c:pt idx="63">
                <c:v>0.91732118561922948</c:v>
              </c:pt>
              <c:pt idx="64">
                <c:v>0.96742156610170071</c:v>
              </c:pt>
              <c:pt idx="65">
                <c:v>1.020076232786199</c:v>
              </c:pt>
              <c:pt idx="66">
                <c:v>1.0757227225615085</c:v>
              </c:pt>
              <c:pt idx="67">
                <c:v>1.1349166179934915</c:v>
              </c:pt>
              <c:pt idx="68">
                <c:v>1.1983797023069247</c:v>
              </c:pt>
              <c:pt idx="69">
                <c:v>1.2670757512664441</c:v>
              </c:pt>
              <c:pt idx="70">
                <c:v>1.3423356800772619</c:v>
              </c:pt>
              <c:pt idx="71">
                <c:v>1.4260768722728485</c:v>
              </c:pt>
              <c:pt idx="72">
                <c:v>1.5212180464259335</c:v>
              </c:pt>
              <c:pt idx="73">
                <c:v>1.632547965846348</c:v>
              </c:pt>
              <c:pt idx="74">
                <c:v>1.7688250385187059</c:v>
              </c:pt>
              <c:pt idx="75">
                <c:v>1.9491119969398871</c:v>
              </c:pt>
              <c:pt idx="76">
                <c:v>2.2316058352609245</c:v>
              </c:pt>
            </c:numLit>
          </c:xVal>
          <c:yVal>
            <c:numLit>
              <c:formatCode>General</c:formatCode>
              <c:ptCount val="77"/>
              <c:pt idx="0">
                <c:v>-2.3573392837576308</c:v>
              </c:pt>
              <c:pt idx="1">
                <c:v>-2.3158455121449695</c:v>
              </c:pt>
              <c:pt idx="2">
                <c:v>-1.7712123898837975</c:v>
              </c:pt>
              <c:pt idx="3">
                <c:v>-1.7674338193797954</c:v>
              </c:pt>
              <c:pt idx="4">
                <c:v>-1.618581941037553</c:v>
              </c:pt>
              <c:pt idx="5">
                <c:v>-1.599845567549774</c:v>
              </c:pt>
              <c:pt idx="6">
                <c:v>-1.3931751445754761</c:v>
              </c:pt>
              <c:pt idx="7">
                <c:v>-1.375057024233497</c:v>
              </c:pt>
              <c:pt idx="8">
                <c:v>-1.283737489508999</c:v>
              </c:pt>
              <c:pt idx="9">
                <c:v>-1.2182260998528203</c:v>
              </c:pt>
              <c:pt idx="10">
                <c:v>-1.1760918330315837</c:v>
              </c:pt>
              <c:pt idx="11">
                <c:v>-1.0217592955922079</c:v>
              </c:pt>
              <c:pt idx="12">
                <c:v>-1.0141763783196216</c:v>
              </c:pt>
              <c:pt idx="13">
                <c:v>-1.0100805655179501</c:v>
              </c:pt>
              <c:pt idx="14">
                <c:v>-0.93236198931936376</c:v>
              </c:pt>
              <c:pt idx="15">
                <c:v>-0.90550197596216975</c:v>
              </c:pt>
              <c:pt idx="16">
                <c:v>-0.78087176484820064</c:v>
              </c:pt>
              <c:pt idx="17">
                <c:v>-0.72667196030595149</c:v>
              </c:pt>
              <c:pt idx="18">
                <c:v>-0.72185815748754534</c:v>
              </c:pt>
              <c:pt idx="19">
                <c:v>-0.71801139137122827</c:v>
              </c:pt>
              <c:pt idx="20">
                <c:v>-0.62373762036407998</c:v>
              </c:pt>
              <c:pt idx="21">
                <c:v>-0.6160440881314474</c:v>
              </c:pt>
              <c:pt idx="22">
                <c:v>-0.48604484119862718</c:v>
              </c:pt>
              <c:pt idx="23">
                <c:v>-0.45840136981736967</c:v>
              </c:pt>
              <c:pt idx="24">
                <c:v>-0.44375048061311939</c:v>
              </c:pt>
              <c:pt idx="25">
                <c:v>-0.44009107474332465</c:v>
              </c:pt>
              <c:pt idx="26">
                <c:v>-0.40689105150176746</c:v>
              </c:pt>
              <c:pt idx="27">
                <c:v>-0.39922828060387822</c:v>
              </c:pt>
              <c:pt idx="28">
                <c:v>-0.30824612256220946</c:v>
              </c:pt>
              <c:pt idx="29">
                <c:v>-0.20309954874198077</c:v>
              </c:pt>
              <c:pt idx="30">
                <c:v>-0.19625332488618302</c:v>
              </c:pt>
              <c:pt idx="31">
                <c:v>-0.17862974339982082</c:v>
              </c:pt>
              <c:pt idx="32">
                <c:v>-6.6399008070322285E-2</c:v>
              </c:pt>
              <c:pt idx="33">
                <c:v>-3.9699639157616158E-2</c:v>
              </c:pt>
              <c:pt idx="34">
                <c:v>-3.2156498089839419E-2</c:v>
              </c:pt>
              <c:pt idx="35">
                <c:v>-1.1806305948413406E-2</c:v>
              </c:pt>
              <c:pt idx="36">
                <c:v>-3.3872120475913203E-3</c:v>
              </c:pt>
              <c:pt idx="37">
                <c:v>3.9502149414012963E-2</c:v>
              </c:pt>
              <c:pt idx="38">
                <c:v>7.1086494879313872E-2</c:v>
              </c:pt>
              <c:pt idx="39">
                <c:v>8.0147970161552035E-2</c:v>
              </c:pt>
              <c:pt idx="40">
                <c:v>9.4212117798916362E-2</c:v>
              </c:pt>
              <c:pt idx="41">
                <c:v>0.1240060912769971</c:v>
              </c:pt>
              <c:pt idx="42">
                <c:v>0.13557156151325833</c:v>
              </c:pt>
              <c:pt idx="43">
                <c:v>0.15788304609621318</c:v>
              </c:pt>
              <c:pt idx="44">
                <c:v>0.25172559010430123</c:v>
              </c:pt>
              <c:pt idx="45">
                <c:v>0.30346891051870656</c:v>
              </c:pt>
              <c:pt idx="46">
                <c:v>0.32588754171008572</c:v>
              </c:pt>
              <c:pt idx="47">
                <c:v>0.32655787152198884</c:v>
              </c:pt>
              <c:pt idx="48">
                <c:v>0.40401033053078972</c:v>
              </c:pt>
              <c:pt idx="49">
                <c:v>0.42428935523907008</c:v>
              </c:pt>
              <c:pt idx="50">
                <c:v>0.42509931657673333</c:v>
              </c:pt>
              <c:pt idx="51">
                <c:v>0.45022332929952202</c:v>
              </c:pt>
              <c:pt idx="52">
                <c:v>0.58162652230445955</c:v>
              </c:pt>
              <c:pt idx="53">
                <c:v>0.64286830131382255</c:v>
              </c:pt>
              <c:pt idx="54">
                <c:v>0.64643111092595507</c:v>
              </c:pt>
              <c:pt idx="55">
                <c:v>0.65261376389090686</c:v>
              </c:pt>
              <c:pt idx="56">
                <c:v>0.66786029702172456</c:v>
              </c:pt>
              <c:pt idx="57">
                <c:v>0.6787480815525162</c:v>
              </c:pt>
              <c:pt idx="58">
                <c:v>0.68976772472773562</c:v>
              </c:pt>
              <c:pt idx="59">
                <c:v>0.73423625629829348</c:v>
              </c:pt>
              <c:pt idx="60">
                <c:v>0.75671473063306305</c:v>
              </c:pt>
              <c:pt idx="61">
                <c:v>0.77118271623119128</c:v>
              </c:pt>
              <c:pt idx="62">
                <c:v>0.82884858463759759</c:v>
              </c:pt>
              <c:pt idx="63">
                <c:v>0.87313449338298088</c:v>
              </c:pt>
              <c:pt idx="64">
                <c:v>0.9087553515847604</c:v>
              </c:pt>
              <c:pt idx="65">
                <c:v>1.0240033375623465</c:v>
              </c:pt>
              <c:pt idx="66">
                <c:v>1.0284560888383263</c:v>
              </c:pt>
              <c:pt idx="67">
                <c:v>1.0416236730531905</c:v>
              </c:pt>
              <c:pt idx="68">
                <c:v>1.1293546841574151</c:v>
              </c:pt>
              <c:pt idx="69">
                <c:v>1.1533222293526781</c:v>
              </c:pt>
              <c:pt idx="70">
                <c:v>1.3743924237214924</c:v>
              </c:pt>
              <c:pt idx="71">
                <c:v>1.4256680896047254</c:v>
              </c:pt>
              <c:pt idx="72">
                <c:v>1.5143941430499539</c:v>
              </c:pt>
              <c:pt idx="73">
                <c:v>1.6113569078265355</c:v>
              </c:pt>
              <c:pt idx="74">
                <c:v>1.6488858492223446</c:v>
              </c:pt>
              <c:pt idx="75">
                <c:v>2.1706451570170229</c:v>
              </c:pt>
              <c:pt idx="76">
                <c:v>2.4531435990179515</c:v>
              </c:pt>
            </c:numLit>
          </c:yVal>
          <c:smooth val="0"/>
          <c:extLst>
            <c:ext xmlns:c16="http://schemas.microsoft.com/office/drawing/2014/chart" uri="{C3380CC4-5D6E-409C-BE32-E72D297353CC}">
              <c16:uniqueId val="{00000000-A2A7-4247-9EA1-4C85B3042019}"/>
            </c:ext>
          </c:extLst>
        </c:ser>
        <c:ser>
          <c:idx val="1"/>
          <c:order val="1"/>
          <c:tx>
            <c:v>Theoretical</c:v>
          </c:tx>
          <c:spPr>
            <a:ln w="12700">
              <a:solidFill>
                <a:srgbClr val="FF0000"/>
              </a:solidFill>
              <a:prstDash val="solid"/>
            </a:ln>
          </c:spPr>
          <c:marker>
            <c:symbol val="none"/>
          </c:marker>
          <c:xVal>
            <c:numLit>
              <c:formatCode>General</c:formatCode>
              <c:ptCount val="77"/>
              <c:pt idx="0">
                <c:v>-2.2316058352609232</c:v>
              </c:pt>
              <c:pt idx="1">
                <c:v>-1.9491119969398878</c:v>
              </c:pt>
              <c:pt idx="2">
                <c:v>-1.7688250385187059</c:v>
              </c:pt>
              <c:pt idx="3">
                <c:v>-1.6325479658463484</c:v>
              </c:pt>
              <c:pt idx="4">
                <c:v>-1.5212180464259339</c:v>
              </c:pt>
              <c:pt idx="5">
                <c:v>-1.4260768722728474</c:v>
              </c:pt>
              <c:pt idx="6">
                <c:v>-1.3423356800772619</c:v>
              </c:pt>
              <c:pt idx="7">
                <c:v>-1.2670757512664441</c:v>
              </c:pt>
              <c:pt idx="8">
                <c:v>-1.1983797023069247</c:v>
              </c:pt>
              <c:pt idx="9">
                <c:v>-1.1349166179934915</c:v>
              </c:pt>
              <c:pt idx="10">
                <c:v>-1.0757227225615089</c:v>
              </c:pt>
              <c:pt idx="11">
                <c:v>-1.020076232786199</c:v>
              </c:pt>
              <c:pt idx="12">
                <c:v>-0.96742156610170071</c:v>
              </c:pt>
              <c:pt idx="13">
                <c:v>-0.91732118561922948</c:v>
              </c:pt>
              <c:pt idx="14">
                <c:v>-0.86942377328888587</c:v>
              </c:pt>
              <c:pt idx="15">
                <c:v>-0.82344248722381863</c:v>
              </c:pt>
              <c:pt idx="16">
                <c:v>-0.77913968367299147</c:v>
              </c:pt>
              <c:pt idx="17">
                <c:v>-0.73631591737612934</c:v>
              </c:pt>
              <c:pt idx="18">
                <c:v>-0.69480185236536429</c:v>
              </c:pt>
              <c:pt idx="19">
                <c:v>-0.65445220073200361</c:v>
              </c:pt>
              <c:pt idx="20">
                <c:v>-0.61514110459597382</c:v>
              </c:pt>
              <c:pt idx="21">
                <c:v>-0.57675856450779794</c:v>
              </c:pt>
              <c:pt idx="22">
                <c:v>-0.5392076393250993</c:v>
              </c:pt>
              <c:pt idx="23">
                <c:v>-0.50240222337335538</c:v>
              </c:pt>
              <c:pt idx="24">
                <c:v>-0.46626526137063579</c:v>
              </c:pt>
              <c:pt idx="25">
                <c:v>-0.43072729929545767</c:v>
              </c:pt>
              <c:pt idx="26">
                <c:v>-0.39572529581448734</c:v>
              </c:pt>
              <c:pt idx="27">
                <c:v>-0.36120163771131919</c:v>
              </c:pt>
              <c:pt idx="28">
                <c:v>-0.32710331634752854</c:v>
              </c:pt>
              <c:pt idx="29">
                <c:v>-0.29338123212119332</c:v>
              </c:pt>
              <c:pt idx="30">
                <c:v>-0.25998960123107034</c:v>
              </c:pt>
              <c:pt idx="31">
                <c:v>-0.22688544453587917</c:v>
              </c:pt>
              <c:pt idx="32">
                <c:v>-0.19402814242392633</c:v>
              </c:pt>
              <c:pt idx="33">
                <c:v>-0.16137904273423911</c:v>
              </c:pt>
              <c:pt idx="34">
                <c:v>-0.12890111114904174</c:v>
              </c:pt>
              <c:pt idx="35">
                <c:v>-9.6558615289639077E-2</c:v>
              </c:pt>
              <c:pt idx="36">
                <c:v>-6.4316835123874427E-2</c:v>
              </c:pt>
              <c:pt idx="37">
                <c:v>-3.2141793327338422E-2</c:v>
              </c:pt>
              <c:pt idx="38">
                <c:v>0</c:v>
              </c:pt>
              <c:pt idx="39">
                <c:v>3.2141793327338283E-2</c:v>
              </c:pt>
              <c:pt idx="40">
                <c:v>6.4316835123874427E-2</c:v>
              </c:pt>
              <c:pt idx="41">
                <c:v>9.6558615289639077E-2</c:v>
              </c:pt>
              <c:pt idx="42">
                <c:v>0.12890111114904187</c:v>
              </c:pt>
              <c:pt idx="43">
                <c:v>0.16137904273423911</c:v>
              </c:pt>
              <c:pt idx="44">
                <c:v>0.19402814242392619</c:v>
              </c:pt>
              <c:pt idx="45">
                <c:v>0.22688544453587917</c:v>
              </c:pt>
              <c:pt idx="46">
                <c:v>0.25998960123107023</c:v>
              </c:pt>
              <c:pt idx="47">
                <c:v>0.29338123212119344</c:v>
              </c:pt>
              <c:pt idx="48">
                <c:v>0.32710331634752854</c:v>
              </c:pt>
              <c:pt idx="49">
                <c:v>0.36120163771131936</c:v>
              </c:pt>
              <c:pt idx="50">
                <c:v>0.39572529581448734</c:v>
              </c:pt>
              <c:pt idx="51">
                <c:v>0.4307272992954575</c:v>
              </c:pt>
              <c:pt idx="52">
                <c:v>0.46626526137063601</c:v>
              </c:pt>
              <c:pt idx="53">
                <c:v>0.50240222337335538</c:v>
              </c:pt>
              <c:pt idx="54">
                <c:v>0.53920763932509952</c:v>
              </c:pt>
              <c:pt idx="55">
                <c:v>0.57675856450779794</c:v>
              </c:pt>
              <c:pt idx="56">
                <c:v>0.61514110459597326</c:v>
              </c:pt>
              <c:pt idx="57">
                <c:v>0.65445220073200361</c:v>
              </c:pt>
              <c:pt idx="58">
                <c:v>0.69480185236536429</c:v>
              </c:pt>
              <c:pt idx="59">
                <c:v>0.73631591737612956</c:v>
              </c:pt>
              <c:pt idx="60">
                <c:v>0.77913968367299147</c:v>
              </c:pt>
              <c:pt idx="61">
                <c:v>0.82344248722381752</c:v>
              </c:pt>
              <c:pt idx="62">
                <c:v>0.86942377328888587</c:v>
              </c:pt>
              <c:pt idx="63">
                <c:v>0.91732118561922948</c:v>
              </c:pt>
              <c:pt idx="64">
                <c:v>0.96742156610170071</c:v>
              </c:pt>
              <c:pt idx="65">
                <c:v>1.020076232786199</c:v>
              </c:pt>
              <c:pt idx="66">
                <c:v>1.0757227225615085</c:v>
              </c:pt>
              <c:pt idx="67">
                <c:v>1.1349166179934915</c:v>
              </c:pt>
              <c:pt idx="68">
                <c:v>1.1983797023069247</c:v>
              </c:pt>
              <c:pt idx="69">
                <c:v>1.2670757512664441</c:v>
              </c:pt>
              <c:pt idx="70">
                <c:v>1.3423356800772619</c:v>
              </c:pt>
              <c:pt idx="71">
                <c:v>1.4260768722728485</c:v>
              </c:pt>
              <c:pt idx="72">
                <c:v>1.5212180464259335</c:v>
              </c:pt>
              <c:pt idx="73">
                <c:v>1.632547965846348</c:v>
              </c:pt>
              <c:pt idx="74">
                <c:v>1.7688250385187059</c:v>
              </c:pt>
              <c:pt idx="75">
                <c:v>1.9491119969398871</c:v>
              </c:pt>
              <c:pt idx="76">
                <c:v>2.2316058352609245</c:v>
              </c:pt>
            </c:numLit>
          </c:xVal>
          <c:yVal>
            <c:numLit>
              <c:formatCode>General</c:formatCode>
              <c:ptCount val="77"/>
              <c:pt idx="0">
                <c:v>-2.2316058352609232</c:v>
              </c:pt>
              <c:pt idx="1">
                <c:v>-1.9491119969398878</c:v>
              </c:pt>
              <c:pt idx="2">
                <c:v>-1.7688250385187059</c:v>
              </c:pt>
              <c:pt idx="3">
                <c:v>-1.6325479658463484</c:v>
              </c:pt>
              <c:pt idx="4">
                <c:v>-1.5212180464259339</c:v>
              </c:pt>
              <c:pt idx="5">
                <c:v>-1.4260768722728474</c:v>
              </c:pt>
              <c:pt idx="6">
                <c:v>-1.3423356800772619</c:v>
              </c:pt>
              <c:pt idx="7">
                <c:v>-1.2670757512664441</c:v>
              </c:pt>
              <c:pt idx="8">
                <c:v>-1.1983797023069247</c:v>
              </c:pt>
              <c:pt idx="9">
                <c:v>-1.1349166179934915</c:v>
              </c:pt>
              <c:pt idx="10">
                <c:v>-1.0757227225615089</c:v>
              </c:pt>
              <c:pt idx="11">
                <c:v>-1.020076232786199</c:v>
              </c:pt>
              <c:pt idx="12">
                <c:v>-0.96742156610170071</c:v>
              </c:pt>
              <c:pt idx="13">
                <c:v>-0.91732118561922948</c:v>
              </c:pt>
              <c:pt idx="14">
                <c:v>-0.86942377328888587</c:v>
              </c:pt>
              <c:pt idx="15">
                <c:v>-0.82344248722381863</c:v>
              </c:pt>
              <c:pt idx="16">
                <c:v>-0.77913968367299147</c:v>
              </c:pt>
              <c:pt idx="17">
                <c:v>-0.73631591737612934</c:v>
              </c:pt>
              <c:pt idx="18">
                <c:v>-0.69480185236536429</c:v>
              </c:pt>
              <c:pt idx="19">
                <c:v>-0.65445220073200361</c:v>
              </c:pt>
              <c:pt idx="20">
                <c:v>-0.61514110459597382</c:v>
              </c:pt>
              <c:pt idx="21">
                <c:v>-0.57675856450779794</c:v>
              </c:pt>
              <c:pt idx="22">
                <c:v>-0.5392076393250993</c:v>
              </c:pt>
              <c:pt idx="23">
                <c:v>-0.50240222337335538</c:v>
              </c:pt>
              <c:pt idx="24">
                <c:v>-0.46626526137063579</c:v>
              </c:pt>
              <c:pt idx="25">
                <c:v>-0.43072729929545767</c:v>
              </c:pt>
              <c:pt idx="26">
                <c:v>-0.39572529581448734</c:v>
              </c:pt>
              <c:pt idx="27">
                <c:v>-0.36120163771131919</c:v>
              </c:pt>
              <c:pt idx="28">
                <c:v>-0.32710331634752854</c:v>
              </c:pt>
              <c:pt idx="29">
                <c:v>-0.29338123212119332</c:v>
              </c:pt>
              <c:pt idx="30">
                <c:v>-0.25998960123107034</c:v>
              </c:pt>
              <c:pt idx="31">
                <c:v>-0.22688544453587917</c:v>
              </c:pt>
              <c:pt idx="32">
                <c:v>-0.19402814242392633</c:v>
              </c:pt>
              <c:pt idx="33">
                <c:v>-0.16137904273423911</c:v>
              </c:pt>
              <c:pt idx="34">
                <c:v>-0.12890111114904174</c:v>
              </c:pt>
              <c:pt idx="35">
                <c:v>-9.6558615289639077E-2</c:v>
              </c:pt>
              <c:pt idx="36">
                <c:v>-6.4316835123874427E-2</c:v>
              </c:pt>
              <c:pt idx="37">
                <c:v>-3.2141793327338422E-2</c:v>
              </c:pt>
              <c:pt idx="38">
                <c:v>0</c:v>
              </c:pt>
              <c:pt idx="39">
                <c:v>3.2141793327338283E-2</c:v>
              </c:pt>
              <c:pt idx="40">
                <c:v>6.4316835123874427E-2</c:v>
              </c:pt>
              <c:pt idx="41">
                <c:v>9.6558615289639077E-2</c:v>
              </c:pt>
              <c:pt idx="42">
                <c:v>0.12890111114904187</c:v>
              </c:pt>
              <c:pt idx="43">
                <c:v>0.16137904273423911</c:v>
              </c:pt>
              <c:pt idx="44">
                <c:v>0.19402814242392619</c:v>
              </c:pt>
              <c:pt idx="45">
                <c:v>0.22688544453587917</c:v>
              </c:pt>
              <c:pt idx="46">
                <c:v>0.25998960123107023</c:v>
              </c:pt>
              <c:pt idx="47">
                <c:v>0.29338123212119344</c:v>
              </c:pt>
              <c:pt idx="48">
                <c:v>0.32710331634752854</c:v>
              </c:pt>
              <c:pt idx="49">
                <c:v>0.36120163771131936</c:v>
              </c:pt>
              <c:pt idx="50">
                <c:v>0.39572529581448734</c:v>
              </c:pt>
              <c:pt idx="51">
                <c:v>0.4307272992954575</c:v>
              </c:pt>
              <c:pt idx="52">
                <c:v>0.46626526137063601</c:v>
              </c:pt>
              <c:pt idx="53">
                <c:v>0.50240222337335538</c:v>
              </c:pt>
              <c:pt idx="54">
                <c:v>0.53920763932509952</c:v>
              </c:pt>
              <c:pt idx="55">
                <c:v>0.57675856450779794</c:v>
              </c:pt>
              <c:pt idx="56">
                <c:v>0.61514110459597326</c:v>
              </c:pt>
              <c:pt idx="57">
                <c:v>0.65445220073200361</c:v>
              </c:pt>
              <c:pt idx="58">
                <c:v>0.69480185236536429</c:v>
              </c:pt>
              <c:pt idx="59">
                <c:v>0.73631591737612956</c:v>
              </c:pt>
              <c:pt idx="60">
                <c:v>0.77913968367299147</c:v>
              </c:pt>
              <c:pt idx="61">
                <c:v>0.82344248722381752</c:v>
              </c:pt>
              <c:pt idx="62">
                <c:v>0.86942377328888587</c:v>
              </c:pt>
              <c:pt idx="63">
                <c:v>0.91732118561922948</c:v>
              </c:pt>
              <c:pt idx="64">
                <c:v>0.96742156610170071</c:v>
              </c:pt>
              <c:pt idx="65">
                <c:v>1.020076232786199</c:v>
              </c:pt>
              <c:pt idx="66">
                <c:v>1.0757227225615085</c:v>
              </c:pt>
              <c:pt idx="67">
                <c:v>1.1349166179934915</c:v>
              </c:pt>
              <c:pt idx="68">
                <c:v>1.1983797023069247</c:v>
              </c:pt>
              <c:pt idx="69">
                <c:v>1.2670757512664441</c:v>
              </c:pt>
              <c:pt idx="70">
                <c:v>1.3423356800772619</c:v>
              </c:pt>
              <c:pt idx="71">
                <c:v>1.4260768722728485</c:v>
              </c:pt>
              <c:pt idx="72">
                <c:v>1.5212180464259335</c:v>
              </c:pt>
              <c:pt idx="73">
                <c:v>1.632547965846348</c:v>
              </c:pt>
              <c:pt idx="74">
                <c:v>1.7688250385187059</c:v>
              </c:pt>
              <c:pt idx="75">
                <c:v>1.9491119969398871</c:v>
              </c:pt>
              <c:pt idx="76">
                <c:v>2.2316058352609245</c:v>
              </c:pt>
            </c:numLit>
          </c:yVal>
          <c:smooth val="0"/>
          <c:extLst>
            <c:ext xmlns:c16="http://schemas.microsoft.com/office/drawing/2014/chart" uri="{C3380CC4-5D6E-409C-BE32-E72D297353CC}">
              <c16:uniqueId val="{00000001-A2A7-4247-9EA1-4C85B3042019}"/>
            </c:ext>
          </c:extLst>
        </c:ser>
        <c:dLbls>
          <c:showLegendKey val="0"/>
          <c:showVal val="0"/>
          <c:showCatName val="0"/>
          <c:showSerName val="0"/>
          <c:showPercent val="0"/>
          <c:showBubbleSize val="0"/>
        </c:dLbls>
        <c:axId val="104072704"/>
        <c:axId val="104074624"/>
      </c:scatterChart>
      <c:valAx>
        <c:axId val="104072704"/>
        <c:scaling>
          <c:orientation val="minMax"/>
        </c:scaling>
        <c:delete val="0"/>
        <c:axPos val="b"/>
        <c:title>
          <c:tx>
            <c:rich>
              <a:bodyPr/>
              <a:lstStyle/>
              <a:p>
                <a:pPr>
                  <a:defRPr/>
                </a:pPr>
                <a:r>
                  <a:rPr lang="en-US"/>
                  <a:t>Theoretical Standardized Residual
</a:t>
                </a:r>
                <a:r>
                  <a:rPr lang="en-US" sz="750"/>
                  <a:t>Adjusted Anderson-Darling statistic is 0.183 (P=0.911)</a:t>
                </a:r>
              </a:p>
            </c:rich>
          </c:tx>
          <c:overlay val="0"/>
        </c:title>
        <c:numFmt formatCode="General" sourceLinked="1"/>
        <c:majorTickMark val="out"/>
        <c:minorTickMark val="none"/>
        <c:tickLblPos val="nextTo"/>
        <c:crossAx val="104074624"/>
        <c:crosses val="autoZero"/>
        <c:crossBetween val="midCat"/>
      </c:valAx>
      <c:valAx>
        <c:axId val="104074624"/>
        <c:scaling>
          <c:orientation val="minMax"/>
        </c:scaling>
        <c:delete val="0"/>
        <c:axPos val="l"/>
        <c:title>
          <c:tx>
            <c:rich>
              <a:bodyPr/>
              <a:lstStyle/>
              <a:p>
                <a:pPr>
                  <a:defRPr/>
                </a:pPr>
                <a:r>
                  <a:rPr lang="en-US"/>
                  <a:t>Actual Standardized Residual</a:t>
                </a:r>
              </a:p>
            </c:rich>
          </c:tx>
          <c:overlay val="0"/>
        </c:title>
        <c:numFmt formatCode="General" sourceLinked="1"/>
        <c:majorTickMark val="out"/>
        <c:minorTickMark val="none"/>
        <c:tickLblPos val="nextTo"/>
        <c:crossAx val="104072704"/>
        <c:crossesAt val="-3"/>
        <c:crossBetween val="midCat"/>
      </c:valAx>
      <c:spPr>
        <a:ln w="6350">
          <a:solidFill>
            <a:srgbClr val="808080"/>
          </a:solidFill>
          <a:prstDash val="solid"/>
        </a:ln>
      </c:spPr>
    </c:plotArea>
    <c:legend>
      <c:legendPos val="r"/>
      <c:overlay val="0"/>
    </c:legend>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'Com HDD model with dummies'!$AA$2</c:f>
          <c:strCache>
            <c:ptCount val="1"/>
            <c:pt idx="0">
              <c:v>Forecasts and 95.0% confidence limits for means and forecasts
Com HDD model with dummies for _Commercial_Natural_Gas    (14 variables, n=77)</c:v>
            </c:pt>
          </c:strCache>
        </c:strRef>
      </c:tx>
      <c:overlay val="0"/>
      <c:txPr>
        <a:bodyPr/>
        <a:lstStyle/>
        <a:p>
          <a:pPr>
            <a:defRPr sz="1000"/>
          </a:pPr>
          <a:endParaRPr lang="en-US"/>
        </a:p>
      </c:txPr>
    </c:title>
    <c:autoTitleDeleted val="0"/>
    <c:plotArea>
      <c:layout/>
      <c:lineChart>
        <c:grouping val="standard"/>
        <c:varyColors val="0"/>
        <c:ser>
          <c:idx val="0"/>
          <c:order val="0"/>
          <c:tx>
            <c:v>Forecast</c:v>
          </c:tx>
          <c:spPr>
            <a:ln w="25400">
              <a:noFill/>
            </a:ln>
          </c:spPr>
          <c:marker>
            <c:symbol val="circle"/>
            <c:size val="7"/>
            <c:spPr>
              <a:solidFill>
                <a:srgbClr val="FF9999"/>
              </a:solidFill>
              <a:ln w="12700">
                <a:solidFill>
                  <a:srgbClr val="FF0000"/>
                </a:solidFill>
                <a:prstDash val="solid"/>
              </a:ln>
            </c:spPr>
          </c:marker>
          <c:errBars>
            <c:errDir val="y"/>
            <c:errBarType val="both"/>
            <c:errValType val="cust"/>
            <c:noEndCap val="0"/>
            <c:plus>
              <c:numRef>
                <c:f>'Com HDD model with dummies'!$CG$49</c:f>
              </c:numRef>
            </c:plus>
            <c:minus>
              <c:numRef>
                <c:f>'Com HDD model with dummies'!$CG$49</c:f>
              </c:numRef>
            </c:minus>
          </c:errBars>
          <c:val>
            <c:numRef>
              <c:f>'Com HDD model with dummies'!$B$49</c:f>
            </c:numRef>
          </c:val>
          <c:smooth val="0"/>
          <c:extLst>
            <c:ext xmlns:c15="http://schemas.microsoft.com/office/drawing/2012/chart" uri="{02D57815-91ED-43cb-92C2-25804820EDAC}">
              <c15:filteredCategoryTitle>
                <c15:cat>
                  <c:multiLvlStrRef>
                    <c:extLst>
                      <c:ext uri="{02D57815-91ED-43cb-92C2-25804820EDAC}">
                        <c15:formulaRef>
                          <c15:sqref>'Com HDD model with dummies'!$A$49</c15:sqref>
                        </c15:formulaRef>
                      </c:ext>
                    </c:extLst>
                  </c:multiLvlStrRef>
                </c15:cat>
              </c15:filteredCategoryTitle>
            </c:ext>
            <c:ext xmlns:c16="http://schemas.microsoft.com/office/drawing/2014/chart" uri="{C3380CC4-5D6E-409C-BE32-E72D297353CC}">
              <c16:uniqueId val="{00000000-BDDD-40F5-B41C-2391BE5A7863}"/>
            </c:ext>
          </c:extLst>
        </c:ser>
        <c:ser>
          <c:idx val="1"/>
          <c:order val="1"/>
          <c:tx>
            <c:strRef>
              <c:f>'Com HDD model with dummies'!$H$48</c:f>
              <c:strCache>
                <c:ptCount val="1"/>
                <c:pt idx="0">
                  <c:v>Upper95%M</c:v>
                </c:pt>
              </c:strCache>
            </c:strRef>
          </c:tx>
          <c:spPr>
            <a:ln w="25400">
              <a:noFill/>
            </a:ln>
          </c:spPr>
          <c:marker>
            <c:symbol val="dash"/>
            <c:size val="7"/>
            <c:spPr>
              <a:noFill/>
              <a:ln w="12700">
                <a:solidFill>
                  <a:srgbClr val="000000"/>
                </a:solidFill>
              </a:ln>
              <a:extLst>
                <a:ext uri="{909E8E84-426E-40DD-AFC4-6F175D3DCCD1}">
                  <a14:hiddenFill xmlns:a14="http://schemas.microsoft.com/office/drawing/2010/main">
                    <a:solidFill>
                      <a:srgbClr val="ED7D31"/>
                    </a:solidFill>
                  </a14:hiddenFill>
                </a:ext>
              </a:extLst>
            </c:spPr>
          </c:marker>
          <c:val>
            <c:numRef>
              <c:f>'Com HDD model with dummies'!$H$49</c:f>
            </c:numRef>
          </c:val>
          <c:smooth val="0"/>
          <c:extLst>
            <c:ext xmlns:c15="http://schemas.microsoft.com/office/drawing/2012/chart" uri="{02D57815-91ED-43cb-92C2-25804820EDAC}">
              <c15:filteredCategoryTitle>
                <c15:cat>
                  <c:multiLvlStrRef>
                    <c:extLst>
                      <c:ext uri="{02D57815-91ED-43cb-92C2-25804820EDAC}">
                        <c15:formulaRef>
                          <c15:sqref>'Com HDD model with dummies'!$A$49</c15:sqref>
                        </c15:formulaRef>
                      </c:ext>
                    </c:extLst>
                  </c:multiLvlStrRef>
                </c15:cat>
              </c15:filteredCategoryTitle>
            </c:ext>
            <c:ext xmlns:c16="http://schemas.microsoft.com/office/drawing/2014/chart" uri="{C3380CC4-5D6E-409C-BE32-E72D297353CC}">
              <c16:uniqueId val="{00000001-BDDD-40F5-B41C-2391BE5A7863}"/>
            </c:ext>
          </c:extLst>
        </c:ser>
        <c:ser>
          <c:idx val="2"/>
          <c:order val="2"/>
          <c:tx>
            <c:strRef>
              <c:f>'Com HDD model with dummies'!$G$48</c:f>
              <c:strCache>
                <c:ptCount val="1"/>
                <c:pt idx="0">
                  <c:v>Lower95%M</c:v>
                </c:pt>
              </c:strCache>
            </c:strRef>
          </c:tx>
          <c:spPr>
            <a:ln w="25400">
              <a:noFill/>
            </a:ln>
          </c:spPr>
          <c:marker>
            <c:symbol val="dash"/>
            <c:size val="7"/>
            <c:spPr>
              <a:noFill/>
              <a:ln w="12700">
                <a:solidFill>
                  <a:srgbClr val="000000"/>
                </a:solidFill>
              </a:ln>
              <a:extLst>
                <a:ext uri="{909E8E84-426E-40DD-AFC4-6F175D3DCCD1}">
                  <a14:hiddenFill xmlns:a14="http://schemas.microsoft.com/office/drawing/2010/main">
                    <a:solidFill>
                      <a:srgbClr val="A5A5A5"/>
                    </a:solidFill>
                  </a14:hiddenFill>
                </a:ext>
              </a:extLst>
            </c:spPr>
          </c:marker>
          <c:val>
            <c:numRef>
              <c:f>'Com HDD model with dummies'!$G$49</c:f>
            </c:numRef>
          </c:val>
          <c:smooth val="0"/>
          <c:extLst>
            <c:ext xmlns:c15="http://schemas.microsoft.com/office/drawing/2012/chart" uri="{02D57815-91ED-43cb-92C2-25804820EDAC}">
              <c15:filteredCategoryTitle>
                <c15:cat>
                  <c:multiLvlStrRef>
                    <c:extLst>
                      <c:ext uri="{02D57815-91ED-43cb-92C2-25804820EDAC}">
                        <c15:formulaRef>
                          <c15:sqref>'Com HDD model with dummies'!$A$49</c15:sqref>
                        </c15:formulaRef>
                      </c:ext>
                    </c:extLst>
                  </c:multiLvlStrRef>
                </c15:cat>
              </c15:filteredCategoryTitle>
            </c:ext>
            <c:ext xmlns:c16="http://schemas.microsoft.com/office/drawing/2014/chart" uri="{C3380CC4-5D6E-409C-BE32-E72D297353CC}">
              <c16:uniqueId val="{00000002-BDDD-40F5-B41C-2391BE5A7863}"/>
            </c:ext>
          </c:extLst>
        </c:ser>
        <c:dLbls>
          <c:showLegendKey val="0"/>
          <c:showVal val="0"/>
          <c:showCatName val="0"/>
          <c:showSerName val="0"/>
          <c:showPercent val="0"/>
          <c:showBubbleSize val="0"/>
        </c:dLbls>
        <c:marker val="1"/>
        <c:smooth val="0"/>
        <c:axId val="104110336"/>
        <c:axId val="104125184"/>
      </c:lineChart>
      <c:catAx>
        <c:axId val="104110336"/>
        <c:scaling>
          <c:orientation val="minMax"/>
        </c:scaling>
        <c:delete val="0"/>
        <c:axPos val="b"/>
        <c:title>
          <c:tx>
            <c:rich>
              <a:bodyPr/>
              <a:lstStyle/>
              <a:p>
                <a:pPr>
                  <a:defRPr/>
                </a:pPr>
                <a:r>
                  <a:rPr lang="en-US"/>
                  <a:t>Observation #</a:t>
                </a:r>
              </a:p>
            </c:rich>
          </c:tx>
          <c:overlay val="0"/>
        </c:title>
        <c:numFmt formatCode="0" sourceLinked="1"/>
        <c:majorTickMark val="out"/>
        <c:minorTickMark val="none"/>
        <c:tickLblPos val="nextTo"/>
        <c:crossAx val="104125184"/>
        <c:crossesAt val="5000"/>
        <c:auto val="1"/>
        <c:lblAlgn val="ctr"/>
        <c:lblOffset val="100"/>
        <c:noMultiLvlLbl val="0"/>
      </c:catAx>
      <c:valAx>
        <c:axId val="104125184"/>
        <c:scaling>
          <c:orientation val="minMax"/>
          <c:min val="5000"/>
        </c:scaling>
        <c:delete val="0"/>
        <c:axPos val="l"/>
        <c:majorGridlines>
          <c:spPr>
            <a:ln w="3175">
              <a:solidFill>
                <a:srgbClr val="C0C0C0"/>
              </a:solidFill>
              <a:prstDash val="solid"/>
            </a:ln>
          </c:spPr>
        </c:majorGridlines>
        <c:title>
          <c:tx>
            <c:rich>
              <a:bodyPr/>
              <a:lstStyle/>
              <a:p>
                <a:pPr>
                  <a:defRPr/>
                </a:pPr>
                <a:r>
                  <a:rPr lang="en-US"/>
                  <a:t>_Commercial_Natural_Gas</a:t>
                </a:r>
              </a:p>
            </c:rich>
          </c:tx>
          <c:layout>
            <c:manualLayout>
              <c:xMode val="edge"/>
              <c:yMode val="edge"/>
              <c:x val="2.8097062579821201E-2"/>
              <c:y val="0.21829629629629629"/>
            </c:manualLayout>
          </c:layout>
          <c:overlay val="0"/>
        </c:title>
        <c:numFmt formatCode="General" sourceLinked="0"/>
        <c:majorTickMark val="out"/>
        <c:minorTickMark val="none"/>
        <c:tickLblPos val="nextTo"/>
        <c:crossAx val="104110336"/>
        <c:crosses val="autoZero"/>
        <c:crossBetween val="between"/>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txPr>
    <a:bodyPr/>
    <a:lstStyle/>
    <a:p>
      <a:pPr>
        <a:defRPr sz="1000">
          <a:latin typeface="Calibri"/>
          <a:ea typeface="Calibri"/>
          <a:cs typeface="Calibri"/>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'Com HDD model with dummies'!$AA$3</c:f>
          <c:strCache>
            <c:ptCount val="1"/>
            <c:pt idx="0">
              <c:v>Actual and predicted -vs- Observation # with 95.0% confidence limits
Com HDD model with dummies for _Commercial_Natural_Gas
(14 variables, n=77)</c:v>
            </c:pt>
          </c:strCache>
        </c:strRef>
      </c:tx>
      <c:overlay val="0"/>
      <c:txPr>
        <a:bodyPr/>
        <a:lstStyle/>
        <a:p>
          <a:pPr>
            <a:defRPr sz="1000">
              <a:latin typeface="Calibri"/>
              <a:ea typeface="Calibri"/>
              <a:cs typeface="Calibri"/>
            </a:defRPr>
          </a:pPr>
          <a:endParaRPr lang="en-US"/>
        </a:p>
      </c:txPr>
    </c:title>
    <c:autoTitleDeleted val="0"/>
    <c:plotArea>
      <c:layout/>
      <c:scatterChart>
        <c:scatterStyle val="lineMarker"/>
        <c:varyColors val="0"/>
        <c:ser>
          <c:idx val="0"/>
          <c:order val="0"/>
          <c:tx>
            <c:v>Actual</c:v>
          </c:tx>
          <c:spPr>
            <a:ln w="9525" cap="rnd" cmpd="sng" algn="ctr">
              <a:solidFill>
                <a:srgbClr val="0000FF"/>
              </a:solidFill>
              <a:prstDash val="solid"/>
              <a:round/>
              <a:headEnd type="none" w="med" len="med"/>
              <a:tailEnd type="none" w="med" len="med"/>
            </a:ln>
          </c:spPr>
          <c:marker>
            <c:symbol val="diamond"/>
            <c:size val="6"/>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7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76</c:v>
              </c:pt>
              <c:pt idx="75">
                <c:v>77</c:v>
              </c:pt>
              <c:pt idx="76">
                <c:v>78</c:v>
              </c:pt>
            </c:numLit>
          </c:xVal>
          <c:yVal>
            <c:numLit>
              <c:formatCode>General</c:formatCode>
              <c:ptCount val="77"/>
              <c:pt idx="0">
                <c:v>8960</c:v>
              </c:pt>
              <c:pt idx="1">
                <c:v>6565</c:v>
              </c:pt>
              <c:pt idx="2">
                <c:v>5670</c:v>
              </c:pt>
              <c:pt idx="3">
                <c:v>3161</c:v>
              </c:pt>
              <c:pt idx="4">
                <c:v>2464</c:v>
              </c:pt>
              <c:pt idx="5">
                <c:v>1853</c:v>
              </c:pt>
              <c:pt idx="6">
                <c:v>1983</c:v>
              </c:pt>
              <c:pt idx="7">
                <c:v>2064</c:v>
              </c:pt>
              <c:pt idx="8">
                <c:v>2450</c:v>
              </c:pt>
              <c:pt idx="9">
                <c:v>3598</c:v>
              </c:pt>
              <c:pt idx="10">
                <c:v>4375</c:v>
              </c:pt>
              <c:pt idx="11">
                <c:v>8161</c:v>
              </c:pt>
              <c:pt idx="12">
                <c:v>9701</c:v>
              </c:pt>
              <c:pt idx="13">
                <c:v>8911</c:v>
              </c:pt>
              <c:pt idx="14">
                <c:v>5153</c:v>
              </c:pt>
              <c:pt idx="15">
                <c:v>2691</c:v>
              </c:pt>
              <c:pt idx="16">
                <c:v>2389</c:v>
              </c:pt>
              <c:pt idx="17">
                <c:v>1977</c:v>
              </c:pt>
              <c:pt idx="18">
                <c:v>1926</c:v>
              </c:pt>
              <c:pt idx="19">
                <c:v>2092</c:v>
              </c:pt>
              <c:pt idx="20">
                <c:v>2433</c:v>
              </c:pt>
              <c:pt idx="21">
                <c:v>3117</c:v>
              </c:pt>
              <c:pt idx="22">
                <c:v>5190</c:v>
              </c:pt>
              <c:pt idx="23">
                <c:v>10645</c:v>
              </c:pt>
              <c:pt idx="24">
                <c:v>9522</c:v>
              </c:pt>
              <c:pt idx="25">
                <c:v>6169</c:v>
              </c:pt>
              <c:pt idx="26">
                <c:v>5460</c:v>
              </c:pt>
              <c:pt idx="27">
                <c:v>2761</c:v>
              </c:pt>
              <c:pt idx="28">
                <c:v>2568</c:v>
              </c:pt>
              <c:pt idx="29">
                <c:v>2133</c:v>
              </c:pt>
              <c:pt idx="30">
                <c:v>1980</c:v>
              </c:pt>
              <c:pt idx="31">
                <c:v>2465</c:v>
              </c:pt>
              <c:pt idx="32">
                <c:v>2382</c:v>
              </c:pt>
              <c:pt idx="33">
                <c:v>3931</c:v>
              </c:pt>
              <c:pt idx="34">
                <c:v>4446</c:v>
              </c:pt>
              <c:pt idx="35">
                <c:v>6081</c:v>
              </c:pt>
              <c:pt idx="36">
                <c:v>8072</c:v>
              </c:pt>
              <c:pt idx="37">
                <c:v>6583</c:v>
              </c:pt>
              <c:pt idx="38">
                <c:v>3545</c:v>
              </c:pt>
              <c:pt idx="39">
                <c:v>3370</c:v>
              </c:pt>
              <c:pt idx="40">
                <c:v>2205</c:v>
              </c:pt>
              <c:pt idx="41">
                <c:v>2433</c:v>
              </c:pt>
              <c:pt idx="42">
                <c:v>1976</c:v>
              </c:pt>
              <c:pt idx="43">
                <c:v>2673</c:v>
              </c:pt>
              <c:pt idx="44">
                <c:v>2529</c:v>
              </c:pt>
              <c:pt idx="45">
                <c:v>4003</c:v>
              </c:pt>
              <c:pt idx="46">
                <c:v>5686</c:v>
              </c:pt>
              <c:pt idx="47">
                <c:v>5878</c:v>
              </c:pt>
              <c:pt idx="48">
                <c:v>6935</c:v>
              </c:pt>
              <c:pt idx="49">
                <c:v>7155</c:v>
              </c:pt>
              <c:pt idx="50">
                <c:v>7253</c:v>
              </c:pt>
              <c:pt idx="51">
                <c:v>3390</c:v>
              </c:pt>
              <c:pt idx="52">
                <c:v>3075</c:v>
              </c:pt>
              <c:pt idx="53">
                <c:v>2381</c:v>
              </c:pt>
              <c:pt idx="54">
                <c:v>2613</c:v>
              </c:pt>
              <c:pt idx="55">
                <c:v>2611</c:v>
              </c:pt>
              <c:pt idx="56">
                <c:v>2873</c:v>
              </c:pt>
              <c:pt idx="57">
                <c:v>3869</c:v>
              </c:pt>
              <c:pt idx="58">
                <c:v>6415</c:v>
              </c:pt>
              <c:pt idx="59">
                <c:v>6700</c:v>
              </c:pt>
              <c:pt idx="60">
                <c:v>11381</c:v>
              </c:pt>
              <c:pt idx="61">
                <c:v>7396</c:v>
              </c:pt>
              <c:pt idx="62">
                <c:v>7426</c:v>
              </c:pt>
              <c:pt idx="63">
                <c:v>3372</c:v>
              </c:pt>
              <c:pt idx="64">
                <c:v>3314</c:v>
              </c:pt>
              <c:pt idx="65">
                <c:v>2930</c:v>
              </c:pt>
              <c:pt idx="66">
                <c:v>2889</c:v>
              </c:pt>
              <c:pt idx="67">
                <c:v>2708</c:v>
              </c:pt>
              <c:pt idx="68">
                <c:v>2884</c:v>
              </c:pt>
              <c:pt idx="69">
                <c:v>3606</c:v>
              </c:pt>
              <c:pt idx="70">
                <c:v>6843</c:v>
              </c:pt>
              <c:pt idx="71">
                <c:v>7464</c:v>
              </c:pt>
              <c:pt idx="72">
                <c:v>9500</c:v>
              </c:pt>
              <c:pt idx="73">
                <c:v>10511</c:v>
              </c:pt>
              <c:pt idx="74">
                <c:v>3543</c:v>
              </c:pt>
              <c:pt idx="75">
                <c:v>2502</c:v>
              </c:pt>
              <c:pt idx="76">
                <c:v>2944</c:v>
              </c:pt>
            </c:numLit>
          </c:yVal>
          <c:smooth val="0"/>
          <c:extLst>
            <c:ext xmlns:c16="http://schemas.microsoft.com/office/drawing/2014/chart" uri="{C3380CC4-5D6E-409C-BE32-E72D297353CC}">
              <c16:uniqueId val="{00000000-7764-42DF-9F66-8685466B64C9}"/>
            </c:ext>
          </c:extLst>
        </c:ser>
        <c:ser>
          <c:idx val="1"/>
          <c:order val="1"/>
          <c:tx>
            <c:v>Predicted</c:v>
          </c:tx>
          <c:spPr>
            <a:ln w="9525">
              <a:solidFill>
                <a:srgbClr val="FF0000"/>
              </a:solidFill>
              <a:prstDash val="sysDash"/>
            </a:ln>
          </c:spPr>
          <c:marker>
            <c:symbol val="circle"/>
            <c:size val="6"/>
            <c:spPr>
              <a:noFill/>
              <a:ln w="9525">
                <a:solidFill>
                  <a:srgbClr val="FF0000"/>
                </a:solidFill>
                <a:prstDash val="solid"/>
              </a:ln>
            </c:spPr>
          </c:marker>
          <c:xVal>
            <c:numLit>
              <c:formatCode>General</c:formatCode>
              <c:ptCount val="7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76</c:v>
              </c:pt>
              <c:pt idx="75">
                <c:v>77</c:v>
              </c:pt>
              <c:pt idx="76">
                <c:v>78</c:v>
              </c:pt>
            </c:numLit>
          </c:xVal>
          <c:yVal>
            <c:numLit>
              <c:formatCode>General</c:formatCode>
              <c:ptCount val="77"/>
              <c:pt idx="0">
                <c:v>8821.4862383861819</c:v>
              </c:pt>
              <c:pt idx="1">
                <c:v>6489.2449344841261</c:v>
              </c:pt>
              <c:pt idx="2">
                <c:v>5385.8586215729592</c:v>
              </c:pt>
              <c:pt idx="3">
                <c:v>2889.2454128489831</c:v>
              </c:pt>
              <c:pt idx="4">
                <c:v>2273.9419924527378</c:v>
              </c:pt>
              <c:pt idx="5">
                <c:v>1989.4723209431754</c:v>
              </c:pt>
              <c:pt idx="6">
                <c:v>1905.2090224591227</c:v>
              </c:pt>
              <c:pt idx="7">
                <c:v>2111.7104363576759</c:v>
              </c:pt>
              <c:pt idx="8">
                <c:v>2268.7869635239999</c:v>
              </c:pt>
              <c:pt idx="9">
                <c:v>3563.9351842252172</c:v>
              </c:pt>
              <c:pt idx="10">
                <c:v>4271.5674828331048</c:v>
              </c:pt>
              <c:pt idx="11">
                <c:v>8352.6336263859794</c:v>
              </c:pt>
              <c:pt idx="12">
                <c:v>9754.0775236931404</c:v>
              </c:pt>
              <c:pt idx="13">
                <c:v>8804.1013642637936</c:v>
              </c:pt>
              <c:pt idx="14">
                <c:v>5208.7210732312105</c:v>
              </c:pt>
              <c:pt idx="15">
                <c:v>2651.7076056027317</c:v>
              </c:pt>
              <c:pt idx="16">
                <c:v>2320.920011197542</c:v>
              </c:pt>
              <c:pt idx="17">
                <c:v>2118.5220452927956</c:v>
              </c:pt>
              <c:pt idx="18">
                <c:v>2034.2587468087429</c:v>
              </c:pt>
              <c:pt idx="19">
                <c:v>2240.7601607072961</c:v>
              </c:pt>
              <c:pt idx="20">
                <c:v>2349.1163071045403</c:v>
              </c:pt>
              <c:pt idx="21">
                <c:v>3197.5184731315994</c:v>
              </c:pt>
              <c:pt idx="22">
                <c:v>4941.8598756176443</c:v>
              </c:pt>
              <c:pt idx="23">
                <c:v>10650.243624841305</c:v>
              </c:pt>
              <c:pt idx="24">
                <c:v>9998.5768388042252</c:v>
              </c:pt>
              <c:pt idx="25">
                <c:v>6071.4305069953853</c:v>
              </c:pt>
              <c:pt idx="26">
                <c:v>5449.1897382776888</c:v>
              </c:pt>
              <c:pt idx="27">
                <c:v>2895.3245922918277</c:v>
              </c:pt>
              <c:pt idx="28">
                <c:v>2549.0057313342818</c:v>
              </c:pt>
              <c:pt idx="29">
                <c:v>2247.5717696424158</c:v>
              </c:pt>
              <c:pt idx="30">
                <c:v>2163.3084711583629</c:v>
              </c:pt>
              <c:pt idx="31">
                <c:v>2369.8098850569163</c:v>
              </c:pt>
              <c:pt idx="32">
                <c:v>2562.5545397431711</c:v>
              </c:pt>
              <c:pt idx="33">
                <c:v>3940.8635491481373</c:v>
              </c:pt>
              <c:pt idx="34">
                <c:v>4565.5311450072968</c:v>
              </c:pt>
              <c:pt idx="35">
                <c:v>5932.6069635843187</c:v>
              </c:pt>
              <c:pt idx="36">
                <c:v>7382.0532733705941</c:v>
              </c:pt>
              <c:pt idx="37">
                <c:v>6543.8587315588638</c:v>
              </c:pt>
              <c:pt idx="38">
                <c:v>3595.1803800160069</c:v>
              </c:pt>
              <c:pt idx="39">
                <c:v>3361.3480501052222</c:v>
              </c:pt>
              <c:pt idx="40">
                <c:v>2507.0595391776415</c:v>
              </c:pt>
              <c:pt idx="41">
                <c:v>2383.9462650189676</c:v>
              </c:pt>
              <c:pt idx="42">
                <c:v>2292.3581955079835</c:v>
              </c:pt>
              <c:pt idx="43">
                <c:v>2498.8596094065365</c:v>
              </c:pt>
              <c:pt idx="44">
                <c:v>2662.3662263211972</c:v>
              </c:pt>
              <c:pt idx="45">
                <c:v>3890.7997475068823</c:v>
              </c:pt>
              <c:pt idx="46">
                <c:v>6193.1656138353328</c:v>
              </c:pt>
              <c:pt idx="47">
                <c:v>5874.81360051915</c:v>
              </c:pt>
              <c:pt idx="48">
                <c:v>7643.6171038829116</c:v>
              </c:pt>
              <c:pt idx="49">
                <c:v>7836.8652208254416</c:v>
              </c:pt>
              <c:pt idx="50">
                <c:v>7530.1468896592532</c:v>
              </c:pt>
              <c:pt idx="51">
                <c:v>3467.5693581909914</c:v>
              </c:pt>
              <c:pt idx="52">
                <c:v>3073.8709660035584</c:v>
              </c:pt>
              <c:pt idx="53">
                <c:v>2505.6712183416562</c:v>
              </c:pt>
              <c:pt idx="54">
                <c:v>2421.4079198576037</c:v>
              </c:pt>
              <c:pt idx="55">
                <c:v>2634.900850364068</c:v>
              </c:pt>
              <c:pt idx="56">
                <c:v>2780.9302480216888</c:v>
              </c:pt>
              <c:pt idx="57">
                <c:v>3760.1111475742728</c:v>
              </c:pt>
              <c:pt idx="58">
                <c:v>6296.7263185270112</c:v>
              </c:pt>
              <c:pt idx="59">
                <c:v>6865.3805414115914</c:v>
              </c:pt>
              <c:pt idx="60">
                <c:v>10988.905757960903</c:v>
              </c:pt>
              <c:pt idx="61">
                <c:v>7406.8092379538357</c:v>
              </c:pt>
              <c:pt idx="62">
                <c:v>7337.9032972462855</c:v>
              </c:pt>
              <c:pt idx="63">
                <c:v>3499.9369230360658</c:v>
              </c:pt>
              <c:pt idx="64">
                <c:v>2867.3126548907994</c:v>
              </c:pt>
              <c:pt idx="65">
                <c:v>2634.7209426912764</c:v>
              </c:pt>
              <c:pt idx="66">
                <c:v>2550.4576442072239</c:v>
              </c:pt>
              <c:pt idx="67">
                <c:v>2756.9590581057773</c:v>
              </c:pt>
              <c:pt idx="68">
                <c:v>2927.2457152839229</c:v>
              </c:pt>
              <c:pt idx="69">
                <c:v>3770.7718984149665</c:v>
              </c:pt>
              <c:pt idx="70">
                <c:v>6686.149564182886</c:v>
              </c:pt>
              <c:pt idx="71">
                <c:v>7253.3216432632262</c:v>
              </c:pt>
              <c:pt idx="72">
                <c:v>9482.2832639108001</c:v>
              </c:pt>
              <c:pt idx="73">
                <c:v>10137.690003924959</c:v>
              </c:pt>
              <c:pt idx="74">
                <c:v>3522.8680579257452</c:v>
              </c:pt>
              <c:pt idx="75">
                <c:v>2924.8891049408599</c:v>
              </c:pt>
              <c:pt idx="76">
                <c:v>2771.0954380678286</c:v>
              </c:pt>
            </c:numLit>
          </c:yVal>
          <c:smooth val="0"/>
          <c:extLst>
            <c:ext xmlns:c16="http://schemas.microsoft.com/office/drawing/2014/chart" uri="{C3380CC4-5D6E-409C-BE32-E72D297353CC}">
              <c16:uniqueId val="{00000001-7764-42DF-9F66-8685466B64C9}"/>
            </c:ext>
          </c:extLst>
        </c:ser>
        <c:ser>
          <c:idx val="2"/>
          <c:order val="2"/>
          <c:tx>
            <c:v>Forecast</c:v>
          </c:tx>
          <c:spPr>
            <a:ln w="25400">
              <a:noFill/>
            </a:ln>
          </c:spPr>
          <c:marker>
            <c:symbol val="circle"/>
            <c:size val="7"/>
            <c:spPr>
              <a:solidFill>
                <a:srgbClr val="FF9999"/>
              </a:solidFill>
              <a:ln w="12700">
                <a:solidFill>
                  <a:srgbClr val="FF0000"/>
                </a:solidFill>
                <a:prstDash val="solid"/>
              </a:ln>
            </c:spPr>
          </c:marker>
          <c:errBars>
            <c:errDir val="y"/>
            <c:errBarType val="both"/>
            <c:errValType val="cust"/>
            <c:noEndCap val="0"/>
            <c:plus>
              <c:numRef>
                <c:f>'Com HDD model with dummies'!$CG$49</c:f>
              </c:numRef>
            </c:plus>
            <c:minus>
              <c:numRef>
                <c:f>'Com HDD model with dummies'!$CG$49</c:f>
              </c:numRef>
            </c:minus>
          </c:errBars>
          <c:xVal>
            <c:numRef>
              <c:f>'Com HDD model with dummies'!$A$49:$A$49</c:f>
            </c:numRef>
          </c:xVal>
          <c:yVal>
            <c:numRef>
              <c:f>'Com HDD model with dummies'!$B$49:$B$49</c:f>
            </c:numRef>
          </c:yVal>
          <c:smooth val="0"/>
          <c:extLst>
            <c:ext xmlns:c16="http://schemas.microsoft.com/office/drawing/2014/chart" uri="{C3380CC4-5D6E-409C-BE32-E72D297353CC}">
              <c16:uniqueId val="{00000002-7764-42DF-9F66-8685466B64C9}"/>
            </c:ext>
          </c:extLst>
        </c:ser>
        <c:dLbls>
          <c:showLegendKey val="0"/>
          <c:showVal val="0"/>
          <c:showCatName val="0"/>
          <c:showSerName val="0"/>
          <c:showPercent val="0"/>
          <c:showBubbleSize val="0"/>
        </c:dLbls>
        <c:axId val="104159872"/>
        <c:axId val="104620800"/>
      </c:scatterChart>
      <c:valAx>
        <c:axId val="104159872"/>
        <c:scaling>
          <c:orientation val="minMax"/>
        </c:scaling>
        <c:delete val="0"/>
        <c:axPos val="b"/>
        <c:title>
          <c:tx>
            <c:rich>
              <a:bodyPr/>
              <a:lstStyle/>
              <a:p>
                <a:pPr>
                  <a:defRPr/>
                </a:pPr>
                <a:r>
                  <a:rPr lang="en-US"/>
                  <a:t>Observation #</a:t>
                </a:r>
              </a:p>
            </c:rich>
          </c:tx>
          <c:overlay val="0"/>
        </c:title>
        <c:numFmt formatCode="0" sourceLinked="0"/>
        <c:majorTickMark val="out"/>
        <c:minorTickMark val="none"/>
        <c:tickLblPos val="nextTo"/>
        <c:crossAx val="104620800"/>
        <c:crossesAt val="1000"/>
        <c:crossBetween val="midCat"/>
      </c:valAx>
      <c:valAx>
        <c:axId val="104620800"/>
        <c:scaling>
          <c:orientation val="minMax"/>
          <c:min val="1000"/>
        </c:scaling>
        <c:delete val="0"/>
        <c:axPos val="l"/>
        <c:majorGridlines>
          <c:spPr>
            <a:ln w="3175">
              <a:solidFill>
                <a:srgbClr val="C0C0C0"/>
              </a:solidFill>
              <a:prstDash val="solid"/>
            </a:ln>
          </c:spPr>
        </c:majorGridlines>
        <c:title>
          <c:tx>
            <c:rich>
              <a:bodyPr/>
              <a:lstStyle/>
              <a:p>
                <a:pPr>
                  <a:defRPr/>
                </a:pPr>
                <a:r>
                  <a:rPr lang="en-US"/>
                  <a:t>_Commercial_Natural_Gas</a:t>
                </a:r>
              </a:p>
            </c:rich>
          </c:tx>
          <c:layout>
            <c:manualLayout>
              <c:xMode val="edge"/>
              <c:yMode val="edge"/>
              <c:x val="2.8097062579821201E-2"/>
              <c:y val="0.21829629629629629"/>
            </c:manualLayout>
          </c:layout>
          <c:overlay val="0"/>
        </c:title>
        <c:numFmt formatCode="General" sourceLinked="1"/>
        <c:majorTickMark val="out"/>
        <c:minorTickMark val="none"/>
        <c:tickLblPos val="nextTo"/>
        <c:crossAx val="104159872"/>
        <c:crossesAt val="0"/>
        <c:crossBetween val="midCat"/>
      </c:valAx>
      <c:spPr>
        <a:ln w="6350">
          <a:solidFill>
            <a:srgbClr val="808080"/>
          </a:solidFill>
          <a:prstDash val="solid"/>
        </a:ln>
      </c:spPr>
    </c:plotArea>
    <c:legend>
      <c:legendPos val="r"/>
      <c:overlay val="0"/>
    </c:legend>
    <c:plotVisOnly val="1"/>
    <c:dispBlanksAs val="gap"/>
    <c:showDLblsOverMax val="0"/>
  </c:chart>
  <c:spPr>
    <a:solidFill>
      <a:srgbClr val="F3F3F3"/>
    </a:solidFill>
    <a:ln w="6350">
      <a:solidFill>
        <a:srgbClr val="808080"/>
      </a:solidFill>
      <a:prstDash val="solid"/>
    </a:ln>
  </c:spPr>
  <c:txPr>
    <a:bodyPr/>
    <a:lstStyle/>
    <a:p>
      <a:pPr>
        <a:defRPr sz="1000">
          <a:latin typeface="+mn-lt"/>
          <a:ea typeface="+mn-lt"/>
          <a:cs typeface="+mn-lt"/>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Residual -vs- Observation #
</a:t>
            </a:r>
            <a:r>
              <a:rPr lang="en-US" sz="1000"/>
              <a:t>Com HDD model with dummies for _Commercial_Natural_Gas
(14 variables, n=77)</a:t>
            </a:r>
          </a:p>
        </c:rich>
      </c:tx>
      <c:overlay val="0"/>
    </c:title>
    <c:autoTitleDeleted val="0"/>
    <c:plotArea>
      <c:layout/>
      <c:barChart>
        <c:barDir val="col"/>
        <c:grouping val="clustered"/>
        <c:varyColors val="0"/>
        <c:ser>
          <c:idx val="0"/>
          <c:order val="0"/>
          <c:tx>
            <c:v>Actual</c:v>
          </c:tx>
          <c:spPr>
            <a:solidFill>
              <a:srgbClr val="9999FF"/>
            </a:solidFill>
            <a:ln w="9525" cap="flat" cmpd="sng" algn="ctr">
              <a:solidFill>
                <a:srgbClr val="0000FF"/>
              </a:solidFill>
              <a:prstDash val="solid"/>
              <a:round/>
              <a:headEnd type="none" w="med" len="med"/>
              <a:tailEnd type="none" w="med" len="med"/>
            </a:ln>
            <a:effectLst/>
          </c:spPr>
          <c:invertIfNegative val="0"/>
          <c:cat>
            <c:numLit>
              <c:formatCode>General</c:formatCode>
              <c:ptCount val="7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76</c:v>
              </c:pt>
              <c:pt idx="75">
                <c:v>77</c:v>
              </c:pt>
              <c:pt idx="76">
                <c:v>78</c:v>
              </c:pt>
            </c:numLit>
          </c:cat>
          <c:val>
            <c:numLit>
              <c:formatCode>General</c:formatCode>
              <c:ptCount val="77"/>
              <c:pt idx="0">
                <c:v>138.51376161381813</c:v>
              </c:pt>
              <c:pt idx="1">
                <c:v>75.755065515873866</c:v>
              </c:pt>
              <c:pt idx="2">
                <c:v>284.14137842704076</c:v>
              </c:pt>
              <c:pt idx="3">
                <c:v>271.75458715101695</c:v>
              </c:pt>
              <c:pt idx="4">
                <c:v>190.05800754726215</c:v>
              </c:pt>
              <c:pt idx="5">
                <c:v>-136.47232094317542</c:v>
              </c:pt>
              <c:pt idx="6">
                <c:v>77.790977540877293</c:v>
              </c:pt>
              <c:pt idx="7">
                <c:v>-47.710436357675917</c:v>
              </c:pt>
              <c:pt idx="8">
                <c:v>181.21303647600007</c:v>
              </c:pt>
              <c:pt idx="9">
                <c:v>34.064815774782801</c:v>
              </c:pt>
              <c:pt idx="10">
                <c:v>103.4325171668952</c:v>
              </c:pt>
              <c:pt idx="11">
                <c:v>-191.63362638597937</c:v>
              </c:pt>
              <c:pt idx="12">
                <c:v>-53.077523693140392</c:v>
              </c:pt>
              <c:pt idx="13">
                <c:v>106.89863573620642</c:v>
              </c:pt>
              <c:pt idx="14">
                <c:v>-55.721073231210539</c:v>
              </c:pt>
              <c:pt idx="15">
                <c:v>39.292394397268254</c:v>
              </c:pt>
              <c:pt idx="16">
                <c:v>68.079988802458047</c:v>
              </c:pt>
              <c:pt idx="17">
                <c:v>-141.52204529279561</c:v>
              </c:pt>
              <c:pt idx="18">
                <c:v>-108.2587468087429</c:v>
              </c:pt>
              <c:pt idx="19">
                <c:v>-148.76016070729611</c:v>
              </c:pt>
              <c:pt idx="20">
                <c:v>83.883692895459717</c:v>
              </c:pt>
              <c:pt idx="21">
                <c:v>-80.518473131599421</c:v>
              </c:pt>
              <c:pt idx="22">
                <c:v>248.14012438235568</c:v>
              </c:pt>
              <c:pt idx="23">
                <c:v>-5.2436248413050635</c:v>
              </c:pt>
              <c:pt idx="24">
                <c:v>-476.57683880422519</c:v>
              </c:pt>
              <c:pt idx="25">
                <c:v>97.569493004614742</c:v>
              </c:pt>
              <c:pt idx="26">
                <c:v>10.810261722311225</c:v>
              </c:pt>
              <c:pt idx="27">
                <c:v>-134.32459229182768</c:v>
              </c:pt>
              <c:pt idx="28">
                <c:v>18.994268665718209</c:v>
              </c:pt>
              <c:pt idx="29">
                <c:v>-114.5717696424158</c:v>
              </c:pt>
              <c:pt idx="30">
                <c:v>-183.30847115836286</c:v>
              </c:pt>
              <c:pt idx="31">
                <c:v>95.190114943083699</c:v>
              </c:pt>
              <c:pt idx="32">
                <c:v>-180.55453974317106</c:v>
              </c:pt>
              <c:pt idx="33">
                <c:v>-9.863549148137281</c:v>
              </c:pt>
              <c:pt idx="34">
                <c:v>-119.5311450072968</c:v>
              </c:pt>
              <c:pt idx="35">
                <c:v>148.39303641568131</c:v>
              </c:pt>
              <c:pt idx="36">
                <c:v>689.94672662940593</c:v>
              </c:pt>
              <c:pt idx="37">
                <c:v>39.141268441136162</c:v>
              </c:pt>
              <c:pt idx="38">
                <c:v>-50.180380016006893</c:v>
              </c:pt>
              <c:pt idx="39">
                <c:v>8.651949894777772</c:v>
              </c:pt>
              <c:pt idx="40">
                <c:v>-302.05953917764145</c:v>
              </c:pt>
              <c:pt idx="41">
                <c:v>49.053734981032449</c:v>
              </c:pt>
              <c:pt idx="42">
                <c:v>-316.35819550798351</c:v>
              </c:pt>
              <c:pt idx="43">
                <c:v>174.14039059346351</c:v>
              </c:pt>
              <c:pt idx="44">
                <c:v>-133.36622632119725</c:v>
              </c:pt>
              <c:pt idx="45">
                <c:v>112.20025249311766</c:v>
              </c:pt>
              <c:pt idx="46">
                <c:v>-507.16561383533281</c:v>
              </c:pt>
              <c:pt idx="47">
                <c:v>3.1863994808500138</c:v>
              </c:pt>
              <c:pt idx="48">
                <c:v>-708.61710388291158</c:v>
              </c:pt>
              <c:pt idx="49">
                <c:v>-681.86522082544161</c:v>
              </c:pt>
              <c:pt idx="50">
                <c:v>-277.14688965925325</c:v>
              </c:pt>
              <c:pt idx="51">
                <c:v>-77.569358190991352</c:v>
              </c:pt>
              <c:pt idx="52">
                <c:v>1.1290339964416489</c:v>
              </c:pt>
              <c:pt idx="53">
                <c:v>-124.67121834165619</c:v>
              </c:pt>
              <c:pt idx="54">
                <c:v>191.5920801423963</c:v>
              </c:pt>
              <c:pt idx="55">
                <c:v>-23.900850364067992</c:v>
              </c:pt>
              <c:pt idx="56">
                <c:v>92.06975197831116</c:v>
              </c:pt>
              <c:pt idx="57">
                <c:v>108.88885242572724</c:v>
              </c:pt>
              <c:pt idx="58">
                <c:v>118.27368147298876</c:v>
              </c:pt>
              <c:pt idx="59">
                <c:v>-165.38054141159137</c:v>
              </c:pt>
              <c:pt idx="60">
                <c:v>392.09424203909657</c:v>
              </c:pt>
              <c:pt idx="61">
                <c:v>-10.809237953835691</c:v>
              </c:pt>
              <c:pt idx="62">
                <c:v>88.096702753714453</c:v>
              </c:pt>
              <c:pt idx="63">
                <c:v>-127.93692303606576</c:v>
              </c:pt>
              <c:pt idx="64">
                <c:v>446.68734510920058</c:v>
              </c:pt>
              <c:pt idx="65">
                <c:v>295.27905730872362</c:v>
              </c:pt>
              <c:pt idx="66">
                <c:v>338.54235579277611</c:v>
              </c:pt>
              <c:pt idx="67">
                <c:v>-48.959058105777331</c:v>
              </c:pt>
              <c:pt idx="68">
                <c:v>-43.245715283922891</c:v>
              </c:pt>
              <c:pt idx="69">
                <c:v>-164.77189841496647</c:v>
              </c:pt>
              <c:pt idx="70">
                <c:v>156.85043581711398</c:v>
              </c:pt>
              <c:pt idx="71">
                <c:v>210.67835673677382</c:v>
              </c:pt>
              <c:pt idx="72">
                <c:v>17.716736089199912</c:v>
              </c:pt>
              <c:pt idx="73">
                <c:v>373.30999607504054</c:v>
              </c:pt>
              <c:pt idx="74">
                <c:v>20.131942074254766</c:v>
              </c:pt>
              <c:pt idx="75">
                <c:v>-422.88910494085985</c:v>
              </c:pt>
              <c:pt idx="76">
                <c:v>172.90456193217142</c:v>
              </c:pt>
            </c:numLit>
          </c:val>
          <c:extLst>
            <c:ext xmlns:c16="http://schemas.microsoft.com/office/drawing/2014/chart" uri="{C3380CC4-5D6E-409C-BE32-E72D297353CC}">
              <c16:uniqueId val="{00000000-3B5C-47C7-B37B-C0D4F290923E}"/>
            </c:ext>
          </c:extLst>
        </c:ser>
        <c:dLbls>
          <c:showLegendKey val="0"/>
          <c:showVal val="0"/>
          <c:showCatName val="0"/>
          <c:showSerName val="0"/>
          <c:showPercent val="0"/>
          <c:showBubbleSize val="0"/>
        </c:dLbls>
        <c:gapWidth val="25"/>
        <c:axId val="104666240"/>
        <c:axId val="104668160"/>
      </c:barChart>
      <c:catAx>
        <c:axId val="104666240"/>
        <c:scaling>
          <c:orientation val="minMax"/>
        </c:scaling>
        <c:delete val="0"/>
        <c:axPos val="b"/>
        <c:title>
          <c:tx>
            <c:rich>
              <a:bodyPr/>
              <a:lstStyle/>
              <a:p>
                <a:pPr>
                  <a:defRPr/>
                </a:pPr>
                <a:r>
                  <a:rPr lang="en-US"/>
                  <a:t>Observation #
</a:t>
                </a:r>
                <a:r>
                  <a:rPr lang="en-US" sz="750"/>
                  <a:t>Lag 1 autocorrelation = 0.16,   Durbin-Watson statistic = 1.67</a:t>
                </a:r>
              </a:p>
            </c:rich>
          </c:tx>
          <c:overlay val="0"/>
        </c:title>
        <c:numFmt formatCode="General" sourceLinked="1"/>
        <c:majorTickMark val="none"/>
        <c:minorTickMark val="none"/>
        <c:tickLblPos val="low"/>
        <c:txPr>
          <a:bodyPr rot="-5400000" vert="horz"/>
          <a:lstStyle/>
          <a:p>
            <a:pPr>
              <a:defRPr/>
            </a:pPr>
            <a:endParaRPr lang="en-US"/>
          </a:p>
        </c:txPr>
        <c:crossAx val="104668160"/>
        <c:crossesAt val="0"/>
        <c:auto val="1"/>
        <c:lblAlgn val="ctr"/>
        <c:lblOffset val="100"/>
        <c:noMultiLvlLbl val="0"/>
      </c:catAx>
      <c:valAx>
        <c:axId val="104668160"/>
        <c:scaling>
          <c:orientation val="minMax"/>
        </c:scaling>
        <c:delete val="0"/>
        <c:axPos val="l"/>
        <c:majorGridlines>
          <c:spPr>
            <a:ln w="3175">
              <a:solidFill>
                <a:srgbClr val="C0C0C0"/>
              </a:solidFill>
              <a:prstDash val="solid"/>
            </a:ln>
          </c:spPr>
        </c:majorGridlines>
        <c:title>
          <c:tx>
            <c:rich>
              <a:bodyPr/>
              <a:lstStyle/>
              <a:p>
                <a:pPr>
                  <a:defRPr/>
                </a:pPr>
                <a:r>
                  <a:rPr lang="en-US"/>
                  <a:t>Residual</a:t>
                </a:r>
              </a:p>
            </c:rich>
          </c:tx>
          <c:overlay val="0"/>
        </c:title>
        <c:numFmt formatCode="General" sourceLinked="1"/>
        <c:majorTickMark val="out"/>
        <c:minorTickMark val="none"/>
        <c:tickLblPos val="nextTo"/>
        <c:crossAx val="104666240"/>
        <c:crosses val="autoZero"/>
        <c:crossBetween val="between"/>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Residual -vs- Predicted
</a:t>
            </a:r>
            <a:r>
              <a:rPr lang="en-US" sz="1000"/>
              <a:t>Com HDD model with dummies for _Commercial_Natural_Gas
(14 variables, n=77)</a:t>
            </a:r>
          </a:p>
        </c:rich>
      </c:tx>
      <c:overlay val="0"/>
    </c:title>
    <c:autoTitleDeleted val="0"/>
    <c:plotArea>
      <c:layout/>
      <c:scatterChart>
        <c:scatterStyle val="lineMarker"/>
        <c:varyColors val="0"/>
        <c:ser>
          <c:idx val="0"/>
          <c:order val="0"/>
          <c:tx>
            <c:v>Actual</c:v>
          </c:tx>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77"/>
              <c:pt idx="0">
                <c:v>8821.4862383861819</c:v>
              </c:pt>
              <c:pt idx="1">
                <c:v>6489.2449344841261</c:v>
              </c:pt>
              <c:pt idx="2">
                <c:v>5385.8586215729592</c:v>
              </c:pt>
              <c:pt idx="3">
                <c:v>2889.2454128489831</c:v>
              </c:pt>
              <c:pt idx="4">
                <c:v>2273.9419924527378</c:v>
              </c:pt>
              <c:pt idx="5">
                <c:v>1989.4723209431754</c:v>
              </c:pt>
              <c:pt idx="6">
                <c:v>1905.2090224591227</c:v>
              </c:pt>
              <c:pt idx="7">
                <c:v>2111.7104363576759</c:v>
              </c:pt>
              <c:pt idx="8">
                <c:v>2268.7869635239999</c:v>
              </c:pt>
              <c:pt idx="9">
                <c:v>3563.9351842252172</c:v>
              </c:pt>
              <c:pt idx="10">
                <c:v>4271.5674828331048</c:v>
              </c:pt>
              <c:pt idx="11">
                <c:v>8352.6336263859794</c:v>
              </c:pt>
              <c:pt idx="12">
                <c:v>9754.0775236931404</c:v>
              </c:pt>
              <c:pt idx="13">
                <c:v>8804.1013642637936</c:v>
              </c:pt>
              <c:pt idx="14">
                <c:v>5208.7210732312105</c:v>
              </c:pt>
              <c:pt idx="15">
                <c:v>2651.7076056027317</c:v>
              </c:pt>
              <c:pt idx="16">
                <c:v>2320.920011197542</c:v>
              </c:pt>
              <c:pt idx="17">
                <c:v>2118.5220452927956</c:v>
              </c:pt>
              <c:pt idx="18">
                <c:v>2034.2587468087429</c:v>
              </c:pt>
              <c:pt idx="19">
                <c:v>2240.7601607072961</c:v>
              </c:pt>
              <c:pt idx="20">
                <c:v>2349.1163071045403</c:v>
              </c:pt>
              <c:pt idx="21">
                <c:v>3197.5184731315994</c:v>
              </c:pt>
              <c:pt idx="22">
                <c:v>4941.8598756176443</c:v>
              </c:pt>
              <c:pt idx="23">
                <c:v>10650.243624841305</c:v>
              </c:pt>
              <c:pt idx="24">
                <c:v>9998.5768388042252</c:v>
              </c:pt>
              <c:pt idx="25">
                <c:v>6071.4305069953853</c:v>
              </c:pt>
              <c:pt idx="26">
                <c:v>5449.1897382776888</c:v>
              </c:pt>
              <c:pt idx="27">
                <c:v>2895.3245922918277</c:v>
              </c:pt>
              <c:pt idx="28">
                <c:v>2549.0057313342818</c:v>
              </c:pt>
              <c:pt idx="29">
                <c:v>2247.5717696424158</c:v>
              </c:pt>
              <c:pt idx="30">
                <c:v>2163.3084711583629</c:v>
              </c:pt>
              <c:pt idx="31">
                <c:v>2369.8098850569163</c:v>
              </c:pt>
              <c:pt idx="32">
                <c:v>2562.5545397431711</c:v>
              </c:pt>
              <c:pt idx="33">
                <c:v>3940.8635491481373</c:v>
              </c:pt>
              <c:pt idx="34">
                <c:v>4565.5311450072968</c:v>
              </c:pt>
              <c:pt idx="35">
                <c:v>5932.6069635843187</c:v>
              </c:pt>
              <c:pt idx="36">
                <c:v>7382.0532733705941</c:v>
              </c:pt>
              <c:pt idx="37">
                <c:v>6543.8587315588638</c:v>
              </c:pt>
              <c:pt idx="38">
                <c:v>3595.1803800160069</c:v>
              </c:pt>
              <c:pt idx="39">
                <c:v>3361.3480501052222</c:v>
              </c:pt>
              <c:pt idx="40">
                <c:v>2507.0595391776415</c:v>
              </c:pt>
              <c:pt idx="41">
                <c:v>2383.9462650189676</c:v>
              </c:pt>
              <c:pt idx="42">
                <c:v>2292.3581955079835</c:v>
              </c:pt>
              <c:pt idx="43">
                <c:v>2498.8596094065365</c:v>
              </c:pt>
              <c:pt idx="44">
                <c:v>2662.3662263211972</c:v>
              </c:pt>
              <c:pt idx="45">
                <c:v>3890.7997475068823</c:v>
              </c:pt>
              <c:pt idx="46">
                <c:v>6193.1656138353328</c:v>
              </c:pt>
              <c:pt idx="47">
                <c:v>5874.81360051915</c:v>
              </c:pt>
              <c:pt idx="48">
                <c:v>7643.6171038829116</c:v>
              </c:pt>
              <c:pt idx="49">
                <c:v>7836.8652208254416</c:v>
              </c:pt>
              <c:pt idx="50">
                <c:v>7530.1468896592532</c:v>
              </c:pt>
              <c:pt idx="51">
                <c:v>3467.5693581909914</c:v>
              </c:pt>
              <c:pt idx="52">
                <c:v>3073.8709660035584</c:v>
              </c:pt>
              <c:pt idx="53">
                <c:v>2505.6712183416562</c:v>
              </c:pt>
              <c:pt idx="54">
                <c:v>2421.4079198576037</c:v>
              </c:pt>
              <c:pt idx="55">
                <c:v>2634.900850364068</c:v>
              </c:pt>
              <c:pt idx="56">
                <c:v>2780.9302480216888</c:v>
              </c:pt>
              <c:pt idx="57">
                <c:v>3760.1111475742728</c:v>
              </c:pt>
              <c:pt idx="58">
                <c:v>6296.7263185270112</c:v>
              </c:pt>
              <c:pt idx="59">
                <c:v>6865.3805414115914</c:v>
              </c:pt>
              <c:pt idx="60">
                <c:v>10988.905757960903</c:v>
              </c:pt>
              <c:pt idx="61">
                <c:v>7406.8092379538357</c:v>
              </c:pt>
              <c:pt idx="62">
                <c:v>7337.9032972462855</c:v>
              </c:pt>
              <c:pt idx="63">
                <c:v>3499.9369230360658</c:v>
              </c:pt>
              <c:pt idx="64">
                <c:v>2867.3126548907994</c:v>
              </c:pt>
              <c:pt idx="65">
                <c:v>2634.7209426912764</c:v>
              </c:pt>
              <c:pt idx="66">
                <c:v>2550.4576442072239</c:v>
              </c:pt>
              <c:pt idx="67">
                <c:v>2756.9590581057773</c:v>
              </c:pt>
              <c:pt idx="68">
                <c:v>2927.2457152839229</c:v>
              </c:pt>
              <c:pt idx="69">
                <c:v>3770.7718984149665</c:v>
              </c:pt>
              <c:pt idx="70">
                <c:v>6686.149564182886</c:v>
              </c:pt>
              <c:pt idx="71">
                <c:v>7253.3216432632262</c:v>
              </c:pt>
              <c:pt idx="72">
                <c:v>9482.2832639108001</c:v>
              </c:pt>
              <c:pt idx="73">
                <c:v>10137.690003924959</c:v>
              </c:pt>
              <c:pt idx="74">
                <c:v>3522.8680579257452</c:v>
              </c:pt>
              <c:pt idx="75">
                <c:v>2924.8891049408599</c:v>
              </c:pt>
              <c:pt idx="76">
                <c:v>2771.0954380678286</c:v>
              </c:pt>
            </c:numLit>
          </c:xVal>
          <c:yVal>
            <c:numLit>
              <c:formatCode>General</c:formatCode>
              <c:ptCount val="77"/>
              <c:pt idx="0">
                <c:v>138.51376161381813</c:v>
              </c:pt>
              <c:pt idx="1">
                <c:v>75.755065515873866</c:v>
              </c:pt>
              <c:pt idx="2">
                <c:v>284.14137842704076</c:v>
              </c:pt>
              <c:pt idx="3">
                <c:v>271.75458715101695</c:v>
              </c:pt>
              <c:pt idx="4">
                <c:v>190.05800754726215</c:v>
              </c:pt>
              <c:pt idx="5">
                <c:v>-136.47232094317542</c:v>
              </c:pt>
              <c:pt idx="6">
                <c:v>77.790977540877293</c:v>
              </c:pt>
              <c:pt idx="7">
                <c:v>-47.710436357675917</c:v>
              </c:pt>
              <c:pt idx="8">
                <c:v>181.21303647600007</c:v>
              </c:pt>
              <c:pt idx="9">
                <c:v>34.064815774782801</c:v>
              </c:pt>
              <c:pt idx="10">
                <c:v>103.4325171668952</c:v>
              </c:pt>
              <c:pt idx="11">
                <c:v>-191.63362638597937</c:v>
              </c:pt>
              <c:pt idx="12">
                <c:v>-53.077523693140392</c:v>
              </c:pt>
              <c:pt idx="13">
                <c:v>106.89863573620642</c:v>
              </c:pt>
              <c:pt idx="14">
                <c:v>-55.721073231210539</c:v>
              </c:pt>
              <c:pt idx="15">
                <c:v>39.292394397268254</c:v>
              </c:pt>
              <c:pt idx="16">
                <c:v>68.079988802458047</c:v>
              </c:pt>
              <c:pt idx="17">
                <c:v>-141.52204529279561</c:v>
              </c:pt>
              <c:pt idx="18">
                <c:v>-108.2587468087429</c:v>
              </c:pt>
              <c:pt idx="19">
                <c:v>-148.76016070729611</c:v>
              </c:pt>
              <c:pt idx="20">
                <c:v>83.883692895459717</c:v>
              </c:pt>
              <c:pt idx="21">
                <c:v>-80.518473131599421</c:v>
              </c:pt>
              <c:pt idx="22">
                <c:v>248.14012438235568</c:v>
              </c:pt>
              <c:pt idx="23">
                <c:v>-5.2436248413050635</c:v>
              </c:pt>
              <c:pt idx="24">
                <c:v>-476.57683880422519</c:v>
              </c:pt>
              <c:pt idx="25">
                <c:v>97.569493004614742</c:v>
              </c:pt>
              <c:pt idx="26">
                <c:v>10.810261722311225</c:v>
              </c:pt>
              <c:pt idx="27">
                <c:v>-134.32459229182768</c:v>
              </c:pt>
              <c:pt idx="28">
                <c:v>18.994268665718209</c:v>
              </c:pt>
              <c:pt idx="29">
                <c:v>-114.5717696424158</c:v>
              </c:pt>
              <c:pt idx="30">
                <c:v>-183.30847115836286</c:v>
              </c:pt>
              <c:pt idx="31">
                <c:v>95.190114943083699</c:v>
              </c:pt>
              <c:pt idx="32">
                <c:v>-180.55453974317106</c:v>
              </c:pt>
              <c:pt idx="33">
                <c:v>-9.863549148137281</c:v>
              </c:pt>
              <c:pt idx="34">
                <c:v>-119.5311450072968</c:v>
              </c:pt>
              <c:pt idx="35">
                <c:v>148.39303641568131</c:v>
              </c:pt>
              <c:pt idx="36">
                <c:v>689.94672662940593</c:v>
              </c:pt>
              <c:pt idx="37">
                <c:v>39.141268441136162</c:v>
              </c:pt>
              <c:pt idx="38">
                <c:v>-50.180380016006893</c:v>
              </c:pt>
              <c:pt idx="39">
                <c:v>8.651949894777772</c:v>
              </c:pt>
              <c:pt idx="40">
                <c:v>-302.05953917764145</c:v>
              </c:pt>
              <c:pt idx="41">
                <c:v>49.053734981032449</c:v>
              </c:pt>
              <c:pt idx="42">
                <c:v>-316.35819550798351</c:v>
              </c:pt>
              <c:pt idx="43">
                <c:v>174.14039059346351</c:v>
              </c:pt>
              <c:pt idx="44">
                <c:v>-133.36622632119725</c:v>
              </c:pt>
              <c:pt idx="45">
                <c:v>112.20025249311766</c:v>
              </c:pt>
              <c:pt idx="46">
                <c:v>-507.16561383533281</c:v>
              </c:pt>
              <c:pt idx="47">
                <c:v>3.1863994808500138</c:v>
              </c:pt>
              <c:pt idx="48">
                <c:v>-708.61710388291158</c:v>
              </c:pt>
              <c:pt idx="49">
                <c:v>-681.86522082544161</c:v>
              </c:pt>
              <c:pt idx="50">
                <c:v>-277.14688965925325</c:v>
              </c:pt>
              <c:pt idx="51">
                <c:v>-77.569358190991352</c:v>
              </c:pt>
              <c:pt idx="52">
                <c:v>1.1290339964416489</c:v>
              </c:pt>
              <c:pt idx="53">
                <c:v>-124.67121834165619</c:v>
              </c:pt>
              <c:pt idx="54">
                <c:v>191.5920801423963</c:v>
              </c:pt>
              <c:pt idx="55">
                <c:v>-23.900850364067992</c:v>
              </c:pt>
              <c:pt idx="56">
                <c:v>92.06975197831116</c:v>
              </c:pt>
              <c:pt idx="57">
                <c:v>108.88885242572724</c:v>
              </c:pt>
              <c:pt idx="58">
                <c:v>118.27368147298876</c:v>
              </c:pt>
              <c:pt idx="59">
                <c:v>-165.38054141159137</c:v>
              </c:pt>
              <c:pt idx="60">
                <c:v>392.09424203909657</c:v>
              </c:pt>
              <c:pt idx="61">
                <c:v>-10.809237953835691</c:v>
              </c:pt>
              <c:pt idx="62">
                <c:v>88.096702753714453</c:v>
              </c:pt>
              <c:pt idx="63">
                <c:v>-127.93692303606576</c:v>
              </c:pt>
              <c:pt idx="64">
                <c:v>446.68734510920058</c:v>
              </c:pt>
              <c:pt idx="65">
                <c:v>295.27905730872362</c:v>
              </c:pt>
              <c:pt idx="66">
                <c:v>338.54235579277611</c:v>
              </c:pt>
              <c:pt idx="67">
                <c:v>-48.959058105777331</c:v>
              </c:pt>
              <c:pt idx="68">
                <c:v>-43.245715283922891</c:v>
              </c:pt>
              <c:pt idx="69">
                <c:v>-164.77189841496647</c:v>
              </c:pt>
              <c:pt idx="70">
                <c:v>156.85043581711398</c:v>
              </c:pt>
              <c:pt idx="71">
                <c:v>210.67835673677382</c:v>
              </c:pt>
              <c:pt idx="72">
                <c:v>17.716736089199912</c:v>
              </c:pt>
              <c:pt idx="73">
                <c:v>373.30999607504054</c:v>
              </c:pt>
              <c:pt idx="74">
                <c:v>20.131942074254766</c:v>
              </c:pt>
              <c:pt idx="75">
                <c:v>-422.88910494085985</c:v>
              </c:pt>
              <c:pt idx="76">
                <c:v>172.90456193217142</c:v>
              </c:pt>
            </c:numLit>
          </c:yVal>
          <c:smooth val="0"/>
          <c:extLst>
            <c:ext xmlns:c16="http://schemas.microsoft.com/office/drawing/2014/chart" uri="{C3380CC4-5D6E-409C-BE32-E72D297353CC}">
              <c16:uniqueId val="{00000000-96BF-4D76-9E20-86DAA043FFE5}"/>
            </c:ext>
          </c:extLst>
        </c:ser>
        <c:dLbls>
          <c:showLegendKey val="0"/>
          <c:showVal val="0"/>
          <c:showCatName val="0"/>
          <c:showSerName val="0"/>
          <c:showPercent val="0"/>
          <c:showBubbleSize val="0"/>
        </c:dLbls>
        <c:axId val="104680064"/>
        <c:axId val="104690816"/>
      </c:scatterChart>
      <c:valAx>
        <c:axId val="104680064"/>
        <c:scaling>
          <c:orientation val="minMax"/>
          <c:min val="1000"/>
        </c:scaling>
        <c:delete val="0"/>
        <c:axPos val="b"/>
        <c:title>
          <c:tx>
            <c:rich>
              <a:bodyPr/>
              <a:lstStyle/>
              <a:p>
                <a:pPr>
                  <a:defRPr/>
                </a:pPr>
                <a:r>
                  <a:rPr lang="en-US"/>
                  <a:t>Predicted</a:t>
                </a:r>
              </a:p>
            </c:rich>
          </c:tx>
          <c:overlay val="0"/>
        </c:title>
        <c:numFmt formatCode="General" sourceLinked="1"/>
        <c:majorTickMark val="out"/>
        <c:minorTickMark val="none"/>
        <c:tickLblPos val="nextTo"/>
        <c:crossAx val="104690816"/>
        <c:crossesAt val="-1000"/>
        <c:crossBetween val="midCat"/>
      </c:valAx>
      <c:valAx>
        <c:axId val="104690816"/>
        <c:scaling>
          <c:orientation val="minMax"/>
        </c:scaling>
        <c:delete val="0"/>
        <c:axPos val="l"/>
        <c:majorGridlines>
          <c:spPr>
            <a:ln w="3175">
              <a:solidFill>
                <a:srgbClr val="C0C0C0"/>
              </a:solidFill>
              <a:prstDash val="solid"/>
            </a:ln>
          </c:spPr>
        </c:majorGridlines>
        <c:title>
          <c:tx>
            <c:rich>
              <a:bodyPr/>
              <a:lstStyle/>
              <a:p>
                <a:pPr>
                  <a:defRPr/>
                </a:pPr>
                <a:r>
                  <a:rPr lang="en-US"/>
                  <a:t>Residual</a:t>
                </a:r>
              </a:p>
            </c:rich>
          </c:tx>
          <c:overlay val="0"/>
        </c:title>
        <c:numFmt formatCode="General" sourceLinked="1"/>
        <c:majorTickMark val="out"/>
        <c:minorTickMark val="none"/>
        <c:tickLblPos val="nextTo"/>
        <c:crossAx val="104680064"/>
        <c:crossesAt val="0"/>
        <c:crossBetween val="midCat"/>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Histogram of Residuals
</a:t>
            </a:r>
            <a:r>
              <a:rPr lang="en-US" sz="1000"/>
              <a:t>Com HDD model with dummies for _Commercial_Natural_Gas
(14 variables, n=77)</a:t>
            </a:r>
          </a:p>
        </c:rich>
      </c:tx>
      <c:overlay val="0"/>
    </c:title>
    <c:autoTitleDeleted val="0"/>
    <c:plotArea>
      <c:layout/>
      <c:barChart>
        <c:barDir val="col"/>
        <c:grouping val="clustered"/>
        <c:varyColors val="0"/>
        <c:ser>
          <c:idx val="0"/>
          <c:order val="0"/>
          <c:tx>
            <c:v>Actual</c:v>
          </c:tx>
          <c:spPr>
            <a:solidFill>
              <a:srgbClr val="9999FF"/>
            </a:solidFill>
            <a:ln w="9525" cap="flat" cmpd="sng" algn="ctr">
              <a:solidFill>
                <a:srgbClr val="0000FF"/>
              </a:solidFill>
              <a:prstDash val="solid"/>
              <a:round/>
              <a:headEnd type="none" w="med" len="med"/>
              <a:tailEnd type="none" w="med" len="med"/>
            </a:ln>
          </c:spPr>
          <c:invertIfNegative val="0"/>
          <c:cat>
            <c:strLit>
              <c:ptCount val="21"/>
              <c:pt idx="0">
                <c:v>-710</c:v>
              </c:pt>
              <c:pt idx="1">
                <c:v>-639</c:v>
              </c:pt>
              <c:pt idx="2">
                <c:v>-568</c:v>
              </c:pt>
              <c:pt idx="3">
                <c:v>-497</c:v>
              </c:pt>
              <c:pt idx="4">
                <c:v>-426</c:v>
              </c:pt>
              <c:pt idx="5">
                <c:v>-355</c:v>
              </c:pt>
              <c:pt idx="6">
                <c:v>-284</c:v>
              </c:pt>
              <c:pt idx="7">
                <c:v>-213</c:v>
              </c:pt>
              <c:pt idx="8">
                <c:v>-142</c:v>
              </c:pt>
              <c:pt idx="9">
                <c:v>-71</c:v>
              </c:pt>
              <c:pt idx="10">
                <c:v>0</c:v>
              </c:pt>
              <c:pt idx="11">
                <c:v>71</c:v>
              </c:pt>
              <c:pt idx="12">
                <c:v>142</c:v>
              </c:pt>
              <c:pt idx="13">
                <c:v>213</c:v>
              </c:pt>
              <c:pt idx="14">
                <c:v>284</c:v>
              </c:pt>
              <c:pt idx="15">
                <c:v>355</c:v>
              </c:pt>
              <c:pt idx="16">
                <c:v>426</c:v>
              </c:pt>
              <c:pt idx="17">
                <c:v>497</c:v>
              </c:pt>
              <c:pt idx="18">
                <c:v>568</c:v>
              </c:pt>
              <c:pt idx="19">
                <c:v>639</c:v>
              </c:pt>
              <c:pt idx="20">
                <c:v>710</c:v>
              </c:pt>
            </c:strLit>
          </c:cat>
          <c:val>
            <c:numLit>
              <c:formatCode>General</c:formatCode>
              <c:ptCount val="21"/>
              <c:pt idx="0">
                <c:v>2</c:v>
              </c:pt>
              <c:pt idx="1">
                <c:v>0</c:v>
              </c:pt>
              <c:pt idx="2">
                <c:v>0</c:v>
              </c:pt>
              <c:pt idx="3">
                <c:v>2</c:v>
              </c:pt>
              <c:pt idx="4">
                <c:v>1</c:v>
              </c:pt>
              <c:pt idx="5">
                <c:v>0</c:v>
              </c:pt>
              <c:pt idx="6">
                <c:v>3</c:v>
              </c:pt>
              <c:pt idx="7">
                <c:v>3</c:v>
              </c:pt>
              <c:pt idx="8">
                <c:v>12</c:v>
              </c:pt>
              <c:pt idx="9">
                <c:v>8</c:v>
              </c:pt>
              <c:pt idx="10">
                <c:v>12</c:v>
              </c:pt>
              <c:pt idx="11">
                <c:v>12</c:v>
              </c:pt>
              <c:pt idx="12">
                <c:v>9</c:v>
              </c:pt>
              <c:pt idx="13">
                <c:v>5</c:v>
              </c:pt>
              <c:pt idx="14">
                <c:v>3</c:v>
              </c:pt>
              <c:pt idx="15">
                <c:v>2</c:v>
              </c:pt>
              <c:pt idx="16">
                <c:v>2</c:v>
              </c:pt>
              <c:pt idx="17">
                <c:v>0</c:v>
              </c:pt>
              <c:pt idx="18">
                <c:v>0</c:v>
              </c:pt>
              <c:pt idx="19">
                <c:v>0</c:v>
              </c:pt>
              <c:pt idx="20">
                <c:v>1</c:v>
              </c:pt>
            </c:numLit>
          </c:val>
          <c:extLst>
            <c:ext xmlns:c16="http://schemas.microsoft.com/office/drawing/2014/chart" uri="{C3380CC4-5D6E-409C-BE32-E72D297353CC}">
              <c16:uniqueId val="{00000000-252C-4E24-9AA0-46D139515FFA}"/>
            </c:ext>
          </c:extLst>
        </c:ser>
        <c:ser>
          <c:idx val="1"/>
          <c:order val="1"/>
          <c:tx>
            <c:v>Theoretical</c:v>
          </c:tx>
          <c:spPr>
            <a:solidFill>
              <a:srgbClr val="FFD2D2"/>
            </a:solidFill>
            <a:ln w="9525">
              <a:solidFill>
                <a:srgbClr val="FF0000"/>
              </a:solidFill>
              <a:prstDash val="solid"/>
            </a:ln>
          </c:spPr>
          <c:invertIfNegative val="0"/>
          <c:cat>
            <c:strLit>
              <c:ptCount val="21"/>
              <c:pt idx="0">
                <c:v>-710</c:v>
              </c:pt>
              <c:pt idx="1">
                <c:v>-639</c:v>
              </c:pt>
              <c:pt idx="2">
                <c:v>-568</c:v>
              </c:pt>
              <c:pt idx="3">
                <c:v>-497</c:v>
              </c:pt>
              <c:pt idx="4">
                <c:v>-426</c:v>
              </c:pt>
              <c:pt idx="5">
                <c:v>-355</c:v>
              </c:pt>
              <c:pt idx="6">
                <c:v>-284</c:v>
              </c:pt>
              <c:pt idx="7">
                <c:v>-213</c:v>
              </c:pt>
              <c:pt idx="8">
                <c:v>-142</c:v>
              </c:pt>
              <c:pt idx="9">
                <c:v>-71</c:v>
              </c:pt>
              <c:pt idx="10">
                <c:v>0</c:v>
              </c:pt>
              <c:pt idx="11">
                <c:v>71</c:v>
              </c:pt>
              <c:pt idx="12">
                <c:v>142</c:v>
              </c:pt>
              <c:pt idx="13">
                <c:v>213</c:v>
              </c:pt>
              <c:pt idx="14">
                <c:v>284</c:v>
              </c:pt>
              <c:pt idx="15">
                <c:v>355</c:v>
              </c:pt>
              <c:pt idx="16">
                <c:v>426</c:v>
              </c:pt>
              <c:pt idx="17">
                <c:v>497</c:v>
              </c:pt>
              <c:pt idx="18">
                <c:v>568</c:v>
              </c:pt>
              <c:pt idx="19">
                <c:v>639</c:v>
              </c:pt>
              <c:pt idx="20">
                <c:v>710</c:v>
              </c:pt>
            </c:strLit>
          </c:cat>
          <c:val>
            <c:numLit>
              <c:formatCode>General</c:formatCode>
              <c:ptCount val="21"/>
              <c:pt idx="0">
                <c:v>8.5426973294389766E-2</c:v>
              </c:pt>
              <c:pt idx="1">
                <c:v>0.20877974077272962</c:v>
              </c:pt>
              <c:pt idx="2">
                <c:v>0.46443251942821595</c:v>
              </c:pt>
              <c:pt idx="3">
                <c:v>0.94037302016134316</c:v>
              </c:pt>
              <c:pt idx="4">
                <c:v>1.7330977511275929</c:v>
              </c:pt>
              <c:pt idx="5">
                <c:v>2.9073220543885165</c:v>
              </c:pt>
              <c:pt idx="6">
                <c:v>4.4392742060667301</c:v>
              </c:pt>
              <c:pt idx="7">
                <c:v>6.1699384148354071</c:v>
              </c:pt>
              <c:pt idx="8">
                <c:v>7.8054998644362996</c:v>
              </c:pt>
              <c:pt idx="9">
                <c:v>8.9881925226461625</c:v>
              </c:pt>
              <c:pt idx="10">
                <c:v>9.4209825608007876</c:v>
              </c:pt>
              <c:pt idx="11">
                <c:v>8.9881925226461519</c:v>
              </c:pt>
              <c:pt idx="12">
                <c:v>7.8054998644363067</c:v>
              </c:pt>
              <c:pt idx="13">
                <c:v>6.1699384148353928</c:v>
              </c:pt>
              <c:pt idx="14">
                <c:v>4.4392742060667416</c:v>
              </c:pt>
              <c:pt idx="15">
                <c:v>2.9073220543885157</c:v>
              </c:pt>
              <c:pt idx="16">
                <c:v>1.7330977511276018</c:v>
              </c:pt>
              <c:pt idx="17">
                <c:v>0.9403730201613314</c:v>
              </c:pt>
              <c:pt idx="18">
                <c:v>0.46443251942822883</c:v>
              </c:pt>
              <c:pt idx="19">
                <c:v>0.20877974077271233</c:v>
              </c:pt>
              <c:pt idx="20">
                <c:v>8.5426973294403297E-2</c:v>
              </c:pt>
            </c:numLit>
          </c:val>
          <c:extLst>
            <c:ext xmlns:c16="http://schemas.microsoft.com/office/drawing/2014/chart" uri="{C3380CC4-5D6E-409C-BE32-E72D297353CC}">
              <c16:uniqueId val="{00000001-252C-4E24-9AA0-46D139515FFA}"/>
            </c:ext>
          </c:extLst>
        </c:ser>
        <c:dLbls>
          <c:showLegendKey val="0"/>
          <c:showVal val="0"/>
          <c:showCatName val="0"/>
          <c:showSerName val="0"/>
          <c:showPercent val="0"/>
          <c:showBubbleSize val="0"/>
        </c:dLbls>
        <c:gapWidth val="50"/>
        <c:axId val="104712832"/>
        <c:axId val="104723200"/>
      </c:barChart>
      <c:catAx>
        <c:axId val="104712832"/>
        <c:scaling>
          <c:orientation val="minMax"/>
        </c:scaling>
        <c:delete val="0"/>
        <c:axPos val="b"/>
        <c:title>
          <c:tx>
            <c:rich>
              <a:bodyPr/>
              <a:lstStyle/>
              <a:p>
                <a:pPr>
                  <a:defRPr/>
                </a:pPr>
                <a:r>
                  <a:rPr lang="en-US"/>
                  <a:t>Residual Range
</a:t>
                </a:r>
                <a:r>
                  <a:rPr lang="en-US" sz="750"/>
                  <a:t>Adjusted Anderson-Darling statistic is 1.016 (P=0.011)</a:t>
                </a:r>
              </a:p>
            </c:rich>
          </c:tx>
          <c:overlay val="0"/>
        </c:title>
        <c:numFmt formatCode="General" sourceLinked="0"/>
        <c:majorTickMark val="out"/>
        <c:minorTickMark val="none"/>
        <c:tickLblPos val="nextTo"/>
        <c:crossAx val="104723200"/>
        <c:crosses val="autoZero"/>
        <c:auto val="1"/>
        <c:lblAlgn val="ctr"/>
        <c:lblOffset val="100"/>
        <c:noMultiLvlLbl val="0"/>
      </c:catAx>
      <c:valAx>
        <c:axId val="104723200"/>
        <c:scaling>
          <c:orientation val="minMax"/>
        </c:scaling>
        <c:delete val="0"/>
        <c:axPos val="l"/>
        <c:majorGridlines>
          <c:spPr>
            <a:ln w="3175">
              <a:solidFill>
                <a:srgbClr val="C0C0C0"/>
              </a:solidFill>
              <a:prstDash val="solid"/>
            </a:ln>
          </c:spPr>
        </c:majorGridlines>
        <c:title>
          <c:tx>
            <c:rich>
              <a:bodyPr/>
              <a:lstStyle/>
              <a:p>
                <a:pPr>
                  <a:defRPr/>
                </a:pPr>
                <a:r>
                  <a:rPr lang="en-US"/>
                  <a:t>Frequency</a:t>
                </a:r>
              </a:p>
            </c:rich>
          </c:tx>
          <c:overlay val="0"/>
        </c:title>
        <c:numFmt formatCode="General" sourceLinked="1"/>
        <c:majorTickMark val="out"/>
        <c:minorTickMark val="none"/>
        <c:tickLblPos val="nextTo"/>
        <c:crossAx val="104712832"/>
        <c:crosses val="autoZero"/>
        <c:crossBetween val="between"/>
      </c:valAx>
      <c:spPr>
        <a:ln w="6350">
          <a:solidFill>
            <a:srgbClr val="808080"/>
          </a:solidFill>
          <a:prstDash val="solid"/>
        </a:ln>
      </c:spPr>
    </c:plotArea>
    <c:legend>
      <c:legendPos val="r"/>
      <c:overlay val="0"/>
    </c:legend>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Normal Quantile Plot
</a:t>
            </a:r>
            <a:r>
              <a:rPr lang="en-US" sz="1000"/>
              <a:t>Com HDD model with dummies for _Commercial_Natural_Gas
(14 variables, n=77)</a:t>
            </a:r>
          </a:p>
        </c:rich>
      </c:tx>
      <c:overlay val="0"/>
    </c:title>
    <c:autoTitleDeleted val="0"/>
    <c:plotArea>
      <c:layout/>
      <c:scatterChart>
        <c:scatterStyle val="lineMarker"/>
        <c:varyColors val="0"/>
        <c:ser>
          <c:idx val="0"/>
          <c:order val="0"/>
          <c:tx>
            <c:v>Actual</c:v>
          </c:tx>
          <c:spPr>
            <a:ln w="25400">
              <a:noFill/>
            </a:ln>
          </c:spPr>
          <c:marker>
            <c:symbol val="diamond"/>
            <c:size val="6"/>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77"/>
              <c:pt idx="0">
                <c:v>-2.2316058352609232</c:v>
              </c:pt>
              <c:pt idx="1">
                <c:v>-1.9491119969398878</c:v>
              </c:pt>
              <c:pt idx="2">
                <c:v>-1.7688250385187059</c:v>
              </c:pt>
              <c:pt idx="3">
                <c:v>-1.6325479658463484</c:v>
              </c:pt>
              <c:pt idx="4">
                <c:v>-1.5212180464259339</c:v>
              </c:pt>
              <c:pt idx="5">
                <c:v>-1.4260768722728474</c:v>
              </c:pt>
              <c:pt idx="6">
                <c:v>-1.3423356800772619</c:v>
              </c:pt>
              <c:pt idx="7">
                <c:v>-1.2670757512664441</c:v>
              </c:pt>
              <c:pt idx="8">
                <c:v>-1.1983797023069247</c:v>
              </c:pt>
              <c:pt idx="9">
                <c:v>-1.1349166179934915</c:v>
              </c:pt>
              <c:pt idx="10">
                <c:v>-1.0757227225615089</c:v>
              </c:pt>
              <c:pt idx="11">
                <c:v>-1.020076232786199</c:v>
              </c:pt>
              <c:pt idx="12">
                <c:v>-0.96742156610170071</c:v>
              </c:pt>
              <c:pt idx="13">
                <c:v>-0.91732118561922948</c:v>
              </c:pt>
              <c:pt idx="14">
                <c:v>-0.86942377328888587</c:v>
              </c:pt>
              <c:pt idx="15">
                <c:v>-0.82344248722381863</c:v>
              </c:pt>
              <c:pt idx="16">
                <c:v>-0.77913968367299147</c:v>
              </c:pt>
              <c:pt idx="17">
                <c:v>-0.73631591737612934</c:v>
              </c:pt>
              <c:pt idx="18">
                <c:v>-0.69480185236536429</c:v>
              </c:pt>
              <c:pt idx="19">
                <c:v>-0.65445220073200361</c:v>
              </c:pt>
              <c:pt idx="20">
                <c:v>-0.61514110459597382</c:v>
              </c:pt>
              <c:pt idx="21">
                <c:v>-0.57675856450779794</c:v>
              </c:pt>
              <c:pt idx="22">
                <c:v>-0.5392076393250993</c:v>
              </c:pt>
              <c:pt idx="23">
                <c:v>-0.50240222337335538</c:v>
              </c:pt>
              <c:pt idx="24">
                <c:v>-0.46626526137063579</c:v>
              </c:pt>
              <c:pt idx="25">
                <c:v>-0.43072729929545767</c:v>
              </c:pt>
              <c:pt idx="26">
                <c:v>-0.39572529581448734</c:v>
              </c:pt>
              <c:pt idx="27">
                <c:v>-0.36120163771131919</c:v>
              </c:pt>
              <c:pt idx="28">
                <c:v>-0.32710331634752854</c:v>
              </c:pt>
              <c:pt idx="29">
                <c:v>-0.29338123212119332</c:v>
              </c:pt>
              <c:pt idx="30">
                <c:v>-0.25998960123107034</c:v>
              </c:pt>
              <c:pt idx="31">
                <c:v>-0.22688544453587917</c:v>
              </c:pt>
              <c:pt idx="32">
                <c:v>-0.19402814242392633</c:v>
              </c:pt>
              <c:pt idx="33">
                <c:v>-0.16137904273423911</c:v>
              </c:pt>
              <c:pt idx="34">
                <c:v>-0.12890111114904174</c:v>
              </c:pt>
              <c:pt idx="35">
                <c:v>-9.6558615289639077E-2</c:v>
              </c:pt>
              <c:pt idx="36">
                <c:v>-6.4316835123874427E-2</c:v>
              </c:pt>
              <c:pt idx="37">
                <c:v>-3.2141793327338422E-2</c:v>
              </c:pt>
              <c:pt idx="38">
                <c:v>0</c:v>
              </c:pt>
              <c:pt idx="39">
                <c:v>3.2141793327338283E-2</c:v>
              </c:pt>
              <c:pt idx="40">
                <c:v>6.4316835123874427E-2</c:v>
              </c:pt>
              <c:pt idx="41">
                <c:v>9.6558615289639077E-2</c:v>
              </c:pt>
              <c:pt idx="42">
                <c:v>0.12890111114904187</c:v>
              </c:pt>
              <c:pt idx="43">
                <c:v>0.16137904273423911</c:v>
              </c:pt>
              <c:pt idx="44">
                <c:v>0.19402814242392619</c:v>
              </c:pt>
              <c:pt idx="45">
                <c:v>0.22688544453587917</c:v>
              </c:pt>
              <c:pt idx="46">
                <c:v>0.25998960123107023</c:v>
              </c:pt>
              <c:pt idx="47">
                <c:v>0.29338123212119344</c:v>
              </c:pt>
              <c:pt idx="48">
                <c:v>0.32710331634752854</c:v>
              </c:pt>
              <c:pt idx="49">
                <c:v>0.36120163771131936</c:v>
              </c:pt>
              <c:pt idx="50">
                <c:v>0.39572529581448734</c:v>
              </c:pt>
              <c:pt idx="51">
                <c:v>0.4307272992954575</c:v>
              </c:pt>
              <c:pt idx="52">
                <c:v>0.46626526137063601</c:v>
              </c:pt>
              <c:pt idx="53">
                <c:v>0.50240222337335538</c:v>
              </c:pt>
              <c:pt idx="54">
                <c:v>0.53920763932509952</c:v>
              </c:pt>
              <c:pt idx="55">
                <c:v>0.57675856450779794</c:v>
              </c:pt>
              <c:pt idx="56">
                <c:v>0.61514110459597326</c:v>
              </c:pt>
              <c:pt idx="57">
                <c:v>0.65445220073200361</c:v>
              </c:pt>
              <c:pt idx="58">
                <c:v>0.69480185236536429</c:v>
              </c:pt>
              <c:pt idx="59">
                <c:v>0.73631591737612956</c:v>
              </c:pt>
              <c:pt idx="60">
                <c:v>0.77913968367299147</c:v>
              </c:pt>
              <c:pt idx="61">
                <c:v>0.82344248722381752</c:v>
              </c:pt>
              <c:pt idx="62">
                <c:v>0.86942377328888587</c:v>
              </c:pt>
              <c:pt idx="63">
                <c:v>0.91732118561922948</c:v>
              </c:pt>
              <c:pt idx="64">
                <c:v>0.96742156610170071</c:v>
              </c:pt>
              <c:pt idx="65">
                <c:v>1.020076232786199</c:v>
              </c:pt>
              <c:pt idx="66">
                <c:v>1.0757227225615085</c:v>
              </c:pt>
              <c:pt idx="67">
                <c:v>1.1349166179934915</c:v>
              </c:pt>
              <c:pt idx="68">
                <c:v>1.1983797023069247</c:v>
              </c:pt>
              <c:pt idx="69">
                <c:v>1.2670757512664441</c:v>
              </c:pt>
              <c:pt idx="70">
                <c:v>1.3423356800772619</c:v>
              </c:pt>
              <c:pt idx="71">
                <c:v>1.4260768722728485</c:v>
              </c:pt>
              <c:pt idx="72">
                <c:v>1.5212180464259335</c:v>
              </c:pt>
              <c:pt idx="73">
                <c:v>1.632547965846348</c:v>
              </c:pt>
              <c:pt idx="74">
                <c:v>1.7688250385187059</c:v>
              </c:pt>
              <c:pt idx="75">
                <c:v>1.9491119969398871</c:v>
              </c:pt>
              <c:pt idx="76">
                <c:v>2.2316058352609245</c:v>
              </c:pt>
            </c:numLit>
          </c:xVal>
          <c:yVal>
            <c:numLit>
              <c:formatCode>General</c:formatCode>
              <c:ptCount val="77"/>
              <c:pt idx="0">
                <c:v>-3.072992337660557</c:v>
              </c:pt>
              <c:pt idx="1">
                <c:v>-2.9569799930485927</c:v>
              </c:pt>
              <c:pt idx="2">
                <c:v>-2.199376837929687</c:v>
              </c:pt>
              <c:pt idx="3">
                <c:v>-2.0667254091482725</c:v>
              </c:pt>
              <c:pt idx="4">
                <c:v>-1.8339029245025427</c:v>
              </c:pt>
              <c:pt idx="5">
                <c:v>-1.3719204707663812</c:v>
              </c:pt>
              <c:pt idx="6">
                <c:v>-1.3099128490180314</c:v>
              </c:pt>
              <c:pt idx="7">
                <c:v>-1.2018765334093133</c:v>
              </c:pt>
              <c:pt idx="8">
                <c:v>-0.83103930500035694</c:v>
              </c:pt>
              <c:pt idx="9">
                <c:v>-0.79493639683723771</c:v>
              </c:pt>
              <c:pt idx="10">
                <c:v>-0.782993684629256</c:v>
              </c:pt>
              <c:pt idx="11">
                <c:v>-0.71719005055225049</c:v>
              </c:pt>
              <c:pt idx="12">
                <c:v>-0.71455060640850865</c:v>
              </c:pt>
              <c:pt idx="13">
                <c:v>-0.64511402772774362</c:v>
              </c:pt>
              <c:pt idx="14">
                <c:v>-0.6137251816414967</c:v>
              </c:pt>
              <c:pt idx="15">
                <c:v>-0.59182652276260395</c:v>
              </c:pt>
              <c:pt idx="16">
                <c:v>-0.58251267237316118</c:v>
              </c:pt>
              <c:pt idx="17">
                <c:v>-0.57835661789990001</c:v>
              </c:pt>
              <c:pt idx="18">
                <c:v>-0.55481187518536179</c:v>
              </c:pt>
              <c:pt idx="19">
                <c:v>-0.54064980451561273</c:v>
              </c:pt>
              <c:pt idx="20">
                <c:v>-0.5183593377953658</c:v>
              </c:pt>
              <c:pt idx="21">
                <c:v>-0.49685248675782717</c:v>
              </c:pt>
              <c:pt idx="22">
                <c:v>-0.46947540160274109</c:v>
              </c:pt>
              <c:pt idx="23">
                <c:v>-0.34917679748020453</c:v>
              </c:pt>
              <c:pt idx="24">
                <c:v>-0.33638765145803012</c:v>
              </c:pt>
              <c:pt idx="25">
                <c:v>-0.24164027391868606</c:v>
              </c:pt>
              <c:pt idx="26">
                <c:v>-0.23017624428942385</c:v>
              </c:pt>
              <c:pt idx="27">
                <c:v>-0.2176124770981594</c:v>
              </c:pt>
              <c:pt idx="28">
                <c:v>-0.2123160866337083</c:v>
              </c:pt>
              <c:pt idx="29">
                <c:v>-0.20690130756116423</c:v>
              </c:pt>
              <c:pt idx="30">
                <c:v>-0.18753957669938462</c:v>
              </c:pt>
              <c:pt idx="31">
                <c:v>-0.10364854253431698</c:v>
              </c:pt>
              <c:pt idx="32">
                <c:v>-4.6875393249857712E-2</c:v>
              </c:pt>
              <c:pt idx="33">
                <c:v>-4.2774314630955559E-2</c:v>
              </c:pt>
              <c:pt idx="34">
                <c:v>-2.2739528682840755E-2</c:v>
              </c:pt>
              <c:pt idx="35">
                <c:v>4.8961742540676086E-3</c:v>
              </c:pt>
              <c:pt idx="36">
                <c:v>1.3818155299558809E-2</c:v>
              </c:pt>
              <c:pt idx="37">
                <c:v>3.7520087487005284E-2</c:v>
              </c:pt>
              <c:pt idx="38">
                <c:v>4.6879832929148005E-2</c:v>
              </c:pt>
              <c:pt idx="39">
                <c:v>7.6830482854759824E-2</c:v>
              </c:pt>
              <c:pt idx="40">
                <c:v>8.2370636764735383E-2</c:v>
              </c:pt>
              <c:pt idx="41">
                <c:v>8.730427673480684E-2</c:v>
              </c:pt>
              <c:pt idx="42">
                <c:v>0.14772564377309044</c:v>
              </c:pt>
              <c:pt idx="43">
                <c:v>0.16974021279875995</c:v>
              </c:pt>
              <c:pt idx="44">
                <c:v>0.1703955863462947</c:v>
              </c:pt>
              <c:pt idx="45">
                <c:v>0.21272666282586961</c:v>
              </c:pt>
              <c:pt idx="46">
                <c:v>0.29523600657053689</c:v>
              </c:pt>
              <c:pt idx="47">
                <c:v>0.32851978112529406</c:v>
              </c:pt>
              <c:pt idx="48">
                <c:v>0.33734872699564422</c:v>
              </c:pt>
              <c:pt idx="49">
                <c:v>0.36377042567831147</c:v>
              </c:pt>
              <c:pt idx="50">
                <c:v>0.38204058447346867</c:v>
              </c:pt>
              <c:pt idx="51">
                <c:v>0.3992701288316744</c:v>
              </c:pt>
              <c:pt idx="52">
                <c:v>0.4128019098583009</c:v>
              </c:pt>
              <c:pt idx="53">
                <c:v>0.42312033219303852</c:v>
              </c:pt>
              <c:pt idx="54">
                <c:v>0.44854595094748445</c:v>
              </c:pt>
              <c:pt idx="55">
                <c:v>0.46357713739013678</c:v>
              </c:pt>
              <c:pt idx="56">
                <c:v>0.47220792064906331</c:v>
              </c:pt>
              <c:pt idx="57">
                <c:v>0.48656815409285109</c:v>
              </c:pt>
              <c:pt idx="58">
                <c:v>0.51290621539027259</c:v>
              </c:pt>
              <c:pt idx="59">
                <c:v>0.60067944418419894</c:v>
              </c:pt>
              <c:pt idx="60">
                <c:v>0.64352195476066532</c:v>
              </c:pt>
              <c:pt idx="61">
                <c:v>0.68019835364339953</c:v>
              </c:pt>
              <c:pt idx="62">
                <c:v>0.74981875409531906</c:v>
              </c:pt>
              <c:pt idx="63">
                <c:v>0.75517805460613396</c:v>
              </c:pt>
              <c:pt idx="64">
                <c:v>0.78584932472497182</c:v>
              </c:pt>
              <c:pt idx="65">
                <c:v>0.82420646877340109</c:v>
              </c:pt>
              <c:pt idx="66">
                <c:v>0.83085913536080158</c:v>
              </c:pt>
              <c:pt idx="67">
                <c:v>0.91362877415106636</c:v>
              </c:pt>
              <c:pt idx="68">
                <c:v>1.0760856557296898</c:v>
              </c:pt>
              <c:pt idx="69">
                <c:v>1.1784922484416507</c:v>
              </c:pt>
              <c:pt idx="70">
                <c:v>1.2322088670087794</c:v>
              </c:pt>
              <c:pt idx="71">
                <c:v>1.2805085787645241</c:v>
              </c:pt>
              <c:pt idx="72">
                <c:v>1.4681244068540793</c:v>
              </c:pt>
              <c:pt idx="73">
                <c:v>1.6188979227634426</c:v>
              </c:pt>
              <c:pt idx="74">
                <c:v>1.7003577740709739</c:v>
              </c:pt>
              <c:pt idx="75">
                <c:v>1.9371064871690185</c:v>
              </c:pt>
              <c:pt idx="76">
                <c:v>2.9920262899503469</c:v>
              </c:pt>
            </c:numLit>
          </c:yVal>
          <c:smooth val="0"/>
          <c:extLst>
            <c:ext xmlns:c16="http://schemas.microsoft.com/office/drawing/2014/chart" uri="{C3380CC4-5D6E-409C-BE32-E72D297353CC}">
              <c16:uniqueId val="{00000000-8F75-4D4E-B0E9-8D6DD0A7602C}"/>
            </c:ext>
          </c:extLst>
        </c:ser>
        <c:ser>
          <c:idx val="1"/>
          <c:order val="1"/>
          <c:tx>
            <c:v>Theoretical</c:v>
          </c:tx>
          <c:spPr>
            <a:ln w="12700">
              <a:solidFill>
                <a:srgbClr val="FF0000"/>
              </a:solidFill>
              <a:prstDash val="solid"/>
            </a:ln>
          </c:spPr>
          <c:marker>
            <c:symbol val="none"/>
          </c:marker>
          <c:xVal>
            <c:numLit>
              <c:formatCode>General</c:formatCode>
              <c:ptCount val="77"/>
              <c:pt idx="0">
                <c:v>-2.2316058352609232</c:v>
              </c:pt>
              <c:pt idx="1">
                <c:v>-1.9491119969398878</c:v>
              </c:pt>
              <c:pt idx="2">
                <c:v>-1.7688250385187059</c:v>
              </c:pt>
              <c:pt idx="3">
                <c:v>-1.6325479658463484</c:v>
              </c:pt>
              <c:pt idx="4">
                <c:v>-1.5212180464259339</c:v>
              </c:pt>
              <c:pt idx="5">
                <c:v>-1.4260768722728474</c:v>
              </c:pt>
              <c:pt idx="6">
                <c:v>-1.3423356800772619</c:v>
              </c:pt>
              <c:pt idx="7">
                <c:v>-1.2670757512664441</c:v>
              </c:pt>
              <c:pt idx="8">
                <c:v>-1.1983797023069247</c:v>
              </c:pt>
              <c:pt idx="9">
                <c:v>-1.1349166179934915</c:v>
              </c:pt>
              <c:pt idx="10">
                <c:v>-1.0757227225615089</c:v>
              </c:pt>
              <c:pt idx="11">
                <c:v>-1.020076232786199</c:v>
              </c:pt>
              <c:pt idx="12">
                <c:v>-0.96742156610170071</c:v>
              </c:pt>
              <c:pt idx="13">
                <c:v>-0.91732118561922948</c:v>
              </c:pt>
              <c:pt idx="14">
                <c:v>-0.86942377328888587</c:v>
              </c:pt>
              <c:pt idx="15">
                <c:v>-0.82344248722381863</c:v>
              </c:pt>
              <c:pt idx="16">
                <c:v>-0.77913968367299147</c:v>
              </c:pt>
              <c:pt idx="17">
                <c:v>-0.73631591737612934</c:v>
              </c:pt>
              <c:pt idx="18">
                <c:v>-0.69480185236536429</c:v>
              </c:pt>
              <c:pt idx="19">
                <c:v>-0.65445220073200361</c:v>
              </c:pt>
              <c:pt idx="20">
                <c:v>-0.61514110459597382</c:v>
              </c:pt>
              <c:pt idx="21">
                <c:v>-0.57675856450779794</c:v>
              </c:pt>
              <c:pt idx="22">
                <c:v>-0.5392076393250993</c:v>
              </c:pt>
              <c:pt idx="23">
                <c:v>-0.50240222337335538</c:v>
              </c:pt>
              <c:pt idx="24">
                <c:v>-0.46626526137063579</c:v>
              </c:pt>
              <c:pt idx="25">
                <c:v>-0.43072729929545767</c:v>
              </c:pt>
              <c:pt idx="26">
                <c:v>-0.39572529581448734</c:v>
              </c:pt>
              <c:pt idx="27">
                <c:v>-0.36120163771131919</c:v>
              </c:pt>
              <c:pt idx="28">
                <c:v>-0.32710331634752854</c:v>
              </c:pt>
              <c:pt idx="29">
                <c:v>-0.29338123212119332</c:v>
              </c:pt>
              <c:pt idx="30">
                <c:v>-0.25998960123107034</c:v>
              </c:pt>
              <c:pt idx="31">
                <c:v>-0.22688544453587917</c:v>
              </c:pt>
              <c:pt idx="32">
                <c:v>-0.19402814242392633</c:v>
              </c:pt>
              <c:pt idx="33">
                <c:v>-0.16137904273423911</c:v>
              </c:pt>
              <c:pt idx="34">
                <c:v>-0.12890111114904174</c:v>
              </c:pt>
              <c:pt idx="35">
                <c:v>-9.6558615289639077E-2</c:v>
              </c:pt>
              <c:pt idx="36">
                <c:v>-6.4316835123874427E-2</c:v>
              </c:pt>
              <c:pt idx="37">
                <c:v>-3.2141793327338422E-2</c:v>
              </c:pt>
              <c:pt idx="38">
                <c:v>0</c:v>
              </c:pt>
              <c:pt idx="39">
                <c:v>3.2141793327338283E-2</c:v>
              </c:pt>
              <c:pt idx="40">
                <c:v>6.4316835123874427E-2</c:v>
              </c:pt>
              <c:pt idx="41">
                <c:v>9.6558615289639077E-2</c:v>
              </c:pt>
              <c:pt idx="42">
                <c:v>0.12890111114904187</c:v>
              </c:pt>
              <c:pt idx="43">
                <c:v>0.16137904273423911</c:v>
              </c:pt>
              <c:pt idx="44">
                <c:v>0.19402814242392619</c:v>
              </c:pt>
              <c:pt idx="45">
                <c:v>0.22688544453587917</c:v>
              </c:pt>
              <c:pt idx="46">
                <c:v>0.25998960123107023</c:v>
              </c:pt>
              <c:pt idx="47">
                <c:v>0.29338123212119344</c:v>
              </c:pt>
              <c:pt idx="48">
                <c:v>0.32710331634752854</c:v>
              </c:pt>
              <c:pt idx="49">
                <c:v>0.36120163771131936</c:v>
              </c:pt>
              <c:pt idx="50">
                <c:v>0.39572529581448734</c:v>
              </c:pt>
              <c:pt idx="51">
                <c:v>0.4307272992954575</c:v>
              </c:pt>
              <c:pt idx="52">
                <c:v>0.46626526137063601</c:v>
              </c:pt>
              <c:pt idx="53">
                <c:v>0.50240222337335538</c:v>
              </c:pt>
              <c:pt idx="54">
                <c:v>0.53920763932509952</c:v>
              </c:pt>
              <c:pt idx="55">
                <c:v>0.57675856450779794</c:v>
              </c:pt>
              <c:pt idx="56">
                <c:v>0.61514110459597326</c:v>
              </c:pt>
              <c:pt idx="57">
                <c:v>0.65445220073200361</c:v>
              </c:pt>
              <c:pt idx="58">
                <c:v>0.69480185236536429</c:v>
              </c:pt>
              <c:pt idx="59">
                <c:v>0.73631591737612956</c:v>
              </c:pt>
              <c:pt idx="60">
                <c:v>0.77913968367299147</c:v>
              </c:pt>
              <c:pt idx="61">
                <c:v>0.82344248722381752</c:v>
              </c:pt>
              <c:pt idx="62">
                <c:v>0.86942377328888587</c:v>
              </c:pt>
              <c:pt idx="63">
                <c:v>0.91732118561922948</c:v>
              </c:pt>
              <c:pt idx="64">
                <c:v>0.96742156610170071</c:v>
              </c:pt>
              <c:pt idx="65">
                <c:v>1.020076232786199</c:v>
              </c:pt>
              <c:pt idx="66">
                <c:v>1.0757227225615085</c:v>
              </c:pt>
              <c:pt idx="67">
                <c:v>1.1349166179934915</c:v>
              </c:pt>
              <c:pt idx="68">
                <c:v>1.1983797023069247</c:v>
              </c:pt>
              <c:pt idx="69">
                <c:v>1.2670757512664441</c:v>
              </c:pt>
              <c:pt idx="70">
                <c:v>1.3423356800772619</c:v>
              </c:pt>
              <c:pt idx="71">
                <c:v>1.4260768722728485</c:v>
              </c:pt>
              <c:pt idx="72">
                <c:v>1.5212180464259335</c:v>
              </c:pt>
              <c:pt idx="73">
                <c:v>1.632547965846348</c:v>
              </c:pt>
              <c:pt idx="74">
                <c:v>1.7688250385187059</c:v>
              </c:pt>
              <c:pt idx="75">
                <c:v>1.9491119969398871</c:v>
              </c:pt>
              <c:pt idx="76">
                <c:v>2.2316058352609245</c:v>
              </c:pt>
            </c:numLit>
          </c:xVal>
          <c:yVal>
            <c:numLit>
              <c:formatCode>General</c:formatCode>
              <c:ptCount val="77"/>
              <c:pt idx="0">
                <c:v>-2.2316058352609232</c:v>
              </c:pt>
              <c:pt idx="1">
                <c:v>-1.9491119969398878</c:v>
              </c:pt>
              <c:pt idx="2">
                <c:v>-1.7688250385187059</c:v>
              </c:pt>
              <c:pt idx="3">
                <c:v>-1.6325479658463484</c:v>
              </c:pt>
              <c:pt idx="4">
                <c:v>-1.5212180464259339</c:v>
              </c:pt>
              <c:pt idx="5">
                <c:v>-1.4260768722728474</c:v>
              </c:pt>
              <c:pt idx="6">
                <c:v>-1.3423356800772619</c:v>
              </c:pt>
              <c:pt idx="7">
                <c:v>-1.2670757512664441</c:v>
              </c:pt>
              <c:pt idx="8">
                <c:v>-1.1983797023069247</c:v>
              </c:pt>
              <c:pt idx="9">
                <c:v>-1.1349166179934915</c:v>
              </c:pt>
              <c:pt idx="10">
                <c:v>-1.0757227225615089</c:v>
              </c:pt>
              <c:pt idx="11">
                <c:v>-1.020076232786199</c:v>
              </c:pt>
              <c:pt idx="12">
                <c:v>-0.96742156610170071</c:v>
              </c:pt>
              <c:pt idx="13">
                <c:v>-0.91732118561922948</c:v>
              </c:pt>
              <c:pt idx="14">
                <c:v>-0.86942377328888587</c:v>
              </c:pt>
              <c:pt idx="15">
                <c:v>-0.82344248722381863</c:v>
              </c:pt>
              <c:pt idx="16">
                <c:v>-0.77913968367299147</c:v>
              </c:pt>
              <c:pt idx="17">
                <c:v>-0.73631591737612934</c:v>
              </c:pt>
              <c:pt idx="18">
                <c:v>-0.69480185236536429</c:v>
              </c:pt>
              <c:pt idx="19">
                <c:v>-0.65445220073200361</c:v>
              </c:pt>
              <c:pt idx="20">
                <c:v>-0.61514110459597382</c:v>
              </c:pt>
              <c:pt idx="21">
                <c:v>-0.57675856450779794</c:v>
              </c:pt>
              <c:pt idx="22">
                <c:v>-0.5392076393250993</c:v>
              </c:pt>
              <c:pt idx="23">
                <c:v>-0.50240222337335538</c:v>
              </c:pt>
              <c:pt idx="24">
                <c:v>-0.46626526137063579</c:v>
              </c:pt>
              <c:pt idx="25">
                <c:v>-0.43072729929545767</c:v>
              </c:pt>
              <c:pt idx="26">
                <c:v>-0.39572529581448734</c:v>
              </c:pt>
              <c:pt idx="27">
                <c:v>-0.36120163771131919</c:v>
              </c:pt>
              <c:pt idx="28">
                <c:v>-0.32710331634752854</c:v>
              </c:pt>
              <c:pt idx="29">
                <c:v>-0.29338123212119332</c:v>
              </c:pt>
              <c:pt idx="30">
                <c:v>-0.25998960123107034</c:v>
              </c:pt>
              <c:pt idx="31">
                <c:v>-0.22688544453587917</c:v>
              </c:pt>
              <c:pt idx="32">
                <c:v>-0.19402814242392633</c:v>
              </c:pt>
              <c:pt idx="33">
                <c:v>-0.16137904273423911</c:v>
              </c:pt>
              <c:pt idx="34">
                <c:v>-0.12890111114904174</c:v>
              </c:pt>
              <c:pt idx="35">
                <c:v>-9.6558615289639077E-2</c:v>
              </c:pt>
              <c:pt idx="36">
                <c:v>-6.4316835123874427E-2</c:v>
              </c:pt>
              <c:pt idx="37">
                <c:v>-3.2141793327338422E-2</c:v>
              </c:pt>
              <c:pt idx="38">
                <c:v>0</c:v>
              </c:pt>
              <c:pt idx="39">
                <c:v>3.2141793327338283E-2</c:v>
              </c:pt>
              <c:pt idx="40">
                <c:v>6.4316835123874427E-2</c:v>
              </c:pt>
              <c:pt idx="41">
                <c:v>9.6558615289639077E-2</c:v>
              </c:pt>
              <c:pt idx="42">
                <c:v>0.12890111114904187</c:v>
              </c:pt>
              <c:pt idx="43">
                <c:v>0.16137904273423911</c:v>
              </c:pt>
              <c:pt idx="44">
                <c:v>0.19402814242392619</c:v>
              </c:pt>
              <c:pt idx="45">
                <c:v>0.22688544453587917</c:v>
              </c:pt>
              <c:pt idx="46">
                <c:v>0.25998960123107023</c:v>
              </c:pt>
              <c:pt idx="47">
                <c:v>0.29338123212119344</c:v>
              </c:pt>
              <c:pt idx="48">
                <c:v>0.32710331634752854</c:v>
              </c:pt>
              <c:pt idx="49">
                <c:v>0.36120163771131936</c:v>
              </c:pt>
              <c:pt idx="50">
                <c:v>0.39572529581448734</c:v>
              </c:pt>
              <c:pt idx="51">
                <c:v>0.4307272992954575</c:v>
              </c:pt>
              <c:pt idx="52">
                <c:v>0.46626526137063601</c:v>
              </c:pt>
              <c:pt idx="53">
                <c:v>0.50240222337335538</c:v>
              </c:pt>
              <c:pt idx="54">
                <c:v>0.53920763932509952</c:v>
              </c:pt>
              <c:pt idx="55">
                <c:v>0.57675856450779794</c:v>
              </c:pt>
              <c:pt idx="56">
                <c:v>0.61514110459597326</c:v>
              </c:pt>
              <c:pt idx="57">
                <c:v>0.65445220073200361</c:v>
              </c:pt>
              <c:pt idx="58">
                <c:v>0.69480185236536429</c:v>
              </c:pt>
              <c:pt idx="59">
                <c:v>0.73631591737612956</c:v>
              </c:pt>
              <c:pt idx="60">
                <c:v>0.77913968367299147</c:v>
              </c:pt>
              <c:pt idx="61">
                <c:v>0.82344248722381752</c:v>
              </c:pt>
              <c:pt idx="62">
                <c:v>0.86942377328888587</c:v>
              </c:pt>
              <c:pt idx="63">
                <c:v>0.91732118561922948</c:v>
              </c:pt>
              <c:pt idx="64">
                <c:v>0.96742156610170071</c:v>
              </c:pt>
              <c:pt idx="65">
                <c:v>1.020076232786199</c:v>
              </c:pt>
              <c:pt idx="66">
                <c:v>1.0757227225615085</c:v>
              </c:pt>
              <c:pt idx="67">
                <c:v>1.1349166179934915</c:v>
              </c:pt>
              <c:pt idx="68">
                <c:v>1.1983797023069247</c:v>
              </c:pt>
              <c:pt idx="69">
                <c:v>1.2670757512664441</c:v>
              </c:pt>
              <c:pt idx="70">
                <c:v>1.3423356800772619</c:v>
              </c:pt>
              <c:pt idx="71">
                <c:v>1.4260768722728485</c:v>
              </c:pt>
              <c:pt idx="72">
                <c:v>1.5212180464259335</c:v>
              </c:pt>
              <c:pt idx="73">
                <c:v>1.632547965846348</c:v>
              </c:pt>
              <c:pt idx="74">
                <c:v>1.7688250385187059</c:v>
              </c:pt>
              <c:pt idx="75">
                <c:v>1.9491119969398871</c:v>
              </c:pt>
              <c:pt idx="76">
                <c:v>2.2316058352609245</c:v>
              </c:pt>
            </c:numLit>
          </c:yVal>
          <c:smooth val="0"/>
          <c:extLst>
            <c:ext xmlns:c16="http://schemas.microsoft.com/office/drawing/2014/chart" uri="{C3380CC4-5D6E-409C-BE32-E72D297353CC}">
              <c16:uniqueId val="{00000001-8F75-4D4E-B0E9-8D6DD0A7602C}"/>
            </c:ext>
          </c:extLst>
        </c:ser>
        <c:dLbls>
          <c:showLegendKey val="0"/>
          <c:showVal val="0"/>
          <c:showCatName val="0"/>
          <c:showSerName val="0"/>
          <c:showPercent val="0"/>
          <c:showBubbleSize val="0"/>
        </c:dLbls>
        <c:axId val="105067648"/>
        <c:axId val="105069568"/>
      </c:scatterChart>
      <c:valAx>
        <c:axId val="105067648"/>
        <c:scaling>
          <c:orientation val="minMax"/>
        </c:scaling>
        <c:delete val="0"/>
        <c:axPos val="b"/>
        <c:title>
          <c:tx>
            <c:rich>
              <a:bodyPr/>
              <a:lstStyle/>
              <a:p>
                <a:pPr>
                  <a:defRPr/>
                </a:pPr>
                <a:r>
                  <a:rPr lang="en-US"/>
                  <a:t>Theoretical Standardized Residual
</a:t>
                </a:r>
                <a:r>
                  <a:rPr lang="en-US" sz="750"/>
                  <a:t>Adjusted Anderson-Darling statistic is 1.016 (P=0.011)</a:t>
                </a:r>
              </a:p>
            </c:rich>
          </c:tx>
          <c:overlay val="0"/>
        </c:title>
        <c:numFmt formatCode="General" sourceLinked="1"/>
        <c:majorTickMark val="out"/>
        <c:minorTickMark val="none"/>
        <c:tickLblPos val="nextTo"/>
        <c:crossAx val="105069568"/>
        <c:crosses val="autoZero"/>
        <c:crossBetween val="midCat"/>
      </c:valAx>
      <c:valAx>
        <c:axId val="105069568"/>
        <c:scaling>
          <c:orientation val="minMax"/>
        </c:scaling>
        <c:delete val="0"/>
        <c:axPos val="l"/>
        <c:title>
          <c:tx>
            <c:rich>
              <a:bodyPr/>
              <a:lstStyle/>
              <a:p>
                <a:pPr>
                  <a:defRPr/>
                </a:pPr>
                <a:r>
                  <a:rPr lang="en-US"/>
                  <a:t>Actual Standardized Residual</a:t>
                </a:r>
              </a:p>
            </c:rich>
          </c:tx>
          <c:overlay val="0"/>
        </c:title>
        <c:numFmt formatCode="General" sourceLinked="1"/>
        <c:majorTickMark val="out"/>
        <c:minorTickMark val="none"/>
        <c:tickLblPos val="nextTo"/>
        <c:crossAx val="105067648"/>
        <c:crossesAt val="-3"/>
        <c:crossBetween val="midCat"/>
      </c:valAx>
      <c:spPr>
        <a:ln w="6350">
          <a:solidFill>
            <a:srgbClr val="808080"/>
          </a:solidFill>
          <a:prstDash val="solid"/>
        </a:ln>
      </c:spPr>
    </c:plotArea>
    <c:legend>
      <c:legendPos val="r"/>
      <c:overlay val="0"/>
    </c:legend>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'Elec HDD model with dummies'!$AA$2</c:f>
          <c:strCache>
            <c:ptCount val="1"/>
            <c:pt idx="0">
              <c:v>Forecasts and 95.0% confidence limits for means and forecasts
Elec HDD model with dummies for _Electric_Natural_Gas    (14 variables, n=78)</c:v>
            </c:pt>
          </c:strCache>
        </c:strRef>
      </c:tx>
      <c:overlay val="0"/>
      <c:txPr>
        <a:bodyPr/>
        <a:lstStyle/>
        <a:p>
          <a:pPr>
            <a:defRPr sz="1000"/>
          </a:pPr>
          <a:endParaRPr lang="en-US"/>
        </a:p>
      </c:txPr>
    </c:title>
    <c:autoTitleDeleted val="0"/>
    <c:plotArea>
      <c:layout/>
      <c:lineChart>
        <c:grouping val="standard"/>
        <c:varyColors val="0"/>
        <c:ser>
          <c:idx val="0"/>
          <c:order val="0"/>
          <c:tx>
            <c:v>Forecast</c:v>
          </c:tx>
          <c:spPr>
            <a:ln w="25400">
              <a:noFill/>
            </a:ln>
          </c:spPr>
          <c:marker>
            <c:symbol val="circle"/>
            <c:size val="7"/>
            <c:spPr>
              <a:solidFill>
                <a:srgbClr val="FF9999"/>
              </a:solidFill>
              <a:ln w="12700">
                <a:solidFill>
                  <a:srgbClr val="FF0000"/>
                </a:solidFill>
                <a:prstDash val="solid"/>
              </a:ln>
            </c:spPr>
          </c:marker>
          <c:errBars>
            <c:errDir val="y"/>
            <c:errBarType val="both"/>
            <c:errValType val="cust"/>
            <c:noEndCap val="0"/>
            <c:plus>
              <c:numRef>
                <c:f>'Elec HDD model with dummies'!$CG$49</c:f>
              </c:numRef>
            </c:plus>
            <c:minus>
              <c:numRef>
                <c:f>'Elec HDD model with dummies'!$CG$49</c:f>
              </c:numRef>
            </c:minus>
          </c:errBars>
          <c:val>
            <c:numRef>
              <c:f>'Elec HDD model with dummies'!$B$49</c:f>
            </c:numRef>
          </c:val>
          <c:smooth val="0"/>
          <c:extLst>
            <c:ext xmlns:c15="http://schemas.microsoft.com/office/drawing/2012/chart" uri="{02D57815-91ED-43cb-92C2-25804820EDAC}">
              <c15:filteredCategoryTitle>
                <c15:cat>
                  <c:multiLvlStrRef>
                    <c:extLst>
                      <c:ext uri="{02D57815-91ED-43cb-92C2-25804820EDAC}">
                        <c15:formulaRef>
                          <c15:sqref>'Elec HDD model with dummies'!$A$49</c15:sqref>
                        </c15:formulaRef>
                      </c:ext>
                    </c:extLst>
                  </c:multiLvlStrRef>
                </c15:cat>
              </c15:filteredCategoryTitle>
            </c:ext>
            <c:ext xmlns:c16="http://schemas.microsoft.com/office/drawing/2014/chart" uri="{C3380CC4-5D6E-409C-BE32-E72D297353CC}">
              <c16:uniqueId val="{00000000-0C5D-4435-9460-1A08A9DE84B7}"/>
            </c:ext>
          </c:extLst>
        </c:ser>
        <c:ser>
          <c:idx val="1"/>
          <c:order val="1"/>
          <c:tx>
            <c:strRef>
              <c:f>'Elec HDD model with dummies'!$H$48</c:f>
              <c:strCache>
                <c:ptCount val="1"/>
                <c:pt idx="0">
                  <c:v>Upper95%M</c:v>
                </c:pt>
              </c:strCache>
            </c:strRef>
          </c:tx>
          <c:spPr>
            <a:ln w="25400">
              <a:noFill/>
            </a:ln>
          </c:spPr>
          <c:marker>
            <c:symbol val="dash"/>
            <c:size val="7"/>
            <c:spPr>
              <a:noFill/>
              <a:ln w="12700">
                <a:solidFill>
                  <a:srgbClr val="000000"/>
                </a:solidFill>
              </a:ln>
              <a:extLst>
                <a:ext uri="{909E8E84-426E-40DD-AFC4-6F175D3DCCD1}">
                  <a14:hiddenFill xmlns:a14="http://schemas.microsoft.com/office/drawing/2010/main">
                    <a:solidFill>
                      <a:srgbClr val="ED7D31"/>
                    </a:solidFill>
                  </a14:hiddenFill>
                </a:ext>
              </a:extLst>
            </c:spPr>
          </c:marker>
          <c:val>
            <c:numRef>
              <c:f>'Elec HDD model with dummies'!$H$49</c:f>
            </c:numRef>
          </c:val>
          <c:smooth val="0"/>
          <c:extLst>
            <c:ext xmlns:c15="http://schemas.microsoft.com/office/drawing/2012/chart" uri="{02D57815-91ED-43cb-92C2-25804820EDAC}">
              <c15:filteredCategoryTitle>
                <c15:cat>
                  <c:multiLvlStrRef>
                    <c:extLst>
                      <c:ext uri="{02D57815-91ED-43cb-92C2-25804820EDAC}">
                        <c15:formulaRef>
                          <c15:sqref>'Elec HDD model with dummies'!$A$49</c15:sqref>
                        </c15:formulaRef>
                      </c:ext>
                    </c:extLst>
                  </c:multiLvlStrRef>
                </c15:cat>
              </c15:filteredCategoryTitle>
            </c:ext>
            <c:ext xmlns:c16="http://schemas.microsoft.com/office/drawing/2014/chart" uri="{C3380CC4-5D6E-409C-BE32-E72D297353CC}">
              <c16:uniqueId val="{00000001-0C5D-4435-9460-1A08A9DE84B7}"/>
            </c:ext>
          </c:extLst>
        </c:ser>
        <c:ser>
          <c:idx val="2"/>
          <c:order val="2"/>
          <c:tx>
            <c:strRef>
              <c:f>'Elec HDD model with dummies'!$G$48</c:f>
              <c:strCache>
                <c:ptCount val="1"/>
                <c:pt idx="0">
                  <c:v>Lower95%M</c:v>
                </c:pt>
              </c:strCache>
            </c:strRef>
          </c:tx>
          <c:spPr>
            <a:ln w="25400">
              <a:noFill/>
            </a:ln>
          </c:spPr>
          <c:marker>
            <c:symbol val="dash"/>
            <c:size val="7"/>
            <c:spPr>
              <a:noFill/>
              <a:ln w="12700">
                <a:solidFill>
                  <a:srgbClr val="000000"/>
                </a:solidFill>
              </a:ln>
              <a:extLst>
                <a:ext uri="{909E8E84-426E-40DD-AFC4-6F175D3DCCD1}">
                  <a14:hiddenFill xmlns:a14="http://schemas.microsoft.com/office/drawing/2010/main">
                    <a:solidFill>
                      <a:srgbClr val="A5A5A5"/>
                    </a:solidFill>
                  </a14:hiddenFill>
                </a:ext>
              </a:extLst>
            </c:spPr>
          </c:marker>
          <c:val>
            <c:numRef>
              <c:f>'Elec HDD model with dummies'!$G$49</c:f>
            </c:numRef>
          </c:val>
          <c:smooth val="0"/>
          <c:extLst>
            <c:ext xmlns:c15="http://schemas.microsoft.com/office/drawing/2012/chart" uri="{02D57815-91ED-43cb-92C2-25804820EDAC}">
              <c15:filteredCategoryTitle>
                <c15:cat>
                  <c:multiLvlStrRef>
                    <c:extLst>
                      <c:ext uri="{02D57815-91ED-43cb-92C2-25804820EDAC}">
                        <c15:formulaRef>
                          <c15:sqref>'Elec HDD model with dummies'!$A$49</c15:sqref>
                        </c15:formulaRef>
                      </c:ext>
                    </c:extLst>
                  </c:multiLvlStrRef>
                </c15:cat>
              </c15:filteredCategoryTitle>
            </c:ext>
            <c:ext xmlns:c16="http://schemas.microsoft.com/office/drawing/2014/chart" uri="{C3380CC4-5D6E-409C-BE32-E72D297353CC}">
              <c16:uniqueId val="{00000002-0C5D-4435-9460-1A08A9DE84B7}"/>
            </c:ext>
          </c:extLst>
        </c:ser>
        <c:dLbls>
          <c:showLegendKey val="0"/>
          <c:showVal val="0"/>
          <c:showCatName val="0"/>
          <c:showSerName val="0"/>
          <c:showPercent val="0"/>
          <c:showBubbleSize val="0"/>
        </c:dLbls>
        <c:marker val="1"/>
        <c:smooth val="0"/>
        <c:axId val="105273216"/>
        <c:axId val="105275776"/>
      </c:lineChart>
      <c:catAx>
        <c:axId val="105273216"/>
        <c:scaling>
          <c:orientation val="minMax"/>
        </c:scaling>
        <c:delete val="0"/>
        <c:axPos val="b"/>
        <c:title>
          <c:tx>
            <c:rich>
              <a:bodyPr/>
              <a:lstStyle/>
              <a:p>
                <a:pPr>
                  <a:defRPr/>
                </a:pPr>
                <a:r>
                  <a:rPr lang="en-US"/>
                  <a:t>Observation #</a:t>
                </a:r>
              </a:p>
            </c:rich>
          </c:tx>
          <c:overlay val="0"/>
        </c:title>
        <c:numFmt formatCode="#,##0.000" sourceLinked="1"/>
        <c:majorTickMark val="out"/>
        <c:minorTickMark val="none"/>
        <c:tickLblPos val="nextTo"/>
        <c:crossAx val="105275776"/>
        <c:crossesAt val="0"/>
        <c:auto val="1"/>
        <c:lblAlgn val="ctr"/>
        <c:lblOffset val="100"/>
        <c:noMultiLvlLbl val="0"/>
      </c:catAx>
      <c:valAx>
        <c:axId val="105275776"/>
        <c:scaling>
          <c:orientation val="minMax"/>
        </c:scaling>
        <c:delete val="0"/>
        <c:axPos val="l"/>
        <c:majorGridlines>
          <c:spPr>
            <a:ln w="3175">
              <a:solidFill>
                <a:srgbClr val="C0C0C0"/>
              </a:solidFill>
              <a:prstDash val="solid"/>
            </a:ln>
          </c:spPr>
        </c:majorGridlines>
        <c:title>
          <c:tx>
            <c:rich>
              <a:bodyPr/>
              <a:lstStyle/>
              <a:p>
                <a:pPr>
                  <a:defRPr/>
                </a:pPr>
                <a:r>
                  <a:rPr lang="en-US"/>
                  <a:t>_Electric_Natural_Gas</a:t>
                </a:r>
              </a:p>
            </c:rich>
          </c:tx>
          <c:layout>
            <c:manualLayout>
              <c:xMode val="edge"/>
              <c:yMode val="edge"/>
              <c:x val="2.8097062579821201E-2"/>
              <c:y val="0.2660618256051327"/>
            </c:manualLayout>
          </c:layout>
          <c:overlay val="0"/>
        </c:title>
        <c:numFmt formatCode="General" sourceLinked="0"/>
        <c:majorTickMark val="out"/>
        <c:minorTickMark val="none"/>
        <c:tickLblPos val="nextTo"/>
        <c:crossAx val="105273216"/>
        <c:crosses val="autoZero"/>
        <c:crossBetween val="between"/>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txPr>
    <a:bodyPr/>
    <a:lstStyle/>
    <a:p>
      <a:pPr>
        <a:defRPr sz="1000">
          <a:latin typeface="Calibri"/>
          <a:ea typeface="Calibri"/>
          <a:cs typeface="Calibri"/>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5.0347222222222224E-2"/>
          <c:y val="3.5833333333333335E-2"/>
          <c:w val="0.92720827865266842"/>
          <c:h val="0.96416666666666662"/>
        </c:manualLayout>
      </c:layout>
      <c:scatterChart>
        <c:scatterStyle val="lineMarker"/>
        <c:varyColors val="0"/>
        <c:ser>
          <c:idx val="0"/>
          <c:order val="0"/>
          <c:spPr>
            <a:ln w="9525" cap="rnd" cmpd="sng" algn="ctr">
              <a:solidFill>
                <a:srgbClr val="0000FF"/>
              </a:solidFill>
              <a:prstDash val="solid"/>
              <a:round/>
              <a:headEnd type="none" w="med" len="med"/>
              <a:tailEnd type="none" w="med" len="med"/>
            </a:ln>
            <a:effectLst/>
          </c:spPr>
          <c:marker>
            <c:symbol val="diamond"/>
            <c:size val="5"/>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17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151</c:v>
              </c:pt>
              <c:pt idx="150">
                <c:v>152</c:v>
              </c:pt>
              <c:pt idx="151">
                <c:v>153</c:v>
              </c:pt>
              <c:pt idx="152">
                <c:v>154</c:v>
              </c:pt>
              <c:pt idx="153">
                <c:v>155</c:v>
              </c:pt>
              <c:pt idx="154">
                <c:v>156</c:v>
              </c:pt>
              <c:pt idx="155">
                <c:v>157</c:v>
              </c:pt>
              <c:pt idx="156">
                <c:v>158</c:v>
              </c:pt>
              <c:pt idx="157">
                <c:v>159</c:v>
              </c:pt>
              <c:pt idx="158">
                <c:v>160</c:v>
              </c:pt>
              <c:pt idx="159">
                <c:v>161</c:v>
              </c:pt>
              <c:pt idx="160">
                <c:v>162</c:v>
              </c:pt>
              <c:pt idx="161">
                <c:v>163</c:v>
              </c:pt>
              <c:pt idx="162">
                <c:v>164</c:v>
              </c:pt>
              <c:pt idx="163">
                <c:v>165</c:v>
              </c:pt>
              <c:pt idx="164">
                <c:v>166</c:v>
              </c:pt>
              <c:pt idx="165">
                <c:v>167</c:v>
              </c:pt>
              <c:pt idx="166">
                <c:v>168</c:v>
              </c:pt>
              <c:pt idx="167">
                <c:v>169</c:v>
              </c:pt>
              <c:pt idx="168">
                <c:v>170</c:v>
              </c:pt>
              <c:pt idx="169">
                <c:v>172</c:v>
              </c:pt>
              <c:pt idx="170">
                <c:v>173</c:v>
              </c:pt>
              <c:pt idx="171">
                <c:v>174</c:v>
              </c:pt>
            </c:numLit>
          </c:xVal>
          <c:yVal>
            <c:numLit>
              <c:formatCode>General</c:formatCode>
              <c:ptCount val="172"/>
              <c:pt idx="0">
                <c:v>14705</c:v>
              </c:pt>
              <c:pt idx="1">
                <c:v>9561</c:v>
              </c:pt>
              <c:pt idx="2">
                <c:v>7702</c:v>
              </c:pt>
              <c:pt idx="3">
                <c:v>5039</c:v>
              </c:pt>
              <c:pt idx="4">
                <c:v>2040</c:v>
              </c:pt>
              <c:pt idx="5">
                <c:v>1101</c:v>
              </c:pt>
              <c:pt idx="6">
                <c:v>1086</c:v>
              </c:pt>
              <c:pt idx="7">
                <c:v>948</c:v>
              </c:pt>
              <c:pt idx="8">
                <c:v>1086</c:v>
              </c:pt>
              <c:pt idx="9">
                <c:v>2514</c:v>
              </c:pt>
              <c:pt idx="10">
                <c:v>4592</c:v>
              </c:pt>
              <c:pt idx="11">
                <c:v>6443</c:v>
              </c:pt>
              <c:pt idx="12">
                <c:v>11858</c:v>
              </c:pt>
              <c:pt idx="13">
                <c:v>9526</c:v>
              </c:pt>
              <c:pt idx="14">
                <c:v>7835</c:v>
              </c:pt>
              <c:pt idx="15">
                <c:v>4091</c:v>
              </c:pt>
              <c:pt idx="16">
                <c:v>1763</c:v>
              </c:pt>
              <c:pt idx="17">
                <c:v>1705</c:v>
              </c:pt>
              <c:pt idx="18">
                <c:v>1014</c:v>
              </c:pt>
              <c:pt idx="19">
                <c:v>885</c:v>
              </c:pt>
              <c:pt idx="20">
                <c:v>1040</c:v>
              </c:pt>
              <c:pt idx="21">
                <c:v>2051</c:v>
              </c:pt>
              <c:pt idx="22">
                <c:v>6245</c:v>
              </c:pt>
              <c:pt idx="23">
                <c:v>10891</c:v>
              </c:pt>
              <c:pt idx="24">
                <c:v>14064</c:v>
              </c:pt>
              <c:pt idx="25">
                <c:v>12890</c:v>
              </c:pt>
              <c:pt idx="26">
                <c:v>8230</c:v>
              </c:pt>
              <c:pt idx="27">
                <c:v>4754</c:v>
              </c:pt>
              <c:pt idx="28">
                <c:v>2524</c:v>
              </c:pt>
              <c:pt idx="29">
                <c:v>1454</c:v>
              </c:pt>
              <c:pt idx="30">
                <c:v>1137</c:v>
              </c:pt>
              <c:pt idx="31">
                <c:v>1004</c:v>
              </c:pt>
              <c:pt idx="32">
                <c:v>1154</c:v>
              </c:pt>
              <c:pt idx="33">
                <c:v>2290</c:v>
              </c:pt>
              <c:pt idx="34">
                <c:v>5223</c:v>
              </c:pt>
              <c:pt idx="35">
                <c:v>10686</c:v>
              </c:pt>
              <c:pt idx="36">
                <c:v>14020</c:v>
              </c:pt>
              <c:pt idx="37">
                <c:v>13510</c:v>
              </c:pt>
              <c:pt idx="38">
                <c:v>8531</c:v>
              </c:pt>
              <c:pt idx="39">
                <c:v>4921</c:v>
              </c:pt>
              <c:pt idx="40">
                <c:v>1953</c:v>
              </c:pt>
              <c:pt idx="41">
                <c:v>1228</c:v>
              </c:pt>
              <c:pt idx="42">
                <c:v>1115</c:v>
              </c:pt>
              <c:pt idx="43">
                <c:v>1047</c:v>
              </c:pt>
              <c:pt idx="44">
                <c:v>1003</c:v>
              </c:pt>
              <c:pt idx="45">
                <c:v>1600</c:v>
              </c:pt>
              <c:pt idx="46">
                <c:v>4216</c:v>
              </c:pt>
              <c:pt idx="47">
                <c:v>9656</c:v>
              </c:pt>
              <c:pt idx="48">
                <c:v>12601</c:v>
              </c:pt>
              <c:pt idx="49">
                <c:v>11599</c:v>
              </c:pt>
              <c:pt idx="50">
                <c:v>9662</c:v>
              </c:pt>
              <c:pt idx="51">
                <c:v>5311</c:v>
              </c:pt>
              <c:pt idx="52">
                <c:v>2771</c:v>
              </c:pt>
              <c:pt idx="53">
                <c:v>1450</c:v>
              </c:pt>
              <c:pt idx="54">
                <c:v>1203</c:v>
              </c:pt>
              <c:pt idx="55">
                <c:v>1024</c:v>
              </c:pt>
              <c:pt idx="56">
                <c:v>1087</c:v>
              </c:pt>
              <c:pt idx="57">
                <c:v>1724</c:v>
              </c:pt>
              <c:pt idx="58">
                <c:v>4739</c:v>
              </c:pt>
              <c:pt idx="59">
                <c:v>10695</c:v>
              </c:pt>
              <c:pt idx="60">
                <c:v>10928</c:v>
              </c:pt>
              <c:pt idx="61">
                <c:v>9647</c:v>
              </c:pt>
              <c:pt idx="62">
                <c:v>7791</c:v>
              </c:pt>
              <c:pt idx="63">
                <c:v>4414</c:v>
              </c:pt>
              <c:pt idx="64">
                <c:v>1879</c:v>
              </c:pt>
              <c:pt idx="65">
                <c:v>1418</c:v>
              </c:pt>
              <c:pt idx="66">
                <c:v>1175</c:v>
              </c:pt>
              <c:pt idx="67">
                <c:v>980</c:v>
              </c:pt>
              <c:pt idx="68">
                <c:v>1153</c:v>
              </c:pt>
              <c:pt idx="69">
                <c:v>2399</c:v>
              </c:pt>
              <c:pt idx="70">
                <c:v>5954</c:v>
              </c:pt>
              <c:pt idx="71">
                <c:v>8768</c:v>
              </c:pt>
              <c:pt idx="72">
                <c:v>10618</c:v>
              </c:pt>
              <c:pt idx="73">
                <c:v>12847</c:v>
              </c:pt>
              <c:pt idx="74">
                <c:v>8108</c:v>
              </c:pt>
              <c:pt idx="75">
                <c:v>4405</c:v>
              </c:pt>
              <c:pt idx="76">
                <c:v>2440</c:v>
              </c:pt>
              <c:pt idx="77">
                <c:v>1310</c:v>
              </c:pt>
              <c:pt idx="78">
                <c:v>1154</c:v>
              </c:pt>
              <c:pt idx="79">
                <c:v>993</c:v>
              </c:pt>
              <c:pt idx="80">
                <c:v>1053</c:v>
              </c:pt>
              <c:pt idx="81">
                <c:v>1356</c:v>
              </c:pt>
              <c:pt idx="82">
                <c:v>5134</c:v>
              </c:pt>
              <c:pt idx="83">
                <c:v>8947</c:v>
              </c:pt>
              <c:pt idx="84">
                <c:v>12948</c:v>
              </c:pt>
              <c:pt idx="85">
                <c:v>10202</c:v>
              </c:pt>
              <c:pt idx="86">
                <c:v>6938</c:v>
              </c:pt>
              <c:pt idx="87">
                <c:v>3707</c:v>
              </c:pt>
              <c:pt idx="88">
                <c:v>1521</c:v>
              </c:pt>
              <c:pt idx="89">
                <c:v>1121</c:v>
              </c:pt>
              <c:pt idx="90">
                <c:v>1058</c:v>
              </c:pt>
              <c:pt idx="91">
                <c:v>1022</c:v>
              </c:pt>
              <c:pt idx="92">
                <c:v>1388</c:v>
              </c:pt>
              <c:pt idx="93">
                <c:v>3296</c:v>
              </c:pt>
              <c:pt idx="94">
                <c:v>9524</c:v>
              </c:pt>
              <c:pt idx="95">
                <c:v>11186</c:v>
              </c:pt>
              <c:pt idx="96">
                <c:v>14881</c:v>
              </c:pt>
              <c:pt idx="97">
                <c:v>10616</c:v>
              </c:pt>
              <c:pt idx="98">
                <c:v>8259</c:v>
              </c:pt>
              <c:pt idx="99">
                <c:v>3243</c:v>
              </c:pt>
              <c:pt idx="100">
                <c:v>1315</c:v>
              </c:pt>
              <c:pt idx="101">
                <c:v>754</c:v>
              </c:pt>
              <c:pt idx="102">
                <c:v>962</c:v>
              </c:pt>
              <c:pt idx="103">
                <c:v>947</c:v>
              </c:pt>
              <c:pt idx="104">
                <c:v>1128</c:v>
              </c:pt>
              <c:pt idx="105">
                <c:v>2760</c:v>
              </c:pt>
              <c:pt idx="106">
                <c:v>6420</c:v>
              </c:pt>
              <c:pt idx="107">
                <c:v>14358</c:v>
              </c:pt>
              <c:pt idx="108">
                <c:v>17239</c:v>
              </c:pt>
              <c:pt idx="109">
                <c:v>14708</c:v>
              </c:pt>
              <c:pt idx="110">
                <c:v>7595</c:v>
              </c:pt>
              <c:pt idx="111">
                <c:v>1937</c:v>
              </c:pt>
              <c:pt idx="112">
                <c:v>1252</c:v>
              </c:pt>
              <c:pt idx="113">
                <c:v>942</c:v>
              </c:pt>
              <c:pt idx="114">
                <c:v>883</c:v>
              </c:pt>
              <c:pt idx="115">
                <c:v>904</c:v>
              </c:pt>
              <c:pt idx="116">
                <c:v>1011</c:v>
              </c:pt>
              <c:pt idx="117">
                <c:v>1873</c:v>
              </c:pt>
              <c:pt idx="118">
                <c:v>7010</c:v>
              </c:pt>
              <c:pt idx="119">
                <c:v>19166</c:v>
              </c:pt>
              <c:pt idx="120">
                <c:v>17009</c:v>
              </c:pt>
              <c:pt idx="121">
                <c:v>9734</c:v>
              </c:pt>
              <c:pt idx="122">
                <c:v>7399</c:v>
              </c:pt>
              <c:pt idx="123">
                <c:v>2890</c:v>
              </c:pt>
              <c:pt idx="124">
                <c:v>1348</c:v>
              </c:pt>
              <c:pt idx="125">
                <c:v>962</c:v>
              </c:pt>
              <c:pt idx="126">
                <c:v>889</c:v>
              </c:pt>
              <c:pt idx="127">
                <c:v>1066</c:v>
              </c:pt>
              <c:pt idx="128">
                <c:v>1048</c:v>
              </c:pt>
              <c:pt idx="129">
                <c:v>2812</c:v>
              </c:pt>
              <c:pt idx="130">
                <c:v>6982</c:v>
              </c:pt>
              <c:pt idx="131">
                <c:v>9506</c:v>
              </c:pt>
              <c:pt idx="132">
                <c:v>13091</c:v>
              </c:pt>
              <c:pt idx="133">
                <c:v>10105</c:v>
              </c:pt>
              <c:pt idx="134">
                <c:v>4113</c:v>
              </c:pt>
              <c:pt idx="135">
                <c:v>2349</c:v>
              </c:pt>
              <c:pt idx="136">
                <c:v>1452</c:v>
              </c:pt>
              <c:pt idx="137">
                <c:v>1135</c:v>
              </c:pt>
              <c:pt idx="138">
                <c:v>901</c:v>
              </c:pt>
              <c:pt idx="139">
                <c:v>1135</c:v>
              </c:pt>
              <c:pt idx="140">
                <c:v>1015</c:v>
              </c:pt>
              <c:pt idx="141">
                <c:v>2706</c:v>
              </c:pt>
              <c:pt idx="142">
                <c:v>9189</c:v>
              </c:pt>
              <c:pt idx="143">
                <c:v>9321</c:v>
              </c:pt>
              <c:pt idx="144">
                <c:v>12218</c:v>
              </c:pt>
              <c:pt idx="145">
                <c:v>12114</c:v>
              </c:pt>
              <c:pt idx="146">
                <c:v>11612</c:v>
              </c:pt>
              <c:pt idx="147">
                <c:v>3617</c:v>
              </c:pt>
              <c:pt idx="148">
                <c:v>1823</c:v>
              </c:pt>
              <c:pt idx="149">
                <c:v>1119</c:v>
              </c:pt>
              <c:pt idx="150">
                <c:v>1011</c:v>
              </c:pt>
              <c:pt idx="151">
                <c:v>1145</c:v>
              </c:pt>
              <c:pt idx="152">
                <c:v>2345</c:v>
              </c:pt>
              <c:pt idx="153">
                <c:v>9514</c:v>
              </c:pt>
              <c:pt idx="154">
                <c:v>12192</c:v>
              </c:pt>
              <c:pt idx="155">
                <c:v>19452</c:v>
              </c:pt>
              <c:pt idx="156">
                <c:v>12235</c:v>
              </c:pt>
              <c:pt idx="157">
                <c:v>11380</c:v>
              </c:pt>
              <c:pt idx="158">
                <c:v>3347</c:v>
              </c:pt>
              <c:pt idx="159">
                <c:v>1349</c:v>
              </c:pt>
              <c:pt idx="160">
                <c:v>954</c:v>
              </c:pt>
              <c:pt idx="161">
                <c:v>1144</c:v>
              </c:pt>
              <c:pt idx="162">
                <c:v>997</c:v>
              </c:pt>
              <c:pt idx="163">
                <c:v>1158</c:v>
              </c:pt>
              <c:pt idx="164">
                <c:v>2083</c:v>
              </c:pt>
              <c:pt idx="165">
                <c:v>9942</c:v>
              </c:pt>
              <c:pt idx="166">
                <c:v>12821</c:v>
              </c:pt>
              <c:pt idx="167">
                <c:v>15880</c:v>
              </c:pt>
              <c:pt idx="168">
                <c:v>17833</c:v>
              </c:pt>
              <c:pt idx="169">
                <c:v>2884</c:v>
              </c:pt>
              <c:pt idx="170">
                <c:v>1398</c:v>
              </c:pt>
              <c:pt idx="171">
                <c:v>1192</c:v>
              </c:pt>
            </c:numLit>
          </c:yVal>
          <c:smooth val="0"/>
          <c:extLst>
            <c:ext xmlns:c16="http://schemas.microsoft.com/office/drawing/2014/chart" uri="{C3380CC4-5D6E-409C-BE32-E72D297353CC}">
              <c16:uniqueId val="{00000000-3A0C-445E-A1CF-33423196EF72}"/>
            </c:ext>
          </c:extLst>
        </c:ser>
        <c:dLbls>
          <c:showLegendKey val="0"/>
          <c:showVal val="0"/>
          <c:showCatName val="0"/>
          <c:showSerName val="0"/>
          <c:showPercent val="0"/>
          <c:showBubbleSize val="0"/>
        </c:dLbls>
        <c:axId val="105451904"/>
        <c:axId val="105453824"/>
      </c:scatterChart>
      <c:valAx>
        <c:axId val="105451904"/>
        <c:scaling>
          <c:orientation val="minMax"/>
          <c:min val="0"/>
        </c:scaling>
        <c:delete val="0"/>
        <c:axPos val="b"/>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05453824"/>
        <c:crossesAt val="0"/>
        <c:crossBetween val="midCat"/>
      </c:valAx>
      <c:valAx>
        <c:axId val="105453824"/>
        <c:scaling>
          <c:orientation val="minMax"/>
          <c:min val="0"/>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title>
          <c:tx>
            <c:rich>
              <a:bodyPr/>
              <a:lstStyle/>
              <a:p>
                <a:pPr>
                  <a:defRPr/>
                </a:pPr>
                <a:r>
                  <a:rPr lang="en-US"/>
                  <a:t>_Residential_Natural_Gas</a:t>
                </a:r>
              </a:p>
            </c:rich>
          </c:tx>
          <c:overlay val="0"/>
        </c:title>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05451904"/>
        <c:crossesAt val="0"/>
        <c:crossBetween val="midCat"/>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'Elec HDD model with dummies'!$AA$3</c:f>
          <c:strCache>
            <c:ptCount val="1"/>
            <c:pt idx="0">
              <c:v>Actual and predicted -vs- Observation #
Elec HDD model with dummies for _Electric_Natural_Gas
(14 variables, n=78)</c:v>
            </c:pt>
          </c:strCache>
        </c:strRef>
      </c:tx>
      <c:overlay val="0"/>
      <c:txPr>
        <a:bodyPr/>
        <a:lstStyle/>
        <a:p>
          <a:pPr>
            <a:defRPr sz="1000">
              <a:latin typeface="Calibri"/>
              <a:ea typeface="Calibri"/>
              <a:cs typeface="Calibri"/>
            </a:defRPr>
          </a:pPr>
          <a:endParaRPr lang="en-US"/>
        </a:p>
      </c:txPr>
    </c:title>
    <c:autoTitleDeleted val="0"/>
    <c:plotArea>
      <c:layout/>
      <c:scatterChart>
        <c:scatterStyle val="lineMarker"/>
        <c:varyColors val="0"/>
        <c:ser>
          <c:idx val="0"/>
          <c:order val="0"/>
          <c:tx>
            <c:v>Actual</c:v>
          </c:tx>
          <c:spPr>
            <a:ln w="9525" cap="rnd" cmpd="sng" algn="ctr">
              <a:solidFill>
                <a:srgbClr val="0000FF"/>
              </a:solidFill>
              <a:prstDash val="solid"/>
              <a:round/>
              <a:headEnd type="none" w="med" len="med"/>
              <a:tailEnd type="none" w="med" len="med"/>
            </a:ln>
          </c:spPr>
          <c:marker>
            <c:symbol val="diamond"/>
            <c:size val="6"/>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7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numLit>
          </c:xVal>
          <c:yVal>
            <c:numLit>
              <c:formatCode>General</c:formatCode>
              <c:ptCount val="78"/>
              <c:pt idx="0">
                <c:v>1798</c:v>
              </c:pt>
              <c:pt idx="1">
                <c:v>1912</c:v>
              </c:pt>
              <c:pt idx="2">
                <c:v>2674</c:v>
              </c:pt>
              <c:pt idx="3">
                <c:v>1314</c:v>
              </c:pt>
              <c:pt idx="4">
                <c:v>1761</c:v>
              </c:pt>
              <c:pt idx="5">
                <c:v>4481</c:v>
              </c:pt>
              <c:pt idx="6">
                <c:v>5303</c:v>
              </c:pt>
              <c:pt idx="7">
                <c:v>7937</c:v>
              </c:pt>
              <c:pt idx="8">
                <c:v>7103</c:v>
              </c:pt>
              <c:pt idx="9">
                <c:v>1259</c:v>
              </c:pt>
              <c:pt idx="10">
                <c:v>2241</c:v>
              </c:pt>
              <c:pt idx="11">
                <c:v>2133</c:v>
              </c:pt>
              <c:pt idx="12">
                <c:v>4595</c:v>
              </c:pt>
              <c:pt idx="13">
                <c:v>3096</c:v>
              </c:pt>
              <c:pt idx="14">
                <c:v>2555</c:v>
              </c:pt>
              <c:pt idx="15">
                <c:v>3098</c:v>
              </c:pt>
              <c:pt idx="16">
                <c:v>5787</c:v>
              </c:pt>
              <c:pt idx="17">
                <c:v>10952</c:v>
              </c:pt>
              <c:pt idx="18">
                <c:v>12003</c:v>
              </c:pt>
              <c:pt idx="19">
                <c:v>10299</c:v>
              </c:pt>
              <c:pt idx="20">
                <c:v>5803</c:v>
              </c:pt>
              <c:pt idx="21">
                <c:v>4621</c:v>
              </c:pt>
              <c:pt idx="22">
                <c:v>4250</c:v>
              </c:pt>
              <c:pt idx="23">
                <c:v>6013</c:v>
              </c:pt>
              <c:pt idx="24">
                <c:v>4681</c:v>
              </c:pt>
              <c:pt idx="25">
                <c:v>3473</c:v>
              </c:pt>
              <c:pt idx="26">
                <c:v>4445</c:v>
              </c:pt>
              <c:pt idx="27">
                <c:v>3691</c:v>
              </c:pt>
              <c:pt idx="28">
                <c:v>8148</c:v>
              </c:pt>
              <c:pt idx="29">
                <c:v>10582</c:v>
              </c:pt>
              <c:pt idx="30">
                <c:v>14049</c:v>
              </c:pt>
              <c:pt idx="31">
                <c:v>10826</c:v>
              </c:pt>
              <c:pt idx="32">
                <c:v>7157</c:v>
              </c:pt>
              <c:pt idx="33">
                <c:v>6183</c:v>
              </c:pt>
              <c:pt idx="34">
                <c:v>7969</c:v>
              </c:pt>
              <c:pt idx="35">
                <c:v>8594</c:v>
              </c:pt>
              <c:pt idx="36">
                <c:v>10096</c:v>
              </c:pt>
              <c:pt idx="37">
                <c:v>12898</c:v>
              </c:pt>
              <c:pt idx="38">
                <c:v>10717</c:v>
              </c:pt>
              <c:pt idx="39">
                <c:v>10778</c:v>
              </c:pt>
              <c:pt idx="40">
                <c:v>13077</c:v>
              </c:pt>
              <c:pt idx="41">
                <c:v>13291</c:v>
              </c:pt>
              <c:pt idx="42">
                <c:v>20603</c:v>
              </c:pt>
              <c:pt idx="43">
                <c:v>16794</c:v>
              </c:pt>
              <c:pt idx="44">
                <c:v>14032</c:v>
              </c:pt>
              <c:pt idx="45">
                <c:v>9107</c:v>
              </c:pt>
              <c:pt idx="46">
                <c:v>7885</c:v>
              </c:pt>
              <c:pt idx="47">
                <c:v>11589</c:v>
              </c:pt>
              <c:pt idx="48">
                <c:v>15951</c:v>
              </c:pt>
              <c:pt idx="49">
                <c:v>14442</c:v>
              </c:pt>
              <c:pt idx="50">
                <c:v>15968</c:v>
              </c:pt>
              <c:pt idx="51">
                <c:v>14409</c:v>
              </c:pt>
              <c:pt idx="52">
                <c:v>15758</c:v>
              </c:pt>
              <c:pt idx="53">
                <c:v>17311</c:v>
              </c:pt>
              <c:pt idx="54">
                <c:v>19612</c:v>
              </c:pt>
              <c:pt idx="55">
                <c:v>19504</c:v>
              </c:pt>
              <c:pt idx="56">
                <c:v>18336</c:v>
              </c:pt>
              <c:pt idx="57">
                <c:v>15088</c:v>
              </c:pt>
              <c:pt idx="58">
                <c:v>15652</c:v>
              </c:pt>
              <c:pt idx="59">
                <c:v>18969</c:v>
              </c:pt>
              <c:pt idx="60">
                <c:v>17864</c:v>
              </c:pt>
              <c:pt idx="61">
                <c:v>8697</c:v>
              </c:pt>
              <c:pt idx="62">
                <c:v>14767</c:v>
              </c:pt>
              <c:pt idx="63">
                <c:v>15371</c:v>
              </c:pt>
              <c:pt idx="64">
                <c:v>16592</c:v>
              </c:pt>
              <c:pt idx="65">
                <c:v>20928</c:v>
              </c:pt>
              <c:pt idx="66">
                <c:v>20934</c:v>
              </c:pt>
              <c:pt idx="67">
                <c:v>20625</c:v>
              </c:pt>
              <c:pt idx="68">
                <c:v>19655</c:v>
              </c:pt>
              <c:pt idx="69">
                <c:v>12618</c:v>
              </c:pt>
              <c:pt idx="70">
                <c:v>16980</c:v>
              </c:pt>
              <c:pt idx="71">
                <c:v>21194</c:v>
              </c:pt>
              <c:pt idx="72">
                <c:v>21992</c:v>
              </c:pt>
              <c:pt idx="73">
                <c:v>20106</c:v>
              </c:pt>
              <c:pt idx="74">
                <c:v>19194</c:v>
              </c:pt>
              <c:pt idx="75">
                <c:v>19240</c:v>
              </c:pt>
              <c:pt idx="76">
                <c:v>23874</c:v>
              </c:pt>
              <c:pt idx="77">
                <c:v>26468</c:v>
              </c:pt>
            </c:numLit>
          </c:yVal>
          <c:smooth val="0"/>
          <c:extLst>
            <c:ext xmlns:c16="http://schemas.microsoft.com/office/drawing/2014/chart" uri="{C3380CC4-5D6E-409C-BE32-E72D297353CC}">
              <c16:uniqueId val="{00000000-5D49-4B26-B500-26B2D5345595}"/>
            </c:ext>
          </c:extLst>
        </c:ser>
        <c:ser>
          <c:idx val="1"/>
          <c:order val="1"/>
          <c:tx>
            <c:v>Predicted</c:v>
          </c:tx>
          <c:spPr>
            <a:ln w="9525">
              <a:solidFill>
                <a:srgbClr val="FF0000"/>
              </a:solidFill>
              <a:prstDash val="sysDash"/>
            </a:ln>
          </c:spPr>
          <c:marker>
            <c:symbol val="circle"/>
            <c:size val="6"/>
            <c:spPr>
              <a:noFill/>
              <a:ln w="9525">
                <a:solidFill>
                  <a:srgbClr val="FF0000"/>
                </a:solidFill>
                <a:prstDash val="solid"/>
              </a:ln>
            </c:spPr>
          </c:marker>
          <c:xVal>
            <c:numLit>
              <c:formatCode>General</c:formatCode>
              <c:ptCount val="7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numLit>
          </c:xVal>
          <c:yVal>
            <c:numLit>
              <c:formatCode>General</c:formatCode>
              <c:ptCount val="78"/>
              <c:pt idx="0">
                <c:v>1562.1788838360626</c:v>
              </c:pt>
              <c:pt idx="1">
                <c:v>-182.77702592420246</c:v>
              </c:pt>
              <c:pt idx="2">
                <c:v>653.41124233650044</c:v>
              </c:pt>
              <c:pt idx="3">
                <c:v>282.57857142134162</c:v>
              </c:pt>
              <c:pt idx="4">
                <c:v>2698.0224267838821</c:v>
              </c:pt>
              <c:pt idx="5">
                <c:v>5400.7027827812562</c:v>
              </c:pt>
              <c:pt idx="6">
                <c:v>7536.612244463231</c:v>
              </c:pt>
              <c:pt idx="7">
                <c:v>6449.3148905343078</c:v>
              </c:pt>
              <c:pt idx="8">
                <c:v>4133.4535181571373</c:v>
              </c:pt>
              <c:pt idx="9">
                <c:v>345.20743816581671</c:v>
              </c:pt>
              <c:pt idx="10">
                <c:v>1186.3625905495028</c:v>
              </c:pt>
              <c:pt idx="11">
                <c:v>3518.9934764904319</c:v>
              </c:pt>
              <c:pt idx="12">
                <c:v>4618.3005110163795</c:v>
              </c:pt>
              <c:pt idx="13">
                <c:v>2878.1161112616683</c:v>
              </c:pt>
              <c:pt idx="14">
                <c:v>3771.9170004225234</c:v>
              </c:pt>
              <c:pt idx="15">
                <c:v>3278.3293178739696</c:v>
              </c:pt>
              <c:pt idx="16">
                <c:v>5799.7456416900095</c:v>
              </c:pt>
              <c:pt idx="17">
                <c:v>8552.9912183294182</c:v>
              </c:pt>
              <c:pt idx="18">
                <c:v>10688.900680011397</c:v>
              </c:pt>
              <c:pt idx="19">
                <c:v>9601.6033260824734</c:v>
              </c:pt>
              <c:pt idx="20">
                <c:v>7253.0541459597771</c:v>
              </c:pt>
              <c:pt idx="21">
                <c:v>3297.0366353621866</c:v>
              </c:pt>
              <c:pt idx="22">
                <c:v>4418.5964699104297</c:v>
              </c:pt>
              <c:pt idx="23">
                <c:v>6378.9791768458126</c:v>
              </c:pt>
              <c:pt idx="24">
                <c:v>7754.9525792589666</c:v>
              </c:pt>
              <c:pt idx="25">
                <c:v>6095.7130381976094</c:v>
              </c:pt>
              <c:pt idx="26">
                <c:v>6937.4454404902899</c:v>
              </c:pt>
              <c:pt idx="27">
                <c:v>6482.7177014081426</c:v>
              </c:pt>
              <c:pt idx="28">
                <c:v>9012.7719338314819</c:v>
              </c:pt>
              <c:pt idx="29">
                <c:v>11705.279653877576</c:v>
              </c:pt>
              <c:pt idx="30">
                <c:v>13841.189115559555</c:v>
              </c:pt>
              <c:pt idx="31">
                <c:v>12753.891761630632</c:v>
              </c:pt>
              <c:pt idx="32">
                <c:v>10461.400226040834</c:v>
              </c:pt>
              <c:pt idx="33">
                <c:v>6690.8066327670895</c:v>
              </c:pt>
              <c:pt idx="34">
                <c:v>7497.1512644989671</c:v>
              </c:pt>
              <c:pt idx="35">
                <c:v>9916.6253100312861</c:v>
              </c:pt>
              <c:pt idx="36">
                <c:v>11141.009288913778</c:v>
              </c:pt>
              <c:pt idx="37">
                <c:v>9265.1024094512868</c:v>
              </c:pt>
              <c:pt idx="38">
                <c:v>9645.4628397195302</c:v>
              </c:pt>
              <c:pt idx="39">
                <c:v>9771.7410297030474</c:v>
              </c:pt>
              <c:pt idx="40">
                <c:v>12058.066275862675</c:v>
              </c:pt>
              <c:pt idx="41">
                <c:v>14862.57977643445</c:v>
              </c:pt>
              <c:pt idx="42">
                <c:v>16993.477551107713</c:v>
              </c:pt>
              <c:pt idx="43">
                <c:v>15906.18019717879</c:v>
              </c:pt>
              <c:pt idx="44">
                <c:v>13594.566366826486</c:v>
              </c:pt>
              <c:pt idx="45">
                <c:v>9780.2925370724442</c:v>
              </c:pt>
              <c:pt idx="46">
                <c:v>10803.587843160287</c:v>
              </c:pt>
              <c:pt idx="47">
                <c:v>13060.205602116552</c:v>
              </c:pt>
              <c:pt idx="48">
                <c:v>14289.699850285902</c:v>
              </c:pt>
              <c:pt idx="49">
                <c:v>12419.866832960415</c:v>
              </c:pt>
              <c:pt idx="50">
                <c:v>13325.073121841215</c:v>
              </c:pt>
              <c:pt idx="51">
                <c:v>12915.487106650737</c:v>
              </c:pt>
              <c:pt idx="52">
                <c:v>15465.747599387807</c:v>
              </c:pt>
              <c:pt idx="53">
                <c:v>18009.8565249739</c:v>
              </c:pt>
              <c:pt idx="54">
                <c:v>20145.765986655879</c:v>
              </c:pt>
              <c:pt idx="55">
                <c:v>19063.252756296464</c:v>
              </c:pt>
              <c:pt idx="56">
                <c:v>16739.920341664143</c:v>
              </c:pt>
              <c:pt idx="57">
                <c:v>12830.724701644711</c:v>
              </c:pt>
              <c:pt idx="58">
                <c:v>13954.741050766581</c:v>
              </c:pt>
              <c:pt idx="59">
                <c:v>16233.67337908172</c:v>
              </c:pt>
              <c:pt idx="60">
                <c:v>17123.252664657939</c:v>
              </c:pt>
              <c:pt idx="61">
                <c:v>15580.882985961896</c:v>
              </c:pt>
              <c:pt idx="62">
                <c:v>16478.610948594167</c:v>
              </c:pt>
              <c:pt idx="63">
                <c:v>16030.479213541712</c:v>
              </c:pt>
              <c:pt idx="64">
                <c:v>18427.766744589975</c:v>
              </c:pt>
              <c:pt idx="65">
                <c:v>21162.144960522059</c:v>
              </c:pt>
              <c:pt idx="66">
                <c:v>23298.054422204037</c:v>
              </c:pt>
              <c:pt idx="67">
                <c:v>22210.757068275114</c:v>
              </c:pt>
              <c:pt idx="68">
                <c:v>19903.605401349076</c:v>
              </c:pt>
              <c:pt idx="69">
                <c:v>15931.932054989626</c:v>
              </c:pt>
              <c:pt idx="70">
                <c:v>17116.560781118362</c:v>
              </c:pt>
              <c:pt idx="71">
                <c:v>19383.523055437112</c:v>
              </c:pt>
              <c:pt idx="72">
                <c:v>20487.606222034326</c:v>
              </c:pt>
              <c:pt idx="73">
                <c:v>18567.095648095808</c:v>
              </c:pt>
              <c:pt idx="74">
                <c:v>19508.079406599751</c:v>
              </c:pt>
              <c:pt idx="75">
                <c:v>19139.667059402866</c:v>
              </c:pt>
              <c:pt idx="76">
                <c:v>21534.879377858513</c:v>
              </c:pt>
              <c:pt idx="77">
                <c:v>24319.445083078932</c:v>
              </c:pt>
            </c:numLit>
          </c:yVal>
          <c:smooth val="0"/>
          <c:extLst>
            <c:ext xmlns:c16="http://schemas.microsoft.com/office/drawing/2014/chart" uri="{C3380CC4-5D6E-409C-BE32-E72D297353CC}">
              <c16:uniqueId val="{00000001-5D49-4B26-B500-26B2D5345595}"/>
            </c:ext>
          </c:extLst>
        </c:ser>
        <c:ser>
          <c:idx val="2"/>
          <c:order val="2"/>
          <c:tx>
            <c:v>Forecast</c:v>
          </c:tx>
          <c:spPr>
            <a:ln w="25400">
              <a:noFill/>
            </a:ln>
          </c:spPr>
          <c:marker>
            <c:symbol val="circle"/>
            <c:size val="7"/>
            <c:spPr>
              <a:solidFill>
                <a:srgbClr val="FF9999"/>
              </a:solidFill>
              <a:ln w="12700">
                <a:solidFill>
                  <a:srgbClr val="FF0000"/>
                </a:solidFill>
                <a:prstDash val="solid"/>
              </a:ln>
            </c:spPr>
          </c:marker>
          <c:errBars>
            <c:errDir val="y"/>
            <c:errBarType val="both"/>
            <c:errValType val="cust"/>
            <c:noEndCap val="0"/>
            <c:plus>
              <c:numRef>
                <c:f>'Elec HDD model with dummies'!$CG$49</c:f>
              </c:numRef>
            </c:plus>
            <c:minus>
              <c:numRef>
                <c:f>'Elec HDD model with dummies'!$CG$49</c:f>
              </c:numRef>
            </c:minus>
          </c:errBars>
          <c:xVal>
            <c:numRef>
              <c:f>'Elec HDD model with dummies'!$A$49:$A$49</c:f>
            </c:numRef>
          </c:xVal>
          <c:yVal>
            <c:numRef>
              <c:f>'Elec HDD model with dummies'!$B$49:$B$49</c:f>
            </c:numRef>
          </c:yVal>
          <c:smooth val="0"/>
          <c:extLst>
            <c:ext xmlns:c16="http://schemas.microsoft.com/office/drawing/2014/chart" uri="{C3380CC4-5D6E-409C-BE32-E72D297353CC}">
              <c16:uniqueId val="{00000002-5D49-4B26-B500-26B2D5345595}"/>
            </c:ext>
          </c:extLst>
        </c:ser>
        <c:dLbls>
          <c:showLegendKey val="0"/>
          <c:showVal val="0"/>
          <c:showCatName val="0"/>
          <c:showSerName val="0"/>
          <c:showPercent val="0"/>
          <c:showBubbleSize val="0"/>
        </c:dLbls>
        <c:axId val="105285888"/>
        <c:axId val="105308544"/>
      </c:scatterChart>
      <c:valAx>
        <c:axId val="105285888"/>
        <c:scaling>
          <c:orientation val="minMax"/>
        </c:scaling>
        <c:delete val="0"/>
        <c:axPos val="b"/>
        <c:title>
          <c:tx>
            <c:rich>
              <a:bodyPr/>
              <a:lstStyle/>
              <a:p>
                <a:pPr>
                  <a:defRPr/>
                </a:pPr>
                <a:r>
                  <a:rPr lang="en-US"/>
                  <a:t>Observation #</a:t>
                </a:r>
              </a:p>
            </c:rich>
          </c:tx>
          <c:overlay val="0"/>
        </c:title>
        <c:numFmt formatCode="0" sourceLinked="0"/>
        <c:majorTickMark val="out"/>
        <c:minorTickMark val="none"/>
        <c:tickLblPos val="nextTo"/>
        <c:crossAx val="105308544"/>
        <c:crossesAt val="-5000"/>
        <c:crossBetween val="midCat"/>
      </c:valAx>
      <c:valAx>
        <c:axId val="105308544"/>
        <c:scaling>
          <c:orientation val="minMax"/>
        </c:scaling>
        <c:delete val="0"/>
        <c:axPos val="l"/>
        <c:majorGridlines>
          <c:spPr>
            <a:ln w="3175">
              <a:solidFill>
                <a:srgbClr val="C0C0C0"/>
              </a:solidFill>
              <a:prstDash val="solid"/>
            </a:ln>
          </c:spPr>
        </c:majorGridlines>
        <c:title>
          <c:tx>
            <c:rich>
              <a:bodyPr/>
              <a:lstStyle/>
              <a:p>
                <a:pPr>
                  <a:defRPr/>
                </a:pPr>
                <a:r>
                  <a:rPr lang="en-US"/>
                  <a:t>_Electric_Natural_Gas</a:t>
                </a:r>
              </a:p>
            </c:rich>
          </c:tx>
          <c:layout>
            <c:manualLayout>
              <c:xMode val="edge"/>
              <c:yMode val="edge"/>
              <c:x val="2.8097062579821201E-2"/>
              <c:y val="0.2660618256051327"/>
            </c:manualLayout>
          </c:layout>
          <c:overlay val="0"/>
        </c:title>
        <c:numFmt formatCode="General" sourceLinked="1"/>
        <c:majorTickMark val="out"/>
        <c:minorTickMark val="none"/>
        <c:tickLblPos val="nextTo"/>
        <c:crossAx val="105285888"/>
        <c:crossesAt val="0"/>
        <c:crossBetween val="midCat"/>
      </c:valAx>
      <c:spPr>
        <a:ln w="6350">
          <a:solidFill>
            <a:srgbClr val="808080"/>
          </a:solidFill>
          <a:prstDash val="solid"/>
        </a:ln>
      </c:spPr>
    </c:plotArea>
    <c:legend>
      <c:legendPos val="r"/>
      <c:overlay val="0"/>
    </c:legend>
    <c:plotVisOnly val="1"/>
    <c:dispBlanksAs val="gap"/>
    <c:showDLblsOverMax val="0"/>
  </c:chart>
  <c:spPr>
    <a:solidFill>
      <a:srgbClr val="F3F3F3"/>
    </a:solidFill>
    <a:ln w="6350">
      <a:solidFill>
        <a:srgbClr val="808080"/>
      </a:solidFill>
      <a:prstDash val="solid"/>
    </a:ln>
  </c:spPr>
  <c:txPr>
    <a:bodyPr/>
    <a:lstStyle/>
    <a:p>
      <a:pPr>
        <a:defRPr sz="1000">
          <a:latin typeface="+mn-lt"/>
          <a:ea typeface="+mn-lt"/>
          <a:cs typeface="+mn-lt"/>
        </a:defRPr>
      </a:pPr>
      <a:endParaRPr lang="en-U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Residual -vs- Observation #
</a:t>
            </a:r>
            <a:r>
              <a:rPr lang="en-US" sz="1000"/>
              <a:t>Elec HDD model with dummies for _Electric_Natural_Gas
(14 variables, n=78)</a:t>
            </a:r>
          </a:p>
        </c:rich>
      </c:tx>
      <c:overlay val="0"/>
    </c:title>
    <c:autoTitleDeleted val="0"/>
    <c:plotArea>
      <c:layout/>
      <c:barChart>
        <c:barDir val="col"/>
        <c:grouping val="clustered"/>
        <c:varyColors val="0"/>
        <c:ser>
          <c:idx val="0"/>
          <c:order val="0"/>
          <c:tx>
            <c:v>Actual</c:v>
          </c:tx>
          <c:spPr>
            <a:solidFill>
              <a:srgbClr val="9999FF"/>
            </a:solidFill>
            <a:ln w="9525" cap="flat" cmpd="sng" algn="ctr">
              <a:solidFill>
                <a:srgbClr val="0000FF"/>
              </a:solidFill>
              <a:prstDash val="solid"/>
              <a:round/>
              <a:headEnd type="none" w="med" len="med"/>
              <a:tailEnd type="none" w="med" len="med"/>
            </a:ln>
            <a:effectLst/>
          </c:spPr>
          <c:invertIfNegative val="0"/>
          <c:cat>
            <c:numLit>
              <c:formatCode>General</c:formatCode>
              <c:ptCount val="7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numLit>
          </c:cat>
          <c:val>
            <c:numLit>
              <c:formatCode>General</c:formatCode>
              <c:ptCount val="78"/>
              <c:pt idx="0">
                <c:v>235.8211161639374</c:v>
              </c:pt>
              <c:pt idx="1">
                <c:v>2094.7770259242025</c:v>
              </c:pt>
              <c:pt idx="2">
                <c:v>2020.5887576634996</c:v>
              </c:pt>
              <c:pt idx="3">
                <c:v>1031.4214285786584</c:v>
              </c:pt>
              <c:pt idx="4">
                <c:v>-937.02242678388211</c:v>
              </c:pt>
              <c:pt idx="5">
                <c:v>-919.70278278125625</c:v>
              </c:pt>
              <c:pt idx="6">
                <c:v>-2233.612244463231</c:v>
              </c:pt>
              <c:pt idx="7">
                <c:v>1487.6851094656922</c:v>
              </c:pt>
              <c:pt idx="8">
                <c:v>2969.5464818428627</c:v>
              </c:pt>
              <c:pt idx="9">
                <c:v>913.79256183418329</c:v>
              </c:pt>
              <c:pt idx="10">
                <c:v>1054.6374094504972</c:v>
              </c:pt>
              <c:pt idx="11">
                <c:v>-1385.9934764904319</c:v>
              </c:pt>
              <c:pt idx="12">
                <c:v>-23.30051101637946</c:v>
              </c:pt>
              <c:pt idx="13">
                <c:v>217.88388873833173</c:v>
              </c:pt>
              <c:pt idx="14">
                <c:v>-1216.9170004225234</c:v>
              </c:pt>
              <c:pt idx="15">
                <c:v>-180.32931787396956</c:v>
              </c:pt>
              <c:pt idx="16">
                <c:v>-12.745641690009506</c:v>
              </c:pt>
              <c:pt idx="17">
                <c:v>2399.0087816705818</c:v>
              </c:pt>
              <c:pt idx="18">
                <c:v>1314.0993199886034</c:v>
              </c:pt>
              <c:pt idx="19">
                <c:v>697.39667391752664</c:v>
              </c:pt>
              <c:pt idx="20">
                <c:v>-1450.0541459597771</c:v>
              </c:pt>
              <c:pt idx="21">
                <c:v>1323.9633646378134</c:v>
              </c:pt>
              <c:pt idx="22">
                <c:v>-168.59646991042973</c:v>
              </c:pt>
              <c:pt idx="23">
                <c:v>-365.97917684581262</c:v>
              </c:pt>
              <c:pt idx="24">
                <c:v>-3073.9525792589666</c:v>
              </c:pt>
              <c:pt idx="25">
                <c:v>-2622.7130381976094</c:v>
              </c:pt>
              <c:pt idx="26">
                <c:v>-2492.4454404902899</c:v>
              </c:pt>
              <c:pt idx="27">
                <c:v>-2791.7177014081426</c:v>
              </c:pt>
              <c:pt idx="28">
                <c:v>-864.77193383148187</c:v>
              </c:pt>
              <c:pt idx="29">
                <c:v>-1123.2796538775765</c:v>
              </c:pt>
              <c:pt idx="30">
                <c:v>207.81088444044508</c:v>
              </c:pt>
              <c:pt idx="31">
                <c:v>-1927.8917616306317</c:v>
              </c:pt>
              <c:pt idx="32">
                <c:v>-3304.4002260408342</c:v>
              </c:pt>
              <c:pt idx="33">
                <c:v>-507.80663276708947</c:v>
              </c:pt>
              <c:pt idx="34">
                <c:v>471.84873550103293</c:v>
              </c:pt>
              <c:pt idx="35">
                <c:v>-1322.6253100312861</c:v>
              </c:pt>
              <c:pt idx="36">
                <c:v>-1045.0092889137777</c:v>
              </c:pt>
              <c:pt idx="37">
                <c:v>3632.8975905487132</c:v>
              </c:pt>
              <c:pt idx="38">
                <c:v>1071.5371602804698</c:v>
              </c:pt>
              <c:pt idx="39">
                <c:v>1006.2589702969526</c:v>
              </c:pt>
              <c:pt idx="40">
                <c:v>1018.933724137325</c:v>
              </c:pt>
              <c:pt idx="41">
                <c:v>-1571.5797764344497</c:v>
              </c:pt>
              <c:pt idx="42">
                <c:v>3609.5224488922868</c:v>
              </c:pt>
              <c:pt idx="43">
                <c:v>887.81980282121003</c:v>
              </c:pt>
              <c:pt idx="44">
                <c:v>437.43363317351395</c:v>
              </c:pt>
              <c:pt idx="45">
                <c:v>-673.29253707244425</c:v>
              </c:pt>
              <c:pt idx="46">
                <c:v>-2918.5878431602869</c:v>
              </c:pt>
              <c:pt idx="47">
                <c:v>-1471.2056021165517</c:v>
              </c:pt>
              <c:pt idx="48">
                <c:v>1661.3001497140976</c:v>
              </c:pt>
              <c:pt idx="49">
                <c:v>2022.1331670395848</c:v>
              </c:pt>
              <c:pt idx="50">
                <c:v>2642.9268781587853</c:v>
              </c:pt>
              <c:pt idx="51">
                <c:v>1493.5128933492633</c:v>
              </c:pt>
              <c:pt idx="52">
                <c:v>292.25240061219301</c:v>
              </c:pt>
              <c:pt idx="53">
                <c:v>-698.85652497390038</c:v>
              </c:pt>
              <c:pt idx="54">
                <c:v>-533.76598665587881</c:v>
              </c:pt>
              <c:pt idx="55">
                <c:v>440.74724370353579</c:v>
              </c:pt>
              <c:pt idx="56">
                <c:v>1596.0796583358569</c:v>
              </c:pt>
              <c:pt idx="57">
                <c:v>2257.2752983552891</c:v>
              </c:pt>
              <c:pt idx="58">
                <c:v>1697.2589492334191</c:v>
              </c:pt>
              <c:pt idx="59">
                <c:v>2735.3266209182802</c:v>
              </c:pt>
              <c:pt idx="60">
                <c:v>740.74733534206098</c:v>
              </c:pt>
              <c:pt idx="61">
                <c:v>-6883.8829859618963</c:v>
              </c:pt>
              <c:pt idx="62">
                <c:v>-1711.610948594167</c:v>
              </c:pt>
              <c:pt idx="63">
                <c:v>-659.47921354171194</c:v>
              </c:pt>
              <c:pt idx="64">
                <c:v>-1835.7667445899751</c:v>
              </c:pt>
              <c:pt idx="65">
                <c:v>-234.14496052205868</c:v>
              </c:pt>
              <c:pt idx="66">
                <c:v>-2364.0544222040371</c:v>
              </c:pt>
              <c:pt idx="67">
                <c:v>-1585.7570682751139</c:v>
              </c:pt>
              <c:pt idx="68">
                <c:v>-248.60540134907569</c:v>
              </c:pt>
              <c:pt idx="69">
                <c:v>-3313.9320549896256</c:v>
              </c:pt>
              <c:pt idx="70">
                <c:v>-136.56078111836177</c:v>
              </c:pt>
              <c:pt idx="71">
                <c:v>1810.4769445628881</c:v>
              </c:pt>
              <c:pt idx="72">
                <c:v>1504.3937779656735</c:v>
              </c:pt>
              <c:pt idx="73">
                <c:v>1538.9043519041916</c:v>
              </c:pt>
              <c:pt idx="74">
                <c:v>-314.07940659975066</c:v>
              </c:pt>
              <c:pt idx="75">
                <c:v>100.33294059713444</c:v>
              </c:pt>
              <c:pt idx="76">
                <c:v>2339.1206221414868</c:v>
              </c:pt>
              <c:pt idx="77">
                <c:v>2148.5549169210681</c:v>
              </c:pt>
            </c:numLit>
          </c:val>
          <c:extLst>
            <c:ext xmlns:c16="http://schemas.microsoft.com/office/drawing/2014/chart" uri="{C3380CC4-5D6E-409C-BE32-E72D297353CC}">
              <c16:uniqueId val="{00000000-FAA3-4DA8-ACE5-C03277399FAB}"/>
            </c:ext>
          </c:extLst>
        </c:ser>
        <c:dLbls>
          <c:showLegendKey val="0"/>
          <c:showVal val="0"/>
          <c:showCatName val="0"/>
          <c:showSerName val="0"/>
          <c:showPercent val="0"/>
          <c:showBubbleSize val="0"/>
        </c:dLbls>
        <c:gapWidth val="25"/>
        <c:axId val="105390848"/>
        <c:axId val="105392768"/>
      </c:barChart>
      <c:catAx>
        <c:axId val="105390848"/>
        <c:scaling>
          <c:orientation val="minMax"/>
        </c:scaling>
        <c:delete val="0"/>
        <c:axPos val="b"/>
        <c:title>
          <c:tx>
            <c:rich>
              <a:bodyPr/>
              <a:lstStyle/>
              <a:p>
                <a:pPr>
                  <a:defRPr/>
                </a:pPr>
                <a:r>
                  <a:rPr lang="en-US"/>
                  <a:t>Observation #
</a:t>
                </a:r>
                <a:r>
                  <a:rPr lang="en-US" sz="750"/>
                  <a:t>Lag 1 autocorrelation = 0.38,   Durbin-Watson statistic = 1.22</a:t>
                </a:r>
              </a:p>
            </c:rich>
          </c:tx>
          <c:overlay val="0"/>
        </c:title>
        <c:numFmt formatCode="General" sourceLinked="1"/>
        <c:majorTickMark val="none"/>
        <c:minorTickMark val="none"/>
        <c:tickLblPos val="low"/>
        <c:txPr>
          <a:bodyPr rot="-5400000" vert="horz"/>
          <a:lstStyle/>
          <a:p>
            <a:pPr>
              <a:defRPr/>
            </a:pPr>
            <a:endParaRPr lang="en-US"/>
          </a:p>
        </c:txPr>
        <c:crossAx val="105392768"/>
        <c:crossesAt val="0"/>
        <c:auto val="1"/>
        <c:lblAlgn val="ctr"/>
        <c:lblOffset val="100"/>
        <c:noMultiLvlLbl val="0"/>
      </c:catAx>
      <c:valAx>
        <c:axId val="105392768"/>
        <c:scaling>
          <c:orientation val="minMax"/>
        </c:scaling>
        <c:delete val="0"/>
        <c:axPos val="l"/>
        <c:majorGridlines>
          <c:spPr>
            <a:ln w="3175">
              <a:solidFill>
                <a:srgbClr val="C0C0C0"/>
              </a:solidFill>
              <a:prstDash val="solid"/>
            </a:ln>
          </c:spPr>
        </c:majorGridlines>
        <c:title>
          <c:tx>
            <c:rich>
              <a:bodyPr/>
              <a:lstStyle/>
              <a:p>
                <a:pPr>
                  <a:defRPr/>
                </a:pPr>
                <a:r>
                  <a:rPr lang="en-US"/>
                  <a:t>Residual</a:t>
                </a:r>
              </a:p>
            </c:rich>
          </c:tx>
          <c:overlay val="0"/>
        </c:title>
        <c:numFmt formatCode="General" sourceLinked="1"/>
        <c:majorTickMark val="out"/>
        <c:minorTickMark val="none"/>
        <c:tickLblPos val="nextTo"/>
        <c:crossAx val="105390848"/>
        <c:crosses val="autoZero"/>
        <c:crossBetween val="between"/>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Residual -vs- Predicted
</a:t>
            </a:r>
            <a:r>
              <a:rPr lang="en-US" sz="1000"/>
              <a:t>Elec HDD model with dummies for _Electric_Natural_Gas
(14 variables, n=78)</a:t>
            </a:r>
          </a:p>
        </c:rich>
      </c:tx>
      <c:overlay val="0"/>
    </c:title>
    <c:autoTitleDeleted val="0"/>
    <c:plotArea>
      <c:layout/>
      <c:scatterChart>
        <c:scatterStyle val="lineMarker"/>
        <c:varyColors val="0"/>
        <c:ser>
          <c:idx val="0"/>
          <c:order val="0"/>
          <c:tx>
            <c:v>Actual</c:v>
          </c:tx>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78"/>
              <c:pt idx="0">
                <c:v>1562.1788838360626</c:v>
              </c:pt>
              <c:pt idx="1">
                <c:v>-182.77702592420246</c:v>
              </c:pt>
              <c:pt idx="2">
                <c:v>653.41124233650044</c:v>
              </c:pt>
              <c:pt idx="3">
                <c:v>282.57857142134162</c:v>
              </c:pt>
              <c:pt idx="4">
                <c:v>2698.0224267838821</c:v>
              </c:pt>
              <c:pt idx="5">
                <c:v>5400.7027827812562</c:v>
              </c:pt>
              <c:pt idx="6">
                <c:v>7536.612244463231</c:v>
              </c:pt>
              <c:pt idx="7">
                <c:v>6449.3148905343078</c:v>
              </c:pt>
              <c:pt idx="8">
                <c:v>4133.4535181571373</c:v>
              </c:pt>
              <c:pt idx="9">
                <c:v>345.20743816581671</c:v>
              </c:pt>
              <c:pt idx="10">
                <c:v>1186.3625905495028</c:v>
              </c:pt>
              <c:pt idx="11">
                <c:v>3518.9934764904319</c:v>
              </c:pt>
              <c:pt idx="12">
                <c:v>4618.3005110163795</c:v>
              </c:pt>
              <c:pt idx="13">
                <c:v>2878.1161112616683</c:v>
              </c:pt>
              <c:pt idx="14">
                <c:v>3771.9170004225234</c:v>
              </c:pt>
              <c:pt idx="15">
                <c:v>3278.3293178739696</c:v>
              </c:pt>
              <c:pt idx="16">
                <c:v>5799.7456416900095</c:v>
              </c:pt>
              <c:pt idx="17">
                <c:v>8552.9912183294182</c:v>
              </c:pt>
              <c:pt idx="18">
                <c:v>10688.900680011397</c:v>
              </c:pt>
              <c:pt idx="19">
                <c:v>9601.6033260824734</c:v>
              </c:pt>
              <c:pt idx="20">
                <c:v>7253.0541459597771</c:v>
              </c:pt>
              <c:pt idx="21">
                <c:v>3297.0366353621866</c:v>
              </c:pt>
              <c:pt idx="22">
                <c:v>4418.5964699104297</c:v>
              </c:pt>
              <c:pt idx="23">
                <c:v>6378.9791768458126</c:v>
              </c:pt>
              <c:pt idx="24">
                <c:v>7754.9525792589666</c:v>
              </c:pt>
              <c:pt idx="25">
                <c:v>6095.7130381976094</c:v>
              </c:pt>
              <c:pt idx="26">
                <c:v>6937.4454404902899</c:v>
              </c:pt>
              <c:pt idx="27">
                <c:v>6482.7177014081426</c:v>
              </c:pt>
              <c:pt idx="28">
                <c:v>9012.7719338314819</c:v>
              </c:pt>
              <c:pt idx="29">
                <c:v>11705.279653877576</c:v>
              </c:pt>
              <c:pt idx="30">
                <c:v>13841.189115559555</c:v>
              </c:pt>
              <c:pt idx="31">
                <c:v>12753.891761630632</c:v>
              </c:pt>
              <c:pt idx="32">
                <c:v>10461.400226040834</c:v>
              </c:pt>
              <c:pt idx="33">
                <c:v>6690.8066327670895</c:v>
              </c:pt>
              <c:pt idx="34">
                <c:v>7497.1512644989671</c:v>
              </c:pt>
              <c:pt idx="35">
                <c:v>9916.6253100312861</c:v>
              </c:pt>
              <c:pt idx="36">
                <c:v>11141.009288913778</c:v>
              </c:pt>
              <c:pt idx="37">
                <c:v>9265.1024094512868</c:v>
              </c:pt>
              <c:pt idx="38">
                <c:v>9645.4628397195302</c:v>
              </c:pt>
              <c:pt idx="39">
                <c:v>9771.7410297030474</c:v>
              </c:pt>
              <c:pt idx="40">
                <c:v>12058.066275862675</c:v>
              </c:pt>
              <c:pt idx="41">
                <c:v>14862.57977643445</c:v>
              </c:pt>
              <c:pt idx="42">
                <c:v>16993.477551107713</c:v>
              </c:pt>
              <c:pt idx="43">
                <c:v>15906.18019717879</c:v>
              </c:pt>
              <c:pt idx="44">
                <c:v>13594.566366826486</c:v>
              </c:pt>
              <c:pt idx="45">
                <c:v>9780.2925370724442</c:v>
              </c:pt>
              <c:pt idx="46">
                <c:v>10803.587843160287</c:v>
              </c:pt>
              <c:pt idx="47">
                <c:v>13060.205602116552</c:v>
              </c:pt>
              <c:pt idx="48">
                <c:v>14289.699850285902</c:v>
              </c:pt>
              <c:pt idx="49">
                <c:v>12419.866832960415</c:v>
              </c:pt>
              <c:pt idx="50">
                <c:v>13325.073121841215</c:v>
              </c:pt>
              <c:pt idx="51">
                <c:v>12915.487106650737</c:v>
              </c:pt>
              <c:pt idx="52">
                <c:v>15465.747599387807</c:v>
              </c:pt>
              <c:pt idx="53">
                <c:v>18009.8565249739</c:v>
              </c:pt>
              <c:pt idx="54">
                <c:v>20145.765986655879</c:v>
              </c:pt>
              <c:pt idx="55">
                <c:v>19063.252756296464</c:v>
              </c:pt>
              <c:pt idx="56">
                <c:v>16739.920341664143</c:v>
              </c:pt>
              <c:pt idx="57">
                <c:v>12830.724701644711</c:v>
              </c:pt>
              <c:pt idx="58">
                <c:v>13954.741050766581</c:v>
              </c:pt>
              <c:pt idx="59">
                <c:v>16233.67337908172</c:v>
              </c:pt>
              <c:pt idx="60">
                <c:v>17123.252664657939</c:v>
              </c:pt>
              <c:pt idx="61">
                <c:v>15580.882985961896</c:v>
              </c:pt>
              <c:pt idx="62">
                <c:v>16478.610948594167</c:v>
              </c:pt>
              <c:pt idx="63">
                <c:v>16030.479213541712</c:v>
              </c:pt>
              <c:pt idx="64">
                <c:v>18427.766744589975</c:v>
              </c:pt>
              <c:pt idx="65">
                <c:v>21162.144960522059</c:v>
              </c:pt>
              <c:pt idx="66">
                <c:v>23298.054422204037</c:v>
              </c:pt>
              <c:pt idx="67">
                <c:v>22210.757068275114</c:v>
              </c:pt>
              <c:pt idx="68">
                <c:v>19903.605401349076</c:v>
              </c:pt>
              <c:pt idx="69">
                <c:v>15931.932054989626</c:v>
              </c:pt>
              <c:pt idx="70">
                <c:v>17116.560781118362</c:v>
              </c:pt>
              <c:pt idx="71">
                <c:v>19383.523055437112</c:v>
              </c:pt>
              <c:pt idx="72">
                <c:v>20487.606222034326</c:v>
              </c:pt>
              <c:pt idx="73">
                <c:v>18567.095648095808</c:v>
              </c:pt>
              <c:pt idx="74">
                <c:v>19508.079406599751</c:v>
              </c:pt>
              <c:pt idx="75">
                <c:v>19139.667059402866</c:v>
              </c:pt>
              <c:pt idx="76">
                <c:v>21534.879377858513</c:v>
              </c:pt>
              <c:pt idx="77">
                <c:v>24319.445083078932</c:v>
              </c:pt>
            </c:numLit>
          </c:xVal>
          <c:yVal>
            <c:numLit>
              <c:formatCode>General</c:formatCode>
              <c:ptCount val="78"/>
              <c:pt idx="0">
                <c:v>235.8211161639374</c:v>
              </c:pt>
              <c:pt idx="1">
                <c:v>2094.7770259242025</c:v>
              </c:pt>
              <c:pt idx="2">
                <c:v>2020.5887576634996</c:v>
              </c:pt>
              <c:pt idx="3">
                <c:v>1031.4214285786584</c:v>
              </c:pt>
              <c:pt idx="4">
                <c:v>-937.02242678388211</c:v>
              </c:pt>
              <c:pt idx="5">
                <c:v>-919.70278278125625</c:v>
              </c:pt>
              <c:pt idx="6">
                <c:v>-2233.612244463231</c:v>
              </c:pt>
              <c:pt idx="7">
                <c:v>1487.6851094656922</c:v>
              </c:pt>
              <c:pt idx="8">
                <c:v>2969.5464818428627</c:v>
              </c:pt>
              <c:pt idx="9">
                <c:v>913.79256183418329</c:v>
              </c:pt>
              <c:pt idx="10">
                <c:v>1054.6374094504972</c:v>
              </c:pt>
              <c:pt idx="11">
                <c:v>-1385.9934764904319</c:v>
              </c:pt>
              <c:pt idx="12">
                <c:v>-23.30051101637946</c:v>
              </c:pt>
              <c:pt idx="13">
                <c:v>217.88388873833173</c:v>
              </c:pt>
              <c:pt idx="14">
                <c:v>-1216.9170004225234</c:v>
              </c:pt>
              <c:pt idx="15">
                <c:v>-180.32931787396956</c:v>
              </c:pt>
              <c:pt idx="16">
                <c:v>-12.745641690009506</c:v>
              </c:pt>
              <c:pt idx="17">
                <c:v>2399.0087816705818</c:v>
              </c:pt>
              <c:pt idx="18">
                <c:v>1314.0993199886034</c:v>
              </c:pt>
              <c:pt idx="19">
                <c:v>697.39667391752664</c:v>
              </c:pt>
              <c:pt idx="20">
                <c:v>-1450.0541459597771</c:v>
              </c:pt>
              <c:pt idx="21">
                <c:v>1323.9633646378134</c:v>
              </c:pt>
              <c:pt idx="22">
                <c:v>-168.59646991042973</c:v>
              </c:pt>
              <c:pt idx="23">
                <c:v>-365.97917684581262</c:v>
              </c:pt>
              <c:pt idx="24">
                <c:v>-3073.9525792589666</c:v>
              </c:pt>
              <c:pt idx="25">
                <c:v>-2622.7130381976094</c:v>
              </c:pt>
              <c:pt idx="26">
                <c:v>-2492.4454404902899</c:v>
              </c:pt>
              <c:pt idx="27">
                <c:v>-2791.7177014081426</c:v>
              </c:pt>
              <c:pt idx="28">
                <c:v>-864.77193383148187</c:v>
              </c:pt>
              <c:pt idx="29">
                <c:v>-1123.2796538775765</c:v>
              </c:pt>
              <c:pt idx="30">
                <c:v>207.81088444044508</c:v>
              </c:pt>
              <c:pt idx="31">
                <c:v>-1927.8917616306317</c:v>
              </c:pt>
              <c:pt idx="32">
                <c:v>-3304.4002260408342</c:v>
              </c:pt>
              <c:pt idx="33">
                <c:v>-507.80663276708947</c:v>
              </c:pt>
              <c:pt idx="34">
                <c:v>471.84873550103293</c:v>
              </c:pt>
              <c:pt idx="35">
                <c:v>-1322.6253100312861</c:v>
              </c:pt>
              <c:pt idx="36">
                <c:v>-1045.0092889137777</c:v>
              </c:pt>
              <c:pt idx="37">
                <c:v>3632.8975905487132</c:v>
              </c:pt>
              <c:pt idx="38">
                <c:v>1071.5371602804698</c:v>
              </c:pt>
              <c:pt idx="39">
                <c:v>1006.2589702969526</c:v>
              </c:pt>
              <c:pt idx="40">
                <c:v>1018.933724137325</c:v>
              </c:pt>
              <c:pt idx="41">
                <c:v>-1571.5797764344497</c:v>
              </c:pt>
              <c:pt idx="42">
                <c:v>3609.5224488922868</c:v>
              </c:pt>
              <c:pt idx="43">
                <c:v>887.81980282121003</c:v>
              </c:pt>
              <c:pt idx="44">
                <c:v>437.43363317351395</c:v>
              </c:pt>
              <c:pt idx="45">
                <c:v>-673.29253707244425</c:v>
              </c:pt>
              <c:pt idx="46">
                <c:v>-2918.5878431602869</c:v>
              </c:pt>
              <c:pt idx="47">
                <c:v>-1471.2056021165517</c:v>
              </c:pt>
              <c:pt idx="48">
                <c:v>1661.3001497140976</c:v>
              </c:pt>
              <c:pt idx="49">
                <c:v>2022.1331670395848</c:v>
              </c:pt>
              <c:pt idx="50">
                <c:v>2642.9268781587853</c:v>
              </c:pt>
              <c:pt idx="51">
                <c:v>1493.5128933492633</c:v>
              </c:pt>
              <c:pt idx="52">
                <c:v>292.25240061219301</c:v>
              </c:pt>
              <c:pt idx="53">
                <c:v>-698.85652497390038</c:v>
              </c:pt>
              <c:pt idx="54">
                <c:v>-533.76598665587881</c:v>
              </c:pt>
              <c:pt idx="55">
                <c:v>440.74724370353579</c:v>
              </c:pt>
              <c:pt idx="56">
                <c:v>1596.0796583358569</c:v>
              </c:pt>
              <c:pt idx="57">
                <c:v>2257.2752983552891</c:v>
              </c:pt>
              <c:pt idx="58">
                <c:v>1697.2589492334191</c:v>
              </c:pt>
              <c:pt idx="59">
                <c:v>2735.3266209182802</c:v>
              </c:pt>
              <c:pt idx="60">
                <c:v>740.74733534206098</c:v>
              </c:pt>
              <c:pt idx="61">
                <c:v>-6883.8829859618963</c:v>
              </c:pt>
              <c:pt idx="62">
                <c:v>-1711.610948594167</c:v>
              </c:pt>
              <c:pt idx="63">
                <c:v>-659.47921354171194</c:v>
              </c:pt>
              <c:pt idx="64">
                <c:v>-1835.7667445899751</c:v>
              </c:pt>
              <c:pt idx="65">
                <c:v>-234.14496052205868</c:v>
              </c:pt>
              <c:pt idx="66">
                <c:v>-2364.0544222040371</c:v>
              </c:pt>
              <c:pt idx="67">
                <c:v>-1585.7570682751139</c:v>
              </c:pt>
              <c:pt idx="68">
                <c:v>-248.60540134907569</c:v>
              </c:pt>
              <c:pt idx="69">
                <c:v>-3313.9320549896256</c:v>
              </c:pt>
              <c:pt idx="70">
                <c:v>-136.56078111836177</c:v>
              </c:pt>
              <c:pt idx="71">
                <c:v>1810.4769445628881</c:v>
              </c:pt>
              <c:pt idx="72">
                <c:v>1504.3937779656735</c:v>
              </c:pt>
              <c:pt idx="73">
                <c:v>1538.9043519041916</c:v>
              </c:pt>
              <c:pt idx="74">
                <c:v>-314.07940659975066</c:v>
              </c:pt>
              <c:pt idx="75">
                <c:v>100.33294059713444</c:v>
              </c:pt>
              <c:pt idx="76">
                <c:v>2339.1206221414868</c:v>
              </c:pt>
              <c:pt idx="77">
                <c:v>2148.5549169210681</c:v>
              </c:pt>
            </c:numLit>
          </c:yVal>
          <c:smooth val="0"/>
          <c:extLst>
            <c:ext xmlns:c16="http://schemas.microsoft.com/office/drawing/2014/chart" uri="{C3380CC4-5D6E-409C-BE32-E72D297353CC}">
              <c16:uniqueId val="{00000000-98CC-4B03-A8F6-5F964417E086}"/>
            </c:ext>
          </c:extLst>
        </c:ser>
        <c:dLbls>
          <c:showLegendKey val="0"/>
          <c:showVal val="0"/>
          <c:showCatName val="0"/>
          <c:showSerName val="0"/>
          <c:showPercent val="0"/>
          <c:showBubbleSize val="0"/>
        </c:dLbls>
        <c:axId val="105429248"/>
        <c:axId val="105431808"/>
      </c:scatterChart>
      <c:valAx>
        <c:axId val="105429248"/>
        <c:scaling>
          <c:orientation val="minMax"/>
        </c:scaling>
        <c:delete val="0"/>
        <c:axPos val="b"/>
        <c:title>
          <c:tx>
            <c:rich>
              <a:bodyPr/>
              <a:lstStyle/>
              <a:p>
                <a:pPr>
                  <a:defRPr/>
                </a:pPr>
                <a:r>
                  <a:rPr lang="en-US"/>
                  <a:t>Predicted</a:t>
                </a:r>
              </a:p>
            </c:rich>
          </c:tx>
          <c:overlay val="0"/>
        </c:title>
        <c:numFmt formatCode="General" sourceLinked="1"/>
        <c:majorTickMark val="out"/>
        <c:minorTickMark val="none"/>
        <c:tickLblPos val="nextTo"/>
        <c:crossAx val="105431808"/>
        <c:crossesAt val="-8000"/>
        <c:crossBetween val="midCat"/>
      </c:valAx>
      <c:valAx>
        <c:axId val="105431808"/>
        <c:scaling>
          <c:orientation val="minMax"/>
        </c:scaling>
        <c:delete val="0"/>
        <c:axPos val="l"/>
        <c:majorGridlines>
          <c:spPr>
            <a:ln w="3175">
              <a:solidFill>
                <a:srgbClr val="C0C0C0"/>
              </a:solidFill>
              <a:prstDash val="solid"/>
            </a:ln>
          </c:spPr>
        </c:majorGridlines>
        <c:title>
          <c:tx>
            <c:rich>
              <a:bodyPr/>
              <a:lstStyle/>
              <a:p>
                <a:pPr>
                  <a:defRPr/>
                </a:pPr>
                <a:r>
                  <a:rPr lang="en-US"/>
                  <a:t>Residual</a:t>
                </a:r>
              </a:p>
            </c:rich>
          </c:tx>
          <c:overlay val="0"/>
        </c:title>
        <c:numFmt formatCode="General" sourceLinked="1"/>
        <c:majorTickMark val="out"/>
        <c:minorTickMark val="none"/>
        <c:tickLblPos val="nextTo"/>
        <c:crossAx val="105429248"/>
        <c:crossesAt val="-5000"/>
        <c:crossBetween val="midCat"/>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Histogram of Residuals
</a:t>
            </a:r>
            <a:r>
              <a:rPr lang="en-US" sz="1000"/>
              <a:t>Elec HDD model with dummies for _Electric_Natural_Gas
(14 variables, n=78)</a:t>
            </a:r>
          </a:p>
        </c:rich>
      </c:tx>
      <c:overlay val="0"/>
    </c:title>
    <c:autoTitleDeleted val="0"/>
    <c:plotArea>
      <c:layout/>
      <c:barChart>
        <c:barDir val="col"/>
        <c:grouping val="clustered"/>
        <c:varyColors val="0"/>
        <c:ser>
          <c:idx val="0"/>
          <c:order val="0"/>
          <c:tx>
            <c:v>Actual</c:v>
          </c:tx>
          <c:spPr>
            <a:solidFill>
              <a:srgbClr val="9999FF"/>
            </a:solidFill>
            <a:ln w="9525" cap="flat" cmpd="sng" algn="ctr">
              <a:solidFill>
                <a:srgbClr val="0000FF"/>
              </a:solidFill>
              <a:prstDash val="solid"/>
              <a:round/>
              <a:headEnd type="none" w="med" len="med"/>
              <a:tailEnd type="none" w="med" len="med"/>
            </a:ln>
          </c:spPr>
          <c:invertIfNegative val="0"/>
          <c:cat>
            <c:strLit>
              <c:ptCount val="21"/>
              <c:pt idx="0">
                <c:v>-6,900</c:v>
              </c:pt>
              <c:pt idx="1">
                <c:v>-6,210</c:v>
              </c:pt>
              <c:pt idx="2">
                <c:v>-5,520</c:v>
              </c:pt>
              <c:pt idx="3">
                <c:v>-4,830</c:v>
              </c:pt>
              <c:pt idx="4">
                <c:v>-4,140</c:v>
              </c:pt>
              <c:pt idx="5">
                <c:v>-3,450</c:v>
              </c:pt>
              <c:pt idx="6">
                <c:v>-2,760</c:v>
              </c:pt>
              <c:pt idx="7">
                <c:v>-2,070</c:v>
              </c:pt>
              <c:pt idx="8">
                <c:v>-1,380</c:v>
              </c:pt>
              <c:pt idx="9">
                <c:v>-690</c:v>
              </c:pt>
              <c:pt idx="10">
                <c:v>0</c:v>
              </c:pt>
              <c:pt idx="11">
                <c:v>690</c:v>
              </c:pt>
              <c:pt idx="12">
                <c:v>1,380</c:v>
              </c:pt>
              <c:pt idx="13">
                <c:v>2,070</c:v>
              </c:pt>
              <c:pt idx="14">
                <c:v>2,760</c:v>
              </c:pt>
              <c:pt idx="15">
                <c:v>3,450</c:v>
              </c:pt>
              <c:pt idx="16">
                <c:v>4,140</c:v>
              </c:pt>
              <c:pt idx="17">
                <c:v>4,830</c:v>
              </c:pt>
              <c:pt idx="18">
                <c:v>5,520</c:v>
              </c:pt>
              <c:pt idx="19">
                <c:v>6,210</c:v>
              </c:pt>
              <c:pt idx="20">
                <c:v>6,900</c:v>
              </c:pt>
            </c:strLit>
          </c:cat>
          <c:val>
            <c:numLit>
              <c:formatCode>General</c:formatCode>
              <c:ptCount val="21"/>
              <c:pt idx="0">
                <c:v>1</c:v>
              </c:pt>
              <c:pt idx="1">
                <c:v>0</c:v>
              </c:pt>
              <c:pt idx="2">
                <c:v>0</c:v>
              </c:pt>
              <c:pt idx="3">
                <c:v>0</c:v>
              </c:pt>
              <c:pt idx="4">
                <c:v>0</c:v>
              </c:pt>
              <c:pt idx="5">
                <c:v>2</c:v>
              </c:pt>
              <c:pt idx="6">
                <c:v>5</c:v>
              </c:pt>
              <c:pt idx="7">
                <c:v>4</c:v>
              </c:pt>
              <c:pt idx="8">
                <c:v>10</c:v>
              </c:pt>
              <c:pt idx="9">
                <c:v>9</c:v>
              </c:pt>
              <c:pt idx="10">
                <c:v>13</c:v>
              </c:pt>
              <c:pt idx="11">
                <c:v>10</c:v>
              </c:pt>
              <c:pt idx="12">
                <c:v>11</c:v>
              </c:pt>
              <c:pt idx="13">
                <c:v>8</c:v>
              </c:pt>
              <c:pt idx="14">
                <c:v>3</c:v>
              </c:pt>
              <c:pt idx="15">
                <c:v>2</c:v>
              </c:pt>
              <c:pt idx="16">
                <c:v>0</c:v>
              </c:pt>
              <c:pt idx="17">
                <c:v>0</c:v>
              </c:pt>
              <c:pt idx="18">
                <c:v>0</c:v>
              </c:pt>
              <c:pt idx="19">
                <c:v>0</c:v>
              </c:pt>
              <c:pt idx="20">
                <c:v>0</c:v>
              </c:pt>
            </c:numLit>
          </c:val>
          <c:extLst>
            <c:ext xmlns:c16="http://schemas.microsoft.com/office/drawing/2014/chart" uri="{C3380CC4-5D6E-409C-BE32-E72D297353CC}">
              <c16:uniqueId val="{00000000-8E2D-45B5-B6E7-35C9A2229504}"/>
            </c:ext>
          </c:extLst>
        </c:ser>
        <c:ser>
          <c:idx val="1"/>
          <c:order val="1"/>
          <c:tx>
            <c:v>Theoretical</c:v>
          </c:tx>
          <c:spPr>
            <a:solidFill>
              <a:srgbClr val="FFD2D2"/>
            </a:solidFill>
            <a:ln w="9525">
              <a:solidFill>
                <a:srgbClr val="FF0000"/>
              </a:solidFill>
              <a:prstDash val="solid"/>
            </a:ln>
          </c:spPr>
          <c:invertIfNegative val="0"/>
          <c:cat>
            <c:strLit>
              <c:ptCount val="21"/>
              <c:pt idx="0">
                <c:v>-6,900</c:v>
              </c:pt>
              <c:pt idx="1">
                <c:v>-6,210</c:v>
              </c:pt>
              <c:pt idx="2">
                <c:v>-5,520</c:v>
              </c:pt>
              <c:pt idx="3">
                <c:v>-4,830</c:v>
              </c:pt>
              <c:pt idx="4">
                <c:v>-4,140</c:v>
              </c:pt>
              <c:pt idx="5">
                <c:v>-3,450</c:v>
              </c:pt>
              <c:pt idx="6">
                <c:v>-2,760</c:v>
              </c:pt>
              <c:pt idx="7">
                <c:v>-2,070</c:v>
              </c:pt>
              <c:pt idx="8">
                <c:v>-1,380</c:v>
              </c:pt>
              <c:pt idx="9">
                <c:v>-690</c:v>
              </c:pt>
              <c:pt idx="10">
                <c:v>0</c:v>
              </c:pt>
              <c:pt idx="11">
                <c:v>690</c:v>
              </c:pt>
              <c:pt idx="12">
                <c:v>1,380</c:v>
              </c:pt>
              <c:pt idx="13">
                <c:v>2,070</c:v>
              </c:pt>
              <c:pt idx="14">
                <c:v>2,760</c:v>
              </c:pt>
              <c:pt idx="15">
                <c:v>3,450</c:v>
              </c:pt>
              <c:pt idx="16">
                <c:v>4,140</c:v>
              </c:pt>
              <c:pt idx="17">
                <c:v>4,830</c:v>
              </c:pt>
              <c:pt idx="18">
                <c:v>5,520</c:v>
              </c:pt>
              <c:pt idx="19">
                <c:v>6,210</c:v>
              </c:pt>
              <c:pt idx="20">
                <c:v>6,900</c:v>
              </c:pt>
            </c:strLit>
          </c:cat>
          <c:val>
            <c:numLit>
              <c:formatCode>General</c:formatCode>
              <c:ptCount val="21"/>
              <c:pt idx="0">
                <c:v>1.2690590613626021E-2</c:v>
              </c:pt>
              <c:pt idx="1">
                <c:v>4.6269623690332017E-2</c:v>
              </c:pt>
              <c:pt idx="2">
                <c:v>0.14721134702876695</c:v>
              </c:pt>
              <c:pt idx="3">
                <c:v>0.40872160965764215</c:v>
              </c:pt>
              <c:pt idx="4">
                <c:v>0.99029312568767458</c:v>
              </c:pt>
              <c:pt idx="5">
                <c:v>2.0939080832879564</c:v>
              </c:pt>
              <c:pt idx="6">
                <c:v>3.8638111713796821</c:v>
              </c:pt>
              <c:pt idx="7">
                <c:v>6.2222034478624382</c:v>
              </c:pt>
              <c:pt idx="8">
                <c:v>8.7447412235280879</c:v>
              </c:pt>
              <c:pt idx="9">
                <c:v>10.725741760600631</c:v>
              </c:pt>
              <c:pt idx="10">
                <c:v>11.48119907712212</c:v>
              </c:pt>
              <c:pt idx="11">
                <c:v>10.725741760600634</c:v>
              </c:pt>
              <c:pt idx="12">
                <c:v>8.7447412235281021</c:v>
              </c:pt>
              <c:pt idx="13">
                <c:v>6.2222034478624266</c:v>
              </c:pt>
              <c:pt idx="14">
                <c:v>3.8638111713796803</c:v>
              </c:pt>
              <c:pt idx="15">
                <c:v>2.0939080832879569</c:v>
              </c:pt>
              <c:pt idx="16">
                <c:v>0.99029312568767125</c:v>
              </c:pt>
              <c:pt idx="17">
                <c:v>0.40872160965764692</c:v>
              </c:pt>
              <c:pt idx="18">
                <c:v>0.14721134702877237</c:v>
              </c:pt>
              <c:pt idx="19">
                <c:v>4.6269623690321282E-2</c:v>
              </c:pt>
              <c:pt idx="20">
                <c:v>1.2690590613630093E-2</c:v>
              </c:pt>
            </c:numLit>
          </c:val>
          <c:extLst>
            <c:ext xmlns:c16="http://schemas.microsoft.com/office/drawing/2014/chart" uri="{C3380CC4-5D6E-409C-BE32-E72D297353CC}">
              <c16:uniqueId val="{00000001-8E2D-45B5-B6E7-35C9A2229504}"/>
            </c:ext>
          </c:extLst>
        </c:ser>
        <c:dLbls>
          <c:showLegendKey val="0"/>
          <c:showVal val="0"/>
          <c:showCatName val="0"/>
          <c:showSerName val="0"/>
          <c:showPercent val="0"/>
          <c:showBubbleSize val="0"/>
        </c:dLbls>
        <c:gapWidth val="50"/>
        <c:axId val="105449728"/>
        <c:axId val="105492864"/>
      </c:barChart>
      <c:catAx>
        <c:axId val="105449728"/>
        <c:scaling>
          <c:orientation val="minMax"/>
        </c:scaling>
        <c:delete val="0"/>
        <c:axPos val="b"/>
        <c:title>
          <c:tx>
            <c:rich>
              <a:bodyPr/>
              <a:lstStyle/>
              <a:p>
                <a:pPr>
                  <a:defRPr/>
                </a:pPr>
                <a:r>
                  <a:rPr lang="en-US"/>
                  <a:t>Residual Range
</a:t>
                </a:r>
                <a:r>
                  <a:rPr lang="en-US" sz="750"/>
                  <a:t>Adjusted Anderson-Darling statistic is 0.265 (P=0.696)</a:t>
                </a:r>
              </a:p>
            </c:rich>
          </c:tx>
          <c:overlay val="0"/>
        </c:title>
        <c:numFmt formatCode="General" sourceLinked="0"/>
        <c:majorTickMark val="out"/>
        <c:minorTickMark val="none"/>
        <c:tickLblPos val="nextTo"/>
        <c:crossAx val="105492864"/>
        <c:crosses val="autoZero"/>
        <c:auto val="1"/>
        <c:lblAlgn val="ctr"/>
        <c:lblOffset val="100"/>
        <c:noMultiLvlLbl val="0"/>
      </c:catAx>
      <c:valAx>
        <c:axId val="105492864"/>
        <c:scaling>
          <c:orientation val="minMax"/>
        </c:scaling>
        <c:delete val="0"/>
        <c:axPos val="l"/>
        <c:majorGridlines>
          <c:spPr>
            <a:ln w="3175">
              <a:solidFill>
                <a:srgbClr val="C0C0C0"/>
              </a:solidFill>
              <a:prstDash val="solid"/>
            </a:ln>
          </c:spPr>
        </c:majorGridlines>
        <c:title>
          <c:tx>
            <c:rich>
              <a:bodyPr/>
              <a:lstStyle/>
              <a:p>
                <a:pPr>
                  <a:defRPr/>
                </a:pPr>
                <a:r>
                  <a:rPr lang="en-US"/>
                  <a:t>Frequency</a:t>
                </a:r>
              </a:p>
            </c:rich>
          </c:tx>
          <c:overlay val="0"/>
        </c:title>
        <c:numFmt formatCode="General" sourceLinked="1"/>
        <c:majorTickMark val="out"/>
        <c:minorTickMark val="none"/>
        <c:tickLblPos val="nextTo"/>
        <c:crossAx val="105449728"/>
        <c:crosses val="autoZero"/>
        <c:crossBetween val="between"/>
      </c:valAx>
      <c:spPr>
        <a:ln w="6350">
          <a:solidFill>
            <a:srgbClr val="808080"/>
          </a:solidFill>
          <a:prstDash val="solid"/>
        </a:ln>
      </c:spPr>
    </c:plotArea>
    <c:legend>
      <c:legendPos val="r"/>
      <c:overlay val="0"/>
    </c:legend>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Normal Quantile Plot
</a:t>
            </a:r>
            <a:r>
              <a:rPr lang="en-US" sz="1000"/>
              <a:t>Elec HDD model with dummies for _Electric_Natural_Gas
(14 variables, n=78)</a:t>
            </a:r>
          </a:p>
        </c:rich>
      </c:tx>
      <c:overlay val="0"/>
    </c:title>
    <c:autoTitleDeleted val="0"/>
    <c:plotArea>
      <c:layout/>
      <c:scatterChart>
        <c:scatterStyle val="lineMarker"/>
        <c:varyColors val="0"/>
        <c:ser>
          <c:idx val="0"/>
          <c:order val="0"/>
          <c:tx>
            <c:v>Actual</c:v>
          </c:tx>
          <c:spPr>
            <a:ln w="25400">
              <a:noFill/>
            </a:ln>
          </c:spPr>
          <c:marker>
            <c:symbol val="diamond"/>
            <c:size val="6"/>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78"/>
              <c:pt idx="0">
                <c:v>-2.2365394571408492</c:v>
              </c:pt>
              <c:pt idx="1">
                <c:v>-1.9545779044793141</c:v>
              </c:pt>
              <c:pt idx="2">
                <c:v>-1.7746883070113353</c:v>
              </c:pt>
              <c:pt idx="3">
                <c:v>-1.6387476645753798</c:v>
              </c:pt>
              <c:pt idx="4">
                <c:v>-1.5277191697587054</c:v>
              </c:pt>
              <c:pt idx="5">
                <c:v>-1.4328569081865627</c:v>
              </c:pt>
              <c:pt idx="6">
                <c:v>-1.3493792261509356</c:v>
              </c:pt>
              <c:pt idx="7">
                <c:v>-1.2743719014183901</c:v>
              </c:pt>
              <c:pt idx="8">
                <c:v>-1.2059206145156207</c:v>
              </c:pt>
              <c:pt idx="9">
                <c:v>-1.1426966601588431</c:v>
              </c:pt>
              <c:pt idx="10">
                <c:v>-1.0837379306738362</c:v>
              </c:pt>
              <c:pt idx="11">
                <c:v>-1.028323950802468</c:v>
              </c:pt>
              <c:pt idx="12">
                <c:v>-0.97590019790356219</c:v>
              </c:pt>
              <c:pt idx="13">
                <c:v>-0.92603001947707297</c:v>
              </c:pt>
              <c:pt idx="14">
                <c:v>-0.87836285514488632</c:v>
              </c:pt>
              <c:pt idx="15">
                <c:v>-0.83261252800434993</c:v>
              </c:pt>
              <c:pt idx="16">
                <c:v>-0.78854199106676903</c:v>
              </c:pt>
              <c:pt idx="17">
                <c:v>-0.74595234571134561</c:v>
              </c:pt>
              <c:pt idx="18">
                <c:v>-0.70467476624496161</c:v>
              </c:pt>
              <c:pt idx="19">
                <c:v>-0.6645644494105799</c:v>
              </c:pt>
              <c:pt idx="20">
                <c:v>-0.62549600497243729</c:v>
              </c:pt>
              <c:pt idx="21">
                <c:v>-0.58735989122285481</c:v>
              </c:pt>
              <c:pt idx="22">
                <c:v>-0.55005962088827076</c:v>
              </c:pt>
              <c:pt idx="23">
                <c:v>-0.51350954356093248</c:v>
              </c:pt>
              <c:pt idx="24">
                <c:v>-0.47763306537260808</c:v>
              </c:pt>
              <c:pt idx="25">
                <c:v>-0.44236120427171888</c:v>
              </c:pt>
              <c:pt idx="26">
                <c:v>-0.40763140566587441</c:v>
              </c:pt>
              <c:pt idx="27">
                <c:v>-0.37338656199140563</c:v>
              </c:pt>
              <c:pt idx="28">
                <c:v>-0.33957419334523603</c:v>
              </c:pt>
              <c:pt idx="29">
                <c:v>-0.30614575623870488</c:v>
              </c:pt>
              <c:pt idx="30">
                <c:v>-0.27305605487126</c:v>
              </c:pt>
              <c:pt idx="31">
                <c:v>-0.24026273480272833</c:v>
              </c:pt>
              <c:pt idx="32">
                <c:v>-0.20772584303184521</c:v>
              </c:pt>
              <c:pt idx="33">
                <c:v>-0.17540744162137925</c:v>
              </c:pt>
              <c:pt idx="34">
                <c:v>-0.14327126439911458</c:v>
              </c:pt>
              <c:pt idx="35">
                <c:v>-0.11128240809028021</c:v>
              </c:pt>
              <c:pt idx="36">
                <c:v>-7.9407050631538523E-2</c:v>
              </c:pt>
              <c:pt idx="37">
                <c:v>-4.7612190474131351E-2</c:v>
              </c:pt>
              <c:pt idx="38">
                <c:v>-1.5865401472839501E-2</c:v>
              </c:pt>
              <c:pt idx="39">
                <c:v>1.5865401472839637E-2</c:v>
              </c:pt>
              <c:pt idx="40">
                <c:v>4.7612190474131351E-2</c:v>
              </c:pt>
              <c:pt idx="41">
                <c:v>7.9407050631538384E-2</c:v>
              </c:pt>
              <c:pt idx="42">
                <c:v>0.11128240809028021</c:v>
              </c:pt>
              <c:pt idx="43">
                <c:v>0.14327126439911442</c:v>
              </c:pt>
              <c:pt idx="44">
                <c:v>0.17540744162137942</c:v>
              </c:pt>
              <c:pt idx="45">
                <c:v>0.20772584303184521</c:v>
              </c:pt>
              <c:pt idx="46">
                <c:v>0.2402627348027282</c:v>
              </c:pt>
              <c:pt idx="47">
                <c:v>0.27305605487126</c:v>
              </c:pt>
              <c:pt idx="48">
                <c:v>0.30614575623870488</c:v>
              </c:pt>
              <c:pt idx="49">
                <c:v>0.3395741933452362</c:v>
              </c:pt>
              <c:pt idx="50">
                <c:v>0.37338656199140563</c:v>
              </c:pt>
              <c:pt idx="51">
                <c:v>0.40763140566587425</c:v>
              </c:pt>
              <c:pt idx="52">
                <c:v>0.44236120427171888</c:v>
              </c:pt>
              <c:pt idx="53">
                <c:v>0.47763306537260808</c:v>
              </c:pt>
              <c:pt idx="54">
                <c:v>0.51350954356093259</c:v>
              </c:pt>
              <c:pt idx="55">
                <c:v>0.55005962088827076</c:v>
              </c:pt>
              <c:pt idx="56">
                <c:v>0.58735989122285459</c:v>
              </c:pt>
              <c:pt idx="57">
                <c:v>0.62549600497243729</c:v>
              </c:pt>
              <c:pt idx="58">
                <c:v>0.6645644494105799</c:v>
              </c:pt>
              <c:pt idx="59">
                <c:v>0.70467476624496195</c:v>
              </c:pt>
              <c:pt idx="60">
                <c:v>0.74595234571134561</c:v>
              </c:pt>
              <c:pt idx="61">
                <c:v>0.78854199106676903</c:v>
              </c:pt>
              <c:pt idx="62">
                <c:v>0.83261252800434993</c:v>
              </c:pt>
              <c:pt idx="63">
                <c:v>0.87836285514488632</c:v>
              </c:pt>
              <c:pt idx="64">
                <c:v>0.92603001947707397</c:v>
              </c:pt>
              <c:pt idx="65">
                <c:v>0.97590019790356219</c:v>
              </c:pt>
              <c:pt idx="66">
                <c:v>1.028323950802468</c:v>
              </c:pt>
              <c:pt idx="67">
                <c:v>1.0837379306738362</c:v>
              </c:pt>
              <c:pt idx="68">
                <c:v>1.1426966601588431</c:v>
              </c:pt>
              <c:pt idx="69">
                <c:v>1.20592061451562</c:v>
              </c:pt>
              <c:pt idx="70">
                <c:v>1.2743719014183901</c:v>
              </c:pt>
              <c:pt idx="71">
                <c:v>1.3493792261509356</c:v>
              </c:pt>
              <c:pt idx="72">
                <c:v>1.4328569081865656</c:v>
              </c:pt>
              <c:pt idx="73">
                <c:v>1.5277191697587056</c:v>
              </c:pt>
              <c:pt idx="74">
                <c:v>1.6387476645753793</c:v>
              </c:pt>
              <c:pt idx="75">
                <c:v>1.7746883070113353</c:v>
              </c:pt>
              <c:pt idx="76">
                <c:v>1.9545779044793139</c:v>
              </c:pt>
              <c:pt idx="77">
                <c:v>2.236539457140851</c:v>
              </c:pt>
            </c:numLit>
          </c:xVal>
          <c:yVal>
            <c:numLit>
              <c:formatCode>General</c:formatCode>
              <c:ptCount val="78"/>
              <c:pt idx="0">
                <c:v>-3.7021417141448274</c:v>
              </c:pt>
              <c:pt idx="1">
                <c:v>-1.7822275776095959</c:v>
              </c:pt>
              <c:pt idx="2">
                <c:v>-1.7771013746169861</c:v>
              </c:pt>
              <c:pt idx="3">
                <c:v>-1.6531669835447571</c:v>
              </c:pt>
              <c:pt idx="4">
                <c:v>-1.5696120667062552</c:v>
              </c:pt>
              <c:pt idx="5">
                <c:v>-1.5013814990138774</c:v>
              </c:pt>
              <c:pt idx="6">
                <c:v>-1.4104910502900041</c:v>
              </c:pt>
              <c:pt idx="7">
                <c:v>-1.3404333359945722</c:v>
              </c:pt>
              <c:pt idx="8">
                <c:v>-1.2713848432342538</c:v>
              </c:pt>
              <c:pt idx="9">
                <c:v>-1.2012332400645127</c:v>
              </c:pt>
              <c:pt idx="10">
                <c:v>-1.0368172331871219</c:v>
              </c:pt>
              <c:pt idx="11">
                <c:v>-0.98727254028661349</c:v>
              </c:pt>
              <c:pt idx="12">
                <c:v>-0.92050174357983161</c:v>
              </c:pt>
              <c:pt idx="13">
                <c:v>-0.85281771972784104</c:v>
              </c:pt>
              <c:pt idx="14">
                <c:v>-0.84519319391530734</c:v>
              </c:pt>
              <c:pt idx="15">
                <c:v>-0.79121211688030746</c:v>
              </c:pt>
              <c:pt idx="16">
                <c:v>-0.77983689619271179</c:v>
              </c:pt>
              <c:pt idx="17">
                <c:v>-0.74538516638234997</c:v>
              </c:pt>
              <c:pt idx="18">
                <c:v>-0.71130586362899317</c:v>
              </c:pt>
              <c:pt idx="19">
                <c:v>-0.65445609681389771</c:v>
              </c:pt>
              <c:pt idx="20">
                <c:v>-0.60409807542497895</c:v>
              </c:pt>
              <c:pt idx="21">
                <c:v>-0.56200439316676298</c:v>
              </c:pt>
              <c:pt idx="22">
                <c:v>-0.5039292242997212</c:v>
              </c:pt>
              <c:pt idx="23">
                <c:v>-0.49461474631294877</c:v>
              </c:pt>
              <c:pt idx="24">
                <c:v>-0.46507301997839923</c:v>
              </c:pt>
              <c:pt idx="25">
                <c:v>-0.37584396750849913</c:v>
              </c:pt>
              <c:pt idx="26">
                <c:v>-0.36209569401476394</c:v>
              </c:pt>
              <c:pt idx="27">
                <c:v>-0.35466690980120474</c:v>
              </c:pt>
              <c:pt idx="28">
                <c:v>-0.28705852914992275</c:v>
              </c:pt>
              <c:pt idx="29">
                <c:v>-0.27309762843445162</c:v>
              </c:pt>
              <c:pt idx="30">
                <c:v>-0.19682304011737153</c:v>
              </c:pt>
              <c:pt idx="31">
                <c:v>-0.1689114232618403</c:v>
              </c:pt>
              <c:pt idx="32">
                <c:v>-0.13369960363547997</c:v>
              </c:pt>
              <c:pt idx="33">
                <c:v>-0.12592280073226469</c:v>
              </c:pt>
              <c:pt idx="34">
                <c:v>-9.6980830636710716E-2</c:v>
              </c:pt>
              <c:pt idx="35">
                <c:v>-9.0670922992998712E-2</c:v>
              </c:pt>
              <c:pt idx="36">
                <c:v>-7.3442178683960399E-2</c:v>
              </c:pt>
              <c:pt idx="37">
                <c:v>-1.2530979095743008E-2</c:v>
              </c:pt>
              <c:pt idx="38">
                <c:v>-6.8545865567954832E-3</c:v>
              </c:pt>
              <c:pt idx="39">
                <c:v>5.3958901603200847E-2</c:v>
              </c:pt>
              <c:pt idx="40">
                <c:v>0.11176037499608951</c:v>
              </c:pt>
              <c:pt idx="41">
                <c:v>0.1171776212616077</c:v>
              </c:pt>
              <c:pt idx="42">
                <c:v>0.12682423466625992</c:v>
              </c:pt>
              <c:pt idx="43">
                <c:v>0.15717289291113379</c:v>
              </c:pt>
              <c:pt idx="44">
                <c:v>0.23525113716256832</c:v>
              </c:pt>
              <c:pt idx="45">
                <c:v>0.23703319182454327</c:v>
              </c:pt>
              <c:pt idx="46">
                <c:v>0.25375952642239358</c:v>
              </c:pt>
              <c:pt idx="47">
                <c:v>0.3750588618489083</c:v>
              </c:pt>
              <c:pt idx="48">
                <c:v>0.39837278108937485</c:v>
              </c:pt>
              <c:pt idx="49">
                <c:v>0.47746812857960891</c:v>
              </c:pt>
              <c:pt idx="50">
                <c:v>0.49143623855031082</c:v>
              </c:pt>
              <c:pt idx="51">
                <c:v>0.54116453123414399</c:v>
              </c:pt>
              <c:pt idx="52">
                <c:v>0.54798099441410364</c:v>
              </c:pt>
              <c:pt idx="53">
                <c:v>0.55469686271408059</c:v>
              </c:pt>
              <c:pt idx="54">
                <c:v>0.56718238162770762</c:v>
              </c:pt>
              <c:pt idx="55">
                <c:v>0.57627104171008892</c:v>
              </c:pt>
              <c:pt idx="56">
                <c:v>0.70672059925774111</c:v>
              </c:pt>
              <c:pt idx="57">
                <c:v>0.71202546734461847</c:v>
              </c:pt>
              <c:pt idx="58">
                <c:v>0.80007477066309596</c:v>
              </c:pt>
              <c:pt idx="59">
                <c:v>0.80320894389939113</c:v>
              </c:pt>
              <c:pt idx="60">
                <c:v>0.80906066696141243</c:v>
              </c:pt>
              <c:pt idx="61">
                <c:v>0.8276204007072373</c:v>
              </c:pt>
              <c:pt idx="62">
                <c:v>0.85836919283391011</c:v>
              </c:pt>
              <c:pt idx="63">
                <c:v>0.89344467308841191</c:v>
              </c:pt>
              <c:pt idx="64">
                <c:v>0.91278326033089241</c:v>
              </c:pt>
              <c:pt idx="65">
                <c:v>0.97367172461127605</c:v>
              </c:pt>
              <c:pt idx="66">
                <c:v>1.0866695355125726</c:v>
              </c:pt>
              <c:pt idx="67">
                <c:v>1.087500116506843</c:v>
              </c:pt>
              <c:pt idx="68">
                <c:v>1.1265678724233266</c:v>
              </c:pt>
              <c:pt idx="69">
                <c:v>1.1554895397387408</c:v>
              </c:pt>
              <c:pt idx="70">
                <c:v>1.2139591941628745</c:v>
              </c:pt>
              <c:pt idx="71">
                <c:v>1.2579754837939559</c:v>
              </c:pt>
              <c:pt idx="72">
                <c:v>1.2901832441565535</c:v>
              </c:pt>
              <c:pt idx="73">
                <c:v>1.4213620224253418</c:v>
              </c:pt>
              <c:pt idx="74">
                <c:v>1.4710544623961788</c:v>
              </c:pt>
              <c:pt idx="75">
                <c:v>1.5970175444500689</c:v>
              </c:pt>
              <c:pt idx="76">
                <c:v>1.9411956381938842</c:v>
              </c:pt>
              <c:pt idx="77">
                <c:v>1.9537667535334065</c:v>
              </c:pt>
            </c:numLit>
          </c:yVal>
          <c:smooth val="0"/>
          <c:extLst>
            <c:ext xmlns:c16="http://schemas.microsoft.com/office/drawing/2014/chart" uri="{C3380CC4-5D6E-409C-BE32-E72D297353CC}">
              <c16:uniqueId val="{00000000-AECC-4D16-9358-35FD48D8D2EB}"/>
            </c:ext>
          </c:extLst>
        </c:ser>
        <c:ser>
          <c:idx val="1"/>
          <c:order val="1"/>
          <c:tx>
            <c:v>Theoretical</c:v>
          </c:tx>
          <c:spPr>
            <a:ln w="12700">
              <a:solidFill>
                <a:srgbClr val="FF0000"/>
              </a:solidFill>
              <a:prstDash val="solid"/>
            </a:ln>
          </c:spPr>
          <c:marker>
            <c:symbol val="none"/>
          </c:marker>
          <c:xVal>
            <c:numLit>
              <c:formatCode>General</c:formatCode>
              <c:ptCount val="78"/>
              <c:pt idx="0">
                <c:v>-2.2365394571408492</c:v>
              </c:pt>
              <c:pt idx="1">
                <c:v>-1.9545779044793141</c:v>
              </c:pt>
              <c:pt idx="2">
                <c:v>-1.7746883070113353</c:v>
              </c:pt>
              <c:pt idx="3">
                <c:v>-1.6387476645753798</c:v>
              </c:pt>
              <c:pt idx="4">
                <c:v>-1.5277191697587054</c:v>
              </c:pt>
              <c:pt idx="5">
                <c:v>-1.4328569081865627</c:v>
              </c:pt>
              <c:pt idx="6">
                <c:v>-1.3493792261509356</c:v>
              </c:pt>
              <c:pt idx="7">
                <c:v>-1.2743719014183901</c:v>
              </c:pt>
              <c:pt idx="8">
                <c:v>-1.2059206145156207</c:v>
              </c:pt>
              <c:pt idx="9">
                <c:v>-1.1426966601588431</c:v>
              </c:pt>
              <c:pt idx="10">
                <c:v>-1.0837379306738362</c:v>
              </c:pt>
              <c:pt idx="11">
                <c:v>-1.028323950802468</c:v>
              </c:pt>
              <c:pt idx="12">
                <c:v>-0.97590019790356219</c:v>
              </c:pt>
              <c:pt idx="13">
                <c:v>-0.92603001947707297</c:v>
              </c:pt>
              <c:pt idx="14">
                <c:v>-0.87836285514488632</c:v>
              </c:pt>
              <c:pt idx="15">
                <c:v>-0.83261252800434993</c:v>
              </c:pt>
              <c:pt idx="16">
                <c:v>-0.78854199106676903</c:v>
              </c:pt>
              <c:pt idx="17">
                <c:v>-0.74595234571134561</c:v>
              </c:pt>
              <c:pt idx="18">
                <c:v>-0.70467476624496161</c:v>
              </c:pt>
              <c:pt idx="19">
                <c:v>-0.6645644494105799</c:v>
              </c:pt>
              <c:pt idx="20">
                <c:v>-0.62549600497243729</c:v>
              </c:pt>
              <c:pt idx="21">
                <c:v>-0.58735989122285481</c:v>
              </c:pt>
              <c:pt idx="22">
                <c:v>-0.55005962088827076</c:v>
              </c:pt>
              <c:pt idx="23">
                <c:v>-0.51350954356093248</c:v>
              </c:pt>
              <c:pt idx="24">
                <c:v>-0.47763306537260808</c:v>
              </c:pt>
              <c:pt idx="25">
                <c:v>-0.44236120427171888</c:v>
              </c:pt>
              <c:pt idx="26">
                <c:v>-0.40763140566587441</c:v>
              </c:pt>
              <c:pt idx="27">
                <c:v>-0.37338656199140563</c:v>
              </c:pt>
              <c:pt idx="28">
                <c:v>-0.33957419334523603</c:v>
              </c:pt>
              <c:pt idx="29">
                <c:v>-0.30614575623870488</c:v>
              </c:pt>
              <c:pt idx="30">
                <c:v>-0.27305605487126</c:v>
              </c:pt>
              <c:pt idx="31">
                <c:v>-0.24026273480272833</c:v>
              </c:pt>
              <c:pt idx="32">
                <c:v>-0.20772584303184521</c:v>
              </c:pt>
              <c:pt idx="33">
                <c:v>-0.17540744162137925</c:v>
              </c:pt>
              <c:pt idx="34">
                <c:v>-0.14327126439911458</c:v>
              </c:pt>
              <c:pt idx="35">
                <c:v>-0.11128240809028021</c:v>
              </c:pt>
              <c:pt idx="36">
                <c:v>-7.9407050631538523E-2</c:v>
              </c:pt>
              <c:pt idx="37">
                <c:v>-4.7612190474131351E-2</c:v>
              </c:pt>
              <c:pt idx="38">
                <c:v>-1.5865401472839501E-2</c:v>
              </c:pt>
              <c:pt idx="39">
                <c:v>1.5865401472839637E-2</c:v>
              </c:pt>
              <c:pt idx="40">
                <c:v>4.7612190474131351E-2</c:v>
              </c:pt>
              <c:pt idx="41">
                <c:v>7.9407050631538384E-2</c:v>
              </c:pt>
              <c:pt idx="42">
                <c:v>0.11128240809028021</c:v>
              </c:pt>
              <c:pt idx="43">
                <c:v>0.14327126439911442</c:v>
              </c:pt>
              <c:pt idx="44">
                <c:v>0.17540744162137942</c:v>
              </c:pt>
              <c:pt idx="45">
                <c:v>0.20772584303184521</c:v>
              </c:pt>
              <c:pt idx="46">
                <c:v>0.2402627348027282</c:v>
              </c:pt>
              <c:pt idx="47">
                <c:v>0.27305605487126</c:v>
              </c:pt>
              <c:pt idx="48">
                <c:v>0.30614575623870488</c:v>
              </c:pt>
              <c:pt idx="49">
                <c:v>0.3395741933452362</c:v>
              </c:pt>
              <c:pt idx="50">
                <c:v>0.37338656199140563</c:v>
              </c:pt>
              <c:pt idx="51">
                <c:v>0.40763140566587425</c:v>
              </c:pt>
              <c:pt idx="52">
                <c:v>0.44236120427171888</c:v>
              </c:pt>
              <c:pt idx="53">
                <c:v>0.47763306537260808</c:v>
              </c:pt>
              <c:pt idx="54">
                <c:v>0.51350954356093259</c:v>
              </c:pt>
              <c:pt idx="55">
                <c:v>0.55005962088827076</c:v>
              </c:pt>
              <c:pt idx="56">
                <c:v>0.58735989122285459</c:v>
              </c:pt>
              <c:pt idx="57">
                <c:v>0.62549600497243729</c:v>
              </c:pt>
              <c:pt idx="58">
                <c:v>0.6645644494105799</c:v>
              </c:pt>
              <c:pt idx="59">
                <c:v>0.70467476624496195</c:v>
              </c:pt>
              <c:pt idx="60">
                <c:v>0.74595234571134561</c:v>
              </c:pt>
              <c:pt idx="61">
                <c:v>0.78854199106676903</c:v>
              </c:pt>
              <c:pt idx="62">
                <c:v>0.83261252800434993</c:v>
              </c:pt>
              <c:pt idx="63">
                <c:v>0.87836285514488632</c:v>
              </c:pt>
              <c:pt idx="64">
                <c:v>0.92603001947707397</c:v>
              </c:pt>
              <c:pt idx="65">
                <c:v>0.97590019790356219</c:v>
              </c:pt>
              <c:pt idx="66">
                <c:v>1.028323950802468</c:v>
              </c:pt>
              <c:pt idx="67">
                <c:v>1.0837379306738362</c:v>
              </c:pt>
              <c:pt idx="68">
                <c:v>1.1426966601588431</c:v>
              </c:pt>
              <c:pt idx="69">
                <c:v>1.20592061451562</c:v>
              </c:pt>
              <c:pt idx="70">
                <c:v>1.2743719014183901</c:v>
              </c:pt>
              <c:pt idx="71">
                <c:v>1.3493792261509356</c:v>
              </c:pt>
              <c:pt idx="72">
                <c:v>1.4328569081865656</c:v>
              </c:pt>
              <c:pt idx="73">
                <c:v>1.5277191697587056</c:v>
              </c:pt>
              <c:pt idx="74">
                <c:v>1.6387476645753793</c:v>
              </c:pt>
              <c:pt idx="75">
                <c:v>1.7746883070113353</c:v>
              </c:pt>
              <c:pt idx="76">
                <c:v>1.9545779044793139</c:v>
              </c:pt>
              <c:pt idx="77">
                <c:v>2.236539457140851</c:v>
              </c:pt>
            </c:numLit>
          </c:xVal>
          <c:yVal>
            <c:numLit>
              <c:formatCode>General</c:formatCode>
              <c:ptCount val="78"/>
              <c:pt idx="0">
                <c:v>-2.2365394571408492</c:v>
              </c:pt>
              <c:pt idx="1">
                <c:v>-1.9545779044793141</c:v>
              </c:pt>
              <c:pt idx="2">
                <c:v>-1.7746883070113353</c:v>
              </c:pt>
              <c:pt idx="3">
                <c:v>-1.6387476645753798</c:v>
              </c:pt>
              <c:pt idx="4">
                <c:v>-1.5277191697587054</c:v>
              </c:pt>
              <c:pt idx="5">
                <c:v>-1.4328569081865627</c:v>
              </c:pt>
              <c:pt idx="6">
                <c:v>-1.3493792261509356</c:v>
              </c:pt>
              <c:pt idx="7">
                <c:v>-1.2743719014183901</c:v>
              </c:pt>
              <c:pt idx="8">
                <c:v>-1.2059206145156207</c:v>
              </c:pt>
              <c:pt idx="9">
                <c:v>-1.1426966601588431</c:v>
              </c:pt>
              <c:pt idx="10">
                <c:v>-1.0837379306738362</c:v>
              </c:pt>
              <c:pt idx="11">
                <c:v>-1.028323950802468</c:v>
              </c:pt>
              <c:pt idx="12">
                <c:v>-0.97590019790356219</c:v>
              </c:pt>
              <c:pt idx="13">
                <c:v>-0.92603001947707297</c:v>
              </c:pt>
              <c:pt idx="14">
                <c:v>-0.87836285514488632</c:v>
              </c:pt>
              <c:pt idx="15">
                <c:v>-0.83261252800434993</c:v>
              </c:pt>
              <c:pt idx="16">
                <c:v>-0.78854199106676903</c:v>
              </c:pt>
              <c:pt idx="17">
                <c:v>-0.74595234571134561</c:v>
              </c:pt>
              <c:pt idx="18">
                <c:v>-0.70467476624496161</c:v>
              </c:pt>
              <c:pt idx="19">
                <c:v>-0.6645644494105799</c:v>
              </c:pt>
              <c:pt idx="20">
                <c:v>-0.62549600497243729</c:v>
              </c:pt>
              <c:pt idx="21">
                <c:v>-0.58735989122285481</c:v>
              </c:pt>
              <c:pt idx="22">
                <c:v>-0.55005962088827076</c:v>
              </c:pt>
              <c:pt idx="23">
                <c:v>-0.51350954356093248</c:v>
              </c:pt>
              <c:pt idx="24">
                <c:v>-0.47763306537260808</c:v>
              </c:pt>
              <c:pt idx="25">
                <c:v>-0.44236120427171888</c:v>
              </c:pt>
              <c:pt idx="26">
                <c:v>-0.40763140566587441</c:v>
              </c:pt>
              <c:pt idx="27">
                <c:v>-0.37338656199140563</c:v>
              </c:pt>
              <c:pt idx="28">
                <c:v>-0.33957419334523603</c:v>
              </c:pt>
              <c:pt idx="29">
                <c:v>-0.30614575623870488</c:v>
              </c:pt>
              <c:pt idx="30">
                <c:v>-0.27305605487126</c:v>
              </c:pt>
              <c:pt idx="31">
                <c:v>-0.24026273480272833</c:v>
              </c:pt>
              <c:pt idx="32">
                <c:v>-0.20772584303184521</c:v>
              </c:pt>
              <c:pt idx="33">
                <c:v>-0.17540744162137925</c:v>
              </c:pt>
              <c:pt idx="34">
                <c:v>-0.14327126439911458</c:v>
              </c:pt>
              <c:pt idx="35">
                <c:v>-0.11128240809028021</c:v>
              </c:pt>
              <c:pt idx="36">
                <c:v>-7.9407050631538523E-2</c:v>
              </c:pt>
              <c:pt idx="37">
                <c:v>-4.7612190474131351E-2</c:v>
              </c:pt>
              <c:pt idx="38">
                <c:v>-1.5865401472839501E-2</c:v>
              </c:pt>
              <c:pt idx="39">
                <c:v>1.5865401472839637E-2</c:v>
              </c:pt>
              <c:pt idx="40">
                <c:v>4.7612190474131351E-2</c:v>
              </c:pt>
              <c:pt idx="41">
                <c:v>7.9407050631538384E-2</c:v>
              </c:pt>
              <c:pt idx="42">
                <c:v>0.11128240809028021</c:v>
              </c:pt>
              <c:pt idx="43">
                <c:v>0.14327126439911442</c:v>
              </c:pt>
              <c:pt idx="44">
                <c:v>0.17540744162137942</c:v>
              </c:pt>
              <c:pt idx="45">
                <c:v>0.20772584303184521</c:v>
              </c:pt>
              <c:pt idx="46">
                <c:v>0.2402627348027282</c:v>
              </c:pt>
              <c:pt idx="47">
                <c:v>0.27305605487126</c:v>
              </c:pt>
              <c:pt idx="48">
                <c:v>0.30614575623870488</c:v>
              </c:pt>
              <c:pt idx="49">
                <c:v>0.3395741933452362</c:v>
              </c:pt>
              <c:pt idx="50">
                <c:v>0.37338656199140563</c:v>
              </c:pt>
              <c:pt idx="51">
                <c:v>0.40763140566587425</c:v>
              </c:pt>
              <c:pt idx="52">
                <c:v>0.44236120427171888</c:v>
              </c:pt>
              <c:pt idx="53">
                <c:v>0.47763306537260808</c:v>
              </c:pt>
              <c:pt idx="54">
                <c:v>0.51350954356093259</c:v>
              </c:pt>
              <c:pt idx="55">
                <c:v>0.55005962088827076</c:v>
              </c:pt>
              <c:pt idx="56">
                <c:v>0.58735989122285459</c:v>
              </c:pt>
              <c:pt idx="57">
                <c:v>0.62549600497243729</c:v>
              </c:pt>
              <c:pt idx="58">
                <c:v>0.6645644494105799</c:v>
              </c:pt>
              <c:pt idx="59">
                <c:v>0.70467476624496195</c:v>
              </c:pt>
              <c:pt idx="60">
                <c:v>0.74595234571134561</c:v>
              </c:pt>
              <c:pt idx="61">
                <c:v>0.78854199106676903</c:v>
              </c:pt>
              <c:pt idx="62">
                <c:v>0.83261252800434993</c:v>
              </c:pt>
              <c:pt idx="63">
                <c:v>0.87836285514488632</c:v>
              </c:pt>
              <c:pt idx="64">
                <c:v>0.92603001947707397</c:v>
              </c:pt>
              <c:pt idx="65">
                <c:v>0.97590019790356219</c:v>
              </c:pt>
              <c:pt idx="66">
                <c:v>1.028323950802468</c:v>
              </c:pt>
              <c:pt idx="67">
                <c:v>1.0837379306738362</c:v>
              </c:pt>
              <c:pt idx="68">
                <c:v>1.1426966601588431</c:v>
              </c:pt>
              <c:pt idx="69">
                <c:v>1.20592061451562</c:v>
              </c:pt>
              <c:pt idx="70">
                <c:v>1.2743719014183901</c:v>
              </c:pt>
              <c:pt idx="71">
                <c:v>1.3493792261509356</c:v>
              </c:pt>
              <c:pt idx="72">
                <c:v>1.4328569081865656</c:v>
              </c:pt>
              <c:pt idx="73">
                <c:v>1.5277191697587056</c:v>
              </c:pt>
              <c:pt idx="74">
                <c:v>1.6387476645753793</c:v>
              </c:pt>
              <c:pt idx="75">
                <c:v>1.7746883070113353</c:v>
              </c:pt>
              <c:pt idx="76">
                <c:v>1.9545779044793139</c:v>
              </c:pt>
              <c:pt idx="77">
                <c:v>2.236539457140851</c:v>
              </c:pt>
            </c:numLit>
          </c:yVal>
          <c:smooth val="0"/>
          <c:extLst>
            <c:ext xmlns:c16="http://schemas.microsoft.com/office/drawing/2014/chart" uri="{C3380CC4-5D6E-409C-BE32-E72D297353CC}">
              <c16:uniqueId val="{00000001-AECC-4D16-9358-35FD48D8D2EB}"/>
            </c:ext>
          </c:extLst>
        </c:ser>
        <c:dLbls>
          <c:showLegendKey val="0"/>
          <c:showVal val="0"/>
          <c:showCatName val="0"/>
          <c:showSerName val="0"/>
          <c:showPercent val="0"/>
          <c:showBubbleSize val="0"/>
        </c:dLbls>
        <c:axId val="105501440"/>
        <c:axId val="105503360"/>
      </c:scatterChart>
      <c:valAx>
        <c:axId val="105501440"/>
        <c:scaling>
          <c:orientation val="minMax"/>
        </c:scaling>
        <c:delete val="0"/>
        <c:axPos val="b"/>
        <c:title>
          <c:tx>
            <c:rich>
              <a:bodyPr/>
              <a:lstStyle/>
              <a:p>
                <a:pPr>
                  <a:defRPr/>
                </a:pPr>
                <a:r>
                  <a:rPr lang="en-US"/>
                  <a:t>Theoretical Standardized Residual
</a:t>
                </a:r>
                <a:r>
                  <a:rPr lang="en-US" sz="750"/>
                  <a:t>Adjusted Anderson-Darling statistic is 0.265 (P=0.696)</a:t>
                </a:r>
              </a:p>
            </c:rich>
          </c:tx>
          <c:overlay val="0"/>
        </c:title>
        <c:numFmt formatCode="General" sourceLinked="1"/>
        <c:majorTickMark val="out"/>
        <c:minorTickMark val="none"/>
        <c:tickLblPos val="nextTo"/>
        <c:crossAx val="105503360"/>
        <c:crosses val="autoZero"/>
        <c:crossBetween val="midCat"/>
      </c:valAx>
      <c:valAx>
        <c:axId val="105503360"/>
        <c:scaling>
          <c:orientation val="minMax"/>
        </c:scaling>
        <c:delete val="0"/>
        <c:axPos val="l"/>
        <c:title>
          <c:tx>
            <c:rich>
              <a:bodyPr/>
              <a:lstStyle/>
              <a:p>
                <a:pPr>
                  <a:defRPr/>
                </a:pPr>
                <a:r>
                  <a:rPr lang="en-US"/>
                  <a:t>Actual Standardized Residual</a:t>
                </a:r>
              </a:p>
            </c:rich>
          </c:tx>
          <c:overlay val="0"/>
        </c:title>
        <c:numFmt formatCode="General" sourceLinked="1"/>
        <c:majorTickMark val="out"/>
        <c:minorTickMark val="none"/>
        <c:tickLblPos val="nextTo"/>
        <c:crossAx val="105501440"/>
        <c:crossesAt val="-3"/>
        <c:crossBetween val="midCat"/>
      </c:valAx>
      <c:spPr>
        <a:ln w="6350">
          <a:solidFill>
            <a:srgbClr val="808080"/>
          </a:solidFill>
          <a:prstDash val="solid"/>
        </a:ln>
      </c:spPr>
    </c:plotArea>
    <c:legend>
      <c:legendPos val="r"/>
      <c:overlay val="0"/>
    </c:legend>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'Elec CDD model with dummies'!$AA$2</c:f>
          <c:strCache>
            <c:ptCount val="1"/>
            <c:pt idx="0">
              <c:v>Forecasts and 95.0% confidence limits for means and forecasts
Elec CDD model with dummies for _Electric_Natural_Gas    (14 variables, n=78)</c:v>
            </c:pt>
          </c:strCache>
        </c:strRef>
      </c:tx>
      <c:overlay val="0"/>
      <c:txPr>
        <a:bodyPr/>
        <a:lstStyle/>
        <a:p>
          <a:pPr>
            <a:defRPr sz="1000"/>
          </a:pPr>
          <a:endParaRPr lang="en-US"/>
        </a:p>
      </c:txPr>
    </c:title>
    <c:autoTitleDeleted val="0"/>
    <c:plotArea>
      <c:layout/>
      <c:lineChart>
        <c:grouping val="standard"/>
        <c:varyColors val="0"/>
        <c:ser>
          <c:idx val="0"/>
          <c:order val="0"/>
          <c:tx>
            <c:v>Forecast</c:v>
          </c:tx>
          <c:spPr>
            <a:ln w="25400">
              <a:noFill/>
            </a:ln>
          </c:spPr>
          <c:marker>
            <c:symbol val="circle"/>
            <c:size val="7"/>
            <c:spPr>
              <a:solidFill>
                <a:srgbClr val="FF9999"/>
              </a:solidFill>
              <a:ln w="12700">
                <a:solidFill>
                  <a:srgbClr val="FF0000"/>
                </a:solidFill>
                <a:prstDash val="solid"/>
              </a:ln>
            </c:spPr>
          </c:marker>
          <c:errBars>
            <c:errDir val="y"/>
            <c:errBarType val="both"/>
            <c:errValType val="cust"/>
            <c:noEndCap val="0"/>
            <c:plus>
              <c:numRef>
                <c:f>'Elec CDD model with dummies'!$CG$49</c:f>
              </c:numRef>
            </c:plus>
            <c:minus>
              <c:numRef>
                <c:f>'Elec CDD model with dummies'!$CG$49</c:f>
              </c:numRef>
            </c:minus>
          </c:errBars>
          <c:val>
            <c:numRef>
              <c:f>'Elec CDD model with dummies'!$B$49</c:f>
            </c:numRef>
          </c:val>
          <c:smooth val="0"/>
          <c:extLst>
            <c:ext xmlns:c15="http://schemas.microsoft.com/office/drawing/2012/chart" uri="{02D57815-91ED-43cb-92C2-25804820EDAC}">
              <c15:filteredCategoryTitle>
                <c15:cat>
                  <c:multiLvlStrRef>
                    <c:extLst>
                      <c:ext uri="{02D57815-91ED-43cb-92C2-25804820EDAC}">
                        <c15:formulaRef>
                          <c15:sqref>'Elec CDD model with dummies'!$A$49</c15:sqref>
                        </c15:formulaRef>
                      </c:ext>
                    </c:extLst>
                  </c:multiLvlStrRef>
                </c15:cat>
              </c15:filteredCategoryTitle>
            </c:ext>
            <c:ext xmlns:c16="http://schemas.microsoft.com/office/drawing/2014/chart" uri="{C3380CC4-5D6E-409C-BE32-E72D297353CC}">
              <c16:uniqueId val="{00000000-8C1C-41B7-9427-1717E94137D3}"/>
            </c:ext>
          </c:extLst>
        </c:ser>
        <c:ser>
          <c:idx val="1"/>
          <c:order val="1"/>
          <c:tx>
            <c:strRef>
              <c:f>'Elec CDD model with dummies'!$H$48</c:f>
              <c:strCache>
                <c:ptCount val="1"/>
                <c:pt idx="0">
                  <c:v>Upper95%M</c:v>
                </c:pt>
              </c:strCache>
            </c:strRef>
          </c:tx>
          <c:spPr>
            <a:ln w="25400">
              <a:noFill/>
            </a:ln>
          </c:spPr>
          <c:marker>
            <c:symbol val="dash"/>
            <c:size val="7"/>
            <c:spPr>
              <a:noFill/>
              <a:ln w="12700">
                <a:solidFill>
                  <a:srgbClr val="000000"/>
                </a:solidFill>
              </a:ln>
              <a:extLst>
                <a:ext uri="{909E8E84-426E-40DD-AFC4-6F175D3DCCD1}">
                  <a14:hiddenFill xmlns:a14="http://schemas.microsoft.com/office/drawing/2010/main">
                    <a:solidFill>
                      <a:srgbClr val="ED7D31"/>
                    </a:solidFill>
                  </a14:hiddenFill>
                </a:ext>
              </a:extLst>
            </c:spPr>
          </c:marker>
          <c:val>
            <c:numRef>
              <c:f>'Elec CDD model with dummies'!$H$49</c:f>
            </c:numRef>
          </c:val>
          <c:smooth val="0"/>
          <c:extLst>
            <c:ext xmlns:c15="http://schemas.microsoft.com/office/drawing/2012/chart" uri="{02D57815-91ED-43cb-92C2-25804820EDAC}">
              <c15:filteredCategoryTitle>
                <c15:cat>
                  <c:multiLvlStrRef>
                    <c:extLst>
                      <c:ext uri="{02D57815-91ED-43cb-92C2-25804820EDAC}">
                        <c15:formulaRef>
                          <c15:sqref>'Elec CDD model with dummies'!$A$49</c15:sqref>
                        </c15:formulaRef>
                      </c:ext>
                    </c:extLst>
                  </c:multiLvlStrRef>
                </c15:cat>
              </c15:filteredCategoryTitle>
            </c:ext>
            <c:ext xmlns:c16="http://schemas.microsoft.com/office/drawing/2014/chart" uri="{C3380CC4-5D6E-409C-BE32-E72D297353CC}">
              <c16:uniqueId val="{00000001-8C1C-41B7-9427-1717E94137D3}"/>
            </c:ext>
          </c:extLst>
        </c:ser>
        <c:ser>
          <c:idx val="2"/>
          <c:order val="2"/>
          <c:tx>
            <c:strRef>
              <c:f>'Elec CDD model with dummies'!$G$48</c:f>
              <c:strCache>
                <c:ptCount val="1"/>
                <c:pt idx="0">
                  <c:v>Lower95%M</c:v>
                </c:pt>
              </c:strCache>
            </c:strRef>
          </c:tx>
          <c:spPr>
            <a:ln w="25400">
              <a:noFill/>
            </a:ln>
          </c:spPr>
          <c:marker>
            <c:symbol val="dash"/>
            <c:size val="7"/>
            <c:spPr>
              <a:noFill/>
              <a:ln w="12700">
                <a:solidFill>
                  <a:srgbClr val="000000"/>
                </a:solidFill>
              </a:ln>
              <a:extLst>
                <a:ext uri="{909E8E84-426E-40DD-AFC4-6F175D3DCCD1}">
                  <a14:hiddenFill xmlns:a14="http://schemas.microsoft.com/office/drawing/2010/main">
                    <a:solidFill>
                      <a:srgbClr val="A5A5A5"/>
                    </a:solidFill>
                  </a14:hiddenFill>
                </a:ext>
              </a:extLst>
            </c:spPr>
          </c:marker>
          <c:val>
            <c:numRef>
              <c:f>'Elec CDD model with dummies'!$G$49</c:f>
            </c:numRef>
          </c:val>
          <c:smooth val="0"/>
          <c:extLst>
            <c:ext xmlns:c15="http://schemas.microsoft.com/office/drawing/2012/chart" uri="{02D57815-91ED-43cb-92C2-25804820EDAC}">
              <c15:filteredCategoryTitle>
                <c15:cat>
                  <c:multiLvlStrRef>
                    <c:extLst>
                      <c:ext uri="{02D57815-91ED-43cb-92C2-25804820EDAC}">
                        <c15:formulaRef>
                          <c15:sqref>'Elec CDD model with dummies'!$A$49</c15:sqref>
                        </c15:formulaRef>
                      </c:ext>
                    </c:extLst>
                  </c:multiLvlStrRef>
                </c15:cat>
              </c15:filteredCategoryTitle>
            </c:ext>
            <c:ext xmlns:c16="http://schemas.microsoft.com/office/drawing/2014/chart" uri="{C3380CC4-5D6E-409C-BE32-E72D297353CC}">
              <c16:uniqueId val="{00000002-8C1C-41B7-9427-1717E94137D3}"/>
            </c:ext>
          </c:extLst>
        </c:ser>
        <c:dLbls>
          <c:showLegendKey val="0"/>
          <c:showVal val="0"/>
          <c:showCatName val="0"/>
          <c:showSerName val="0"/>
          <c:showPercent val="0"/>
          <c:showBubbleSize val="0"/>
        </c:dLbls>
        <c:marker val="1"/>
        <c:smooth val="0"/>
        <c:axId val="105534592"/>
        <c:axId val="105536896"/>
      </c:lineChart>
      <c:catAx>
        <c:axId val="105534592"/>
        <c:scaling>
          <c:orientation val="minMax"/>
        </c:scaling>
        <c:delete val="0"/>
        <c:axPos val="b"/>
        <c:title>
          <c:tx>
            <c:rich>
              <a:bodyPr/>
              <a:lstStyle/>
              <a:p>
                <a:pPr>
                  <a:defRPr/>
                </a:pPr>
                <a:r>
                  <a:rPr lang="en-US"/>
                  <a:t>Observation #</a:t>
                </a:r>
              </a:p>
            </c:rich>
          </c:tx>
          <c:overlay val="0"/>
        </c:title>
        <c:numFmt formatCode="#,##0.000" sourceLinked="1"/>
        <c:majorTickMark val="out"/>
        <c:minorTickMark val="none"/>
        <c:tickLblPos val="nextTo"/>
        <c:crossAx val="105536896"/>
        <c:crossesAt val="0"/>
        <c:auto val="1"/>
        <c:lblAlgn val="ctr"/>
        <c:lblOffset val="100"/>
        <c:noMultiLvlLbl val="0"/>
      </c:catAx>
      <c:valAx>
        <c:axId val="105536896"/>
        <c:scaling>
          <c:orientation val="minMax"/>
        </c:scaling>
        <c:delete val="0"/>
        <c:axPos val="l"/>
        <c:majorGridlines>
          <c:spPr>
            <a:ln w="3175">
              <a:solidFill>
                <a:srgbClr val="C0C0C0"/>
              </a:solidFill>
              <a:prstDash val="solid"/>
            </a:ln>
          </c:spPr>
        </c:majorGridlines>
        <c:title>
          <c:tx>
            <c:rich>
              <a:bodyPr/>
              <a:lstStyle/>
              <a:p>
                <a:pPr>
                  <a:defRPr/>
                </a:pPr>
                <a:r>
                  <a:rPr lang="en-US"/>
                  <a:t>_Electric_Natural_Gas</a:t>
                </a:r>
              </a:p>
            </c:rich>
          </c:tx>
          <c:layout>
            <c:manualLayout>
              <c:xMode val="edge"/>
              <c:yMode val="edge"/>
              <c:x val="2.8150991682661549E-2"/>
              <c:y val="0.2660618256051327"/>
            </c:manualLayout>
          </c:layout>
          <c:overlay val="0"/>
        </c:title>
        <c:numFmt formatCode="General" sourceLinked="0"/>
        <c:majorTickMark val="out"/>
        <c:minorTickMark val="none"/>
        <c:tickLblPos val="nextTo"/>
        <c:crossAx val="105534592"/>
        <c:crosses val="autoZero"/>
        <c:crossBetween val="between"/>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txPr>
    <a:bodyPr/>
    <a:lstStyle/>
    <a:p>
      <a:pPr>
        <a:defRPr sz="1000">
          <a:latin typeface="Calibri"/>
          <a:ea typeface="Calibri"/>
          <a:cs typeface="Calibri"/>
        </a:defRPr>
      </a:pPr>
      <a:endParaRPr lang="en-US"/>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'Elec CDD model with dummies'!$AA$3</c:f>
          <c:strCache>
            <c:ptCount val="1"/>
            <c:pt idx="0">
              <c:v>Actual and predicted -vs- Observation #
Elec CDD model with dummies for _Electric_Natural_Gas
(14 variables, n=78)</c:v>
            </c:pt>
          </c:strCache>
        </c:strRef>
      </c:tx>
      <c:overlay val="0"/>
      <c:txPr>
        <a:bodyPr/>
        <a:lstStyle/>
        <a:p>
          <a:pPr>
            <a:defRPr sz="1000">
              <a:latin typeface="Calibri"/>
              <a:ea typeface="Calibri"/>
              <a:cs typeface="Calibri"/>
            </a:defRPr>
          </a:pPr>
          <a:endParaRPr lang="en-US"/>
        </a:p>
      </c:txPr>
    </c:title>
    <c:autoTitleDeleted val="0"/>
    <c:plotArea>
      <c:layout/>
      <c:scatterChart>
        <c:scatterStyle val="lineMarker"/>
        <c:varyColors val="0"/>
        <c:ser>
          <c:idx val="0"/>
          <c:order val="0"/>
          <c:tx>
            <c:v>Actual</c:v>
          </c:tx>
          <c:spPr>
            <a:ln w="9525" cap="rnd" cmpd="sng" algn="ctr">
              <a:solidFill>
                <a:srgbClr val="0000FF"/>
              </a:solidFill>
              <a:prstDash val="solid"/>
              <a:round/>
              <a:headEnd type="none" w="med" len="med"/>
              <a:tailEnd type="none" w="med" len="med"/>
            </a:ln>
          </c:spPr>
          <c:marker>
            <c:symbol val="diamond"/>
            <c:size val="6"/>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7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numLit>
          </c:xVal>
          <c:yVal>
            <c:numLit>
              <c:formatCode>General</c:formatCode>
              <c:ptCount val="78"/>
              <c:pt idx="0">
                <c:v>1798</c:v>
              </c:pt>
              <c:pt idx="1">
                <c:v>1912</c:v>
              </c:pt>
              <c:pt idx="2">
                <c:v>2674</c:v>
              </c:pt>
              <c:pt idx="3">
                <c:v>1314</c:v>
              </c:pt>
              <c:pt idx="4">
                <c:v>1761</c:v>
              </c:pt>
              <c:pt idx="5">
                <c:v>4481</c:v>
              </c:pt>
              <c:pt idx="6">
                <c:v>5303</c:v>
              </c:pt>
              <c:pt idx="7">
                <c:v>7937</c:v>
              </c:pt>
              <c:pt idx="8">
                <c:v>7103</c:v>
              </c:pt>
              <c:pt idx="9">
                <c:v>1259</c:v>
              </c:pt>
              <c:pt idx="10">
                <c:v>2241</c:v>
              </c:pt>
              <c:pt idx="11">
                <c:v>2133</c:v>
              </c:pt>
              <c:pt idx="12">
                <c:v>4595</c:v>
              </c:pt>
              <c:pt idx="13">
                <c:v>3096</c:v>
              </c:pt>
              <c:pt idx="14">
                <c:v>2555</c:v>
              </c:pt>
              <c:pt idx="15">
                <c:v>3098</c:v>
              </c:pt>
              <c:pt idx="16">
                <c:v>5787</c:v>
              </c:pt>
              <c:pt idx="17">
                <c:v>10952</c:v>
              </c:pt>
              <c:pt idx="18">
                <c:v>12003</c:v>
              </c:pt>
              <c:pt idx="19">
                <c:v>10299</c:v>
              </c:pt>
              <c:pt idx="20">
                <c:v>5803</c:v>
              </c:pt>
              <c:pt idx="21">
                <c:v>4621</c:v>
              </c:pt>
              <c:pt idx="22">
                <c:v>4250</c:v>
              </c:pt>
              <c:pt idx="23">
                <c:v>6013</c:v>
              </c:pt>
              <c:pt idx="24">
                <c:v>4681</c:v>
              </c:pt>
              <c:pt idx="25">
                <c:v>3473</c:v>
              </c:pt>
              <c:pt idx="26">
                <c:v>4445</c:v>
              </c:pt>
              <c:pt idx="27">
                <c:v>3691</c:v>
              </c:pt>
              <c:pt idx="28">
                <c:v>8148</c:v>
              </c:pt>
              <c:pt idx="29">
                <c:v>10582</c:v>
              </c:pt>
              <c:pt idx="30">
                <c:v>14049</c:v>
              </c:pt>
              <c:pt idx="31">
                <c:v>10826</c:v>
              </c:pt>
              <c:pt idx="32">
                <c:v>7157</c:v>
              </c:pt>
              <c:pt idx="33">
                <c:v>6183</c:v>
              </c:pt>
              <c:pt idx="34">
                <c:v>7969</c:v>
              </c:pt>
              <c:pt idx="35">
                <c:v>8594</c:v>
              </c:pt>
              <c:pt idx="36">
                <c:v>10096</c:v>
              </c:pt>
              <c:pt idx="37">
                <c:v>12898</c:v>
              </c:pt>
              <c:pt idx="38">
                <c:v>10717</c:v>
              </c:pt>
              <c:pt idx="39">
                <c:v>10778</c:v>
              </c:pt>
              <c:pt idx="40">
                <c:v>13077</c:v>
              </c:pt>
              <c:pt idx="41">
                <c:v>13291</c:v>
              </c:pt>
              <c:pt idx="42">
                <c:v>20603</c:v>
              </c:pt>
              <c:pt idx="43">
                <c:v>16794</c:v>
              </c:pt>
              <c:pt idx="44">
                <c:v>14032</c:v>
              </c:pt>
              <c:pt idx="45">
                <c:v>9107</c:v>
              </c:pt>
              <c:pt idx="46">
                <c:v>7885</c:v>
              </c:pt>
              <c:pt idx="47">
                <c:v>11589</c:v>
              </c:pt>
              <c:pt idx="48">
                <c:v>15951</c:v>
              </c:pt>
              <c:pt idx="49">
                <c:v>14442</c:v>
              </c:pt>
              <c:pt idx="50">
                <c:v>15968</c:v>
              </c:pt>
              <c:pt idx="51">
                <c:v>14409</c:v>
              </c:pt>
              <c:pt idx="52">
                <c:v>15758</c:v>
              </c:pt>
              <c:pt idx="53">
                <c:v>17311</c:v>
              </c:pt>
              <c:pt idx="54">
                <c:v>19612</c:v>
              </c:pt>
              <c:pt idx="55">
                <c:v>19504</c:v>
              </c:pt>
              <c:pt idx="56">
                <c:v>18336</c:v>
              </c:pt>
              <c:pt idx="57">
                <c:v>15088</c:v>
              </c:pt>
              <c:pt idx="58">
                <c:v>15652</c:v>
              </c:pt>
              <c:pt idx="59">
                <c:v>18969</c:v>
              </c:pt>
              <c:pt idx="60">
                <c:v>17864</c:v>
              </c:pt>
              <c:pt idx="61">
                <c:v>8697</c:v>
              </c:pt>
              <c:pt idx="62">
                <c:v>14767</c:v>
              </c:pt>
              <c:pt idx="63">
                <c:v>15371</c:v>
              </c:pt>
              <c:pt idx="64">
                <c:v>16592</c:v>
              </c:pt>
              <c:pt idx="65">
                <c:v>20928</c:v>
              </c:pt>
              <c:pt idx="66">
                <c:v>20934</c:v>
              </c:pt>
              <c:pt idx="67">
                <c:v>20625</c:v>
              </c:pt>
              <c:pt idx="68">
                <c:v>19655</c:v>
              </c:pt>
              <c:pt idx="69">
                <c:v>12618</c:v>
              </c:pt>
              <c:pt idx="70">
                <c:v>16980</c:v>
              </c:pt>
              <c:pt idx="71">
                <c:v>21194</c:v>
              </c:pt>
              <c:pt idx="72">
                <c:v>21992</c:v>
              </c:pt>
              <c:pt idx="73">
                <c:v>20106</c:v>
              </c:pt>
              <c:pt idx="74">
                <c:v>19194</c:v>
              </c:pt>
              <c:pt idx="75">
                <c:v>19240</c:v>
              </c:pt>
              <c:pt idx="76">
                <c:v>23874</c:v>
              </c:pt>
              <c:pt idx="77">
                <c:v>26468</c:v>
              </c:pt>
            </c:numLit>
          </c:yVal>
          <c:smooth val="0"/>
          <c:extLst>
            <c:ext xmlns:c16="http://schemas.microsoft.com/office/drawing/2014/chart" uri="{C3380CC4-5D6E-409C-BE32-E72D297353CC}">
              <c16:uniqueId val="{00000000-3EE4-4C41-A7AD-AB3A35E4E799}"/>
            </c:ext>
          </c:extLst>
        </c:ser>
        <c:ser>
          <c:idx val="1"/>
          <c:order val="1"/>
          <c:tx>
            <c:v>Predicted</c:v>
          </c:tx>
          <c:spPr>
            <a:ln w="9525">
              <a:solidFill>
                <a:srgbClr val="FF0000"/>
              </a:solidFill>
              <a:prstDash val="sysDash"/>
            </a:ln>
          </c:spPr>
          <c:marker>
            <c:symbol val="circle"/>
            <c:size val="6"/>
            <c:spPr>
              <a:noFill/>
              <a:ln w="9525">
                <a:solidFill>
                  <a:srgbClr val="FF0000"/>
                </a:solidFill>
                <a:prstDash val="solid"/>
              </a:ln>
            </c:spPr>
          </c:marker>
          <c:xVal>
            <c:numLit>
              <c:formatCode>General</c:formatCode>
              <c:ptCount val="7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numLit>
          </c:xVal>
          <c:yVal>
            <c:numLit>
              <c:formatCode>General</c:formatCode>
              <c:ptCount val="78"/>
              <c:pt idx="0">
                <c:v>1392.1769260742076</c:v>
              </c:pt>
              <c:pt idx="1">
                <c:v>-364.75757248303125</c:v>
              </c:pt>
              <c:pt idx="2">
                <c:v>388.11871655227878</c:v>
              </c:pt>
              <c:pt idx="3">
                <c:v>188.57980067655808</c:v>
              </c:pt>
              <c:pt idx="4">
                <c:v>2500.7515675468167</c:v>
              </c:pt>
              <c:pt idx="5">
                <c:v>4854.5058869303975</c:v>
              </c:pt>
              <c:pt idx="6">
                <c:v>5840.4837426943086</c:v>
              </c:pt>
              <c:pt idx="7">
                <c:v>6787.5489669716553</c:v>
              </c:pt>
              <c:pt idx="8">
                <c:v>4152.5215662731607</c:v>
              </c:pt>
              <c:pt idx="9">
                <c:v>528.83113252118346</c:v>
              </c:pt>
              <c:pt idx="10">
                <c:v>1211.4564625714665</c:v>
              </c:pt>
              <c:pt idx="11">
                <c:v>3464.6117726110169</c:v>
              </c:pt>
              <c:pt idx="12">
                <c:v>4594.4969434551749</c:v>
              </c:pt>
              <c:pt idx="13">
                <c:v>2837.5624448979361</c:v>
              </c:pt>
              <c:pt idx="14">
                <c:v>3926.7953688629241</c:v>
              </c:pt>
              <c:pt idx="15">
                <c:v>3045.550025267461</c:v>
              </c:pt>
              <c:pt idx="16">
                <c:v>5397.9178509795893</c:v>
              </c:pt>
              <c:pt idx="17">
                <c:v>9824.9515588063477</c:v>
              </c:pt>
              <c:pt idx="18">
                <c:v>11768.750663615985</c:v>
              </c:pt>
              <c:pt idx="19">
                <c:v>10954.237086193334</c:v>
              </c:pt>
              <c:pt idx="20">
                <c:v>7131.6033480704718</c:v>
              </c:pt>
              <c:pt idx="21">
                <c:v>3136.6763185301861</c:v>
              </c:pt>
              <c:pt idx="22">
                <c:v>4413.7764799524339</c:v>
              </c:pt>
              <c:pt idx="23">
                <c:v>6666.9317899919843</c:v>
              </c:pt>
              <c:pt idx="24">
                <c:v>7796.8169608361459</c:v>
              </c:pt>
              <c:pt idx="25">
                <c:v>5974.1218206207159</c:v>
              </c:pt>
              <c:pt idx="26">
                <c:v>6869.1490293325114</c:v>
              </c:pt>
              <c:pt idx="27">
                <c:v>5874.2868556092872</c:v>
              </c:pt>
              <c:pt idx="28">
                <c:v>8957.9434717962904</c:v>
              </c:pt>
              <c:pt idx="29">
                <c:v>12056.3706008146</c:v>
              </c:pt>
              <c:pt idx="30">
                <c:v>15368.584605408501</c:v>
              </c:pt>
              <c:pt idx="31">
                <c:v>13312.947829516266</c:v>
              </c:pt>
              <c:pt idx="32">
                <c:v>10222.950325032562</c:v>
              </c:pt>
              <c:pt idx="33">
                <c:v>7147.94499558389</c:v>
              </c:pt>
              <c:pt idx="34">
                <c:v>7325.3184564912081</c:v>
              </c:pt>
              <c:pt idx="35">
                <c:v>9857.9421422389314</c:v>
              </c:pt>
              <c:pt idx="36">
                <c:v>10999.136978217113</c:v>
              </c:pt>
              <c:pt idx="37">
                <c:v>9242.2024796598744</c:v>
              </c:pt>
              <c:pt idx="38">
                <c:v>9073.9359837743432</c:v>
              </c:pt>
              <c:pt idx="39">
                <c:v>9856.4641962989808</c:v>
              </c:pt>
              <c:pt idx="40">
                <c:v>11866.504212114301</c:v>
              </c:pt>
              <c:pt idx="41">
                <c:v>13982.926907469879</c:v>
              </c:pt>
              <c:pt idx="42">
                <c:v>18754.824609017134</c:v>
              </c:pt>
              <c:pt idx="43">
                <c:v>15438.00536350971</c:v>
              </c:pt>
              <c:pt idx="44">
                <c:v>13739.962144671455</c:v>
              </c:pt>
              <c:pt idx="45">
                <c:v>9812.0217929168321</c:v>
              </c:pt>
              <c:pt idx="46">
                <c:v>10824.073230675083</c:v>
              </c:pt>
              <c:pt idx="47">
                <c:v>13045.206043896218</c:v>
              </c:pt>
              <c:pt idx="48">
                <c:v>14184.498148078161</c:v>
              </c:pt>
              <c:pt idx="49">
                <c:v>12444.522497040842</c:v>
              </c:pt>
              <c:pt idx="50">
                <c:v>13507.389640148122</c:v>
              </c:pt>
              <c:pt idx="51">
                <c:v>13034.662933968739</c:v>
              </c:pt>
              <c:pt idx="52">
                <c:v>16194.22023647535</c:v>
              </c:pt>
              <c:pt idx="53">
                <c:v>17315.480254442864</c:v>
              </c:pt>
              <c:pt idx="54">
                <c:v>18933.169788236879</c:v>
              </c:pt>
              <c:pt idx="55">
                <c:v>18143.213713632442</c:v>
              </c:pt>
              <c:pt idx="56">
                <c:v>16909.016291971271</c:v>
              </c:pt>
              <c:pt idx="57">
                <c:v>12569.300611130046</c:v>
              </c:pt>
              <c:pt idx="58">
                <c:v>14001.908016802041</c:v>
              </c:pt>
              <c:pt idx="59">
                <c:v>15981.096391746305</c:v>
              </c:pt>
              <c:pt idx="60">
                <c:v>17403.777012979048</c:v>
              </c:pt>
              <c:pt idx="61">
                <c:v>15641.185798461087</c:v>
              </c:pt>
              <c:pt idx="62">
                <c:v>16736.075438386793</c:v>
              </c:pt>
              <c:pt idx="63">
                <c:v>16600.199615579008</c:v>
              </c:pt>
              <c:pt idx="64">
                <c:v>18578.997796364496</c:v>
              </c:pt>
              <c:pt idx="65">
                <c:v>20873.199566840416</c:v>
              </c:pt>
              <c:pt idx="66">
                <c:v>21838.186591029978</c:v>
              </c:pt>
              <c:pt idx="67">
                <c:v>21349.047040176501</c:v>
              </c:pt>
              <c:pt idx="68">
                <c:v>19929.946323982749</c:v>
              </c:pt>
              <c:pt idx="69">
                <c:v>15681.225149318689</c:v>
              </c:pt>
              <c:pt idx="70">
                <c:v>17200.467353507567</c:v>
              </c:pt>
              <c:pt idx="71">
                <c:v>19476.211859515857</c:v>
              </c:pt>
              <c:pt idx="72">
                <c:v>20606.097030360015</c:v>
              </c:pt>
              <c:pt idx="73">
                <c:v>18849.162531802776</c:v>
              </c:pt>
              <c:pt idx="74">
                <c:v>19818.535822942646</c:v>
              </c:pt>
              <c:pt idx="75">
                <c:v>19301.256572600727</c:v>
              </c:pt>
              <c:pt idx="76">
                <c:v>21500.664864727765</c:v>
              </c:pt>
              <c:pt idx="77">
                <c:v>25105.565224695292</c:v>
              </c:pt>
            </c:numLit>
          </c:yVal>
          <c:smooth val="0"/>
          <c:extLst>
            <c:ext xmlns:c16="http://schemas.microsoft.com/office/drawing/2014/chart" uri="{C3380CC4-5D6E-409C-BE32-E72D297353CC}">
              <c16:uniqueId val="{00000001-3EE4-4C41-A7AD-AB3A35E4E799}"/>
            </c:ext>
          </c:extLst>
        </c:ser>
        <c:ser>
          <c:idx val="2"/>
          <c:order val="2"/>
          <c:tx>
            <c:v>Forecast</c:v>
          </c:tx>
          <c:spPr>
            <a:ln w="25400">
              <a:noFill/>
            </a:ln>
          </c:spPr>
          <c:marker>
            <c:symbol val="circle"/>
            <c:size val="7"/>
            <c:spPr>
              <a:solidFill>
                <a:srgbClr val="FF9999"/>
              </a:solidFill>
              <a:ln w="12700">
                <a:solidFill>
                  <a:srgbClr val="FF0000"/>
                </a:solidFill>
                <a:prstDash val="solid"/>
              </a:ln>
            </c:spPr>
          </c:marker>
          <c:errBars>
            <c:errDir val="y"/>
            <c:errBarType val="both"/>
            <c:errValType val="cust"/>
            <c:noEndCap val="0"/>
            <c:plus>
              <c:numRef>
                <c:f>'Elec CDD model with dummies'!$CG$49</c:f>
              </c:numRef>
            </c:plus>
            <c:minus>
              <c:numRef>
                <c:f>'Elec CDD model with dummies'!$CG$49</c:f>
              </c:numRef>
            </c:minus>
          </c:errBars>
          <c:xVal>
            <c:numRef>
              <c:f>'Elec CDD model with dummies'!$A$49:$A$49</c:f>
            </c:numRef>
          </c:xVal>
          <c:yVal>
            <c:numRef>
              <c:f>'Elec CDD model with dummies'!$B$49:$B$49</c:f>
            </c:numRef>
          </c:yVal>
          <c:smooth val="0"/>
          <c:extLst>
            <c:ext xmlns:c16="http://schemas.microsoft.com/office/drawing/2014/chart" uri="{C3380CC4-5D6E-409C-BE32-E72D297353CC}">
              <c16:uniqueId val="{00000002-3EE4-4C41-A7AD-AB3A35E4E799}"/>
            </c:ext>
          </c:extLst>
        </c:ser>
        <c:dLbls>
          <c:showLegendKey val="0"/>
          <c:showVal val="0"/>
          <c:showCatName val="0"/>
          <c:showSerName val="0"/>
          <c:showPercent val="0"/>
          <c:showBubbleSize val="0"/>
        </c:dLbls>
        <c:axId val="105551360"/>
        <c:axId val="105553280"/>
      </c:scatterChart>
      <c:valAx>
        <c:axId val="105551360"/>
        <c:scaling>
          <c:orientation val="minMax"/>
        </c:scaling>
        <c:delete val="0"/>
        <c:axPos val="b"/>
        <c:title>
          <c:tx>
            <c:rich>
              <a:bodyPr/>
              <a:lstStyle/>
              <a:p>
                <a:pPr>
                  <a:defRPr/>
                </a:pPr>
                <a:r>
                  <a:rPr lang="en-US"/>
                  <a:t>Observation #</a:t>
                </a:r>
              </a:p>
            </c:rich>
          </c:tx>
          <c:overlay val="0"/>
        </c:title>
        <c:numFmt formatCode="0" sourceLinked="0"/>
        <c:majorTickMark val="out"/>
        <c:minorTickMark val="none"/>
        <c:tickLblPos val="nextTo"/>
        <c:crossAx val="105553280"/>
        <c:crossesAt val="-5000"/>
        <c:crossBetween val="midCat"/>
      </c:valAx>
      <c:valAx>
        <c:axId val="105553280"/>
        <c:scaling>
          <c:orientation val="minMax"/>
        </c:scaling>
        <c:delete val="0"/>
        <c:axPos val="l"/>
        <c:majorGridlines>
          <c:spPr>
            <a:ln w="3175">
              <a:solidFill>
                <a:srgbClr val="C0C0C0"/>
              </a:solidFill>
              <a:prstDash val="solid"/>
            </a:ln>
          </c:spPr>
        </c:majorGridlines>
        <c:title>
          <c:tx>
            <c:rich>
              <a:bodyPr/>
              <a:lstStyle/>
              <a:p>
                <a:pPr>
                  <a:defRPr/>
                </a:pPr>
                <a:r>
                  <a:rPr lang="en-US"/>
                  <a:t>_Electric_Natural_Gas</a:t>
                </a:r>
              </a:p>
            </c:rich>
          </c:tx>
          <c:layout>
            <c:manualLayout>
              <c:xMode val="edge"/>
              <c:yMode val="edge"/>
              <c:x val="2.8150991682661549E-2"/>
              <c:y val="0.2660618256051327"/>
            </c:manualLayout>
          </c:layout>
          <c:overlay val="0"/>
        </c:title>
        <c:numFmt formatCode="General" sourceLinked="1"/>
        <c:majorTickMark val="out"/>
        <c:minorTickMark val="none"/>
        <c:tickLblPos val="nextTo"/>
        <c:crossAx val="105551360"/>
        <c:crossesAt val="0"/>
        <c:crossBetween val="midCat"/>
      </c:valAx>
      <c:spPr>
        <a:ln w="6350">
          <a:solidFill>
            <a:srgbClr val="808080"/>
          </a:solidFill>
          <a:prstDash val="solid"/>
        </a:ln>
      </c:spPr>
    </c:plotArea>
    <c:legend>
      <c:legendPos val="r"/>
      <c:overlay val="0"/>
    </c:legend>
    <c:plotVisOnly val="1"/>
    <c:dispBlanksAs val="gap"/>
    <c:showDLblsOverMax val="0"/>
  </c:chart>
  <c:spPr>
    <a:solidFill>
      <a:srgbClr val="F3F3F3"/>
    </a:solidFill>
    <a:ln w="6350">
      <a:solidFill>
        <a:srgbClr val="808080"/>
      </a:solidFill>
      <a:prstDash val="solid"/>
    </a:ln>
  </c:spPr>
  <c:txPr>
    <a:bodyPr/>
    <a:lstStyle/>
    <a:p>
      <a:pPr>
        <a:defRPr sz="1000">
          <a:latin typeface="+mn-lt"/>
          <a:ea typeface="+mn-lt"/>
          <a:cs typeface="+mn-lt"/>
        </a:defRPr>
      </a:pPr>
      <a:endParaRPr lang="en-US"/>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Residual -vs- Observation #
</a:t>
            </a:r>
            <a:r>
              <a:rPr lang="en-US" sz="1000"/>
              <a:t>Elec CDD model with dummies for _Electric_Natural_Gas
(14 variables, n=78)</a:t>
            </a:r>
          </a:p>
        </c:rich>
      </c:tx>
      <c:overlay val="0"/>
    </c:title>
    <c:autoTitleDeleted val="0"/>
    <c:plotArea>
      <c:layout/>
      <c:barChart>
        <c:barDir val="col"/>
        <c:grouping val="clustered"/>
        <c:varyColors val="0"/>
        <c:ser>
          <c:idx val="0"/>
          <c:order val="0"/>
          <c:tx>
            <c:v>Actual</c:v>
          </c:tx>
          <c:spPr>
            <a:solidFill>
              <a:srgbClr val="9999FF"/>
            </a:solidFill>
            <a:ln w="9525" cap="flat" cmpd="sng" algn="ctr">
              <a:solidFill>
                <a:srgbClr val="0000FF"/>
              </a:solidFill>
              <a:prstDash val="solid"/>
              <a:round/>
              <a:headEnd type="none" w="med" len="med"/>
              <a:tailEnd type="none" w="med" len="med"/>
            </a:ln>
            <a:effectLst/>
          </c:spPr>
          <c:invertIfNegative val="0"/>
          <c:cat>
            <c:numLit>
              <c:formatCode>General</c:formatCode>
              <c:ptCount val="7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numLit>
          </c:cat>
          <c:val>
            <c:numLit>
              <c:formatCode>General</c:formatCode>
              <c:ptCount val="78"/>
              <c:pt idx="0">
                <c:v>405.82307392579241</c:v>
              </c:pt>
              <c:pt idx="1">
                <c:v>2276.7575724830313</c:v>
              </c:pt>
              <c:pt idx="2">
                <c:v>2285.8812834477212</c:v>
              </c:pt>
              <c:pt idx="3">
                <c:v>1125.4201993234419</c:v>
              </c:pt>
              <c:pt idx="4">
                <c:v>-739.75156754681666</c:v>
              </c:pt>
              <c:pt idx="5">
                <c:v>-373.50588693039754</c:v>
              </c:pt>
              <c:pt idx="6">
                <c:v>-537.4837426943086</c:v>
              </c:pt>
              <c:pt idx="7">
                <c:v>1149.4510330283447</c:v>
              </c:pt>
              <c:pt idx="8">
                <c:v>2950.4784337268393</c:v>
              </c:pt>
              <c:pt idx="9">
                <c:v>730.16886747881654</c:v>
              </c:pt>
              <c:pt idx="10">
                <c:v>1029.5435374285335</c:v>
              </c:pt>
              <c:pt idx="11">
                <c:v>-1331.6117726110169</c:v>
              </c:pt>
              <c:pt idx="12">
                <c:v>0.50305654482508544</c:v>
              </c:pt>
              <c:pt idx="13">
                <c:v>258.43755510206393</c:v>
              </c:pt>
              <c:pt idx="14">
                <c:v>-1371.7953688629241</c:v>
              </c:pt>
              <c:pt idx="15">
                <c:v>52.449974732538976</c:v>
              </c:pt>
              <c:pt idx="16">
                <c:v>389.08214902041072</c:v>
              </c:pt>
              <c:pt idx="17">
                <c:v>1127.0484411936523</c:v>
              </c:pt>
              <c:pt idx="18">
                <c:v>234.2493363840149</c:v>
              </c:pt>
              <c:pt idx="19">
                <c:v>-655.23708619333411</c:v>
              </c:pt>
              <c:pt idx="20">
                <c:v>-1328.6033480704718</c:v>
              </c:pt>
              <c:pt idx="21">
                <c:v>1484.3236814698139</c:v>
              </c:pt>
              <c:pt idx="22">
                <c:v>-163.77647995243387</c:v>
              </c:pt>
              <c:pt idx="23">
                <c:v>-653.93178999198426</c:v>
              </c:pt>
              <c:pt idx="24">
                <c:v>-3115.8169608361459</c:v>
              </c:pt>
              <c:pt idx="25">
                <c:v>-2501.1218206207159</c:v>
              </c:pt>
              <c:pt idx="26">
                <c:v>-2424.1490293325114</c:v>
              </c:pt>
              <c:pt idx="27">
                <c:v>-2183.2868556092872</c:v>
              </c:pt>
              <c:pt idx="28">
                <c:v>-809.9434717962904</c:v>
              </c:pt>
              <c:pt idx="29">
                <c:v>-1474.3706008146</c:v>
              </c:pt>
              <c:pt idx="30">
                <c:v>-1319.5846054085014</c:v>
              </c:pt>
              <c:pt idx="31">
                <c:v>-2486.9478295162662</c:v>
              </c:pt>
              <c:pt idx="32">
                <c:v>-3065.9503250325615</c:v>
              </c:pt>
              <c:pt idx="33">
                <c:v>-964.94499558388998</c:v>
              </c:pt>
              <c:pt idx="34">
                <c:v>643.68154350879195</c:v>
              </c:pt>
              <c:pt idx="35">
                <c:v>-1263.9421422389314</c:v>
              </c:pt>
              <c:pt idx="36">
                <c:v>-903.13697821711321</c:v>
              </c:pt>
              <c:pt idx="37">
                <c:v>3655.7975203401256</c:v>
              </c:pt>
              <c:pt idx="38">
                <c:v>1643.0640162256568</c:v>
              </c:pt>
              <c:pt idx="39">
                <c:v>921.53580370101918</c:v>
              </c:pt>
              <c:pt idx="40">
                <c:v>1210.4957878856985</c:v>
              </c:pt>
              <c:pt idx="41">
                <c:v>-691.92690746987864</c:v>
              </c:pt>
              <c:pt idx="42">
                <c:v>1848.1753909828658</c:v>
              </c:pt>
              <c:pt idx="43">
                <c:v>1355.9946364902898</c:v>
              </c:pt>
              <c:pt idx="44">
                <c:v>292.03785532854454</c:v>
              </c:pt>
              <c:pt idx="45">
                <c:v>-705.02179291683206</c:v>
              </c:pt>
              <c:pt idx="46">
                <c:v>-2939.0732306750833</c:v>
              </c:pt>
              <c:pt idx="47">
                <c:v>-1456.206043896218</c:v>
              </c:pt>
              <c:pt idx="48">
                <c:v>1766.5018519218393</c:v>
              </c:pt>
              <c:pt idx="49">
                <c:v>1997.4775029591583</c:v>
              </c:pt>
              <c:pt idx="50">
                <c:v>2460.6103598518785</c:v>
              </c:pt>
              <c:pt idx="51">
                <c:v>1374.3370660312612</c:v>
              </c:pt>
              <c:pt idx="52">
                <c:v>-436.22023647535025</c:v>
              </c:pt>
              <c:pt idx="53">
                <c:v>-4.4802544428639521</c:v>
              </c:pt>
              <c:pt idx="54">
                <c:v>678.83021176312104</c:v>
              </c:pt>
              <c:pt idx="55">
                <c:v>1360.7862863675582</c:v>
              </c:pt>
              <c:pt idx="56">
                <c:v>1426.9837080287289</c:v>
              </c:pt>
              <c:pt idx="57">
                <c:v>2518.6993888699544</c:v>
              </c:pt>
              <c:pt idx="58">
                <c:v>1650.0919831979591</c:v>
              </c:pt>
              <c:pt idx="59">
                <c:v>2987.903608253695</c:v>
              </c:pt>
              <c:pt idx="60">
                <c:v>460.22298702095213</c:v>
              </c:pt>
              <c:pt idx="61">
                <c:v>-6944.185798461087</c:v>
              </c:pt>
              <c:pt idx="62">
                <c:v>-1969.0754383867934</c:v>
              </c:pt>
              <c:pt idx="63">
                <c:v>-1229.1996155790075</c:v>
              </c:pt>
              <c:pt idx="64">
                <c:v>-1986.997796364496</c:v>
              </c:pt>
              <c:pt idx="65">
                <c:v>54.800433159583918</c:v>
              </c:pt>
              <c:pt idx="66">
                <c:v>-904.18659102997844</c:v>
              </c:pt>
              <c:pt idx="67">
                <c:v>-724.04704017650147</c:v>
              </c:pt>
              <c:pt idx="68">
                <c:v>-274.94632398274916</c:v>
              </c:pt>
              <c:pt idx="69">
                <c:v>-3063.2251493186886</c:v>
              </c:pt>
              <c:pt idx="70">
                <c:v>-220.46735350756717</c:v>
              </c:pt>
              <c:pt idx="71">
                <c:v>1717.7881404841428</c:v>
              </c:pt>
              <c:pt idx="72">
                <c:v>1385.9029696399848</c:v>
              </c:pt>
              <c:pt idx="73">
                <c:v>1256.8374681972236</c:v>
              </c:pt>
              <c:pt idx="74">
                <c:v>-624.53582294264561</c:v>
              </c:pt>
              <c:pt idx="75">
                <c:v>-61.25657260072694</c:v>
              </c:pt>
              <c:pt idx="76">
                <c:v>2373.3351352722348</c:v>
              </c:pt>
              <c:pt idx="77">
                <c:v>1362.4347753047077</c:v>
              </c:pt>
            </c:numLit>
          </c:val>
          <c:extLst>
            <c:ext xmlns:c16="http://schemas.microsoft.com/office/drawing/2014/chart" uri="{C3380CC4-5D6E-409C-BE32-E72D297353CC}">
              <c16:uniqueId val="{00000000-1726-4BCB-BC9C-B3C262BFB2AC}"/>
            </c:ext>
          </c:extLst>
        </c:ser>
        <c:dLbls>
          <c:showLegendKey val="0"/>
          <c:showVal val="0"/>
          <c:showCatName val="0"/>
          <c:showSerName val="0"/>
          <c:showPercent val="0"/>
          <c:showBubbleSize val="0"/>
        </c:dLbls>
        <c:gapWidth val="25"/>
        <c:axId val="105644032"/>
        <c:axId val="105645952"/>
      </c:barChart>
      <c:catAx>
        <c:axId val="105644032"/>
        <c:scaling>
          <c:orientation val="minMax"/>
        </c:scaling>
        <c:delete val="0"/>
        <c:axPos val="b"/>
        <c:title>
          <c:tx>
            <c:rich>
              <a:bodyPr/>
              <a:lstStyle/>
              <a:p>
                <a:pPr>
                  <a:defRPr/>
                </a:pPr>
                <a:r>
                  <a:rPr lang="en-US"/>
                  <a:t>Observation #
</a:t>
                </a:r>
                <a:r>
                  <a:rPr lang="en-US" sz="750"/>
                  <a:t>Lag 1 autocorrelation = 0.47,   Durbin-Watson statistic = 1.06</a:t>
                </a:r>
              </a:p>
            </c:rich>
          </c:tx>
          <c:overlay val="0"/>
        </c:title>
        <c:numFmt formatCode="General" sourceLinked="1"/>
        <c:majorTickMark val="none"/>
        <c:minorTickMark val="none"/>
        <c:tickLblPos val="low"/>
        <c:txPr>
          <a:bodyPr rot="-5400000" vert="horz"/>
          <a:lstStyle/>
          <a:p>
            <a:pPr>
              <a:defRPr/>
            </a:pPr>
            <a:endParaRPr lang="en-US"/>
          </a:p>
        </c:txPr>
        <c:crossAx val="105645952"/>
        <c:crossesAt val="0"/>
        <c:auto val="1"/>
        <c:lblAlgn val="ctr"/>
        <c:lblOffset val="100"/>
        <c:noMultiLvlLbl val="0"/>
      </c:catAx>
      <c:valAx>
        <c:axId val="105645952"/>
        <c:scaling>
          <c:orientation val="minMax"/>
        </c:scaling>
        <c:delete val="0"/>
        <c:axPos val="l"/>
        <c:majorGridlines>
          <c:spPr>
            <a:ln w="3175">
              <a:solidFill>
                <a:srgbClr val="C0C0C0"/>
              </a:solidFill>
              <a:prstDash val="solid"/>
            </a:ln>
          </c:spPr>
        </c:majorGridlines>
        <c:title>
          <c:tx>
            <c:rich>
              <a:bodyPr/>
              <a:lstStyle/>
              <a:p>
                <a:pPr>
                  <a:defRPr/>
                </a:pPr>
                <a:r>
                  <a:rPr lang="en-US"/>
                  <a:t>Residual</a:t>
                </a:r>
              </a:p>
            </c:rich>
          </c:tx>
          <c:overlay val="0"/>
        </c:title>
        <c:numFmt formatCode="General" sourceLinked="1"/>
        <c:majorTickMark val="out"/>
        <c:minorTickMark val="none"/>
        <c:tickLblPos val="nextTo"/>
        <c:crossAx val="105644032"/>
        <c:crosses val="autoZero"/>
        <c:crossBetween val="between"/>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Residual -vs- Predicted
</a:t>
            </a:r>
            <a:r>
              <a:rPr lang="en-US" sz="1000"/>
              <a:t>Elec CDD model with dummies for _Electric_Natural_Gas
(14 variables, n=78)</a:t>
            </a:r>
          </a:p>
        </c:rich>
      </c:tx>
      <c:overlay val="0"/>
    </c:title>
    <c:autoTitleDeleted val="0"/>
    <c:plotArea>
      <c:layout/>
      <c:scatterChart>
        <c:scatterStyle val="lineMarker"/>
        <c:varyColors val="0"/>
        <c:ser>
          <c:idx val="0"/>
          <c:order val="0"/>
          <c:tx>
            <c:v>Actual</c:v>
          </c:tx>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78"/>
              <c:pt idx="0">
                <c:v>1392.1769260742076</c:v>
              </c:pt>
              <c:pt idx="1">
                <c:v>-364.75757248303125</c:v>
              </c:pt>
              <c:pt idx="2">
                <c:v>388.11871655227878</c:v>
              </c:pt>
              <c:pt idx="3">
                <c:v>188.57980067655808</c:v>
              </c:pt>
              <c:pt idx="4">
                <c:v>2500.7515675468167</c:v>
              </c:pt>
              <c:pt idx="5">
                <c:v>4854.5058869303975</c:v>
              </c:pt>
              <c:pt idx="6">
                <c:v>5840.4837426943086</c:v>
              </c:pt>
              <c:pt idx="7">
                <c:v>6787.5489669716553</c:v>
              </c:pt>
              <c:pt idx="8">
                <c:v>4152.5215662731607</c:v>
              </c:pt>
              <c:pt idx="9">
                <c:v>528.83113252118346</c:v>
              </c:pt>
              <c:pt idx="10">
                <c:v>1211.4564625714665</c:v>
              </c:pt>
              <c:pt idx="11">
                <c:v>3464.6117726110169</c:v>
              </c:pt>
              <c:pt idx="12">
                <c:v>4594.4969434551749</c:v>
              </c:pt>
              <c:pt idx="13">
                <c:v>2837.5624448979361</c:v>
              </c:pt>
              <c:pt idx="14">
                <c:v>3926.7953688629241</c:v>
              </c:pt>
              <c:pt idx="15">
                <c:v>3045.550025267461</c:v>
              </c:pt>
              <c:pt idx="16">
                <c:v>5397.9178509795893</c:v>
              </c:pt>
              <c:pt idx="17">
                <c:v>9824.9515588063477</c:v>
              </c:pt>
              <c:pt idx="18">
                <c:v>11768.750663615985</c:v>
              </c:pt>
              <c:pt idx="19">
                <c:v>10954.237086193334</c:v>
              </c:pt>
              <c:pt idx="20">
                <c:v>7131.6033480704718</c:v>
              </c:pt>
              <c:pt idx="21">
                <c:v>3136.6763185301861</c:v>
              </c:pt>
              <c:pt idx="22">
                <c:v>4413.7764799524339</c:v>
              </c:pt>
              <c:pt idx="23">
                <c:v>6666.9317899919843</c:v>
              </c:pt>
              <c:pt idx="24">
                <c:v>7796.8169608361459</c:v>
              </c:pt>
              <c:pt idx="25">
                <c:v>5974.1218206207159</c:v>
              </c:pt>
              <c:pt idx="26">
                <c:v>6869.1490293325114</c:v>
              </c:pt>
              <c:pt idx="27">
                <c:v>5874.2868556092872</c:v>
              </c:pt>
              <c:pt idx="28">
                <c:v>8957.9434717962904</c:v>
              </c:pt>
              <c:pt idx="29">
                <c:v>12056.3706008146</c:v>
              </c:pt>
              <c:pt idx="30">
                <c:v>15368.584605408501</c:v>
              </c:pt>
              <c:pt idx="31">
                <c:v>13312.947829516266</c:v>
              </c:pt>
              <c:pt idx="32">
                <c:v>10222.950325032562</c:v>
              </c:pt>
              <c:pt idx="33">
                <c:v>7147.94499558389</c:v>
              </c:pt>
              <c:pt idx="34">
                <c:v>7325.3184564912081</c:v>
              </c:pt>
              <c:pt idx="35">
                <c:v>9857.9421422389314</c:v>
              </c:pt>
              <c:pt idx="36">
                <c:v>10999.136978217113</c:v>
              </c:pt>
              <c:pt idx="37">
                <c:v>9242.2024796598744</c:v>
              </c:pt>
              <c:pt idx="38">
                <c:v>9073.9359837743432</c:v>
              </c:pt>
              <c:pt idx="39">
                <c:v>9856.4641962989808</c:v>
              </c:pt>
              <c:pt idx="40">
                <c:v>11866.504212114301</c:v>
              </c:pt>
              <c:pt idx="41">
                <c:v>13982.926907469879</c:v>
              </c:pt>
              <c:pt idx="42">
                <c:v>18754.824609017134</c:v>
              </c:pt>
              <c:pt idx="43">
                <c:v>15438.00536350971</c:v>
              </c:pt>
              <c:pt idx="44">
                <c:v>13739.962144671455</c:v>
              </c:pt>
              <c:pt idx="45">
                <c:v>9812.0217929168321</c:v>
              </c:pt>
              <c:pt idx="46">
                <c:v>10824.073230675083</c:v>
              </c:pt>
              <c:pt idx="47">
                <c:v>13045.206043896218</c:v>
              </c:pt>
              <c:pt idx="48">
                <c:v>14184.498148078161</c:v>
              </c:pt>
              <c:pt idx="49">
                <c:v>12444.522497040842</c:v>
              </c:pt>
              <c:pt idx="50">
                <c:v>13507.389640148122</c:v>
              </c:pt>
              <c:pt idx="51">
                <c:v>13034.662933968739</c:v>
              </c:pt>
              <c:pt idx="52">
                <c:v>16194.22023647535</c:v>
              </c:pt>
              <c:pt idx="53">
                <c:v>17315.480254442864</c:v>
              </c:pt>
              <c:pt idx="54">
                <c:v>18933.169788236879</c:v>
              </c:pt>
              <c:pt idx="55">
                <c:v>18143.213713632442</c:v>
              </c:pt>
              <c:pt idx="56">
                <c:v>16909.016291971271</c:v>
              </c:pt>
              <c:pt idx="57">
                <c:v>12569.300611130046</c:v>
              </c:pt>
              <c:pt idx="58">
                <c:v>14001.908016802041</c:v>
              </c:pt>
              <c:pt idx="59">
                <c:v>15981.096391746305</c:v>
              </c:pt>
              <c:pt idx="60">
                <c:v>17403.777012979048</c:v>
              </c:pt>
              <c:pt idx="61">
                <c:v>15641.185798461087</c:v>
              </c:pt>
              <c:pt idx="62">
                <c:v>16736.075438386793</c:v>
              </c:pt>
              <c:pt idx="63">
                <c:v>16600.199615579008</c:v>
              </c:pt>
              <c:pt idx="64">
                <c:v>18578.997796364496</c:v>
              </c:pt>
              <c:pt idx="65">
                <c:v>20873.199566840416</c:v>
              </c:pt>
              <c:pt idx="66">
                <c:v>21838.186591029978</c:v>
              </c:pt>
              <c:pt idx="67">
                <c:v>21349.047040176501</c:v>
              </c:pt>
              <c:pt idx="68">
                <c:v>19929.946323982749</c:v>
              </c:pt>
              <c:pt idx="69">
                <c:v>15681.225149318689</c:v>
              </c:pt>
              <c:pt idx="70">
                <c:v>17200.467353507567</c:v>
              </c:pt>
              <c:pt idx="71">
                <c:v>19476.211859515857</c:v>
              </c:pt>
              <c:pt idx="72">
                <c:v>20606.097030360015</c:v>
              </c:pt>
              <c:pt idx="73">
                <c:v>18849.162531802776</c:v>
              </c:pt>
              <c:pt idx="74">
                <c:v>19818.535822942646</c:v>
              </c:pt>
              <c:pt idx="75">
                <c:v>19301.256572600727</c:v>
              </c:pt>
              <c:pt idx="76">
                <c:v>21500.664864727765</c:v>
              </c:pt>
              <c:pt idx="77">
                <c:v>25105.565224695292</c:v>
              </c:pt>
            </c:numLit>
          </c:xVal>
          <c:yVal>
            <c:numLit>
              <c:formatCode>General</c:formatCode>
              <c:ptCount val="78"/>
              <c:pt idx="0">
                <c:v>405.82307392579241</c:v>
              </c:pt>
              <c:pt idx="1">
                <c:v>2276.7575724830313</c:v>
              </c:pt>
              <c:pt idx="2">
                <c:v>2285.8812834477212</c:v>
              </c:pt>
              <c:pt idx="3">
                <c:v>1125.4201993234419</c:v>
              </c:pt>
              <c:pt idx="4">
                <c:v>-739.75156754681666</c:v>
              </c:pt>
              <c:pt idx="5">
                <c:v>-373.50588693039754</c:v>
              </c:pt>
              <c:pt idx="6">
                <c:v>-537.4837426943086</c:v>
              </c:pt>
              <c:pt idx="7">
                <c:v>1149.4510330283447</c:v>
              </c:pt>
              <c:pt idx="8">
                <c:v>2950.4784337268393</c:v>
              </c:pt>
              <c:pt idx="9">
                <c:v>730.16886747881654</c:v>
              </c:pt>
              <c:pt idx="10">
                <c:v>1029.5435374285335</c:v>
              </c:pt>
              <c:pt idx="11">
                <c:v>-1331.6117726110169</c:v>
              </c:pt>
              <c:pt idx="12">
                <c:v>0.50305654482508544</c:v>
              </c:pt>
              <c:pt idx="13">
                <c:v>258.43755510206393</c:v>
              </c:pt>
              <c:pt idx="14">
                <c:v>-1371.7953688629241</c:v>
              </c:pt>
              <c:pt idx="15">
                <c:v>52.449974732538976</c:v>
              </c:pt>
              <c:pt idx="16">
                <c:v>389.08214902041072</c:v>
              </c:pt>
              <c:pt idx="17">
                <c:v>1127.0484411936523</c:v>
              </c:pt>
              <c:pt idx="18">
                <c:v>234.2493363840149</c:v>
              </c:pt>
              <c:pt idx="19">
                <c:v>-655.23708619333411</c:v>
              </c:pt>
              <c:pt idx="20">
                <c:v>-1328.6033480704718</c:v>
              </c:pt>
              <c:pt idx="21">
                <c:v>1484.3236814698139</c:v>
              </c:pt>
              <c:pt idx="22">
                <c:v>-163.77647995243387</c:v>
              </c:pt>
              <c:pt idx="23">
                <c:v>-653.93178999198426</c:v>
              </c:pt>
              <c:pt idx="24">
                <c:v>-3115.8169608361459</c:v>
              </c:pt>
              <c:pt idx="25">
                <c:v>-2501.1218206207159</c:v>
              </c:pt>
              <c:pt idx="26">
                <c:v>-2424.1490293325114</c:v>
              </c:pt>
              <c:pt idx="27">
                <c:v>-2183.2868556092872</c:v>
              </c:pt>
              <c:pt idx="28">
                <c:v>-809.9434717962904</c:v>
              </c:pt>
              <c:pt idx="29">
                <c:v>-1474.3706008146</c:v>
              </c:pt>
              <c:pt idx="30">
                <c:v>-1319.5846054085014</c:v>
              </c:pt>
              <c:pt idx="31">
                <c:v>-2486.9478295162662</c:v>
              </c:pt>
              <c:pt idx="32">
                <c:v>-3065.9503250325615</c:v>
              </c:pt>
              <c:pt idx="33">
                <c:v>-964.94499558388998</c:v>
              </c:pt>
              <c:pt idx="34">
                <c:v>643.68154350879195</c:v>
              </c:pt>
              <c:pt idx="35">
                <c:v>-1263.9421422389314</c:v>
              </c:pt>
              <c:pt idx="36">
                <c:v>-903.13697821711321</c:v>
              </c:pt>
              <c:pt idx="37">
                <c:v>3655.7975203401256</c:v>
              </c:pt>
              <c:pt idx="38">
                <c:v>1643.0640162256568</c:v>
              </c:pt>
              <c:pt idx="39">
                <c:v>921.53580370101918</c:v>
              </c:pt>
              <c:pt idx="40">
                <c:v>1210.4957878856985</c:v>
              </c:pt>
              <c:pt idx="41">
                <c:v>-691.92690746987864</c:v>
              </c:pt>
              <c:pt idx="42">
                <c:v>1848.1753909828658</c:v>
              </c:pt>
              <c:pt idx="43">
                <c:v>1355.9946364902898</c:v>
              </c:pt>
              <c:pt idx="44">
                <c:v>292.03785532854454</c:v>
              </c:pt>
              <c:pt idx="45">
                <c:v>-705.02179291683206</c:v>
              </c:pt>
              <c:pt idx="46">
                <c:v>-2939.0732306750833</c:v>
              </c:pt>
              <c:pt idx="47">
                <c:v>-1456.206043896218</c:v>
              </c:pt>
              <c:pt idx="48">
                <c:v>1766.5018519218393</c:v>
              </c:pt>
              <c:pt idx="49">
                <c:v>1997.4775029591583</c:v>
              </c:pt>
              <c:pt idx="50">
                <c:v>2460.6103598518785</c:v>
              </c:pt>
              <c:pt idx="51">
                <c:v>1374.3370660312612</c:v>
              </c:pt>
              <c:pt idx="52">
                <c:v>-436.22023647535025</c:v>
              </c:pt>
              <c:pt idx="53">
                <c:v>-4.4802544428639521</c:v>
              </c:pt>
              <c:pt idx="54">
                <c:v>678.83021176312104</c:v>
              </c:pt>
              <c:pt idx="55">
                <c:v>1360.7862863675582</c:v>
              </c:pt>
              <c:pt idx="56">
                <c:v>1426.9837080287289</c:v>
              </c:pt>
              <c:pt idx="57">
                <c:v>2518.6993888699544</c:v>
              </c:pt>
              <c:pt idx="58">
                <c:v>1650.0919831979591</c:v>
              </c:pt>
              <c:pt idx="59">
                <c:v>2987.903608253695</c:v>
              </c:pt>
              <c:pt idx="60">
                <c:v>460.22298702095213</c:v>
              </c:pt>
              <c:pt idx="61">
                <c:v>-6944.185798461087</c:v>
              </c:pt>
              <c:pt idx="62">
                <c:v>-1969.0754383867934</c:v>
              </c:pt>
              <c:pt idx="63">
                <c:v>-1229.1996155790075</c:v>
              </c:pt>
              <c:pt idx="64">
                <c:v>-1986.997796364496</c:v>
              </c:pt>
              <c:pt idx="65">
                <c:v>54.800433159583918</c:v>
              </c:pt>
              <c:pt idx="66">
                <c:v>-904.18659102997844</c:v>
              </c:pt>
              <c:pt idx="67">
                <c:v>-724.04704017650147</c:v>
              </c:pt>
              <c:pt idx="68">
                <c:v>-274.94632398274916</c:v>
              </c:pt>
              <c:pt idx="69">
                <c:v>-3063.2251493186886</c:v>
              </c:pt>
              <c:pt idx="70">
                <c:v>-220.46735350756717</c:v>
              </c:pt>
              <c:pt idx="71">
                <c:v>1717.7881404841428</c:v>
              </c:pt>
              <c:pt idx="72">
                <c:v>1385.9029696399848</c:v>
              </c:pt>
              <c:pt idx="73">
                <c:v>1256.8374681972236</c:v>
              </c:pt>
              <c:pt idx="74">
                <c:v>-624.53582294264561</c:v>
              </c:pt>
              <c:pt idx="75">
                <c:v>-61.25657260072694</c:v>
              </c:pt>
              <c:pt idx="76">
                <c:v>2373.3351352722348</c:v>
              </c:pt>
              <c:pt idx="77">
                <c:v>1362.4347753047077</c:v>
              </c:pt>
            </c:numLit>
          </c:yVal>
          <c:smooth val="0"/>
          <c:extLst>
            <c:ext xmlns:c16="http://schemas.microsoft.com/office/drawing/2014/chart" uri="{C3380CC4-5D6E-409C-BE32-E72D297353CC}">
              <c16:uniqueId val="{00000000-879B-4A3B-9E81-93ED53277AD1}"/>
            </c:ext>
          </c:extLst>
        </c:ser>
        <c:dLbls>
          <c:showLegendKey val="0"/>
          <c:showVal val="0"/>
          <c:showCatName val="0"/>
          <c:showSerName val="0"/>
          <c:showPercent val="0"/>
          <c:showBubbleSize val="0"/>
        </c:dLbls>
        <c:axId val="105661952"/>
        <c:axId val="105668608"/>
      </c:scatterChart>
      <c:valAx>
        <c:axId val="105661952"/>
        <c:scaling>
          <c:orientation val="minMax"/>
        </c:scaling>
        <c:delete val="0"/>
        <c:axPos val="b"/>
        <c:title>
          <c:tx>
            <c:rich>
              <a:bodyPr/>
              <a:lstStyle/>
              <a:p>
                <a:pPr>
                  <a:defRPr/>
                </a:pPr>
                <a:r>
                  <a:rPr lang="en-US"/>
                  <a:t>Predicted</a:t>
                </a:r>
              </a:p>
            </c:rich>
          </c:tx>
          <c:overlay val="0"/>
        </c:title>
        <c:numFmt formatCode="General" sourceLinked="1"/>
        <c:majorTickMark val="out"/>
        <c:minorTickMark val="none"/>
        <c:tickLblPos val="nextTo"/>
        <c:crossAx val="105668608"/>
        <c:crossesAt val="-8000"/>
        <c:crossBetween val="midCat"/>
      </c:valAx>
      <c:valAx>
        <c:axId val="105668608"/>
        <c:scaling>
          <c:orientation val="minMax"/>
        </c:scaling>
        <c:delete val="0"/>
        <c:axPos val="l"/>
        <c:majorGridlines>
          <c:spPr>
            <a:ln w="3175">
              <a:solidFill>
                <a:srgbClr val="C0C0C0"/>
              </a:solidFill>
              <a:prstDash val="solid"/>
            </a:ln>
          </c:spPr>
        </c:majorGridlines>
        <c:title>
          <c:tx>
            <c:rich>
              <a:bodyPr/>
              <a:lstStyle/>
              <a:p>
                <a:pPr>
                  <a:defRPr/>
                </a:pPr>
                <a:r>
                  <a:rPr lang="en-US"/>
                  <a:t>Residual</a:t>
                </a:r>
              </a:p>
            </c:rich>
          </c:tx>
          <c:overlay val="0"/>
        </c:title>
        <c:numFmt formatCode="General" sourceLinked="1"/>
        <c:majorTickMark val="out"/>
        <c:minorTickMark val="none"/>
        <c:tickLblPos val="nextTo"/>
        <c:crossAx val="105661952"/>
        <c:crossesAt val="-5000"/>
        <c:crossBetween val="midCat"/>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Histogram of Residuals
</a:t>
            </a:r>
            <a:r>
              <a:rPr lang="en-US" sz="1000"/>
              <a:t>Elec CDD model with dummies for _Electric_Natural_Gas
(14 variables, n=78)</a:t>
            </a:r>
          </a:p>
        </c:rich>
      </c:tx>
      <c:overlay val="0"/>
    </c:title>
    <c:autoTitleDeleted val="0"/>
    <c:plotArea>
      <c:layout/>
      <c:barChart>
        <c:barDir val="col"/>
        <c:grouping val="clustered"/>
        <c:varyColors val="0"/>
        <c:ser>
          <c:idx val="0"/>
          <c:order val="0"/>
          <c:tx>
            <c:v>Actual</c:v>
          </c:tx>
          <c:spPr>
            <a:solidFill>
              <a:srgbClr val="9999FF"/>
            </a:solidFill>
            <a:ln w="9525" cap="flat" cmpd="sng" algn="ctr">
              <a:solidFill>
                <a:srgbClr val="0000FF"/>
              </a:solidFill>
              <a:prstDash val="solid"/>
              <a:round/>
              <a:headEnd type="none" w="med" len="med"/>
              <a:tailEnd type="none" w="med" len="med"/>
            </a:ln>
          </c:spPr>
          <c:invertIfNegative val="0"/>
          <c:cat>
            <c:strLit>
              <c:ptCount val="21"/>
              <c:pt idx="0">
                <c:v>-7,000</c:v>
              </c:pt>
              <c:pt idx="1">
                <c:v>-6,300</c:v>
              </c:pt>
              <c:pt idx="2">
                <c:v>-5,600</c:v>
              </c:pt>
              <c:pt idx="3">
                <c:v>-4,900</c:v>
              </c:pt>
              <c:pt idx="4">
                <c:v>-4,200</c:v>
              </c:pt>
              <c:pt idx="5">
                <c:v>-3,500</c:v>
              </c:pt>
              <c:pt idx="6">
                <c:v>-2,800</c:v>
              </c:pt>
              <c:pt idx="7">
                <c:v>-2,100</c:v>
              </c:pt>
              <c:pt idx="8">
                <c:v>-1,400</c:v>
              </c:pt>
              <c:pt idx="9">
                <c:v>-700</c:v>
              </c:pt>
              <c:pt idx="10">
                <c:v>0</c:v>
              </c:pt>
              <c:pt idx="11">
                <c:v>700</c:v>
              </c:pt>
              <c:pt idx="12">
                <c:v>1,400</c:v>
              </c:pt>
              <c:pt idx="13">
                <c:v>2,100</c:v>
              </c:pt>
              <c:pt idx="14">
                <c:v>2,800</c:v>
              </c:pt>
              <c:pt idx="15">
                <c:v>3,500</c:v>
              </c:pt>
              <c:pt idx="16">
                <c:v>4,200</c:v>
              </c:pt>
              <c:pt idx="17">
                <c:v>4,900</c:v>
              </c:pt>
              <c:pt idx="18">
                <c:v>5,600</c:v>
              </c:pt>
              <c:pt idx="19">
                <c:v>6,300</c:v>
              </c:pt>
              <c:pt idx="20">
                <c:v>7,000</c:v>
              </c:pt>
            </c:strLit>
          </c:cat>
          <c:val>
            <c:numLit>
              <c:formatCode>General</c:formatCode>
              <c:ptCount val="21"/>
              <c:pt idx="0">
                <c:v>1</c:v>
              </c:pt>
              <c:pt idx="1">
                <c:v>0</c:v>
              </c:pt>
              <c:pt idx="2">
                <c:v>0</c:v>
              </c:pt>
              <c:pt idx="3">
                <c:v>0</c:v>
              </c:pt>
              <c:pt idx="4">
                <c:v>0</c:v>
              </c:pt>
              <c:pt idx="5">
                <c:v>0</c:v>
              </c:pt>
              <c:pt idx="6">
                <c:v>6</c:v>
              </c:pt>
              <c:pt idx="7">
                <c:v>4</c:v>
              </c:pt>
              <c:pt idx="8">
                <c:v>8</c:v>
              </c:pt>
              <c:pt idx="9">
                <c:v>14</c:v>
              </c:pt>
              <c:pt idx="10">
                <c:v>11</c:v>
              </c:pt>
              <c:pt idx="11">
                <c:v>8</c:v>
              </c:pt>
              <c:pt idx="12">
                <c:v>15</c:v>
              </c:pt>
              <c:pt idx="13">
                <c:v>6</c:v>
              </c:pt>
              <c:pt idx="14">
                <c:v>4</c:v>
              </c:pt>
              <c:pt idx="15">
                <c:v>1</c:v>
              </c:pt>
              <c:pt idx="16">
                <c:v>0</c:v>
              </c:pt>
              <c:pt idx="17">
                <c:v>0</c:v>
              </c:pt>
              <c:pt idx="18">
                <c:v>0</c:v>
              </c:pt>
              <c:pt idx="19">
                <c:v>0</c:v>
              </c:pt>
              <c:pt idx="20">
                <c:v>0</c:v>
              </c:pt>
            </c:numLit>
          </c:val>
          <c:extLst>
            <c:ext xmlns:c16="http://schemas.microsoft.com/office/drawing/2014/chart" uri="{C3380CC4-5D6E-409C-BE32-E72D297353CC}">
              <c16:uniqueId val="{00000000-FF20-454C-97A3-E4886CE8F0E4}"/>
            </c:ext>
          </c:extLst>
        </c:ser>
        <c:ser>
          <c:idx val="1"/>
          <c:order val="1"/>
          <c:tx>
            <c:v>Theoretical</c:v>
          </c:tx>
          <c:spPr>
            <a:solidFill>
              <a:srgbClr val="FFD2D2"/>
            </a:solidFill>
            <a:ln w="9525">
              <a:solidFill>
                <a:srgbClr val="FF0000"/>
              </a:solidFill>
              <a:prstDash val="solid"/>
            </a:ln>
          </c:spPr>
          <c:invertIfNegative val="0"/>
          <c:cat>
            <c:strLit>
              <c:ptCount val="21"/>
              <c:pt idx="0">
                <c:v>-7,000</c:v>
              </c:pt>
              <c:pt idx="1">
                <c:v>-6,300</c:v>
              </c:pt>
              <c:pt idx="2">
                <c:v>-5,600</c:v>
              </c:pt>
              <c:pt idx="3">
                <c:v>-4,900</c:v>
              </c:pt>
              <c:pt idx="4">
                <c:v>-4,200</c:v>
              </c:pt>
              <c:pt idx="5">
                <c:v>-3,500</c:v>
              </c:pt>
              <c:pt idx="6">
                <c:v>-2,800</c:v>
              </c:pt>
              <c:pt idx="7">
                <c:v>-2,100</c:v>
              </c:pt>
              <c:pt idx="8">
                <c:v>-1,400</c:v>
              </c:pt>
              <c:pt idx="9">
                <c:v>-700</c:v>
              </c:pt>
              <c:pt idx="10">
                <c:v>0</c:v>
              </c:pt>
              <c:pt idx="11">
                <c:v>700</c:v>
              </c:pt>
              <c:pt idx="12">
                <c:v>1,400</c:v>
              </c:pt>
              <c:pt idx="13">
                <c:v>2,100</c:v>
              </c:pt>
              <c:pt idx="14">
                <c:v>2,800</c:v>
              </c:pt>
              <c:pt idx="15">
                <c:v>3,500</c:v>
              </c:pt>
              <c:pt idx="16">
                <c:v>4,200</c:v>
              </c:pt>
              <c:pt idx="17">
                <c:v>4,900</c:v>
              </c:pt>
              <c:pt idx="18">
                <c:v>5,600</c:v>
              </c:pt>
              <c:pt idx="19">
                <c:v>6,300</c:v>
              </c:pt>
              <c:pt idx="20">
                <c:v>7,000</c:v>
              </c:pt>
            </c:strLit>
          </c:cat>
          <c:val>
            <c:numLit>
              <c:formatCode>General</c:formatCode>
              <c:ptCount val="21"/>
              <c:pt idx="0">
                <c:v>5.3863806791136009E-3</c:v>
              </c:pt>
              <c:pt idx="1">
                <c:v>2.3394046584868662E-2</c:v>
              </c:pt>
              <c:pt idx="2">
                <c:v>8.7041451947626025E-2</c:v>
              </c:pt>
              <c:pt idx="3">
                <c:v>0.27744393702237152</c:v>
              </c:pt>
              <c:pt idx="4">
                <c:v>0.7576473440135798</c:v>
              </c:pt>
              <c:pt idx="5">
                <c:v>1.7726155490774944</c:v>
              </c:pt>
              <c:pt idx="6">
                <c:v>3.5532739294578173</c:v>
              </c:pt>
              <c:pt idx="7">
                <c:v>6.1026542814029403</c:v>
              </c:pt>
              <c:pt idx="8">
                <c:v>8.9803259509516842</c:v>
              </c:pt>
              <c:pt idx="9">
                <c:v>11.322803475613085</c:v>
              </c:pt>
              <c:pt idx="10">
                <c:v>12.232284397343086</c:v>
              </c:pt>
              <c:pt idx="11">
                <c:v>11.322803475613092</c:v>
              </c:pt>
              <c:pt idx="12">
                <c:v>8.9803259509516877</c:v>
              </c:pt>
              <c:pt idx="13">
                <c:v>6.1026542814029341</c:v>
              </c:pt>
              <c:pt idx="14">
                <c:v>3.5532739294578164</c:v>
              </c:pt>
              <c:pt idx="15">
                <c:v>1.7726155490775</c:v>
              </c:pt>
              <c:pt idx="16">
                <c:v>0.75764734401357714</c:v>
              </c:pt>
              <c:pt idx="17">
                <c:v>0.27744393702236891</c:v>
              </c:pt>
              <c:pt idx="18">
                <c:v>8.7041451947627024E-2</c:v>
              </c:pt>
              <c:pt idx="19">
                <c:v>2.3394046584868988E-2</c:v>
              </c:pt>
              <c:pt idx="20">
                <c:v>5.3863806791127899E-3</c:v>
              </c:pt>
            </c:numLit>
          </c:val>
          <c:extLst>
            <c:ext xmlns:c16="http://schemas.microsoft.com/office/drawing/2014/chart" uri="{C3380CC4-5D6E-409C-BE32-E72D297353CC}">
              <c16:uniqueId val="{00000001-FF20-454C-97A3-E4886CE8F0E4}"/>
            </c:ext>
          </c:extLst>
        </c:ser>
        <c:dLbls>
          <c:showLegendKey val="0"/>
          <c:showVal val="0"/>
          <c:showCatName val="0"/>
          <c:showSerName val="0"/>
          <c:showPercent val="0"/>
          <c:showBubbleSize val="0"/>
        </c:dLbls>
        <c:gapWidth val="50"/>
        <c:axId val="105698816"/>
        <c:axId val="105700736"/>
      </c:barChart>
      <c:catAx>
        <c:axId val="105698816"/>
        <c:scaling>
          <c:orientation val="minMax"/>
        </c:scaling>
        <c:delete val="0"/>
        <c:axPos val="b"/>
        <c:title>
          <c:tx>
            <c:rich>
              <a:bodyPr/>
              <a:lstStyle/>
              <a:p>
                <a:pPr>
                  <a:defRPr/>
                </a:pPr>
                <a:r>
                  <a:rPr lang="en-US"/>
                  <a:t>Residual Range
</a:t>
                </a:r>
                <a:r>
                  <a:rPr lang="en-US" sz="750"/>
                  <a:t>Adjusted Anderson-Darling statistic is 0.411 (P=0.343)</a:t>
                </a:r>
              </a:p>
            </c:rich>
          </c:tx>
          <c:overlay val="0"/>
        </c:title>
        <c:numFmt formatCode="General" sourceLinked="0"/>
        <c:majorTickMark val="out"/>
        <c:minorTickMark val="none"/>
        <c:tickLblPos val="nextTo"/>
        <c:crossAx val="105700736"/>
        <c:crosses val="autoZero"/>
        <c:auto val="1"/>
        <c:lblAlgn val="ctr"/>
        <c:lblOffset val="100"/>
        <c:noMultiLvlLbl val="0"/>
      </c:catAx>
      <c:valAx>
        <c:axId val="105700736"/>
        <c:scaling>
          <c:orientation val="minMax"/>
        </c:scaling>
        <c:delete val="0"/>
        <c:axPos val="l"/>
        <c:majorGridlines>
          <c:spPr>
            <a:ln w="3175">
              <a:solidFill>
                <a:srgbClr val="C0C0C0"/>
              </a:solidFill>
              <a:prstDash val="solid"/>
            </a:ln>
          </c:spPr>
        </c:majorGridlines>
        <c:title>
          <c:tx>
            <c:rich>
              <a:bodyPr/>
              <a:lstStyle/>
              <a:p>
                <a:pPr>
                  <a:defRPr/>
                </a:pPr>
                <a:r>
                  <a:rPr lang="en-US"/>
                  <a:t>Frequency</a:t>
                </a:r>
              </a:p>
            </c:rich>
          </c:tx>
          <c:overlay val="0"/>
        </c:title>
        <c:numFmt formatCode="General" sourceLinked="1"/>
        <c:majorTickMark val="out"/>
        <c:minorTickMark val="none"/>
        <c:tickLblPos val="nextTo"/>
        <c:crossAx val="105698816"/>
        <c:crosses val="autoZero"/>
        <c:crossBetween val="between"/>
      </c:valAx>
      <c:spPr>
        <a:ln w="6350">
          <a:solidFill>
            <a:srgbClr val="808080"/>
          </a:solidFill>
          <a:prstDash val="solid"/>
        </a:ln>
      </c:spPr>
    </c:plotArea>
    <c:legend>
      <c:legendPos val="r"/>
      <c:overlay val="0"/>
    </c:legend>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5.0347222222222224E-2"/>
          <c:y val="3.5833333333333335E-2"/>
          <c:w val="0.92720827865266842"/>
          <c:h val="0.96416666666666662"/>
        </c:manualLayout>
      </c:layout>
      <c:scatterChart>
        <c:scatterStyle val="lineMarker"/>
        <c:varyColors val="0"/>
        <c:ser>
          <c:idx val="0"/>
          <c:order val="0"/>
          <c:spPr>
            <a:ln w="9525" cap="rnd" cmpd="sng" algn="ctr">
              <a:solidFill>
                <a:srgbClr val="0000FF"/>
              </a:solidFill>
              <a:prstDash val="solid"/>
              <a:round/>
              <a:headEnd type="none" w="med" len="med"/>
              <a:tailEnd type="none" w="med" len="med"/>
            </a:ln>
            <a:effectLst/>
          </c:spPr>
          <c:marker>
            <c:symbol val="diamond"/>
            <c:size val="5"/>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17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172</c:v>
              </c:pt>
              <c:pt idx="171">
                <c:v>173</c:v>
              </c:pt>
              <c:pt idx="172">
                <c:v>174</c:v>
              </c:pt>
            </c:numLit>
          </c:xVal>
          <c:yVal>
            <c:numLit>
              <c:formatCode>General</c:formatCode>
              <c:ptCount val="173"/>
              <c:pt idx="0">
                <c:v>7812</c:v>
              </c:pt>
              <c:pt idx="1">
                <c:v>5397</c:v>
              </c:pt>
              <c:pt idx="2">
                <c:v>4696</c:v>
              </c:pt>
              <c:pt idx="3">
                <c:v>3203</c:v>
              </c:pt>
              <c:pt idx="4">
                <c:v>2024</c:v>
              </c:pt>
              <c:pt idx="5">
                <c:v>1564</c:v>
              </c:pt>
              <c:pt idx="6">
                <c:v>1569</c:v>
              </c:pt>
              <c:pt idx="7">
                <c:v>1445</c:v>
              </c:pt>
              <c:pt idx="8">
                <c:v>1626</c:v>
              </c:pt>
              <c:pt idx="9">
                <c:v>2264</c:v>
              </c:pt>
              <c:pt idx="10">
                <c:v>2946</c:v>
              </c:pt>
              <c:pt idx="11">
                <c:v>4038</c:v>
              </c:pt>
              <c:pt idx="12">
                <c:v>6314</c:v>
              </c:pt>
              <c:pt idx="13">
                <c:v>5606</c:v>
              </c:pt>
              <c:pt idx="14">
                <c:v>4787</c:v>
              </c:pt>
              <c:pt idx="15">
                <c:v>2861</c:v>
              </c:pt>
              <c:pt idx="16">
                <c:v>1902</c:v>
              </c:pt>
              <c:pt idx="17">
                <c:v>1882</c:v>
              </c:pt>
              <c:pt idx="18">
                <c:v>1511</c:v>
              </c:pt>
              <c:pt idx="19">
                <c:v>1437</c:v>
              </c:pt>
              <c:pt idx="20">
                <c:v>1624</c:v>
              </c:pt>
              <c:pt idx="21">
                <c:v>2429</c:v>
              </c:pt>
              <c:pt idx="22">
                <c:v>3620</c:v>
              </c:pt>
              <c:pt idx="23">
                <c:v>6225</c:v>
              </c:pt>
              <c:pt idx="24">
                <c:v>7576</c:v>
              </c:pt>
              <c:pt idx="25">
                <c:v>7127</c:v>
              </c:pt>
              <c:pt idx="26">
                <c:v>4812</c:v>
              </c:pt>
              <c:pt idx="27">
                <c:v>3255</c:v>
              </c:pt>
              <c:pt idx="28">
                <c:v>2268</c:v>
              </c:pt>
              <c:pt idx="29">
                <c:v>1693</c:v>
              </c:pt>
              <c:pt idx="30">
                <c:v>1560</c:v>
              </c:pt>
              <c:pt idx="31">
                <c:v>1521</c:v>
              </c:pt>
              <c:pt idx="32">
                <c:v>1698</c:v>
              </c:pt>
              <c:pt idx="33">
                <c:v>2758</c:v>
              </c:pt>
              <c:pt idx="34">
                <c:v>3854</c:v>
              </c:pt>
              <c:pt idx="35">
                <c:v>6140</c:v>
              </c:pt>
              <c:pt idx="36">
                <c:v>7463</c:v>
              </c:pt>
              <c:pt idx="37">
                <c:v>7438</c:v>
              </c:pt>
              <c:pt idx="38">
                <c:v>5282</c:v>
              </c:pt>
              <c:pt idx="39">
                <c:v>3483</c:v>
              </c:pt>
              <c:pt idx="40">
                <c:v>2214</c:v>
              </c:pt>
              <c:pt idx="41">
                <c:v>2035</c:v>
              </c:pt>
              <c:pt idx="42">
                <c:v>1949</c:v>
              </c:pt>
              <c:pt idx="43">
                <c:v>2038</c:v>
              </c:pt>
              <c:pt idx="44">
                <c:v>2017</c:v>
              </c:pt>
              <c:pt idx="45">
                <c:v>2305</c:v>
              </c:pt>
              <c:pt idx="46">
                <c:v>3377</c:v>
              </c:pt>
              <c:pt idx="47">
                <c:v>5782</c:v>
              </c:pt>
              <c:pt idx="48">
                <c:v>7551</c:v>
              </c:pt>
              <c:pt idx="49">
                <c:v>6951</c:v>
              </c:pt>
              <c:pt idx="50">
                <c:v>6156</c:v>
              </c:pt>
              <c:pt idx="51">
                <c:v>3951</c:v>
              </c:pt>
              <c:pt idx="52">
                <c:v>2488</c:v>
              </c:pt>
              <c:pt idx="53">
                <c:v>2108</c:v>
              </c:pt>
              <c:pt idx="54">
                <c:v>1958</c:v>
              </c:pt>
              <c:pt idx="55">
                <c:v>1889</c:v>
              </c:pt>
              <c:pt idx="56">
                <c:v>2026</c:v>
              </c:pt>
              <c:pt idx="57">
                <c:v>2564</c:v>
              </c:pt>
              <c:pt idx="58">
                <c:v>3466</c:v>
              </c:pt>
              <c:pt idx="59">
                <c:v>6590</c:v>
              </c:pt>
              <c:pt idx="60">
                <c:v>7102</c:v>
              </c:pt>
              <c:pt idx="61">
                <c:v>6464</c:v>
              </c:pt>
              <c:pt idx="62">
                <c:v>5564</c:v>
              </c:pt>
              <c:pt idx="63">
                <c:v>3540</c:v>
              </c:pt>
              <c:pt idx="64">
                <c:v>2561</c:v>
              </c:pt>
              <c:pt idx="65">
                <c:v>2232</c:v>
              </c:pt>
              <c:pt idx="66">
                <c:v>2138</c:v>
              </c:pt>
              <c:pt idx="67">
                <c:v>2008</c:v>
              </c:pt>
              <c:pt idx="68">
                <c:v>2285</c:v>
              </c:pt>
              <c:pt idx="69">
                <c:v>3093</c:v>
              </c:pt>
              <c:pt idx="70">
                <c:v>3884</c:v>
              </c:pt>
              <c:pt idx="71">
                <c:v>5449</c:v>
              </c:pt>
              <c:pt idx="72">
                <c:v>6772</c:v>
              </c:pt>
              <c:pt idx="73">
                <c:v>7443</c:v>
              </c:pt>
              <c:pt idx="74">
                <c:v>5270</c:v>
              </c:pt>
              <c:pt idx="75">
                <c:v>3597</c:v>
              </c:pt>
              <c:pt idx="76">
                <c:v>2602</c:v>
              </c:pt>
              <c:pt idx="77">
                <c:v>2131</c:v>
              </c:pt>
              <c:pt idx="78">
                <c:v>1997</c:v>
              </c:pt>
              <c:pt idx="79">
                <c:v>1965</c:v>
              </c:pt>
              <c:pt idx="80">
                <c:v>2068</c:v>
              </c:pt>
              <c:pt idx="81">
                <c:v>2352</c:v>
              </c:pt>
              <c:pt idx="82">
                <c:v>3902</c:v>
              </c:pt>
              <c:pt idx="83">
                <c:v>5335</c:v>
              </c:pt>
              <c:pt idx="84">
                <c:v>7577</c:v>
              </c:pt>
              <c:pt idx="85">
                <c:v>6186</c:v>
              </c:pt>
              <c:pt idx="86">
                <c:v>4686</c:v>
              </c:pt>
              <c:pt idx="87">
                <c:v>3120</c:v>
              </c:pt>
              <c:pt idx="88">
                <c:v>2280</c:v>
              </c:pt>
              <c:pt idx="89">
                <c:v>1998</c:v>
              </c:pt>
              <c:pt idx="90">
                <c:v>1909</c:v>
              </c:pt>
              <c:pt idx="91">
                <c:v>2010</c:v>
              </c:pt>
              <c:pt idx="92">
                <c:v>2707</c:v>
              </c:pt>
              <c:pt idx="93">
                <c:v>4602</c:v>
              </c:pt>
              <c:pt idx="94">
                <c:v>5251</c:v>
              </c:pt>
              <c:pt idx="95">
                <c:v>6241</c:v>
              </c:pt>
              <c:pt idx="96">
                <c:v>8960</c:v>
              </c:pt>
              <c:pt idx="97">
                <c:v>6565</c:v>
              </c:pt>
              <c:pt idx="98">
                <c:v>5670</c:v>
              </c:pt>
              <c:pt idx="99">
                <c:v>3161</c:v>
              </c:pt>
              <c:pt idx="100">
                <c:v>2464</c:v>
              </c:pt>
              <c:pt idx="101">
                <c:v>1853</c:v>
              </c:pt>
              <c:pt idx="102">
                <c:v>1983</c:v>
              </c:pt>
              <c:pt idx="103">
                <c:v>2064</c:v>
              </c:pt>
              <c:pt idx="104">
                <c:v>2450</c:v>
              </c:pt>
              <c:pt idx="105">
                <c:v>3598</c:v>
              </c:pt>
              <c:pt idx="106">
                <c:v>4375</c:v>
              </c:pt>
              <c:pt idx="107">
                <c:v>8161</c:v>
              </c:pt>
              <c:pt idx="108">
                <c:v>9701</c:v>
              </c:pt>
              <c:pt idx="109">
                <c:v>8911</c:v>
              </c:pt>
              <c:pt idx="110">
                <c:v>5153</c:v>
              </c:pt>
              <c:pt idx="111">
                <c:v>2691</c:v>
              </c:pt>
              <c:pt idx="112">
                <c:v>2389</c:v>
              </c:pt>
              <c:pt idx="113">
                <c:v>1977</c:v>
              </c:pt>
              <c:pt idx="114">
                <c:v>1926</c:v>
              </c:pt>
              <c:pt idx="115">
                <c:v>2092</c:v>
              </c:pt>
              <c:pt idx="116">
                <c:v>2433</c:v>
              </c:pt>
              <c:pt idx="117">
                <c:v>3117</c:v>
              </c:pt>
              <c:pt idx="118">
                <c:v>5190</c:v>
              </c:pt>
              <c:pt idx="119">
                <c:v>10645</c:v>
              </c:pt>
              <c:pt idx="120">
                <c:v>9522</c:v>
              </c:pt>
              <c:pt idx="121">
                <c:v>6169</c:v>
              </c:pt>
              <c:pt idx="122">
                <c:v>5460</c:v>
              </c:pt>
              <c:pt idx="123">
                <c:v>2761</c:v>
              </c:pt>
              <c:pt idx="124">
                <c:v>2568</c:v>
              </c:pt>
              <c:pt idx="125">
                <c:v>2133</c:v>
              </c:pt>
              <c:pt idx="126">
                <c:v>1980</c:v>
              </c:pt>
              <c:pt idx="127">
                <c:v>2465</c:v>
              </c:pt>
              <c:pt idx="128">
                <c:v>2382</c:v>
              </c:pt>
              <c:pt idx="129">
                <c:v>3931</c:v>
              </c:pt>
              <c:pt idx="130">
                <c:v>4446</c:v>
              </c:pt>
              <c:pt idx="131">
                <c:v>6081</c:v>
              </c:pt>
              <c:pt idx="132">
                <c:v>8072</c:v>
              </c:pt>
              <c:pt idx="133">
                <c:v>6583</c:v>
              </c:pt>
              <c:pt idx="134">
                <c:v>3545</c:v>
              </c:pt>
              <c:pt idx="135">
                <c:v>3370</c:v>
              </c:pt>
              <c:pt idx="136">
                <c:v>2205</c:v>
              </c:pt>
              <c:pt idx="137">
                <c:v>2433</c:v>
              </c:pt>
              <c:pt idx="138">
                <c:v>1976</c:v>
              </c:pt>
              <c:pt idx="139">
                <c:v>2673</c:v>
              </c:pt>
              <c:pt idx="140">
                <c:v>2529</c:v>
              </c:pt>
              <c:pt idx="141">
                <c:v>4003</c:v>
              </c:pt>
              <c:pt idx="142">
                <c:v>5686</c:v>
              </c:pt>
              <c:pt idx="143">
                <c:v>5878</c:v>
              </c:pt>
              <c:pt idx="144">
                <c:v>6935</c:v>
              </c:pt>
              <c:pt idx="145">
                <c:v>7155</c:v>
              </c:pt>
              <c:pt idx="146">
                <c:v>7253</c:v>
              </c:pt>
              <c:pt idx="147">
                <c:v>3390</c:v>
              </c:pt>
              <c:pt idx="148">
                <c:v>3075</c:v>
              </c:pt>
              <c:pt idx="149">
                <c:v>2381</c:v>
              </c:pt>
              <c:pt idx="150">
                <c:v>2613</c:v>
              </c:pt>
              <c:pt idx="151">
                <c:v>2611</c:v>
              </c:pt>
              <c:pt idx="152">
                <c:v>2873</c:v>
              </c:pt>
              <c:pt idx="153">
                <c:v>3869</c:v>
              </c:pt>
              <c:pt idx="154">
                <c:v>6415</c:v>
              </c:pt>
              <c:pt idx="155">
                <c:v>6700</c:v>
              </c:pt>
              <c:pt idx="156">
                <c:v>11381</c:v>
              </c:pt>
              <c:pt idx="157">
                <c:v>7396</c:v>
              </c:pt>
              <c:pt idx="158">
                <c:v>7426</c:v>
              </c:pt>
              <c:pt idx="159">
                <c:v>3372</c:v>
              </c:pt>
              <c:pt idx="160">
                <c:v>3314</c:v>
              </c:pt>
              <c:pt idx="161">
                <c:v>2930</c:v>
              </c:pt>
              <c:pt idx="162">
                <c:v>2889</c:v>
              </c:pt>
              <c:pt idx="163">
                <c:v>2708</c:v>
              </c:pt>
              <c:pt idx="164">
                <c:v>2884</c:v>
              </c:pt>
              <c:pt idx="165">
                <c:v>3606</c:v>
              </c:pt>
              <c:pt idx="166">
                <c:v>6843</c:v>
              </c:pt>
              <c:pt idx="167">
                <c:v>7464</c:v>
              </c:pt>
              <c:pt idx="168">
                <c:v>9500</c:v>
              </c:pt>
              <c:pt idx="169">
                <c:v>10511</c:v>
              </c:pt>
              <c:pt idx="170">
                <c:v>3543</c:v>
              </c:pt>
              <c:pt idx="171">
                <c:v>2502</c:v>
              </c:pt>
              <c:pt idx="172">
                <c:v>2944</c:v>
              </c:pt>
            </c:numLit>
          </c:yVal>
          <c:smooth val="0"/>
          <c:extLst>
            <c:ext xmlns:c16="http://schemas.microsoft.com/office/drawing/2014/chart" uri="{C3380CC4-5D6E-409C-BE32-E72D297353CC}">
              <c16:uniqueId val="{00000000-7606-4ED6-AD58-FB4070B93D2D}"/>
            </c:ext>
          </c:extLst>
        </c:ser>
        <c:dLbls>
          <c:showLegendKey val="0"/>
          <c:showVal val="0"/>
          <c:showCatName val="0"/>
          <c:showSerName val="0"/>
          <c:showPercent val="0"/>
          <c:showBubbleSize val="0"/>
        </c:dLbls>
        <c:axId val="108110592"/>
        <c:axId val="108112896"/>
      </c:scatterChart>
      <c:valAx>
        <c:axId val="108110592"/>
        <c:scaling>
          <c:orientation val="minMax"/>
          <c:min val="0"/>
        </c:scaling>
        <c:delete val="0"/>
        <c:axPos val="b"/>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08112896"/>
        <c:crossesAt val="1000"/>
        <c:crossBetween val="midCat"/>
      </c:valAx>
      <c:valAx>
        <c:axId val="108112896"/>
        <c:scaling>
          <c:orientation val="minMax"/>
          <c:min val="1000"/>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title>
          <c:tx>
            <c:rich>
              <a:bodyPr/>
              <a:lstStyle/>
              <a:p>
                <a:pPr>
                  <a:defRPr/>
                </a:pPr>
                <a:r>
                  <a:rPr lang="en-US"/>
                  <a:t>_Commercial_Natural_Gas</a:t>
                </a:r>
              </a:p>
            </c:rich>
          </c:tx>
          <c:overlay val="0"/>
        </c:title>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08110592"/>
        <c:crossesAt val="0"/>
        <c:crossBetween val="midCat"/>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Normal Quantile Plot
</a:t>
            </a:r>
            <a:r>
              <a:rPr lang="en-US" sz="1000"/>
              <a:t>Elec CDD model with dummies for _Electric_Natural_Gas
(14 variables, n=78)</a:t>
            </a:r>
          </a:p>
        </c:rich>
      </c:tx>
      <c:overlay val="0"/>
    </c:title>
    <c:autoTitleDeleted val="0"/>
    <c:plotArea>
      <c:layout/>
      <c:scatterChart>
        <c:scatterStyle val="lineMarker"/>
        <c:varyColors val="0"/>
        <c:ser>
          <c:idx val="0"/>
          <c:order val="0"/>
          <c:tx>
            <c:v>Actual</c:v>
          </c:tx>
          <c:spPr>
            <a:ln w="25400">
              <a:noFill/>
            </a:ln>
          </c:spPr>
          <c:marker>
            <c:symbol val="diamond"/>
            <c:size val="6"/>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78"/>
              <c:pt idx="0">
                <c:v>-2.2365394571408492</c:v>
              </c:pt>
              <c:pt idx="1">
                <c:v>-1.9545779044793141</c:v>
              </c:pt>
              <c:pt idx="2">
                <c:v>-1.7746883070113353</c:v>
              </c:pt>
              <c:pt idx="3">
                <c:v>-1.6387476645753798</c:v>
              </c:pt>
              <c:pt idx="4">
                <c:v>-1.5277191697587054</c:v>
              </c:pt>
              <c:pt idx="5">
                <c:v>-1.4328569081865627</c:v>
              </c:pt>
              <c:pt idx="6">
                <c:v>-1.3493792261509356</c:v>
              </c:pt>
              <c:pt idx="7">
                <c:v>-1.2743719014183901</c:v>
              </c:pt>
              <c:pt idx="8">
                <c:v>-1.2059206145156207</c:v>
              </c:pt>
              <c:pt idx="9">
                <c:v>-1.1426966601588431</c:v>
              </c:pt>
              <c:pt idx="10">
                <c:v>-1.0837379306738362</c:v>
              </c:pt>
              <c:pt idx="11">
                <c:v>-1.028323950802468</c:v>
              </c:pt>
              <c:pt idx="12">
                <c:v>-0.97590019790356219</c:v>
              </c:pt>
              <c:pt idx="13">
                <c:v>-0.92603001947707297</c:v>
              </c:pt>
              <c:pt idx="14">
                <c:v>-0.87836285514488632</c:v>
              </c:pt>
              <c:pt idx="15">
                <c:v>-0.83261252800434993</c:v>
              </c:pt>
              <c:pt idx="16">
                <c:v>-0.78854199106676903</c:v>
              </c:pt>
              <c:pt idx="17">
                <c:v>-0.74595234571134561</c:v>
              </c:pt>
              <c:pt idx="18">
                <c:v>-0.70467476624496161</c:v>
              </c:pt>
              <c:pt idx="19">
                <c:v>-0.6645644494105799</c:v>
              </c:pt>
              <c:pt idx="20">
                <c:v>-0.62549600497243729</c:v>
              </c:pt>
              <c:pt idx="21">
                <c:v>-0.58735989122285481</c:v>
              </c:pt>
              <c:pt idx="22">
                <c:v>-0.55005962088827076</c:v>
              </c:pt>
              <c:pt idx="23">
                <c:v>-0.51350954356093248</c:v>
              </c:pt>
              <c:pt idx="24">
                <c:v>-0.47763306537260808</c:v>
              </c:pt>
              <c:pt idx="25">
                <c:v>-0.44236120427171888</c:v>
              </c:pt>
              <c:pt idx="26">
                <c:v>-0.40763140566587441</c:v>
              </c:pt>
              <c:pt idx="27">
                <c:v>-0.37338656199140563</c:v>
              </c:pt>
              <c:pt idx="28">
                <c:v>-0.33957419334523603</c:v>
              </c:pt>
              <c:pt idx="29">
                <c:v>-0.30614575623870488</c:v>
              </c:pt>
              <c:pt idx="30">
                <c:v>-0.27305605487126</c:v>
              </c:pt>
              <c:pt idx="31">
                <c:v>-0.24026273480272833</c:v>
              </c:pt>
              <c:pt idx="32">
                <c:v>-0.20772584303184521</c:v>
              </c:pt>
              <c:pt idx="33">
                <c:v>-0.17540744162137925</c:v>
              </c:pt>
              <c:pt idx="34">
                <c:v>-0.14327126439911458</c:v>
              </c:pt>
              <c:pt idx="35">
                <c:v>-0.11128240809028021</c:v>
              </c:pt>
              <c:pt idx="36">
                <c:v>-7.9407050631538523E-2</c:v>
              </c:pt>
              <c:pt idx="37">
                <c:v>-4.7612190474131351E-2</c:v>
              </c:pt>
              <c:pt idx="38">
                <c:v>-1.5865401472839501E-2</c:v>
              </c:pt>
              <c:pt idx="39">
                <c:v>1.5865401472839637E-2</c:v>
              </c:pt>
              <c:pt idx="40">
                <c:v>4.7612190474131351E-2</c:v>
              </c:pt>
              <c:pt idx="41">
                <c:v>7.9407050631538384E-2</c:v>
              </c:pt>
              <c:pt idx="42">
                <c:v>0.11128240809028021</c:v>
              </c:pt>
              <c:pt idx="43">
                <c:v>0.14327126439911442</c:v>
              </c:pt>
              <c:pt idx="44">
                <c:v>0.17540744162137942</c:v>
              </c:pt>
              <c:pt idx="45">
                <c:v>0.20772584303184521</c:v>
              </c:pt>
              <c:pt idx="46">
                <c:v>0.2402627348027282</c:v>
              </c:pt>
              <c:pt idx="47">
                <c:v>0.27305605487126</c:v>
              </c:pt>
              <c:pt idx="48">
                <c:v>0.30614575623870488</c:v>
              </c:pt>
              <c:pt idx="49">
                <c:v>0.3395741933452362</c:v>
              </c:pt>
              <c:pt idx="50">
                <c:v>0.37338656199140563</c:v>
              </c:pt>
              <c:pt idx="51">
                <c:v>0.40763140566587425</c:v>
              </c:pt>
              <c:pt idx="52">
                <c:v>0.44236120427171888</c:v>
              </c:pt>
              <c:pt idx="53">
                <c:v>0.47763306537260808</c:v>
              </c:pt>
              <c:pt idx="54">
                <c:v>0.51350954356093259</c:v>
              </c:pt>
              <c:pt idx="55">
                <c:v>0.55005962088827076</c:v>
              </c:pt>
              <c:pt idx="56">
                <c:v>0.58735989122285459</c:v>
              </c:pt>
              <c:pt idx="57">
                <c:v>0.62549600497243729</c:v>
              </c:pt>
              <c:pt idx="58">
                <c:v>0.6645644494105799</c:v>
              </c:pt>
              <c:pt idx="59">
                <c:v>0.70467476624496195</c:v>
              </c:pt>
              <c:pt idx="60">
                <c:v>0.74595234571134561</c:v>
              </c:pt>
              <c:pt idx="61">
                <c:v>0.78854199106676903</c:v>
              </c:pt>
              <c:pt idx="62">
                <c:v>0.83261252800434993</c:v>
              </c:pt>
              <c:pt idx="63">
                <c:v>0.87836285514488632</c:v>
              </c:pt>
              <c:pt idx="64">
                <c:v>0.92603001947707397</c:v>
              </c:pt>
              <c:pt idx="65">
                <c:v>0.97590019790356219</c:v>
              </c:pt>
              <c:pt idx="66">
                <c:v>1.028323950802468</c:v>
              </c:pt>
              <c:pt idx="67">
                <c:v>1.0837379306738362</c:v>
              </c:pt>
              <c:pt idx="68">
                <c:v>1.1426966601588431</c:v>
              </c:pt>
              <c:pt idx="69">
                <c:v>1.20592061451562</c:v>
              </c:pt>
              <c:pt idx="70">
                <c:v>1.2743719014183901</c:v>
              </c:pt>
              <c:pt idx="71">
                <c:v>1.3493792261509356</c:v>
              </c:pt>
              <c:pt idx="72">
                <c:v>1.4328569081865656</c:v>
              </c:pt>
              <c:pt idx="73">
                <c:v>1.5277191697587056</c:v>
              </c:pt>
              <c:pt idx="74">
                <c:v>1.6387476645753793</c:v>
              </c:pt>
              <c:pt idx="75">
                <c:v>1.7746883070113353</c:v>
              </c:pt>
              <c:pt idx="76">
                <c:v>1.9545779044793139</c:v>
              </c:pt>
              <c:pt idx="77">
                <c:v>2.236539457140851</c:v>
              </c:pt>
            </c:numLit>
          </c:xVal>
          <c:yVal>
            <c:numLit>
              <c:formatCode>General</c:formatCode>
              <c:ptCount val="78"/>
              <c:pt idx="0">
                <c:v>-3.9251088261369333</c:v>
              </c:pt>
              <c:pt idx="1">
                <c:v>-1.7611741690891112</c:v>
              </c:pt>
              <c:pt idx="2">
                <c:v>-1.7329877152696036</c:v>
              </c:pt>
              <c:pt idx="3">
                <c:v>-1.7314473458789015</c:v>
              </c:pt>
              <c:pt idx="4">
                <c:v>-1.6612721222036013</c:v>
              </c:pt>
              <c:pt idx="5">
                <c:v>-1.4137259022559057</c:v>
              </c:pt>
              <c:pt idx="6">
                <c:v>-1.40571424196911</c:v>
              </c:pt>
              <c:pt idx="7">
                <c:v>-1.3702180539312423</c:v>
              </c:pt>
              <c:pt idx="8">
                <c:v>-1.2340739081088379</c:v>
              </c:pt>
              <c:pt idx="9">
                <c:v>-1.12312412345783</c:v>
              </c:pt>
              <c:pt idx="10">
                <c:v>-1.112993748562179</c:v>
              </c:pt>
              <c:pt idx="11">
                <c:v>-0.83336840721293504</c:v>
              </c:pt>
              <c:pt idx="12">
                <c:v>-0.82310113258168771</c:v>
              </c:pt>
              <c:pt idx="13">
                <c:v>-0.77538911922127574</c:v>
              </c:pt>
              <c:pt idx="14">
                <c:v>-0.75267587494874522</c:v>
              </c:pt>
              <c:pt idx="15">
                <c:v>-0.75097540291939979</c:v>
              </c:pt>
              <c:pt idx="16">
                <c:v>-0.74587767836960406</c:v>
              </c:pt>
              <c:pt idx="17">
                <c:v>-0.7144265148158756</c:v>
              </c:pt>
              <c:pt idx="18">
                <c:v>-0.6947887628903171</c:v>
              </c:pt>
              <c:pt idx="19">
                <c:v>-0.54542234738914219</c:v>
              </c:pt>
              <c:pt idx="20">
                <c:v>-0.51107946589115472</c:v>
              </c:pt>
              <c:pt idx="21">
                <c:v>-0.51048618618416342</c:v>
              </c:pt>
              <c:pt idx="22">
                <c:v>-0.45780979398969124</c:v>
              </c:pt>
              <c:pt idx="23">
                <c:v>-0.41813475203530914</c:v>
              </c:pt>
              <c:pt idx="24">
                <c:v>-0.4092579764448297</c:v>
              </c:pt>
              <c:pt idx="25">
                <c:v>-0.39850420802536796</c:v>
              </c:pt>
              <c:pt idx="26">
                <c:v>-0.39110249788442103</c:v>
              </c:pt>
              <c:pt idx="27">
                <c:v>-0.37036406353062445</c:v>
              </c:pt>
              <c:pt idx="28">
                <c:v>-0.36962626218294498</c:v>
              </c:pt>
              <c:pt idx="29">
                <c:v>-0.35301058209216174</c:v>
              </c:pt>
              <c:pt idx="30">
                <c:v>-0.30380554950330874</c:v>
              </c:pt>
              <c:pt idx="31">
                <c:v>-0.24656769706657095</c:v>
              </c:pt>
              <c:pt idx="32">
                <c:v>-0.21111924363105333</c:v>
              </c:pt>
              <c:pt idx="33">
                <c:v>-0.15540975922875733</c:v>
              </c:pt>
              <c:pt idx="34">
                <c:v>-0.12461624447309241</c:v>
              </c:pt>
              <c:pt idx="35">
                <c:v>-9.2572480868440721E-2</c:v>
              </c:pt>
              <c:pt idx="36">
                <c:v>-3.4624464372381161E-2</c:v>
              </c:pt>
              <c:pt idx="37">
                <c:v>-2.5324043404658983E-3</c:v>
              </c:pt>
              <c:pt idx="38">
                <c:v>2.8434603299014213E-4</c:v>
              </c:pt>
              <c:pt idx="39">
                <c:v>2.9646651850670742E-2</c:v>
              </c:pt>
              <c:pt idx="40">
                <c:v>3.097521727003302E-2</c:v>
              </c:pt>
              <c:pt idx="41">
                <c:v>0.13240632731361798</c:v>
              </c:pt>
              <c:pt idx="42">
                <c:v>0.14607839680228071</c:v>
              </c:pt>
              <c:pt idx="43">
                <c:v>0.16507052040142706</c:v>
              </c:pt>
              <c:pt idx="44">
                <c:v>0.21992351897479223</c:v>
              </c:pt>
              <c:pt idx="45">
                <c:v>0.22938610451194352</c:v>
              </c:pt>
              <c:pt idx="46">
                <c:v>0.26013493313317848</c:v>
              </c:pt>
              <c:pt idx="47">
                <c:v>0.36383244644861173</c:v>
              </c:pt>
              <c:pt idx="48">
                <c:v>0.38369976451815424</c:v>
              </c:pt>
              <c:pt idx="49">
                <c:v>0.41271825804929485</c:v>
              </c:pt>
              <c:pt idx="50">
                <c:v>0.52088587801174058</c:v>
              </c:pt>
              <c:pt idx="51">
                <c:v>0.581935815506049</c:v>
              </c:pt>
              <c:pt idx="52">
                <c:v>0.63612882570857698</c:v>
              </c:pt>
              <c:pt idx="53">
                <c:v>0.63704916780790055</c:v>
              </c:pt>
              <c:pt idx="54">
                <c:v>0.64971193540812533</c:v>
              </c:pt>
              <c:pt idx="55">
                <c:v>0.68421667261332297</c:v>
              </c:pt>
              <c:pt idx="56">
                <c:v>0.71041069214101094</c:v>
              </c:pt>
              <c:pt idx="57">
                <c:v>0.76645796503052832</c:v>
              </c:pt>
              <c:pt idx="58">
                <c:v>0.76916638150596195</c:v>
              </c:pt>
              <c:pt idx="59">
                <c:v>0.7700981679910569</c:v>
              </c:pt>
              <c:pt idx="60">
                <c:v>0.77682577980011824</c:v>
              </c:pt>
              <c:pt idx="61">
                <c:v>0.78336325325696476</c:v>
              </c:pt>
              <c:pt idx="62">
                <c:v>0.8065835952111815</c:v>
              </c:pt>
              <c:pt idx="63">
                <c:v>0.83899425390840943</c:v>
              </c:pt>
              <c:pt idx="64">
                <c:v>0.92872012056828068</c:v>
              </c:pt>
              <c:pt idx="65">
                <c:v>0.93269258559058688</c:v>
              </c:pt>
              <c:pt idx="66">
                <c:v>0.9709569397094584</c:v>
              </c:pt>
              <c:pt idx="67">
                <c:v>0.99849171833827388</c:v>
              </c:pt>
              <c:pt idx="68">
                <c:v>1.0446566019307202</c:v>
              </c:pt>
              <c:pt idx="69">
                <c:v>1.1290476384736798</c:v>
              </c:pt>
              <c:pt idx="70">
                <c:v>1.2869069898313612</c:v>
              </c:pt>
              <c:pt idx="71">
                <c:v>1.2920640463206277</c:v>
              </c:pt>
              <c:pt idx="72">
                <c:v>1.3414961749586809</c:v>
              </c:pt>
              <c:pt idx="73">
                <c:v>1.3908273369181663</c:v>
              </c:pt>
              <c:pt idx="74">
                <c:v>1.4236613893352406</c:v>
              </c:pt>
              <c:pt idx="75">
                <c:v>1.6677187618042082</c:v>
              </c:pt>
              <c:pt idx="76">
                <c:v>1.6888728448196182</c:v>
              </c:pt>
              <c:pt idx="77">
                <c:v>2.0663910111443933</c:v>
              </c:pt>
            </c:numLit>
          </c:yVal>
          <c:smooth val="0"/>
          <c:extLst>
            <c:ext xmlns:c16="http://schemas.microsoft.com/office/drawing/2014/chart" uri="{C3380CC4-5D6E-409C-BE32-E72D297353CC}">
              <c16:uniqueId val="{00000000-5283-46DE-8756-A06E5BF8F976}"/>
            </c:ext>
          </c:extLst>
        </c:ser>
        <c:ser>
          <c:idx val="1"/>
          <c:order val="1"/>
          <c:tx>
            <c:v>Theoretical</c:v>
          </c:tx>
          <c:spPr>
            <a:ln w="12700">
              <a:solidFill>
                <a:srgbClr val="FF0000"/>
              </a:solidFill>
              <a:prstDash val="solid"/>
            </a:ln>
          </c:spPr>
          <c:marker>
            <c:symbol val="none"/>
          </c:marker>
          <c:xVal>
            <c:numLit>
              <c:formatCode>General</c:formatCode>
              <c:ptCount val="78"/>
              <c:pt idx="0">
                <c:v>-2.2365394571408492</c:v>
              </c:pt>
              <c:pt idx="1">
                <c:v>-1.9545779044793141</c:v>
              </c:pt>
              <c:pt idx="2">
                <c:v>-1.7746883070113353</c:v>
              </c:pt>
              <c:pt idx="3">
                <c:v>-1.6387476645753798</c:v>
              </c:pt>
              <c:pt idx="4">
                <c:v>-1.5277191697587054</c:v>
              </c:pt>
              <c:pt idx="5">
                <c:v>-1.4328569081865627</c:v>
              </c:pt>
              <c:pt idx="6">
                <c:v>-1.3493792261509356</c:v>
              </c:pt>
              <c:pt idx="7">
                <c:v>-1.2743719014183901</c:v>
              </c:pt>
              <c:pt idx="8">
                <c:v>-1.2059206145156207</c:v>
              </c:pt>
              <c:pt idx="9">
                <c:v>-1.1426966601588431</c:v>
              </c:pt>
              <c:pt idx="10">
                <c:v>-1.0837379306738362</c:v>
              </c:pt>
              <c:pt idx="11">
                <c:v>-1.028323950802468</c:v>
              </c:pt>
              <c:pt idx="12">
                <c:v>-0.97590019790356219</c:v>
              </c:pt>
              <c:pt idx="13">
                <c:v>-0.92603001947707297</c:v>
              </c:pt>
              <c:pt idx="14">
                <c:v>-0.87836285514488632</c:v>
              </c:pt>
              <c:pt idx="15">
                <c:v>-0.83261252800434993</c:v>
              </c:pt>
              <c:pt idx="16">
                <c:v>-0.78854199106676903</c:v>
              </c:pt>
              <c:pt idx="17">
                <c:v>-0.74595234571134561</c:v>
              </c:pt>
              <c:pt idx="18">
                <c:v>-0.70467476624496161</c:v>
              </c:pt>
              <c:pt idx="19">
                <c:v>-0.6645644494105799</c:v>
              </c:pt>
              <c:pt idx="20">
                <c:v>-0.62549600497243729</c:v>
              </c:pt>
              <c:pt idx="21">
                <c:v>-0.58735989122285481</c:v>
              </c:pt>
              <c:pt idx="22">
                <c:v>-0.55005962088827076</c:v>
              </c:pt>
              <c:pt idx="23">
                <c:v>-0.51350954356093248</c:v>
              </c:pt>
              <c:pt idx="24">
                <c:v>-0.47763306537260808</c:v>
              </c:pt>
              <c:pt idx="25">
                <c:v>-0.44236120427171888</c:v>
              </c:pt>
              <c:pt idx="26">
                <c:v>-0.40763140566587441</c:v>
              </c:pt>
              <c:pt idx="27">
                <c:v>-0.37338656199140563</c:v>
              </c:pt>
              <c:pt idx="28">
                <c:v>-0.33957419334523603</c:v>
              </c:pt>
              <c:pt idx="29">
                <c:v>-0.30614575623870488</c:v>
              </c:pt>
              <c:pt idx="30">
                <c:v>-0.27305605487126</c:v>
              </c:pt>
              <c:pt idx="31">
                <c:v>-0.24026273480272833</c:v>
              </c:pt>
              <c:pt idx="32">
                <c:v>-0.20772584303184521</c:v>
              </c:pt>
              <c:pt idx="33">
                <c:v>-0.17540744162137925</c:v>
              </c:pt>
              <c:pt idx="34">
                <c:v>-0.14327126439911458</c:v>
              </c:pt>
              <c:pt idx="35">
                <c:v>-0.11128240809028021</c:v>
              </c:pt>
              <c:pt idx="36">
                <c:v>-7.9407050631538523E-2</c:v>
              </c:pt>
              <c:pt idx="37">
                <c:v>-4.7612190474131351E-2</c:v>
              </c:pt>
              <c:pt idx="38">
                <c:v>-1.5865401472839501E-2</c:v>
              </c:pt>
              <c:pt idx="39">
                <c:v>1.5865401472839637E-2</c:v>
              </c:pt>
              <c:pt idx="40">
                <c:v>4.7612190474131351E-2</c:v>
              </c:pt>
              <c:pt idx="41">
                <c:v>7.9407050631538384E-2</c:v>
              </c:pt>
              <c:pt idx="42">
                <c:v>0.11128240809028021</c:v>
              </c:pt>
              <c:pt idx="43">
                <c:v>0.14327126439911442</c:v>
              </c:pt>
              <c:pt idx="44">
                <c:v>0.17540744162137942</c:v>
              </c:pt>
              <c:pt idx="45">
                <c:v>0.20772584303184521</c:v>
              </c:pt>
              <c:pt idx="46">
                <c:v>0.2402627348027282</c:v>
              </c:pt>
              <c:pt idx="47">
                <c:v>0.27305605487126</c:v>
              </c:pt>
              <c:pt idx="48">
                <c:v>0.30614575623870488</c:v>
              </c:pt>
              <c:pt idx="49">
                <c:v>0.3395741933452362</c:v>
              </c:pt>
              <c:pt idx="50">
                <c:v>0.37338656199140563</c:v>
              </c:pt>
              <c:pt idx="51">
                <c:v>0.40763140566587425</c:v>
              </c:pt>
              <c:pt idx="52">
                <c:v>0.44236120427171888</c:v>
              </c:pt>
              <c:pt idx="53">
                <c:v>0.47763306537260808</c:v>
              </c:pt>
              <c:pt idx="54">
                <c:v>0.51350954356093259</c:v>
              </c:pt>
              <c:pt idx="55">
                <c:v>0.55005962088827076</c:v>
              </c:pt>
              <c:pt idx="56">
                <c:v>0.58735989122285459</c:v>
              </c:pt>
              <c:pt idx="57">
                <c:v>0.62549600497243729</c:v>
              </c:pt>
              <c:pt idx="58">
                <c:v>0.6645644494105799</c:v>
              </c:pt>
              <c:pt idx="59">
                <c:v>0.70467476624496195</c:v>
              </c:pt>
              <c:pt idx="60">
                <c:v>0.74595234571134561</c:v>
              </c:pt>
              <c:pt idx="61">
                <c:v>0.78854199106676903</c:v>
              </c:pt>
              <c:pt idx="62">
                <c:v>0.83261252800434993</c:v>
              </c:pt>
              <c:pt idx="63">
                <c:v>0.87836285514488632</c:v>
              </c:pt>
              <c:pt idx="64">
                <c:v>0.92603001947707397</c:v>
              </c:pt>
              <c:pt idx="65">
                <c:v>0.97590019790356219</c:v>
              </c:pt>
              <c:pt idx="66">
                <c:v>1.028323950802468</c:v>
              </c:pt>
              <c:pt idx="67">
                <c:v>1.0837379306738362</c:v>
              </c:pt>
              <c:pt idx="68">
                <c:v>1.1426966601588431</c:v>
              </c:pt>
              <c:pt idx="69">
                <c:v>1.20592061451562</c:v>
              </c:pt>
              <c:pt idx="70">
                <c:v>1.2743719014183901</c:v>
              </c:pt>
              <c:pt idx="71">
                <c:v>1.3493792261509356</c:v>
              </c:pt>
              <c:pt idx="72">
                <c:v>1.4328569081865656</c:v>
              </c:pt>
              <c:pt idx="73">
                <c:v>1.5277191697587056</c:v>
              </c:pt>
              <c:pt idx="74">
                <c:v>1.6387476645753793</c:v>
              </c:pt>
              <c:pt idx="75">
                <c:v>1.7746883070113353</c:v>
              </c:pt>
              <c:pt idx="76">
                <c:v>1.9545779044793139</c:v>
              </c:pt>
              <c:pt idx="77">
                <c:v>2.236539457140851</c:v>
              </c:pt>
            </c:numLit>
          </c:xVal>
          <c:yVal>
            <c:numLit>
              <c:formatCode>General</c:formatCode>
              <c:ptCount val="78"/>
              <c:pt idx="0">
                <c:v>-2.2365394571408492</c:v>
              </c:pt>
              <c:pt idx="1">
                <c:v>-1.9545779044793141</c:v>
              </c:pt>
              <c:pt idx="2">
                <c:v>-1.7746883070113353</c:v>
              </c:pt>
              <c:pt idx="3">
                <c:v>-1.6387476645753798</c:v>
              </c:pt>
              <c:pt idx="4">
                <c:v>-1.5277191697587054</c:v>
              </c:pt>
              <c:pt idx="5">
                <c:v>-1.4328569081865627</c:v>
              </c:pt>
              <c:pt idx="6">
                <c:v>-1.3493792261509356</c:v>
              </c:pt>
              <c:pt idx="7">
                <c:v>-1.2743719014183901</c:v>
              </c:pt>
              <c:pt idx="8">
                <c:v>-1.2059206145156207</c:v>
              </c:pt>
              <c:pt idx="9">
                <c:v>-1.1426966601588431</c:v>
              </c:pt>
              <c:pt idx="10">
                <c:v>-1.0837379306738362</c:v>
              </c:pt>
              <c:pt idx="11">
                <c:v>-1.028323950802468</c:v>
              </c:pt>
              <c:pt idx="12">
                <c:v>-0.97590019790356219</c:v>
              </c:pt>
              <c:pt idx="13">
                <c:v>-0.92603001947707297</c:v>
              </c:pt>
              <c:pt idx="14">
                <c:v>-0.87836285514488632</c:v>
              </c:pt>
              <c:pt idx="15">
                <c:v>-0.83261252800434993</c:v>
              </c:pt>
              <c:pt idx="16">
                <c:v>-0.78854199106676903</c:v>
              </c:pt>
              <c:pt idx="17">
                <c:v>-0.74595234571134561</c:v>
              </c:pt>
              <c:pt idx="18">
                <c:v>-0.70467476624496161</c:v>
              </c:pt>
              <c:pt idx="19">
                <c:v>-0.6645644494105799</c:v>
              </c:pt>
              <c:pt idx="20">
                <c:v>-0.62549600497243729</c:v>
              </c:pt>
              <c:pt idx="21">
                <c:v>-0.58735989122285481</c:v>
              </c:pt>
              <c:pt idx="22">
                <c:v>-0.55005962088827076</c:v>
              </c:pt>
              <c:pt idx="23">
                <c:v>-0.51350954356093248</c:v>
              </c:pt>
              <c:pt idx="24">
                <c:v>-0.47763306537260808</c:v>
              </c:pt>
              <c:pt idx="25">
                <c:v>-0.44236120427171888</c:v>
              </c:pt>
              <c:pt idx="26">
                <c:v>-0.40763140566587441</c:v>
              </c:pt>
              <c:pt idx="27">
                <c:v>-0.37338656199140563</c:v>
              </c:pt>
              <c:pt idx="28">
                <c:v>-0.33957419334523603</c:v>
              </c:pt>
              <c:pt idx="29">
                <c:v>-0.30614575623870488</c:v>
              </c:pt>
              <c:pt idx="30">
                <c:v>-0.27305605487126</c:v>
              </c:pt>
              <c:pt idx="31">
                <c:v>-0.24026273480272833</c:v>
              </c:pt>
              <c:pt idx="32">
                <c:v>-0.20772584303184521</c:v>
              </c:pt>
              <c:pt idx="33">
                <c:v>-0.17540744162137925</c:v>
              </c:pt>
              <c:pt idx="34">
                <c:v>-0.14327126439911458</c:v>
              </c:pt>
              <c:pt idx="35">
                <c:v>-0.11128240809028021</c:v>
              </c:pt>
              <c:pt idx="36">
                <c:v>-7.9407050631538523E-2</c:v>
              </c:pt>
              <c:pt idx="37">
                <c:v>-4.7612190474131351E-2</c:v>
              </c:pt>
              <c:pt idx="38">
                <c:v>-1.5865401472839501E-2</c:v>
              </c:pt>
              <c:pt idx="39">
                <c:v>1.5865401472839637E-2</c:v>
              </c:pt>
              <c:pt idx="40">
                <c:v>4.7612190474131351E-2</c:v>
              </c:pt>
              <c:pt idx="41">
                <c:v>7.9407050631538384E-2</c:v>
              </c:pt>
              <c:pt idx="42">
                <c:v>0.11128240809028021</c:v>
              </c:pt>
              <c:pt idx="43">
                <c:v>0.14327126439911442</c:v>
              </c:pt>
              <c:pt idx="44">
                <c:v>0.17540744162137942</c:v>
              </c:pt>
              <c:pt idx="45">
                <c:v>0.20772584303184521</c:v>
              </c:pt>
              <c:pt idx="46">
                <c:v>0.2402627348027282</c:v>
              </c:pt>
              <c:pt idx="47">
                <c:v>0.27305605487126</c:v>
              </c:pt>
              <c:pt idx="48">
                <c:v>0.30614575623870488</c:v>
              </c:pt>
              <c:pt idx="49">
                <c:v>0.3395741933452362</c:v>
              </c:pt>
              <c:pt idx="50">
                <c:v>0.37338656199140563</c:v>
              </c:pt>
              <c:pt idx="51">
                <c:v>0.40763140566587425</c:v>
              </c:pt>
              <c:pt idx="52">
                <c:v>0.44236120427171888</c:v>
              </c:pt>
              <c:pt idx="53">
                <c:v>0.47763306537260808</c:v>
              </c:pt>
              <c:pt idx="54">
                <c:v>0.51350954356093259</c:v>
              </c:pt>
              <c:pt idx="55">
                <c:v>0.55005962088827076</c:v>
              </c:pt>
              <c:pt idx="56">
                <c:v>0.58735989122285459</c:v>
              </c:pt>
              <c:pt idx="57">
                <c:v>0.62549600497243729</c:v>
              </c:pt>
              <c:pt idx="58">
                <c:v>0.6645644494105799</c:v>
              </c:pt>
              <c:pt idx="59">
                <c:v>0.70467476624496195</c:v>
              </c:pt>
              <c:pt idx="60">
                <c:v>0.74595234571134561</c:v>
              </c:pt>
              <c:pt idx="61">
                <c:v>0.78854199106676903</c:v>
              </c:pt>
              <c:pt idx="62">
                <c:v>0.83261252800434993</c:v>
              </c:pt>
              <c:pt idx="63">
                <c:v>0.87836285514488632</c:v>
              </c:pt>
              <c:pt idx="64">
                <c:v>0.92603001947707397</c:v>
              </c:pt>
              <c:pt idx="65">
                <c:v>0.97590019790356219</c:v>
              </c:pt>
              <c:pt idx="66">
                <c:v>1.028323950802468</c:v>
              </c:pt>
              <c:pt idx="67">
                <c:v>1.0837379306738362</c:v>
              </c:pt>
              <c:pt idx="68">
                <c:v>1.1426966601588431</c:v>
              </c:pt>
              <c:pt idx="69">
                <c:v>1.20592061451562</c:v>
              </c:pt>
              <c:pt idx="70">
                <c:v>1.2743719014183901</c:v>
              </c:pt>
              <c:pt idx="71">
                <c:v>1.3493792261509356</c:v>
              </c:pt>
              <c:pt idx="72">
                <c:v>1.4328569081865656</c:v>
              </c:pt>
              <c:pt idx="73">
                <c:v>1.5277191697587056</c:v>
              </c:pt>
              <c:pt idx="74">
                <c:v>1.6387476645753793</c:v>
              </c:pt>
              <c:pt idx="75">
                <c:v>1.7746883070113353</c:v>
              </c:pt>
              <c:pt idx="76">
                <c:v>1.9545779044793139</c:v>
              </c:pt>
              <c:pt idx="77">
                <c:v>2.236539457140851</c:v>
              </c:pt>
            </c:numLit>
          </c:yVal>
          <c:smooth val="0"/>
          <c:extLst>
            <c:ext xmlns:c16="http://schemas.microsoft.com/office/drawing/2014/chart" uri="{C3380CC4-5D6E-409C-BE32-E72D297353CC}">
              <c16:uniqueId val="{00000001-5283-46DE-8756-A06E5BF8F976}"/>
            </c:ext>
          </c:extLst>
        </c:ser>
        <c:dLbls>
          <c:showLegendKey val="0"/>
          <c:showVal val="0"/>
          <c:showCatName val="0"/>
          <c:showSerName val="0"/>
          <c:showPercent val="0"/>
          <c:showBubbleSize val="0"/>
        </c:dLbls>
        <c:axId val="105775104"/>
        <c:axId val="105777024"/>
      </c:scatterChart>
      <c:valAx>
        <c:axId val="105775104"/>
        <c:scaling>
          <c:orientation val="minMax"/>
        </c:scaling>
        <c:delete val="0"/>
        <c:axPos val="b"/>
        <c:title>
          <c:tx>
            <c:rich>
              <a:bodyPr/>
              <a:lstStyle/>
              <a:p>
                <a:pPr>
                  <a:defRPr/>
                </a:pPr>
                <a:r>
                  <a:rPr lang="en-US"/>
                  <a:t>Theoretical Standardized Residual
</a:t>
                </a:r>
                <a:r>
                  <a:rPr lang="en-US" sz="750"/>
                  <a:t>Adjusted Anderson-Darling statistic is 0.411 (P=0.343)</a:t>
                </a:r>
              </a:p>
            </c:rich>
          </c:tx>
          <c:overlay val="0"/>
        </c:title>
        <c:numFmt formatCode="General" sourceLinked="1"/>
        <c:majorTickMark val="out"/>
        <c:minorTickMark val="none"/>
        <c:tickLblPos val="nextTo"/>
        <c:crossAx val="105777024"/>
        <c:crosses val="autoZero"/>
        <c:crossBetween val="midCat"/>
      </c:valAx>
      <c:valAx>
        <c:axId val="105777024"/>
        <c:scaling>
          <c:orientation val="minMax"/>
        </c:scaling>
        <c:delete val="0"/>
        <c:axPos val="l"/>
        <c:title>
          <c:tx>
            <c:rich>
              <a:bodyPr/>
              <a:lstStyle/>
              <a:p>
                <a:pPr>
                  <a:defRPr/>
                </a:pPr>
                <a:r>
                  <a:rPr lang="en-US"/>
                  <a:t>Actual Standardized Residual</a:t>
                </a:r>
              </a:p>
            </c:rich>
          </c:tx>
          <c:overlay val="0"/>
        </c:title>
        <c:numFmt formatCode="General" sourceLinked="1"/>
        <c:majorTickMark val="out"/>
        <c:minorTickMark val="none"/>
        <c:tickLblPos val="nextTo"/>
        <c:crossAx val="105775104"/>
        <c:crossesAt val="-3"/>
        <c:crossBetween val="midCat"/>
      </c:valAx>
      <c:spPr>
        <a:ln w="6350">
          <a:solidFill>
            <a:srgbClr val="808080"/>
          </a:solidFill>
          <a:prstDash val="solid"/>
        </a:ln>
      </c:spPr>
    </c:plotArea>
    <c:legend>
      <c:legendPos val="r"/>
      <c:overlay val="0"/>
    </c:legend>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'Elec dummy only model'!$AA$2</c:f>
          <c:strCache>
            <c:ptCount val="1"/>
            <c:pt idx="0">
              <c:v>Forecasts and 95.0% confidence limits for means and forecasts
Elec dummy only model for _Electric_Natural_Gas    (12 variables, n=78)</c:v>
            </c:pt>
          </c:strCache>
        </c:strRef>
      </c:tx>
      <c:overlay val="0"/>
      <c:txPr>
        <a:bodyPr/>
        <a:lstStyle/>
        <a:p>
          <a:pPr>
            <a:defRPr sz="1000"/>
          </a:pPr>
          <a:endParaRPr lang="en-US"/>
        </a:p>
      </c:txPr>
    </c:title>
    <c:autoTitleDeleted val="0"/>
    <c:plotArea>
      <c:layout/>
      <c:lineChart>
        <c:grouping val="standard"/>
        <c:varyColors val="0"/>
        <c:ser>
          <c:idx val="0"/>
          <c:order val="0"/>
          <c:tx>
            <c:v>Forecast</c:v>
          </c:tx>
          <c:spPr>
            <a:ln w="25400">
              <a:noFill/>
            </a:ln>
          </c:spPr>
          <c:marker>
            <c:symbol val="circle"/>
            <c:size val="7"/>
            <c:spPr>
              <a:solidFill>
                <a:srgbClr val="FF9999"/>
              </a:solidFill>
              <a:ln w="12700">
                <a:solidFill>
                  <a:srgbClr val="FF0000"/>
                </a:solidFill>
                <a:prstDash val="solid"/>
              </a:ln>
            </c:spPr>
          </c:marker>
          <c:errBars>
            <c:errDir val="y"/>
            <c:errBarType val="both"/>
            <c:errValType val="cust"/>
            <c:noEndCap val="0"/>
            <c:plus>
              <c:numRef>
                <c:f>'Elec dummy only model'!$CG$47:$CG$58</c:f>
                <c:numCache>
                  <c:formatCode>General</c:formatCode>
                  <c:ptCount val="12"/>
                  <c:pt idx="0">
                    <c:v>4453.6876531459038</c:v>
                  </c:pt>
                  <c:pt idx="1">
                    <c:v>4453.6876531459038</c:v>
                  </c:pt>
                  <c:pt idx="2">
                    <c:v>4453.6876531459038</c:v>
                  </c:pt>
                  <c:pt idx="3">
                    <c:v>4453.6876531459038</c:v>
                  </c:pt>
                  <c:pt idx="4">
                    <c:v>4453.6876531459038</c:v>
                  </c:pt>
                  <c:pt idx="5">
                    <c:v>4453.6876531459038</c:v>
                  </c:pt>
                  <c:pt idx="6">
                    <c:v>4435.1340545160028</c:v>
                  </c:pt>
                  <c:pt idx="7">
                    <c:v>4435.1340545160028</c:v>
                  </c:pt>
                  <c:pt idx="8">
                    <c:v>4435.1340545160028</c:v>
                  </c:pt>
                  <c:pt idx="9">
                    <c:v>4435.1340545160028</c:v>
                  </c:pt>
                  <c:pt idx="10">
                    <c:v>4435.1340545160028</c:v>
                  </c:pt>
                  <c:pt idx="11">
                    <c:v>4435.1340545160028</c:v>
                  </c:pt>
                </c:numCache>
              </c:numRef>
            </c:plus>
            <c:minus>
              <c:numRef>
                <c:f>'Elec dummy only model'!$CG$47:$CG$58</c:f>
                <c:numCache>
                  <c:formatCode>General</c:formatCode>
                  <c:ptCount val="12"/>
                  <c:pt idx="0">
                    <c:v>4453.6876531459038</c:v>
                  </c:pt>
                  <c:pt idx="1">
                    <c:v>4453.6876531459038</c:v>
                  </c:pt>
                  <c:pt idx="2">
                    <c:v>4453.6876531459038</c:v>
                  </c:pt>
                  <c:pt idx="3">
                    <c:v>4453.6876531459038</c:v>
                  </c:pt>
                  <c:pt idx="4">
                    <c:v>4453.6876531459038</c:v>
                  </c:pt>
                  <c:pt idx="5">
                    <c:v>4453.6876531459038</c:v>
                  </c:pt>
                  <c:pt idx="6">
                    <c:v>4435.1340545160028</c:v>
                  </c:pt>
                  <c:pt idx="7">
                    <c:v>4435.1340545160028</c:v>
                  </c:pt>
                  <c:pt idx="8">
                    <c:v>4435.1340545160028</c:v>
                  </c:pt>
                  <c:pt idx="9">
                    <c:v>4435.1340545160028</c:v>
                  </c:pt>
                  <c:pt idx="10">
                    <c:v>4435.1340545160028</c:v>
                  </c:pt>
                  <c:pt idx="11">
                    <c:v>4435.1340545160028</c:v>
                  </c:pt>
                </c:numCache>
              </c:numRef>
            </c:minus>
          </c:errBars>
          <c:cat>
            <c:numRef>
              <c:f>'Elec dummy only model'!$A$47:$A$58</c:f>
              <c:numCache>
                <c:formatCode>0</c:formatCode>
                <c:ptCount val="12"/>
                <c:pt idx="0">
                  <c:v>79</c:v>
                </c:pt>
                <c:pt idx="1">
                  <c:v>80</c:v>
                </c:pt>
                <c:pt idx="2">
                  <c:v>81</c:v>
                </c:pt>
                <c:pt idx="3">
                  <c:v>82</c:v>
                </c:pt>
                <c:pt idx="4">
                  <c:v>83</c:v>
                </c:pt>
                <c:pt idx="5">
                  <c:v>84</c:v>
                </c:pt>
                <c:pt idx="6">
                  <c:v>85</c:v>
                </c:pt>
                <c:pt idx="7">
                  <c:v>86</c:v>
                </c:pt>
                <c:pt idx="8">
                  <c:v>87</c:v>
                </c:pt>
                <c:pt idx="9">
                  <c:v>88</c:v>
                </c:pt>
                <c:pt idx="10">
                  <c:v>89</c:v>
                </c:pt>
                <c:pt idx="11">
                  <c:v>90</c:v>
                </c:pt>
              </c:numCache>
            </c:numRef>
          </c:cat>
          <c:val>
            <c:numRef>
              <c:f>'Elec dummy only model'!$B$47:$B$58</c:f>
              <c:numCache>
                <c:formatCode>#,###</c:formatCode>
                <c:ptCount val="12"/>
                <c:pt idx="0">
                  <c:v>26466.589743589659</c:v>
                </c:pt>
                <c:pt idx="1">
                  <c:v>25380.089743589655</c:v>
                </c:pt>
                <c:pt idx="2">
                  <c:v>23063.589743589651</c:v>
                </c:pt>
                <c:pt idx="3">
                  <c:v>19195.25641025633</c:v>
                </c:pt>
                <c:pt idx="4">
                  <c:v>20212.08974358964</c:v>
                </c:pt>
                <c:pt idx="5">
                  <c:v>22464.58974358964</c:v>
                </c:pt>
                <c:pt idx="6">
                  <c:v>23624.435897435811</c:v>
                </c:pt>
                <c:pt idx="7">
                  <c:v>21859.72161172151</c:v>
                </c:pt>
                <c:pt idx="8">
                  <c:v>22673.435897435793</c:v>
                </c:pt>
                <c:pt idx="9">
                  <c:v>22327.864468864376</c:v>
                </c:pt>
                <c:pt idx="10">
                  <c:v>24770.150183150086</c:v>
                </c:pt>
                <c:pt idx="11">
                  <c:v>27486.721611721496</c:v>
                </c:pt>
              </c:numCache>
            </c:numRef>
          </c:val>
          <c:smooth val="0"/>
          <c:extLst>
            <c:ext xmlns:c16="http://schemas.microsoft.com/office/drawing/2014/chart" uri="{C3380CC4-5D6E-409C-BE32-E72D297353CC}">
              <c16:uniqueId val="{00000000-BDC6-4009-BE0F-6E298792E71D}"/>
            </c:ext>
          </c:extLst>
        </c:ser>
        <c:ser>
          <c:idx val="1"/>
          <c:order val="1"/>
          <c:tx>
            <c:strRef>
              <c:f>'Elec dummy only model'!$H$46</c:f>
              <c:strCache>
                <c:ptCount val="1"/>
                <c:pt idx="0">
                  <c:v>Upper95%M</c:v>
                </c:pt>
              </c:strCache>
            </c:strRef>
          </c:tx>
          <c:spPr>
            <a:ln w="25400">
              <a:noFill/>
            </a:ln>
          </c:spPr>
          <c:marker>
            <c:symbol val="dash"/>
            <c:size val="7"/>
            <c:spPr>
              <a:noFill/>
              <a:ln w="12700">
                <a:solidFill>
                  <a:srgbClr val="000000"/>
                </a:solidFill>
              </a:ln>
              <a:extLst>
                <a:ext uri="{909E8E84-426E-40DD-AFC4-6F175D3DCCD1}">
                  <a14:hiddenFill xmlns:a14="http://schemas.microsoft.com/office/drawing/2010/main">
                    <a:solidFill>
                      <a:srgbClr val="ED7D31"/>
                    </a:solidFill>
                  </a14:hiddenFill>
                </a:ext>
              </a:extLst>
            </c:spPr>
          </c:marker>
          <c:cat>
            <c:numRef>
              <c:f>'Elec dummy only model'!$A$47:$A$58</c:f>
              <c:numCache>
                <c:formatCode>0</c:formatCode>
                <c:ptCount val="12"/>
                <c:pt idx="0">
                  <c:v>79</c:v>
                </c:pt>
                <c:pt idx="1">
                  <c:v>80</c:v>
                </c:pt>
                <c:pt idx="2">
                  <c:v>81</c:v>
                </c:pt>
                <c:pt idx="3">
                  <c:v>82</c:v>
                </c:pt>
                <c:pt idx="4">
                  <c:v>83</c:v>
                </c:pt>
                <c:pt idx="5">
                  <c:v>84</c:v>
                </c:pt>
                <c:pt idx="6">
                  <c:v>85</c:v>
                </c:pt>
                <c:pt idx="7">
                  <c:v>86</c:v>
                </c:pt>
                <c:pt idx="8">
                  <c:v>87</c:v>
                </c:pt>
                <c:pt idx="9">
                  <c:v>88</c:v>
                </c:pt>
                <c:pt idx="10">
                  <c:v>89</c:v>
                </c:pt>
                <c:pt idx="11">
                  <c:v>90</c:v>
                </c:pt>
              </c:numCache>
            </c:numRef>
          </c:cat>
          <c:val>
            <c:numRef>
              <c:f>'Elec dummy only model'!$H$47:$H$58</c:f>
              <c:numCache>
                <c:formatCode>#,###</c:formatCode>
                <c:ptCount val="12"/>
                <c:pt idx="0">
                  <c:v>28327.587388776483</c:v>
                </c:pt>
                <c:pt idx="1">
                  <c:v>27241.087388776479</c:v>
                </c:pt>
                <c:pt idx="2">
                  <c:v>24924.587388776476</c:v>
                </c:pt>
                <c:pt idx="3">
                  <c:v>21056.254055443154</c:v>
                </c:pt>
                <c:pt idx="4">
                  <c:v>22073.087388776465</c:v>
                </c:pt>
                <c:pt idx="5">
                  <c:v>24325.587388776465</c:v>
                </c:pt>
                <c:pt idx="6">
                  <c:v>25440.583635130679</c:v>
                </c:pt>
                <c:pt idx="7">
                  <c:v>23675.869349416382</c:v>
                </c:pt>
                <c:pt idx="8">
                  <c:v>24489.583635130661</c:v>
                </c:pt>
                <c:pt idx="9">
                  <c:v>24144.012206559244</c:v>
                </c:pt>
                <c:pt idx="10">
                  <c:v>26586.297920844954</c:v>
                </c:pt>
                <c:pt idx="11">
                  <c:v>29302.869349416364</c:v>
                </c:pt>
              </c:numCache>
            </c:numRef>
          </c:val>
          <c:smooth val="0"/>
          <c:extLst>
            <c:ext xmlns:c16="http://schemas.microsoft.com/office/drawing/2014/chart" uri="{C3380CC4-5D6E-409C-BE32-E72D297353CC}">
              <c16:uniqueId val="{00000001-BDC6-4009-BE0F-6E298792E71D}"/>
            </c:ext>
          </c:extLst>
        </c:ser>
        <c:ser>
          <c:idx val="2"/>
          <c:order val="2"/>
          <c:tx>
            <c:strRef>
              <c:f>'Elec dummy only model'!$G$46</c:f>
              <c:strCache>
                <c:ptCount val="1"/>
                <c:pt idx="0">
                  <c:v>Lower95%M</c:v>
                </c:pt>
              </c:strCache>
            </c:strRef>
          </c:tx>
          <c:spPr>
            <a:ln w="25400">
              <a:noFill/>
            </a:ln>
          </c:spPr>
          <c:marker>
            <c:symbol val="dash"/>
            <c:size val="7"/>
            <c:spPr>
              <a:noFill/>
              <a:ln w="12700">
                <a:solidFill>
                  <a:srgbClr val="000000"/>
                </a:solidFill>
              </a:ln>
              <a:extLst>
                <a:ext uri="{909E8E84-426E-40DD-AFC4-6F175D3DCCD1}">
                  <a14:hiddenFill xmlns:a14="http://schemas.microsoft.com/office/drawing/2010/main">
                    <a:solidFill>
                      <a:srgbClr val="A5A5A5"/>
                    </a:solidFill>
                  </a14:hiddenFill>
                </a:ext>
              </a:extLst>
            </c:spPr>
          </c:marker>
          <c:cat>
            <c:numRef>
              <c:f>'Elec dummy only model'!$A$47:$A$58</c:f>
              <c:numCache>
                <c:formatCode>0</c:formatCode>
                <c:ptCount val="12"/>
                <c:pt idx="0">
                  <c:v>79</c:v>
                </c:pt>
                <c:pt idx="1">
                  <c:v>80</c:v>
                </c:pt>
                <c:pt idx="2">
                  <c:v>81</c:v>
                </c:pt>
                <c:pt idx="3">
                  <c:v>82</c:v>
                </c:pt>
                <c:pt idx="4">
                  <c:v>83</c:v>
                </c:pt>
                <c:pt idx="5">
                  <c:v>84</c:v>
                </c:pt>
                <c:pt idx="6">
                  <c:v>85</c:v>
                </c:pt>
                <c:pt idx="7">
                  <c:v>86</c:v>
                </c:pt>
                <c:pt idx="8">
                  <c:v>87</c:v>
                </c:pt>
                <c:pt idx="9">
                  <c:v>88</c:v>
                </c:pt>
                <c:pt idx="10">
                  <c:v>89</c:v>
                </c:pt>
                <c:pt idx="11">
                  <c:v>90</c:v>
                </c:pt>
              </c:numCache>
            </c:numRef>
          </c:cat>
          <c:val>
            <c:numRef>
              <c:f>'Elec dummy only model'!$G$47:$G$58</c:f>
              <c:numCache>
                <c:formatCode>#,###</c:formatCode>
                <c:ptCount val="12"/>
                <c:pt idx="0">
                  <c:v>24605.592098402834</c:v>
                </c:pt>
                <c:pt idx="1">
                  <c:v>23519.092098402831</c:v>
                </c:pt>
                <c:pt idx="2">
                  <c:v>21202.592098402827</c:v>
                </c:pt>
                <c:pt idx="3">
                  <c:v>17334.258765069506</c:v>
                </c:pt>
                <c:pt idx="4">
                  <c:v>18351.092098402816</c:v>
                </c:pt>
                <c:pt idx="5">
                  <c:v>20603.592098402816</c:v>
                </c:pt>
                <c:pt idx="6">
                  <c:v>21808.288159740943</c:v>
                </c:pt>
                <c:pt idx="7">
                  <c:v>20043.573874026639</c:v>
                </c:pt>
                <c:pt idx="8">
                  <c:v>20857.288159740925</c:v>
                </c:pt>
                <c:pt idx="9">
                  <c:v>20511.716731169508</c:v>
                </c:pt>
                <c:pt idx="10">
                  <c:v>22954.002445455219</c:v>
                </c:pt>
                <c:pt idx="11">
                  <c:v>25670.573874026628</c:v>
                </c:pt>
              </c:numCache>
            </c:numRef>
          </c:val>
          <c:smooth val="0"/>
          <c:extLst>
            <c:ext xmlns:c16="http://schemas.microsoft.com/office/drawing/2014/chart" uri="{C3380CC4-5D6E-409C-BE32-E72D297353CC}">
              <c16:uniqueId val="{00000002-BDC6-4009-BE0F-6E298792E71D}"/>
            </c:ext>
          </c:extLst>
        </c:ser>
        <c:dLbls>
          <c:showLegendKey val="0"/>
          <c:showVal val="0"/>
          <c:showCatName val="0"/>
          <c:showSerName val="0"/>
          <c:showPercent val="0"/>
          <c:showBubbleSize val="0"/>
        </c:dLbls>
        <c:marker val="1"/>
        <c:smooth val="0"/>
        <c:axId val="107365120"/>
        <c:axId val="107367424"/>
      </c:lineChart>
      <c:catAx>
        <c:axId val="107365120"/>
        <c:scaling>
          <c:orientation val="minMax"/>
        </c:scaling>
        <c:delete val="0"/>
        <c:axPos val="b"/>
        <c:title>
          <c:tx>
            <c:rich>
              <a:bodyPr/>
              <a:lstStyle/>
              <a:p>
                <a:pPr>
                  <a:defRPr/>
                </a:pPr>
                <a:r>
                  <a:rPr lang="en-US"/>
                  <a:t>Observation #</a:t>
                </a:r>
              </a:p>
            </c:rich>
          </c:tx>
          <c:overlay val="0"/>
        </c:title>
        <c:numFmt formatCode="0" sourceLinked="1"/>
        <c:majorTickMark val="out"/>
        <c:minorTickMark val="none"/>
        <c:tickLblPos val="nextTo"/>
        <c:crossAx val="107367424"/>
        <c:crossesAt val="14000"/>
        <c:auto val="1"/>
        <c:lblAlgn val="ctr"/>
        <c:lblOffset val="100"/>
        <c:noMultiLvlLbl val="0"/>
      </c:catAx>
      <c:valAx>
        <c:axId val="107367424"/>
        <c:scaling>
          <c:orientation val="minMax"/>
          <c:min val="14000"/>
        </c:scaling>
        <c:delete val="0"/>
        <c:axPos val="l"/>
        <c:majorGridlines>
          <c:spPr>
            <a:ln w="3175">
              <a:solidFill>
                <a:srgbClr val="C0C0C0"/>
              </a:solidFill>
              <a:prstDash val="solid"/>
            </a:ln>
          </c:spPr>
        </c:majorGridlines>
        <c:title>
          <c:tx>
            <c:rich>
              <a:bodyPr/>
              <a:lstStyle/>
              <a:p>
                <a:pPr>
                  <a:defRPr/>
                </a:pPr>
                <a:r>
                  <a:rPr lang="en-US"/>
                  <a:t>_Electric_Natural_Gas</a:t>
                </a:r>
              </a:p>
            </c:rich>
          </c:tx>
          <c:layout>
            <c:manualLayout>
              <c:xMode val="edge"/>
              <c:yMode val="edge"/>
              <c:x val="2.6763990267639901E-2"/>
              <c:y val="0.2660618256051327"/>
            </c:manualLayout>
          </c:layout>
          <c:overlay val="0"/>
        </c:title>
        <c:numFmt formatCode="General" sourceLinked="0"/>
        <c:majorTickMark val="out"/>
        <c:minorTickMark val="none"/>
        <c:tickLblPos val="nextTo"/>
        <c:crossAx val="107365120"/>
        <c:crosses val="autoZero"/>
        <c:crossBetween val="between"/>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txPr>
    <a:bodyPr/>
    <a:lstStyle/>
    <a:p>
      <a:pPr>
        <a:defRPr sz="1000">
          <a:latin typeface="Calibri"/>
          <a:ea typeface="Calibri"/>
          <a:cs typeface="Calibri"/>
        </a:defRPr>
      </a:pPr>
      <a:endParaRPr lang="en-US"/>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'Elec dummy only model'!$AA$3</c:f>
          <c:strCache>
            <c:ptCount val="1"/>
            <c:pt idx="0">
              <c:v>Actual and predicted -vs- Observation # with 95.0% confidence limits
Elec dummy only model for _Electric_Natural_Gas    (12 variables, n=78)</c:v>
            </c:pt>
          </c:strCache>
        </c:strRef>
      </c:tx>
      <c:overlay val="0"/>
      <c:txPr>
        <a:bodyPr/>
        <a:lstStyle/>
        <a:p>
          <a:pPr>
            <a:defRPr sz="1000">
              <a:latin typeface="Calibri"/>
              <a:ea typeface="Calibri"/>
              <a:cs typeface="Calibri"/>
            </a:defRPr>
          </a:pPr>
          <a:endParaRPr lang="en-US"/>
        </a:p>
      </c:txPr>
    </c:title>
    <c:autoTitleDeleted val="0"/>
    <c:plotArea>
      <c:layout/>
      <c:scatterChart>
        <c:scatterStyle val="lineMarker"/>
        <c:varyColors val="0"/>
        <c:ser>
          <c:idx val="0"/>
          <c:order val="0"/>
          <c:tx>
            <c:v>Actual</c:v>
          </c:tx>
          <c:spPr>
            <a:ln w="9525" cap="rnd" cmpd="sng" algn="ctr">
              <a:solidFill>
                <a:srgbClr val="0000FF"/>
              </a:solidFill>
              <a:prstDash val="solid"/>
              <a:round/>
              <a:headEnd type="none" w="med" len="med"/>
              <a:tailEnd type="none" w="med" len="med"/>
            </a:ln>
          </c:spPr>
          <c:marker>
            <c:symbol val="diamond"/>
            <c:size val="6"/>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7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numLit>
          </c:xVal>
          <c:yVal>
            <c:numLit>
              <c:formatCode>General</c:formatCode>
              <c:ptCount val="78"/>
              <c:pt idx="0">
                <c:v>1798</c:v>
              </c:pt>
              <c:pt idx="1">
                <c:v>1912</c:v>
              </c:pt>
              <c:pt idx="2">
                <c:v>2674</c:v>
              </c:pt>
              <c:pt idx="3">
                <c:v>1314</c:v>
              </c:pt>
              <c:pt idx="4">
                <c:v>1761</c:v>
              </c:pt>
              <c:pt idx="5">
                <c:v>4481</c:v>
              </c:pt>
              <c:pt idx="6">
                <c:v>5303</c:v>
              </c:pt>
              <c:pt idx="7">
                <c:v>7937</c:v>
              </c:pt>
              <c:pt idx="8">
                <c:v>7103</c:v>
              </c:pt>
              <c:pt idx="9">
                <c:v>1259</c:v>
              </c:pt>
              <c:pt idx="10">
                <c:v>2241</c:v>
              </c:pt>
              <c:pt idx="11">
                <c:v>2133</c:v>
              </c:pt>
              <c:pt idx="12">
                <c:v>4595</c:v>
              </c:pt>
              <c:pt idx="13">
                <c:v>3096</c:v>
              </c:pt>
              <c:pt idx="14">
                <c:v>2555</c:v>
              </c:pt>
              <c:pt idx="15">
                <c:v>3098</c:v>
              </c:pt>
              <c:pt idx="16">
                <c:v>5787</c:v>
              </c:pt>
              <c:pt idx="17">
                <c:v>10952</c:v>
              </c:pt>
              <c:pt idx="18">
                <c:v>12003</c:v>
              </c:pt>
              <c:pt idx="19">
                <c:v>10299</c:v>
              </c:pt>
              <c:pt idx="20">
                <c:v>5803</c:v>
              </c:pt>
              <c:pt idx="21">
                <c:v>4621</c:v>
              </c:pt>
              <c:pt idx="22">
                <c:v>4250</c:v>
              </c:pt>
              <c:pt idx="23">
                <c:v>6013</c:v>
              </c:pt>
              <c:pt idx="24">
                <c:v>4681</c:v>
              </c:pt>
              <c:pt idx="25">
                <c:v>3473</c:v>
              </c:pt>
              <c:pt idx="26">
                <c:v>4445</c:v>
              </c:pt>
              <c:pt idx="27">
                <c:v>3691</c:v>
              </c:pt>
              <c:pt idx="28">
                <c:v>8148</c:v>
              </c:pt>
              <c:pt idx="29">
                <c:v>10582</c:v>
              </c:pt>
              <c:pt idx="30">
                <c:v>14049</c:v>
              </c:pt>
              <c:pt idx="31">
                <c:v>10826</c:v>
              </c:pt>
              <c:pt idx="32">
                <c:v>7157</c:v>
              </c:pt>
              <c:pt idx="33">
                <c:v>6183</c:v>
              </c:pt>
              <c:pt idx="34">
                <c:v>7969</c:v>
              </c:pt>
              <c:pt idx="35">
                <c:v>8594</c:v>
              </c:pt>
              <c:pt idx="36">
                <c:v>10096</c:v>
              </c:pt>
              <c:pt idx="37">
                <c:v>12898</c:v>
              </c:pt>
              <c:pt idx="38">
                <c:v>10717</c:v>
              </c:pt>
              <c:pt idx="39">
                <c:v>10778</c:v>
              </c:pt>
              <c:pt idx="40">
                <c:v>13077</c:v>
              </c:pt>
              <c:pt idx="41">
                <c:v>13291</c:v>
              </c:pt>
              <c:pt idx="42">
                <c:v>20603</c:v>
              </c:pt>
              <c:pt idx="43">
                <c:v>16794</c:v>
              </c:pt>
              <c:pt idx="44">
                <c:v>14032</c:v>
              </c:pt>
              <c:pt idx="45">
                <c:v>9107</c:v>
              </c:pt>
              <c:pt idx="46">
                <c:v>7885</c:v>
              </c:pt>
              <c:pt idx="47">
                <c:v>11589</c:v>
              </c:pt>
              <c:pt idx="48">
                <c:v>15951</c:v>
              </c:pt>
              <c:pt idx="49">
                <c:v>14442</c:v>
              </c:pt>
              <c:pt idx="50">
                <c:v>15968</c:v>
              </c:pt>
              <c:pt idx="51">
                <c:v>14409</c:v>
              </c:pt>
              <c:pt idx="52">
                <c:v>15758</c:v>
              </c:pt>
              <c:pt idx="53">
                <c:v>17311</c:v>
              </c:pt>
              <c:pt idx="54">
                <c:v>19612</c:v>
              </c:pt>
              <c:pt idx="55">
                <c:v>19504</c:v>
              </c:pt>
              <c:pt idx="56">
                <c:v>18336</c:v>
              </c:pt>
              <c:pt idx="57">
                <c:v>15088</c:v>
              </c:pt>
              <c:pt idx="58">
                <c:v>15652</c:v>
              </c:pt>
              <c:pt idx="59">
                <c:v>18969</c:v>
              </c:pt>
              <c:pt idx="60">
                <c:v>17864</c:v>
              </c:pt>
              <c:pt idx="61">
                <c:v>8697</c:v>
              </c:pt>
              <c:pt idx="62">
                <c:v>14767</c:v>
              </c:pt>
              <c:pt idx="63">
                <c:v>15371</c:v>
              </c:pt>
              <c:pt idx="64">
                <c:v>16592</c:v>
              </c:pt>
              <c:pt idx="65">
                <c:v>20928</c:v>
              </c:pt>
              <c:pt idx="66">
                <c:v>20934</c:v>
              </c:pt>
              <c:pt idx="67">
                <c:v>20625</c:v>
              </c:pt>
              <c:pt idx="68">
                <c:v>19655</c:v>
              </c:pt>
              <c:pt idx="69">
                <c:v>12618</c:v>
              </c:pt>
              <c:pt idx="70">
                <c:v>16980</c:v>
              </c:pt>
              <c:pt idx="71">
                <c:v>21194</c:v>
              </c:pt>
              <c:pt idx="72">
                <c:v>21992</c:v>
              </c:pt>
              <c:pt idx="73">
                <c:v>20106</c:v>
              </c:pt>
              <c:pt idx="74">
                <c:v>19194</c:v>
              </c:pt>
              <c:pt idx="75">
                <c:v>19240</c:v>
              </c:pt>
              <c:pt idx="76">
                <c:v>23874</c:v>
              </c:pt>
              <c:pt idx="77">
                <c:v>26468</c:v>
              </c:pt>
            </c:numLit>
          </c:yVal>
          <c:smooth val="0"/>
          <c:extLst>
            <c:ext xmlns:c16="http://schemas.microsoft.com/office/drawing/2014/chart" uri="{C3380CC4-5D6E-409C-BE32-E72D297353CC}">
              <c16:uniqueId val="{00000000-8325-49D6-87C8-E15B0B366DA2}"/>
            </c:ext>
          </c:extLst>
        </c:ser>
        <c:ser>
          <c:idx val="1"/>
          <c:order val="1"/>
          <c:tx>
            <c:v>Predicted</c:v>
          </c:tx>
          <c:spPr>
            <a:ln w="9525">
              <a:solidFill>
                <a:srgbClr val="FF0000"/>
              </a:solidFill>
              <a:prstDash val="sysDash"/>
            </a:ln>
          </c:spPr>
          <c:marker>
            <c:symbol val="circle"/>
            <c:size val="6"/>
            <c:spPr>
              <a:noFill/>
              <a:ln w="9525">
                <a:solidFill>
                  <a:srgbClr val="FF0000"/>
                </a:solidFill>
                <a:prstDash val="solid"/>
              </a:ln>
            </c:spPr>
          </c:marker>
          <c:xVal>
            <c:numLit>
              <c:formatCode>General</c:formatCode>
              <c:ptCount val="7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numLit>
          </c:xVal>
          <c:yVal>
            <c:numLit>
              <c:formatCode>General</c:formatCode>
              <c:ptCount val="78"/>
              <c:pt idx="0">
                <c:v>1525.9230769230162</c:v>
              </c:pt>
              <c:pt idx="1">
                <c:v>-238.79120879128823</c:v>
              </c:pt>
              <c:pt idx="2">
                <c:v>574.92307692299437</c:v>
              </c:pt>
              <c:pt idx="3">
                <c:v>229.35164835157775</c:v>
              </c:pt>
              <c:pt idx="4">
                <c:v>2671.6373626372915</c:v>
              </c:pt>
              <c:pt idx="5">
                <c:v>5388.2087912086972</c:v>
              </c:pt>
              <c:pt idx="6">
                <c:v>7525.0073260072604</c:v>
              </c:pt>
              <c:pt idx="7">
                <c:v>6438.5073260072568</c:v>
              </c:pt>
              <c:pt idx="8">
                <c:v>4122.0073260072568</c:v>
              </c:pt>
              <c:pt idx="9">
                <c:v>253.67399267393193</c:v>
              </c:pt>
              <c:pt idx="10">
                <c:v>1270.5073260072422</c:v>
              </c:pt>
              <c:pt idx="11">
                <c:v>3523.0073260072422</c:v>
              </c:pt>
              <c:pt idx="12">
                <c:v>4682.8534798534165</c:v>
              </c:pt>
              <c:pt idx="13">
                <c:v>2918.1391941391121</c:v>
              </c:pt>
              <c:pt idx="14">
                <c:v>3731.8534798533947</c:v>
              </c:pt>
              <c:pt idx="15">
                <c:v>3386.2820512819781</c:v>
              </c:pt>
              <c:pt idx="16">
                <c:v>5828.5677655676882</c:v>
              </c:pt>
              <c:pt idx="17">
                <c:v>8545.1391941390975</c:v>
              </c:pt>
              <c:pt idx="18">
                <c:v>10681.937728937657</c:v>
              </c:pt>
              <c:pt idx="19">
                <c:v>9595.4377289376571</c:v>
              </c:pt>
              <c:pt idx="20">
                <c:v>7278.9377289376534</c:v>
              </c:pt>
              <c:pt idx="21">
                <c:v>3410.6043956043322</c:v>
              </c:pt>
              <c:pt idx="22">
                <c:v>4427.4377289376425</c:v>
              </c:pt>
              <c:pt idx="23">
                <c:v>6679.9377289376425</c:v>
              </c:pt>
              <c:pt idx="24">
                <c:v>7839.7838827838132</c:v>
              </c:pt>
              <c:pt idx="25">
                <c:v>6075.0695970695124</c:v>
              </c:pt>
              <c:pt idx="26">
                <c:v>6888.783882783795</c:v>
              </c:pt>
              <c:pt idx="27">
                <c:v>6543.2124542123784</c:v>
              </c:pt>
              <c:pt idx="28">
                <c:v>8985.4981684980885</c:v>
              </c:pt>
              <c:pt idx="29">
                <c:v>11702.069597069494</c:v>
              </c:pt>
              <c:pt idx="30">
                <c:v>13838.868131868061</c:v>
              </c:pt>
              <c:pt idx="31">
                <c:v>12752.368131868061</c:v>
              </c:pt>
              <c:pt idx="32">
                <c:v>10435.868131868054</c:v>
              </c:pt>
              <c:pt idx="33">
                <c:v>6567.5347985347289</c:v>
              </c:pt>
              <c:pt idx="34">
                <c:v>7584.3681318680392</c:v>
              </c:pt>
              <c:pt idx="35">
                <c:v>9836.8681318680392</c:v>
              </c:pt>
              <c:pt idx="36">
                <c:v>10996.714285714217</c:v>
              </c:pt>
              <c:pt idx="37">
                <c:v>9231.9999999999127</c:v>
              </c:pt>
              <c:pt idx="38">
                <c:v>10045.714285714195</c:v>
              </c:pt>
              <c:pt idx="39">
                <c:v>9700.1428571427823</c:v>
              </c:pt>
              <c:pt idx="40">
                <c:v>12142.428571428485</c:v>
              </c:pt>
              <c:pt idx="41">
                <c:v>14858.999999999891</c:v>
              </c:pt>
              <c:pt idx="42">
                <c:v>16995.798534798458</c:v>
              </c:pt>
              <c:pt idx="43">
                <c:v>15909.298534798458</c:v>
              </c:pt>
              <c:pt idx="44">
                <c:v>13592.798534798458</c:v>
              </c:pt>
              <c:pt idx="45">
                <c:v>9724.4652014651365</c:v>
              </c:pt>
              <c:pt idx="46">
                <c:v>10741.298534798443</c:v>
              </c:pt>
              <c:pt idx="47">
                <c:v>12993.798534798443</c:v>
              </c:pt>
              <c:pt idx="48">
                <c:v>14153.644688644614</c:v>
              </c:pt>
              <c:pt idx="49">
                <c:v>12388.930402930309</c:v>
              </c:pt>
              <c:pt idx="50">
                <c:v>13202.644688644592</c:v>
              </c:pt>
              <c:pt idx="51">
                <c:v>12857.073260073179</c:v>
              </c:pt>
              <c:pt idx="52">
                <c:v>15299.358974358882</c:v>
              </c:pt>
              <c:pt idx="53">
                <c:v>18015.930402930295</c:v>
              </c:pt>
              <c:pt idx="54">
                <c:v>20152.728937728862</c:v>
              </c:pt>
              <c:pt idx="55">
                <c:v>19066.228937728862</c:v>
              </c:pt>
              <c:pt idx="56">
                <c:v>16749.728937728854</c:v>
              </c:pt>
              <c:pt idx="57">
                <c:v>12881.395604395533</c:v>
              </c:pt>
              <c:pt idx="58">
                <c:v>13898.22893772884</c:v>
              </c:pt>
              <c:pt idx="59">
                <c:v>16150.72893772884</c:v>
              </c:pt>
              <c:pt idx="60">
                <c:v>17310.57509157501</c:v>
              </c:pt>
              <c:pt idx="61">
                <c:v>15545.860805860713</c:v>
              </c:pt>
              <c:pt idx="62">
                <c:v>16359.575091574996</c:v>
              </c:pt>
              <c:pt idx="63">
                <c:v>16014.003663003583</c:v>
              </c:pt>
              <c:pt idx="64">
                <c:v>18456.289377289286</c:v>
              </c:pt>
              <c:pt idx="65">
                <c:v>21172.860805860691</c:v>
              </c:pt>
              <c:pt idx="66">
                <c:v>23309.659340659258</c:v>
              </c:pt>
              <c:pt idx="67">
                <c:v>22223.159340659258</c:v>
              </c:pt>
              <c:pt idx="68">
                <c:v>19906.659340659251</c:v>
              </c:pt>
              <c:pt idx="69">
                <c:v>16038.32600732593</c:v>
              </c:pt>
              <c:pt idx="70">
                <c:v>17055.159340659244</c:v>
              </c:pt>
              <c:pt idx="71">
                <c:v>19307.659340659244</c:v>
              </c:pt>
              <c:pt idx="72">
                <c:v>20467.505494505414</c:v>
              </c:pt>
              <c:pt idx="73">
                <c:v>18702.79120879111</c:v>
              </c:pt>
              <c:pt idx="74">
                <c:v>19516.505494505393</c:v>
              </c:pt>
              <c:pt idx="75">
                <c:v>19170.93406593398</c:v>
              </c:pt>
              <c:pt idx="76">
                <c:v>21613.219780219682</c:v>
              </c:pt>
              <c:pt idx="77">
                <c:v>24329.791208791088</c:v>
              </c:pt>
            </c:numLit>
          </c:yVal>
          <c:smooth val="0"/>
          <c:extLst>
            <c:ext xmlns:c16="http://schemas.microsoft.com/office/drawing/2014/chart" uri="{C3380CC4-5D6E-409C-BE32-E72D297353CC}">
              <c16:uniqueId val="{00000001-8325-49D6-87C8-E15B0B366DA2}"/>
            </c:ext>
          </c:extLst>
        </c:ser>
        <c:ser>
          <c:idx val="2"/>
          <c:order val="2"/>
          <c:tx>
            <c:v>Forecast</c:v>
          </c:tx>
          <c:spPr>
            <a:ln w="25400">
              <a:noFill/>
            </a:ln>
          </c:spPr>
          <c:marker>
            <c:symbol val="circle"/>
            <c:size val="7"/>
            <c:spPr>
              <a:solidFill>
                <a:srgbClr val="FF9999"/>
              </a:solidFill>
              <a:ln w="12700">
                <a:solidFill>
                  <a:srgbClr val="FF0000"/>
                </a:solidFill>
                <a:prstDash val="solid"/>
              </a:ln>
            </c:spPr>
          </c:marker>
          <c:errBars>
            <c:errDir val="y"/>
            <c:errBarType val="both"/>
            <c:errValType val="cust"/>
            <c:noEndCap val="0"/>
            <c:plus>
              <c:numRef>
                <c:f>'Elec dummy only model'!$CG$47:$CG$58</c:f>
                <c:numCache>
                  <c:formatCode>General</c:formatCode>
                  <c:ptCount val="12"/>
                  <c:pt idx="0">
                    <c:v>4453.6876531459038</c:v>
                  </c:pt>
                  <c:pt idx="1">
                    <c:v>4453.6876531459038</c:v>
                  </c:pt>
                  <c:pt idx="2">
                    <c:v>4453.6876531459038</c:v>
                  </c:pt>
                  <c:pt idx="3">
                    <c:v>4453.6876531459038</c:v>
                  </c:pt>
                  <c:pt idx="4">
                    <c:v>4453.6876531459038</c:v>
                  </c:pt>
                  <c:pt idx="5">
                    <c:v>4453.6876531459038</c:v>
                  </c:pt>
                  <c:pt idx="6">
                    <c:v>4435.1340545160028</c:v>
                  </c:pt>
                  <c:pt idx="7">
                    <c:v>4435.1340545160028</c:v>
                  </c:pt>
                  <c:pt idx="8">
                    <c:v>4435.1340545160028</c:v>
                  </c:pt>
                  <c:pt idx="9">
                    <c:v>4435.1340545160028</c:v>
                  </c:pt>
                  <c:pt idx="10">
                    <c:v>4435.1340545160028</c:v>
                  </c:pt>
                  <c:pt idx="11">
                    <c:v>4435.1340545160028</c:v>
                  </c:pt>
                </c:numCache>
              </c:numRef>
            </c:plus>
            <c:minus>
              <c:numRef>
                <c:f>'Elec dummy only model'!$CG$47:$CG$58</c:f>
                <c:numCache>
                  <c:formatCode>General</c:formatCode>
                  <c:ptCount val="12"/>
                  <c:pt idx="0">
                    <c:v>4453.6876531459038</c:v>
                  </c:pt>
                  <c:pt idx="1">
                    <c:v>4453.6876531459038</c:v>
                  </c:pt>
                  <c:pt idx="2">
                    <c:v>4453.6876531459038</c:v>
                  </c:pt>
                  <c:pt idx="3">
                    <c:v>4453.6876531459038</c:v>
                  </c:pt>
                  <c:pt idx="4">
                    <c:v>4453.6876531459038</c:v>
                  </c:pt>
                  <c:pt idx="5">
                    <c:v>4453.6876531459038</c:v>
                  </c:pt>
                  <c:pt idx="6">
                    <c:v>4435.1340545160028</c:v>
                  </c:pt>
                  <c:pt idx="7">
                    <c:v>4435.1340545160028</c:v>
                  </c:pt>
                  <c:pt idx="8">
                    <c:v>4435.1340545160028</c:v>
                  </c:pt>
                  <c:pt idx="9">
                    <c:v>4435.1340545160028</c:v>
                  </c:pt>
                  <c:pt idx="10">
                    <c:v>4435.1340545160028</c:v>
                  </c:pt>
                  <c:pt idx="11">
                    <c:v>4435.1340545160028</c:v>
                  </c:pt>
                </c:numCache>
              </c:numRef>
            </c:minus>
          </c:errBars>
          <c:xVal>
            <c:numRef>
              <c:f>'Elec dummy only model'!$A$47:$A$58</c:f>
              <c:numCache>
                <c:formatCode>0</c:formatCode>
                <c:ptCount val="12"/>
                <c:pt idx="0">
                  <c:v>79</c:v>
                </c:pt>
                <c:pt idx="1">
                  <c:v>80</c:v>
                </c:pt>
                <c:pt idx="2">
                  <c:v>81</c:v>
                </c:pt>
                <c:pt idx="3">
                  <c:v>82</c:v>
                </c:pt>
                <c:pt idx="4">
                  <c:v>83</c:v>
                </c:pt>
                <c:pt idx="5">
                  <c:v>84</c:v>
                </c:pt>
                <c:pt idx="6">
                  <c:v>85</c:v>
                </c:pt>
                <c:pt idx="7">
                  <c:v>86</c:v>
                </c:pt>
                <c:pt idx="8">
                  <c:v>87</c:v>
                </c:pt>
                <c:pt idx="9">
                  <c:v>88</c:v>
                </c:pt>
                <c:pt idx="10">
                  <c:v>89</c:v>
                </c:pt>
                <c:pt idx="11">
                  <c:v>90</c:v>
                </c:pt>
              </c:numCache>
            </c:numRef>
          </c:xVal>
          <c:yVal>
            <c:numRef>
              <c:f>'Elec dummy only model'!$B$47:$B$58</c:f>
              <c:numCache>
                <c:formatCode>#,###</c:formatCode>
                <c:ptCount val="12"/>
                <c:pt idx="0">
                  <c:v>26466.589743589659</c:v>
                </c:pt>
                <c:pt idx="1">
                  <c:v>25380.089743589655</c:v>
                </c:pt>
                <c:pt idx="2">
                  <c:v>23063.589743589651</c:v>
                </c:pt>
                <c:pt idx="3">
                  <c:v>19195.25641025633</c:v>
                </c:pt>
                <c:pt idx="4">
                  <c:v>20212.08974358964</c:v>
                </c:pt>
                <c:pt idx="5">
                  <c:v>22464.58974358964</c:v>
                </c:pt>
                <c:pt idx="6">
                  <c:v>23624.435897435811</c:v>
                </c:pt>
                <c:pt idx="7">
                  <c:v>21859.72161172151</c:v>
                </c:pt>
                <c:pt idx="8">
                  <c:v>22673.435897435793</c:v>
                </c:pt>
                <c:pt idx="9">
                  <c:v>22327.864468864376</c:v>
                </c:pt>
                <c:pt idx="10">
                  <c:v>24770.150183150086</c:v>
                </c:pt>
                <c:pt idx="11">
                  <c:v>27486.721611721496</c:v>
                </c:pt>
              </c:numCache>
            </c:numRef>
          </c:yVal>
          <c:smooth val="0"/>
          <c:extLst>
            <c:ext xmlns:c16="http://schemas.microsoft.com/office/drawing/2014/chart" uri="{C3380CC4-5D6E-409C-BE32-E72D297353CC}">
              <c16:uniqueId val="{00000002-8325-49D6-87C8-E15B0B366DA2}"/>
            </c:ext>
          </c:extLst>
        </c:ser>
        <c:dLbls>
          <c:showLegendKey val="0"/>
          <c:showVal val="0"/>
          <c:showCatName val="0"/>
          <c:showSerName val="0"/>
          <c:showPercent val="0"/>
          <c:showBubbleSize val="0"/>
        </c:dLbls>
        <c:axId val="107390080"/>
        <c:axId val="107392000"/>
      </c:scatterChart>
      <c:valAx>
        <c:axId val="107390080"/>
        <c:scaling>
          <c:orientation val="minMax"/>
        </c:scaling>
        <c:delete val="0"/>
        <c:axPos val="b"/>
        <c:title>
          <c:tx>
            <c:rich>
              <a:bodyPr/>
              <a:lstStyle/>
              <a:p>
                <a:pPr>
                  <a:defRPr/>
                </a:pPr>
                <a:r>
                  <a:rPr lang="en-US"/>
                  <a:t>Observation #</a:t>
                </a:r>
              </a:p>
            </c:rich>
          </c:tx>
          <c:overlay val="0"/>
        </c:title>
        <c:numFmt formatCode="0" sourceLinked="0"/>
        <c:majorTickMark val="out"/>
        <c:minorTickMark val="none"/>
        <c:tickLblPos val="nextTo"/>
        <c:crossAx val="107392000"/>
        <c:crossesAt val="-5000"/>
        <c:crossBetween val="midCat"/>
      </c:valAx>
      <c:valAx>
        <c:axId val="107392000"/>
        <c:scaling>
          <c:orientation val="minMax"/>
        </c:scaling>
        <c:delete val="0"/>
        <c:axPos val="l"/>
        <c:majorGridlines>
          <c:spPr>
            <a:ln w="3175">
              <a:solidFill>
                <a:srgbClr val="C0C0C0"/>
              </a:solidFill>
              <a:prstDash val="solid"/>
            </a:ln>
          </c:spPr>
        </c:majorGridlines>
        <c:title>
          <c:tx>
            <c:rich>
              <a:bodyPr/>
              <a:lstStyle/>
              <a:p>
                <a:pPr>
                  <a:defRPr/>
                </a:pPr>
                <a:r>
                  <a:rPr lang="en-US"/>
                  <a:t>_Electric_Natural_Gas</a:t>
                </a:r>
              </a:p>
            </c:rich>
          </c:tx>
          <c:layout>
            <c:manualLayout>
              <c:xMode val="edge"/>
              <c:yMode val="edge"/>
              <c:x val="2.6763990267639901E-2"/>
              <c:y val="0.2660618256051327"/>
            </c:manualLayout>
          </c:layout>
          <c:overlay val="0"/>
        </c:title>
        <c:numFmt formatCode="General" sourceLinked="1"/>
        <c:majorTickMark val="out"/>
        <c:minorTickMark val="none"/>
        <c:tickLblPos val="nextTo"/>
        <c:crossAx val="107390080"/>
        <c:crossesAt val="0"/>
        <c:crossBetween val="midCat"/>
      </c:valAx>
      <c:spPr>
        <a:ln w="6350">
          <a:solidFill>
            <a:srgbClr val="808080"/>
          </a:solidFill>
          <a:prstDash val="solid"/>
        </a:ln>
      </c:spPr>
    </c:plotArea>
    <c:legend>
      <c:legendPos val="r"/>
      <c:overlay val="0"/>
    </c:legend>
    <c:plotVisOnly val="1"/>
    <c:dispBlanksAs val="gap"/>
    <c:showDLblsOverMax val="0"/>
  </c:chart>
  <c:spPr>
    <a:solidFill>
      <a:srgbClr val="F3F3F3"/>
    </a:solidFill>
    <a:ln w="6350">
      <a:solidFill>
        <a:srgbClr val="808080"/>
      </a:solidFill>
      <a:prstDash val="solid"/>
    </a:ln>
  </c:spPr>
  <c:txPr>
    <a:bodyPr/>
    <a:lstStyle/>
    <a:p>
      <a:pPr>
        <a:defRPr sz="1000">
          <a:latin typeface="+mn-lt"/>
          <a:ea typeface="+mn-lt"/>
          <a:cs typeface="+mn-lt"/>
        </a:defRPr>
      </a:pPr>
      <a:endParaRPr lang="en-US"/>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Residual -vs- Observation #
</a:t>
            </a:r>
            <a:r>
              <a:rPr lang="en-US" sz="1000"/>
              <a:t>Elec dummy only model for _Electric_Natural_Gas    (12 variables, n=78)</a:t>
            </a:r>
          </a:p>
        </c:rich>
      </c:tx>
      <c:overlay val="0"/>
    </c:title>
    <c:autoTitleDeleted val="0"/>
    <c:plotArea>
      <c:layout/>
      <c:barChart>
        <c:barDir val="col"/>
        <c:grouping val="clustered"/>
        <c:varyColors val="0"/>
        <c:ser>
          <c:idx val="0"/>
          <c:order val="0"/>
          <c:tx>
            <c:v>Actual</c:v>
          </c:tx>
          <c:spPr>
            <a:solidFill>
              <a:srgbClr val="9999FF"/>
            </a:solidFill>
            <a:ln w="9525" cap="flat" cmpd="sng" algn="ctr">
              <a:solidFill>
                <a:srgbClr val="0000FF"/>
              </a:solidFill>
              <a:prstDash val="solid"/>
              <a:round/>
              <a:headEnd type="none" w="med" len="med"/>
              <a:tailEnd type="none" w="med" len="med"/>
            </a:ln>
            <a:effectLst/>
          </c:spPr>
          <c:invertIfNegative val="0"/>
          <c:cat>
            <c:numLit>
              <c:formatCode>General</c:formatCode>
              <c:ptCount val="7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numLit>
          </c:cat>
          <c:val>
            <c:numLit>
              <c:formatCode>General</c:formatCode>
              <c:ptCount val="78"/>
              <c:pt idx="0">
                <c:v>272.0769230769838</c:v>
              </c:pt>
              <c:pt idx="1">
                <c:v>2150.7912087912882</c:v>
              </c:pt>
              <c:pt idx="2">
                <c:v>2099.0769230770056</c:v>
              </c:pt>
              <c:pt idx="3">
                <c:v>1084.6483516484222</c:v>
              </c:pt>
              <c:pt idx="4">
                <c:v>-910.63736263729152</c:v>
              </c:pt>
              <c:pt idx="5">
                <c:v>-907.20879120869722</c:v>
              </c:pt>
              <c:pt idx="6">
                <c:v>-2222.0073260072604</c:v>
              </c:pt>
              <c:pt idx="7">
                <c:v>1498.4926739927432</c:v>
              </c:pt>
              <c:pt idx="8">
                <c:v>2980.9926739927432</c:v>
              </c:pt>
              <c:pt idx="9">
                <c:v>1005.3260073260681</c:v>
              </c:pt>
              <c:pt idx="10">
                <c:v>970.49267399275777</c:v>
              </c:pt>
              <c:pt idx="11">
                <c:v>-1390.0073260072422</c:v>
              </c:pt>
              <c:pt idx="12">
                <c:v>-87.853479853416502</c:v>
              </c:pt>
              <c:pt idx="13">
                <c:v>177.86080586088792</c:v>
              </c:pt>
              <c:pt idx="14">
                <c:v>-1176.8534798533947</c:v>
              </c:pt>
              <c:pt idx="15">
                <c:v>-288.28205128197806</c:v>
              </c:pt>
              <c:pt idx="16">
                <c:v>-41.567765567688184</c:v>
              </c:pt>
              <c:pt idx="17">
                <c:v>2406.8608058609025</c:v>
              </c:pt>
              <c:pt idx="18">
                <c:v>1321.0622710623429</c:v>
              </c:pt>
              <c:pt idx="19">
                <c:v>703.56227106234292</c:v>
              </c:pt>
              <c:pt idx="20">
                <c:v>-1475.9377289376534</c:v>
              </c:pt>
              <c:pt idx="21">
                <c:v>1210.3956043956678</c:v>
              </c:pt>
              <c:pt idx="22">
                <c:v>-177.43772893764253</c:v>
              </c:pt>
              <c:pt idx="23">
                <c:v>-666.93772893764253</c:v>
              </c:pt>
              <c:pt idx="24">
                <c:v>-3158.7838827838132</c:v>
              </c:pt>
              <c:pt idx="25">
                <c:v>-2602.0695970695124</c:v>
              </c:pt>
              <c:pt idx="26">
                <c:v>-2443.783882783795</c:v>
              </c:pt>
              <c:pt idx="27">
                <c:v>-2852.2124542123784</c:v>
              </c:pt>
              <c:pt idx="28">
                <c:v>-837.49816849808849</c:v>
              </c:pt>
              <c:pt idx="29">
                <c:v>-1120.0695970694942</c:v>
              </c:pt>
              <c:pt idx="30">
                <c:v>210.13186813193897</c:v>
              </c:pt>
              <c:pt idx="31">
                <c:v>-1926.368131868061</c:v>
              </c:pt>
              <c:pt idx="32">
                <c:v>-3278.8681318680538</c:v>
              </c:pt>
              <c:pt idx="33">
                <c:v>-384.53479853472891</c:v>
              </c:pt>
              <c:pt idx="34">
                <c:v>384.6318681319608</c:v>
              </c:pt>
              <c:pt idx="35">
                <c:v>-1242.8681318680392</c:v>
              </c:pt>
              <c:pt idx="36">
                <c:v>-900.71428571421711</c:v>
              </c:pt>
              <c:pt idx="37">
                <c:v>3666.0000000000873</c:v>
              </c:pt>
              <c:pt idx="38">
                <c:v>671.28571428580472</c:v>
              </c:pt>
              <c:pt idx="39">
                <c:v>1077.8571428572177</c:v>
              </c:pt>
              <c:pt idx="40">
                <c:v>934.57142857151484</c:v>
              </c:pt>
              <c:pt idx="41">
                <c:v>-1567.9999999998909</c:v>
              </c:pt>
              <c:pt idx="42">
                <c:v>3607.2014652015423</c:v>
              </c:pt>
              <c:pt idx="43">
                <c:v>884.70146520154231</c:v>
              </c:pt>
              <c:pt idx="44">
                <c:v>439.20146520154231</c:v>
              </c:pt>
              <c:pt idx="45">
                <c:v>-617.46520146513649</c:v>
              </c:pt>
              <c:pt idx="46">
                <c:v>-2856.2985347984431</c:v>
              </c:pt>
              <c:pt idx="47">
                <c:v>-1404.7985347984431</c:v>
              </c:pt>
              <c:pt idx="48">
                <c:v>1797.3553113553862</c:v>
              </c:pt>
              <c:pt idx="49">
                <c:v>2053.0695970696906</c:v>
              </c:pt>
              <c:pt idx="50">
                <c:v>2765.355311355408</c:v>
              </c:pt>
              <c:pt idx="51">
                <c:v>1551.926739926821</c:v>
              </c:pt>
              <c:pt idx="52">
                <c:v>458.64102564111818</c:v>
              </c:pt>
              <c:pt idx="53">
                <c:v>-704.9304029302948</c:v>
              </c:pt>
              <c:pt idx="54">
                <c:v>-540.72893772886164</c:v>
              </c:pt>
              <c:pt idx="55">
                <c:v>437.77106227113836</c:v>
              </c:pt>
              <c:pt idx="56">
                <c:v>1586.2710622711456</c:v>
              </c:pt>
              <c:pt idx="57">
                <c:v>2206.6043956044668</c:v>
              </c:pt>
              <c:pt idx="58">
                <c:v>1753.7710622711602</c:v>
              </c:pt>
              <c:pt idx="59">
                <c:v>2818.2710622711602</c:v>
              </c:pt>
              <c:pt idx="60">
                <c:v>553.42490842498955</c:v>
              </c:pt>
              <c:pt idx="61">
                <c:v>-6848.8608058607133</c:v>
              </c:pt>
              <c:pt idx="62">
                <c:v>-1592.5750915749959</c:v>
              </c:pt>
              <c:pt idx="63">
                <c:v>-643.00366300358291</c:v>
              </c:pt>
              <c:pt idx="64">
                <c:v>-1864.2893772892858</c:v>
              </c:pt>
              <c:pt idx="65">
                <c:v>-244.86080586069147</c:v>
              </c:pt>
              <c:pt idx="66">
                <c:v>-2375.6593406592583</c:v>
              </c:pt>
              <c:pt idx="67">
                <c:v>-1598.1593406592583</c:v>
              </c:pt>
              <c:pt idx="68">
                <c:v>-251.65934065925103</c:v>
              </c:pt>
              <c:pt idx="69">
                <c:v>-3420.3260073259298</c:v>
              </c:pt>
              <c:pt idx="70">
                <c:v>-75.159340659243753</c:v>
              </c:pt>
              <c:pt idx="71">
                <c:v>1886.3406593407562</c:v>
              </c:pt>
              <c:pt idx="72">
                <c:v>1524.4945054945856</c:v>
              </c:pt>
              <c:pt idx="73">
                <c:v>1403.20879120889</c:v>
              </c:pt>
              <c:pt idx="74">
                <c:v>-322.50549450539256</c:v>
              </c:pt>
              <c:pt idx="75">
                <c:v>69.065934066020418</c:v>
              </c:pt>
              <c:pt idx="76">
                <c:v>2260.7802197803176</c:v>
              </c:pt>
              <c:pt idx="77">
                <c:v>2138.2087912089119</c:v>
              </c:pt>
            </c:numLit>
          </c:val>
          <c:extLst>
            <c:ext xmlns:c16="http://schemas.microsoft.com/office/drawing/2014/chart" uri="{C3380CC4-5D6E-409C-BE32-E72D297353CC}">
              <c16:uniqueId val="{00000000-ED4F-416D-956B-18D39C9E3EA2}"/>
            </c:ext>
          </c:extLst>
        </c:ser>
        <c:dLbls>
          <c:showLegendKey val="0"/>
          <c:showVal val="0"/>
          <c:showCatName val="0"/>
          <c:showSerName val="0"/>
          <c:showPercent val="0"/>
          <c:showBubbleSize val="0"/>
        </c:dLbls>
        <c:gapWidth val="25"/>
        <c:axId val="107408768"/>
        <c:axId val="107488768"/>
      </c:barChart>
      <c:catAx>
        <c:axId val="107408768"/>
        <c:scaling>
          <c:orientation val="minMax"/>
        </c:scaling>
        <c:delete val="0"/>
        <c:axPos val="b"/>
        <c:title>
          <c:tx>
            <c:rich>
              <a:bodyPr/>
              <a:lstStyle/>
              <a:p>
                <a:pPr>
                  <a:defRPr/>
                </a:pPr>
                <a:r>
                  <a:rPr lang="en-US"/>
                  <a:t>Observation #
</a:t>
                </a:r>
                <a:r>
                  <a:rPr lang="en-US" sz="750"/>
                  <a:t>Lag 1 autocorrelation = 0.39,   Durbin-Watson statistic = 1.21</a:t>
                </a:r>
              </a:p>
            </c:rich>
          </c:tx>
          <c:overlay val="0"/>
        </c:title>
        <c:numFmt formatCode="General" sourceLinked="1"/>
        <c:majorTickMark val="none"/>
        <c:minorTickMark val="none"/>
        <c:tickLblPos val="low"/>
        <c:txPr>
          <a:bodyPr rot="-5400000" vert="horz"/>
          <a:lstStyle/>
          <a:p>
            <a:pPr>
              <a:defRPr/>
            </a:pPr>
            <a:endParaRPr lang="en-US"/>
          </a:p>
        </c:txPr>
        <c:crossAx val="107488768"/>
        <c:crossesAt val="0"/>
        <c:auto val="1"/>
        <c:lblAlgn val="ctr"/>
        <c:lblOffset val="100"/>
        <c:noMultiLvlLbl val="0"/>
      </c:catAx>
      <c:valAx>
        <c:axId val="107488768"/>
        <c:scaling>
          <c:orientation val="minMax"/>
        </c:scaling>
        <c:delete val="0"/>
        <c:axPos val="l"/>
        <c:majorGridlines>
          <c:spPr>
            <a:ln w="3175">
              <a:solidFill>
                <a:srgbClr val="C0C0C0"/>
              </a:solidFill>
              <a:prstDash val="solid"/>
            </a:ln>
          </c:spPr>
        </c:majorGridlines>
        <c:title>
          <c:tx>
            <c:rich>
              <a:bodyPr/>
              <a:lstStyle/>
              <a:p>
                <a:pPr>
                  <a:defRPr/>
                </a:pPr>
                <a:r>
                  <a:rPr lang="en-US"/>
                  <a:t>Residual</a:t>
                </a:r>
              </a:p>
            </c:rich>
          </c:tx>
          <c:overlay val="0"/>
        </c:title>
        <c:numFmt formatCode="General" sourceLinked="1"/>
        <c:majorTickMark val="out"/>
        <c:minorTickMark val="none"/>
        <c:tickLblPos val="nextTo"/>
        <c:crossAx val="107408768"/>
        <c:crosses val="autoZero"/>
        <c:crossBetween val="between"/>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Residual -vs- Predicted
</a:t>
            </a:r>
            <a:r>
              <a:rPr lang="en-US" sz="1000"/>
              <a:t>Elec dummy only model for _Electric_Natural_Gas    (12 variables, n=78)</a:t>
            </a:r>
          </a:p>
        </c:rich>
      </c:tx>
      <c:overlay val="0"/>
    </c:title>
    <c:autoTitleDeleted val="0"/>
    <c:plotArea>
      <c:layout/>
      <c:scatterChart>
        <c:scatterStyle val="lineMarker"/>
        <c:varyColors val="0"/>
        <c:ser>
          <c:idx val="0"/>
          <c:order val="0"/>
          <c:tx>
            <c:v>Actual</c:v>
          </c:tx>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78"/>
              <c:pt idx="0">
                <c:v>1525.9230769230162</c:v>
              </c:pt>
              <c:pt idx="1">
                <c:v>-238.79120879128823</c:v>
              </c:pt>
              <c:pt idx="2">
                <c:v>574.92307692299437</c:v>
              </c:pt>
              <c:pt idx="3">
                <c:v>229.35164835157775</c:v>
              </c:pt>
              <c:pt idx="4">
                <c:v>2671.6373626372915</c:v>
              </c:pt>
              <c:pt idx="5">
                <c:v>5388.2087912086972</c:v>
              </c:pt>
              <c:pt idx="6">
                <c:v>7525.0073260072604</c:v>
              </c:pt>
              <c:pt idx="7">
                <c:v>6438.5073260072568</c:v>
              </c:pt>
              <c:pt idx="8">
                <c:v>4122.0073260072568</c:v>
              </c:pt>
              <c:pt idx="9">
                <c:v>253.67399267393193</c:v>
              </c:pt>
              <c:pt idx="10">
                <c:v>1270.5073260072422</c:v>
              </c:pt>
              <c:pt idx="11">
                <c:v>3523.0073260072422</c:v>
              </c:pt>
              <c:pt idx="12">
                <c:v>4682.8534798534165</c:v>
              </c:pt>
              <c:pt idx="13">
                <c:v>2918.1391941391121</c:v>
              </c:pt>
              <c:pt idx="14">
                <c:v>3731.8534798533947</c:v>
              </c:pt>
              <c:pt idx="15">
                <c:v>3386.2820512819781</c:v>
              </c:pt>
              <c:pt idx="16">
                <c:v>5828.5677655676882</c:v>
              </c:pt>
              <c:pt idx="17">
                <c:v>8545.1391941390975</c:v>
              </c:pt>
              <c:pt idx="18">
                <c:v>10681.937728937657</c:v>
              </c:pt>
              <c:pt idx="19">
                <c:v>9595.4377289376571</c:v>
              </c:pt>
              <c:pt idx="20">
                <c:v>7278.9377289376534</c:v>
              </c:pt>
              <c:pt idx="21">
                <c:v>3410.6043956043322</c:v>
              </c:pt>
              <c:pt idx="22">
                <c:v>4427.4377289376425</c:v>
              </c:pt>
              <c:pt idx="23">
                <c:v>6679.9377289376425</c:v>
              </c:pt>
              <c:pt idx="24">
                <c:v>7839.7838827838132</c:v>
              </c:pt>
              <c:pt idx="25">
                <c:v>6075.0695970695124</c:v>
              </c:pt>
              <c:pt idx="26">
                <c:v>6888.783882783795</c:v>
              </c:pt>
              <c:pt idx="27">
                <c:v>6543.2124542123784</c:v>
              </c:pt>
              <c:pt idx="28">
                <c:v>8985.4981684980885</c:v>
              </c:pt>
              <c:pt idx="29">
                <c:v>11702.069597069494</c:v>
              </c:pt>
              <c:pt idx="30">
                <c:v>13838.868131868061</c:v>
              </c:pt>
              <c:pt idx="31">
                <c:v>12752.368131868061</c:v>
              </c:pt>
              <c:pt idx="32">
                <c:v>10435.868131868054</c:v>
              </c:pt>
              <c:pt idx="33">
                <c:v>6567.5347985347289</c:v>
              </c:pt>
              <c:pt idx="34">
                <c:v>7584.3681318680392</c:v>
              </c:pt>
              <c:pt idx="35">
                <c:v>9836.8681318680392</c:v>
              </c:pt>
              <c:pt idx="36">
                <c:v>10996.714285714217</c:v>
              </c:pt>
              <c:pt idx="37">
                <c:v>9231.9999999999127</c:v>
              </c:pt>
              <c:pt idx="38">
                <c:v>10045.714285714195</c:v>
              </c:pt>
              <c:pt idx="39">
                <c:v>9700.1428571427823</c:v>
              </c:pt>
              <c:pt idx="40">
                <c:v>12142.428571428485</c:v>
              </c:pt>
              <c:pt idx="41">
                <c:v>14858.999999999891</c:v>
              </c:pt>
              <c:pt idx="42">
                <c:v>16995.798534798458</c:v>
              </c:pt>
              <c:pt idx="43">
                <c:v>15909.298534798458</c:v>
              </c:pt>
              <c:pt idx="44">
                <c:v>13592.798534798458</c:v>
              </c:pt>
              <c:pt idx="45">
                <c:v>9724.4652014651365</c:v>
              </c:pt>
              <c:pt idx="46">
                <c:v>10741.298534798443</c:v>
              </c:pt>
              <c:pt idx="47">
                <c:v>12993.798534798443</c:v>
              </c:pt>
              <c:pt idx="48">
                <c:v>14153.644688644614</c:v>
              </c:pt>
              <c:pt idx="49">
                <c:v>12388.930402930309</c:v>
              </c:pt>
              <c:pt idx="50">
                <c:v>13202.644688644592</c:v>
              </c:pt>
              <c:pt idx="51">
                <c:v>12857.073260073179</c:v>
              </c:pt>
              <c:pt idx="52">
                <c:v>15299.358974358882</c:v>
              </c:pt>
              <c:pt idx="53">
                <c:v>18015.930402930295</c:v>
              </c:pt>
              <c:pt idx="54">
                <c:v>20152.728937728862</c:v>
              </c:pt>
              <c:pt idx="55">
                <c:v>19066.228937728862</c:v>
              </c:pt>
              <c:pt idx="56">
                <c:v>16749.728937728854</c:v>
              </c:pt>
              <c:pt idx="57">
                <c:v>12881.395604395533</c:v>
              </c:pt>
              <c:pt idx="58">
                <c:v>13898.22893772884</c:v>
              </c:pt>
              <c:pt idx="59">
                <c:v>16150.72893772884</c:v>
              </c:pt>
              <c:pt idx="60">
                <c:v>17310.57509157501</c:v>
              </c:pt>
              <c:pt idx="61">
                <c:v>15545.860805860713</c:v>
              </c:pt>
              <c:pt idx="62">
                <c:v>16359.575091574996</c:v>
              </c:pt>
              <c:pt idx="63">
                <c:v>16014.003663003583</c:v>
              </c:pt>
              <c:pt idx="64">
                <c:v>18456.289377289286</c:v>
              </c:pt>
              <c:pt idx="65">
                <c:v>21172.860805860691</c:v>
              </c:pt>
              <c:pt idx="66">
                <c:v>23309.659340659258</c:v>
              </c:pt>
              <c:pt idx="67">
                <c:v>22223.159340659258</c:v>
              </c:pt>
              <c:pt idx="68">
                <c:v>19906.659340659251</c:v>
              </c:pt>
              <c:pt idx="69">
                <c:v>16038.32600732593</c:v>
              </c:pt>
              <c:pt idx="70">
                <c:v>17055.159340659244</c:v>
              </c:pt>
              <c:pt idx="71">
                <c:v>19307.659340659244</c:v>
              </c:pt>
              <c:pt idx="72">
                <c:v>20467.505494505414</c:v>
              </c:pt>
              <c:pt idx="73">
                <c:v>18702.79120879111</c:v>
              </c:pt>
              <c:pt idx="74">
                <c:v>19516.505494505393</c:v>
              </c:pt>
              <c:pt idx="75">
                <c:v>19170.93406593398</c:v>
              </c:pt>
              <c:pt idx="76">
                <c:v>21613.219780219682</c:v>
              </c:pt>
              <c:pt idx="77">
                <c:v>24329.791208791088</c:v>
              </c:pt>
            </c:numLit>
          </c:xVal>
          <c:yVal>
            <c:numLit>
              <c:formatCode>General</c:formatCode>
              <c:ptCount val="78"/>
              <c:pt idx="0">
                <c:v>272.0769230769838</c:v>
              </c:pt>
              <c:pt idx="1">
                <c:v>2150.7912087912882</c:v>
              </c:pt>
              <c:pt idx="2">
                <c:v>2099.0769230770056</c:v>
              </c:pt>
              <c:pt idx="3">
                <c:v>1084.6483516484222</c:v>
              </c:pt>
              <c:pt idx="4">
                <c:v>-910.63736263729152</c:v>
              </c:pt>
              <c:pt idx="5">
                <c:v>-907.20879120869722</c:v>
              </c:pt>
              <c:pt idx="6">
                <c:v>-2222.0073260072604</c:v>
              </c:pt>
              <c:pt idx="7">
                <c:v>1498.4926739927432</c:v>
              </c:pt>
              <c:pt idx="8">
                <c:v>2980.9926739927432</c:v>
              </c:pt>
              <c:pt idx="9">
                <c:v>1005.3260073260681</c:v>
              </c:pt>
              <c:pt idx="10">
                <c:v>970.49267399275777</c:v>
              </c:pt>
              <c:pt idx="11">
                <c:v>-1390.0073260072422</c:v>
              </c:pt>
              <c:pt idx="12">
                <c:v>-87.853479853416502</c:v>
              </c:pt>
              <c:pt idx="13">
                <c:v>177.86080586088792</c:v>
              </c:pt>
              <c:pt idx="14">
                <c:v>-1176.8534798533947</c:v>
              </c:pt>
              <c:pt idx="15">
                <c:v>-288.28205128197806</c:v>
              </c:pt>
              <c:pt idx="16">
                <c:v>-41.567765567688184</c:v>
              </c:pt>
              <c:pt idx="17">
                <c:v>2406.8608058609025</c:v>
              </c:pt>
              <c:pt idx="18">
                <c:v>1321.0622710623429</c:v>
              </c:pt>
              <c:pt idx="19">
                <c:v>703.56227106234292</c:v>
              </c:pt>
              <c:pt idx="20">
                <c:v>-1475.9377289376534</c:v>
              </c:pt>
              <c:pt idx="21">
                <c:v>1210.3956043956678</c:v>
              </c:pt>
              <c:pt idx="22">
                <c:v>-177.43772893764253</c:v>
              </c:pt>
              <c:pt idx="23">
                <c:v>-666.93772893764253</c:v>
              </c:pt>
              <c:pt idx="24">
                <c:v>-3158.7838827838132</c:v>
              </c:pt>
              <c:pt idx="25">
                <c:v>-2602.0695970695124</c:v>
              </c:pt>
              <c:pt idx="26">
                <c:v>-2443.783882783795</c:v>
              </c:pt>
              <c:pt idx="27">
                <c:v>-2852.2124542123784</c:v>
              </c:pt>
              <c:pt idx="28">
                <c:v>-837.49816849808849</c:v>
              </c:pt>
              <c:pt idx="29">
                <c:v>-1120.0695970694942</c:v>
              </c:pt>
              <c:pt idx="30">
                <c:v>210.13186813193897</c:v>
              </c:pt>
              <c:pt idx="31">
                <c:v>-1926.368131868061</c:v>
              </c:pt>
              <c:pt idx="32">
                <c:v>-3278.8681318680538</c:v>
              </c:pt>
              <c:pt idx="33">
                <c:v>-384.53479853472891</c:v>
              </c:pt>
              <c:pt idx="34">
                <c:v>384.6318681319608</c:v>
              </c:pt>
              <c:pt idx="35">
                <c:v>-1242.8681318680392</c:v>
              </c:pt>
              <c:pt idx="36">
                <c:v>-900.71428571421711</c:v>
              </c:pt>
              <c:pt idx="37">
                <c:v>3666.0000000000873</c:v>
              </c:pt>
              <c:pt idx="38">
                <c:v>671.28571428580472</c:v>
              </c:pt>
              <c:pt idx="39">
                <c:v>1077.8571428572177</c:v>
              </c:pt>
              <c:pt idx="40">
                <c:v>934.57142857151484</c:v>
              </c:pt>
              <c:pt idx="41">
                <c:v>-1567.9999999998909</c:v>
              </c:pt>
              <c:pt idx="42">
                <c:v>3607.2014652015423</c:v>
              </c:pt>
              <c:pt idx="43">
                <c:v>884.70146520154231</c:v>
              </c:pt>
              <c:pt idx="44">
                <c:v>439.20146520154231</c:v>
              </c:pt>
              <c:pt idx="45">
                <c:v>-617.46520146513649</c:v>
              </c:pt>
              <c:pt idx="46">
                <c:v>-2856.2985347984431</c:v>
              </c:pt>
              <c:pt idx="47">
                <c:v>-1404.7985347984431</c:v>
              </c:pt>
              <c:pt idx="48">
                <c:v>1797.3553113553862</c:v>
              </c:pt>
              <c:pt idx="49">
                <c:v>2053.0695970696906</c:v>
              </c:pt>
              <c:pt idx="50">
                <c:v>2765.355311355408</c:v>
              </c:pt>
              <c:pt idx="51">
                <c:v>1551.926739926821</c:v>
              </c:pt>
              <c:pt idx="52">
                <c:v>458.64102564111818</c:v>
              </c:pt>
              <c:pt idx="53">
                <c:v>-704.9304029302948</c:v>
              </c:pt>
              <c:pt idx="54">
                <c:v>-540.72893772886164</c:v>
              </c:pt>
              <c:pt idx="55">
                <c:v>437.77106227113836</c:v>
              </c:pt>
              <c:pt idx="56">
                <c:v>1586.2710622711456</c:v>
              </c:pt>
              <c:pt idx="57">
                <c:v>2206.6043956044668</c:v>
              </c:pt>
              <c:pt idx="58">
                <c:v>1753.7710622711602</c:v>
              </c:pt>
              <c:pt idx="59">
                <c:v>2818.2710622711602</c:v>
              </c:pt>
              <c:pt idx="60">
                <c:v>553.42490842498955</c:v>
              </c:pt>
              <c:pt idx="61">
                <c:v>-6848.8608058607133</c:v>
              </c:pt>
              <c:pt idx="62">
                <c:v>-1592.5750915749959</c:v>
              </c:pt>
              <c:pt idx="63">
                <c:v>-643.00366300358291</c:v>
              </c:pt>
              <c:pt idx="64">
                <c:v>-1864.2893772892858</c:v>
              </c:pt>
              <c:pt idx="65">
                <c:v>-244.86080586069147</c:v>
              </c:pt>
              <c:pt idx="66">
                <c:v>-2375.6593406592583</c:v>
              </c:pt>
              <c:pt idx="67">
                <c:v>-1598.1593406592583</c:v>
              </c:pt>
              <c:pt idx="68">
                <c:v>-251.65934065925103</c:v>
              </c:pt>
              <c:pt idx="69">
                <c:v>-3420.3260073259298</c:v>
              </c:pt>
              <c:pt idx="70">
                <c:v>-75.159340659243753</c:v>
              </c:pt>
              <c:pt idx="71">
                <c:v>1886.3406593407562</c:v>
              </c:pt>
              <c:pt idx="72">
                <c:v>1524.4945054945856</c:v>
              </c:pt>
              <c:pt idx="73">
                <c:v>1403.20879120889</c:v>
              </c:pt>
              <c:pt idx="74">
                <c:v>-322.50549450539256</c:v>
              </c:pt>
              <c:pt idx="75">
                <c:v>69.065934066020418</c:v>
              </c:pt>
              <c:pt idx="76">
                <c:v>2260.7802197803176</c:v>
              </c:pt>
              <c:pt idx="77">
                <c:v>2138.2087912089119</c:v>
              </c:pt>
            </c:numLit>
          </c:yVal>
          <c:smooth val="0"/>
          <c:extLst>
            <c:ext xmlns:c16="http://schemas.microsoft.com/office/drawing/2014/chart" uri="{C3380CC4-5D6E-409C-BE32-E72D297353CC}">
              <c16:uniqueId val="{00000000-3A21-408B-BA6D-319932A6735E}"/>
            </c:ext>
          </c:extLst>
        </c:ser>
        <c:dLbls>
          <c:showLegendKey val="0"/>
          <c:showVal val="0"/>
          <c:showCatName val="0"/>
          <c:showSerName val="0"/>
          <c:showPercent val="0"/>
          <c:showBubbleSize val="0"/>
        </c:dLbls>
        <c:axId val="107512960"/>
        <c:axId val="107515264"/>
      </c:scatterChart>
      <c:valAx>
        <c:axId val="107512960"/>
        <c:scaling>
          <c:orientation val="minMax"/>
        </c:scaling>
        <c:delete val="0"/>
        <c:axPos val="b"/>
        <c:title>
          <c:tx>
            <c:rich>
              <a:bodyPr/>
              <a:lstStyle/>
              <a:p>
                <a:pPr>
                  <a:defRPr/>
                </a:pPr>
                <a:r>
                  <a:rPr lang="en-US"/>
                  <a:t>Predicted</a:t>
                </a:r>
              </a:p>
            </c:rich>
          </c:tx>
          <c:overlay val="0"/>
        </c:title>
        <c:numFmt formatCode="General" sourceLinked="1"/>
        <c:majorTickMark val="out"/>
        <c:minorTickMark val="none"/>
        <c:tickLblPos val="nextTo"/>
        <c:crossAx val="107515264"/>
        <c:crossesAt val="-8000"/>
        <c:crossBetween val="midCat"/>
      </c:valAx>
      <c:valAx>
        <c:axId val="107515264"/>
        <c:scaling>
          <c:orientation val="minMax"/>
        </c:scaling>
        <c:delete val="0"/>
        <c:axPos val="l"/>
        <c:majorGridlines>
          <c:spPr>
            <a:ln w="3175">
              <a:solidFill>
                <a:srgbClr val="C0C0C0"/>
              </a:solidFill>
              <a:prstDash val="solid"/>
            </a:ln>
          </c:spPr>
        </c:majorGridlines>
        <c:title>
          <c:tx>
            <c:rich>
              <a:bodyPr/>
              <a:lstStyle/>
              <a:p>
                <a:pPr>
                  <a:defRPr/>
                </a:pPr>
                <a:r>
                  <a:rPr lang="en-US"/>
                  <a:t>Residual</a:t>
                </a:r>
              </a:p>
            </c:rich>
          </c:tx>
          <c:overlay val="0"/>
        </c:title>
        <c:numFmt formatCode="General" sourceLinked="1"/>
        <c:majorTickMark val="out"/>
        <c:minorTickMark val="none"/>
        <c:tickLblPos val="nextTo"/>
        <c:crossAx val="107512960"/>
        <c:crossesAt val="-5000"/>
        <c:crossBetween val="midCat"/>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Histogram of Residuals
</a:t>
            </a:r>
            <a:r>
              <a:rPr lang="en-US" sz="1000"/>
              <a:t>Elec dummy only model for _Electric_Natural_Gas    (12 variables, n=78)</a:t>
            </a:r>
          </a:p>
        </c:rich>
      </c:tx>
      <c:overlay val="0"/>
    </c:title>
    <c:autoTitleDeleted val="0"/>
    <c:plotArea>
      <c:layout/>
      <c:barChart>
        <c:barDir val="col"/>
        <c:grouping val="clustered"/>
        <c:varyColors val="0"/>
        <c:ser>
          <c:idx val="0"/>
          <c:order val="0"/>
          <c:tx>
            <c:v>Actual</c:v>
          </c:tx>
          <c:spPr>
            <a:solidFill>
              <a:srgbClr val="9999FF"/>
            </a:solidFill>
            <a:ln w="9525" cap="flat" cmpd="sng" algn="ctr">
              <a:solidFill>
                <a:srgbClr val="0000FF"/>
              </a:solidFill>
              <a:prstDash val="solid"/>
              <a:round/>
              <a:headEnd type="none" w="med" len="med"/>
              <a:tailEnd type="none" w="med" len="med"/>
            </a:ln>
          </c:spPr>
          <c:invertIfNegative val="0"/>
          <c:cat>
            <c:strLit>
              <c:ptCount val="21"/>
              <c:pt idx="0">
                <c:v>-6,900</c:v>
              </c:pt>
              <c:pt idx="1">
                <c:v>-6,210</c:v>
              </c:pt>
              <c:pt idx="2">
                <c:v>-5,520</c:v>
              </c:pt>
              <c:pt idx="3">
                <c:v>-4,830</c:v>
              </c:pt>
              <c:pt idx="4">
                <c:v>-4,140</c:v>
              </c:pt>
              <c:pt idx="5">
                <c:v>-3,450</c:v>
              </c:pt>
              <c:pt idx="6">
                <c:v>-2,760</c:v>
              </c:pt>
              <c:pt idx="7">
                <c:v>-2,070</c:v>
              </c:pt>
              <c:pt idx="8">
                <c:v>-1,380</c:v>
              </c:pt>
              <c:pt idx="9">
                <c:v>-690</c:v>
              </c:pt>
              <c:pt idx="10">
                <c:v>0</c:v>
              </c:pt>
              <c:pt idx="11">
                <c:v>690</c:v>
              </c:pt>
              <c:pt idx="12">
                <c:v>1,380</c:v>
              </c:pt>
              <c:pt idx="13">
                <c:v>2,070</c:v>
              </c:pt>
              <c:pt idx="14">
                <c:v>2,760</c:v>
              </c:pt>
              <c:pt idx="15">
                <c:v>3,450</c:v>
              </c:pt>
              <c:pt idx="16">
                <c:v>4,140</c:v>
              </c:pt>
              <c:pt idx="17">
                <c:v>4,830</c:v>
              </c:pt>
              <c:pt idx="18">
                <c:v>5,520</c:v>
              </c:pt>
              <c:pt idx="19">
                <c:v>6,210</c:v>
              </c:pt>
              <c:pt idx="20">
                <c:v>6,900</c:v>
              </c:pt>
            </c:strLit>
          </c:cat>
          <c:val>
            <c:numLit>
              <c:formatCode>General</c:formatCode>
              <c:ptCount val="21"/>
              <c:pt idx="0">
                <c:v>1</c:v>
              </c:pt>
              <c:pt idx="1">
                <c:v>0</c:v>
              </c:pt>
              <c:pt idx="2">
                <c:v>0</c:v>
              </c:pt>
              <c:pt idx="3">
                <c:v>0</c:v>
              </c:pt>
              <c:pt idx="4">
                <c:v>0</c:v>
              </c:pt>
              <c:pt idx="5">
                <c:v>3</c:v>
              </c:pt>
              <c:pt idx="6">
                <c:v>4</c:v>
              </c:pt>
              <c:pt idx="7">
                <c:v>4</c:v>
              </c:pt>
              <c:pt idx="8">
                <c:v>9</c:v>
              </c:pt>
              <c:pt idx="9">
                <c:v>10</c:v>
              </c:pt>
              <c:pt idx="10">
                <c:v>12</c:v>
              </c:pt>
              <c:pt idx="11">
                <c:v>11</c:v>
              </c:pt>
              <c:pt idx="12">
                <c:v>9</c:v>
              </c:pt>
              <c:pt idx="13">
                <c:v>10</c:v>
              </c:pt>
              <c:pt idx="14">
                <c:v>3</c:v>
              </c:pt>
              <c:pt idx="15">
                <c:v>2</c:v>
              </c:pt>
              <c:pt idx="16">
                <c:v>0</c:v>
              </c:pt>
              <c:pt idx="17">
                <c:v>0</c:v>
              </c:pt>
              <c:pt idx="18">
                <c:v>0</c:v>
              </c:pt>
              <c:pt idx="19">
                <c:v>0</c:v>
              </c:pt>
              <c:pt idx="20">
                <c:v>0</c:v>
              </c:pt>
            </c:numLit>
          </c:val>
          <c:extLst>
            <c:ext xmlns:c16="http://schemas.microsoft.com/office/drawing/2014/chart" uri="{C3380CC4-5D6E-409C-BE32-E72D297353CC}">
              <c16:uniqueId val="{00000000-9B4C-4D55-8811-3CFE2B965513}"/>
            </c:ext>
          </c:extLst>
        </c:ser>
        <c:ser>
          <c:idx val="1"/>
          <c:order val="1"/>
          <c:tx>
            <c:v>Theoretical</c:v>
          </c:tx>
          <c:spPr>
            <a:solidFill>
              <a:srgbClr val="FFD2D2"/>
            </a:solidFill>
            <a:ln w="9525">
              <a:solidFill>
                <a:srgbClr val="FF0000"/>
              </a:solidFill>
              <a:prstDash val="solid"/>
            </a:ln>
          </c:spPr>
          <c:invertIfNegative val="0"/>
          <c:cat>
            <c:strLit>
              <c:ptCount val="21"/>
              <c:pt idx="0">
                <c:v>-6,900</c:v>
              </c:pt>
              <c:pt idx="1">
                <c:v>-6,210</c:v>
              </c:pt>
              <c:pt idx="2">
                <c:v>-5,520</c:v>
              </c:pt>
              <c:pt idx="3">
                <c:v>-4,830</c:v>
              </c:pt>
              <c:pt idx="4">
                <c:v>-4,140</c:v>
              </c:pt>
              <c:pt idx="5">
                <c:v>-3,450</c:v>
              </c:pt>
              <c:pt idx="6">
                <c:v>-2,760</c:v>
              </c:pt>
              <c:pt idx="7">
                <c:v>-2,070</c:v>
              </c:pt>
              <c:pt idx="8">
                <c:v>-1,380</c:v>
              </c:pt>
              <c:pt idx="9">
                <c:v>-690</c:v>
              </c:pt>
              <c:pt idx="10">
                <c:v>0</c:v>
              </c:pt>
              <c:pt idx="11">
                <c:v>690</c:v>
              </c:pt>
              <c:pt idx="12">
                <c:v>1,380</c:v>
              </c:pt>
              <c:pt idx="13">
                <c:v>2,070</c:v>
              </c:pt>
              <c:pt idx="14">
                <c:v>2,760</c:v>
              </c:pt>
              <c:pt idx="15">
                <c:v>3,450</c:v>
              </c:pt>
              <c:pt idx="16">
                <c:v>4,140</c:v>
              </c:pt>
              <c:pt idx="17">
                <c:v>4,830</c:v>
              </c:pt>
              <c:pt idx="18">
                <c:v>5,520</c:v>
              </c:pt>
              <c:pt idx="19">
                <c:v>6,210</c:v>
              </c:pt>
              <c:pt idx="20">
                <c:v>6,900</c:v>
              </c:pt>
            </c:strLit>
          </c:cat>
          <c:val>
            <c:numLit>
              <c:formatCode>General</c:formatCode>
              <c:ptCount val="21"/>
              <c:pt idx="0">
                <c:v>1.2864378577511881E-2</c:v>
              </c:pt>
              <c:pt idx="1">
                <c:v>4.6772537598273226E-2</c:v>
              </c:pt>
              <c:pt idx="2">
                <c:v>0.14844038592673198</c:v>
              </c:pt>
              <c:pt idx="3">
                <c:v>0.41122732586096178</c:v>
              </c:pt>
              <c:pt idx="4">
                <c:v>0.99446473786427203</c:v>
              </c:pt>
              <c:pt idx="5">
                <c:v>2.0993367636367513</c:v>
              </c:pt>
              <c:pt idx="6">
                <c:v>3.868715767342652</c:v>
              </c:pt>
              <c:pt idx="7">
                <c:v>6.2237061454691194</c:v>
              </c:pt>
              <c:pt idx="8">
                <c:v>8.7404390561327485</c:v>
              </c:pt>
              <c:pt idx="9">
                <c:v>10.715747783589073</c:v>
              </c:pt>
              <c:pt idx="10">
                <c:v>11.468818571509686</c:v>
              </c:pt>
              <c:pt idx="11">
                <c:v>10.715747783589073</c:v>
              </c:pt>
              <c:pt idx="12">
                <c:v>8.7404390561327432</c:v>
              </c:pt>
              <c:pt idx="13">
                <c:v>6.2237061454691229</c:v>
              </c:pt>
              <c:pt idx="14">
                <c:v>3.8687157673426498</c:v>
              </c:pt>
              <c:pt idx="15">
                <c:v>2.0993367636367566</c:v>
              </c:pt>
              <c:pt idx="16">
                <c:v>0.99446473786427703</c:v>
              </c:pt>
              <c:pt idx="17">
                <c:v>0.41122732586094912</c:v>
              </c:pt>
              <c:pt idx="18">
                <c:v>0.14844038592673314</c:v>
              </c:pt>
              <c:pt idx="19">
                <c:v>4.6772537598272379E-2</c:v>
              </c:pt>
              <c:pt idx="20">
                <c:v>1.286437857751821E-2</c:v>
              </c:pt>
            </c:numLit>
          </c:val>
          <c:extLst>
            <c:ext xmlns:c16="http://schemas.microsoft.com/office/drawing/2014/chart" uri="{C3380CC4-5D6E-409C-BE32-E72D297353CC}">
              <c16:uniqueId val="{00000001-9B4C-4D55-8811-3CFE2B965513}"/>
            </c:ext>
          </c:extLst>
        </c:ser>
        <c:dLbls>
          <c:showLegendKey val="0"/>
          <c:showVal val="0"/>
          <c:showCatName val="0"/>
          <c:showSerName val="0"/>
          <c:showPercent val="0"/>
          <c:showBubbleSize val="0"/>
        </c:dLbls>
        <c:gapWidth val="50"/>
        <c:axId val="107537536"/>
        <c:axId val="107539456"/>
      </c:barChart>
      <c:catAx>
        <c:axId val="107537536"/>
        <c:scaling>
          <c:orientation val="minMax"/>
        </c:scaling>
        <c:delete val="0"/>
        <c:axPos val="b"/>
        <c:title>
          <c:tx>
            <c:rich>
              <a:bodyPr/>
              <a:lstStyle/>
              <a:p>
                <a:pPr>
                  <a:defRPr/>
                </a:pPr>
                <a:r>
                  <a:rPr lang="en-US"/>
                  <a:t>Residual Range
</a:t>
                </a:r>
                <a:r>
                  <a:rPr lang="en-US" sz="750"/>
                  <a:t>Adjusted Anderson-Darling statistic is 0.228 (P=0.814)</a:t>
                </a:r>
              </a:p>
            </c:rich>
          </c:tx>
          <c:overlay val="0"/>
        </c:title>
        <c:numFmt formatCode="General" sourceLinked="0"/>
        <c:majorTickMark val="out"/>
        <c:minorTickMark val="none"/>
        <c:tickLblPos val="nextTo"/>
        <c:crossAx val="107539456"/>
        <c:crosses val="autoZero"/>
        <c:auto val="1"/>
        <c:lblAlgn val="ctr"/>
        <c:lblOffset val="100"/>
        <c:noMultiLvlLbl val="0"/>
      </c:catAx>
      <c:valAx>
        <c:axId val="107539456"/>
        <c:scaling>
          <c:orientation val="minMax"/>
        </c:scaling>
        <c:delete val="0"/>
        <c:axPos val="l"/>
        <c:majorGridlines>
          <c:spPr>
            <a:ln w="3175">
              <a:solidFill>
                <a:srgbClr val="C0C0C0"/>
              </a:solidFill>
              <a:prstDash val="solid"/>
            </a:ln>
          </c:spPr>
        </c:majorGridlines>
        <c:title>
          <c:tx>
            <c:rich>
              <a:bodyPr/>
              <a:lstStyle/>
              <a:p>
                <a:pPr>
                  <a:defRPr/>
                </a:pPr>
                <a:r>
                  <a:rPr lang="en-US"/>
                  <a:t>Frequency</a:t>
                </a:r>
              </a:p>
            </c:rich>
          </c:tx>
          <c:overlay val="0"/>
        </c:title>
        <c:numFmt formatCode="General" sourceLinked="1"/>
        <c:majorTickMark val="out"/>
        <c:minorTickMark val="none"/>
        <c:tickLblPos val="nextTo"/>
        <c:crossAx val="107537536"/>
        <c:crosses val="autoZero"/>
        <c:crossBetween val="between"/>
      </c:valAx>
      <c:spPr>
        <a:ln w="6350">
          <a:solidFill>
            <a:srgbClr val="808080"/>
          </a:solidFill>
          <a:prstDash val="solid"/>
        </a:ln>
      </c:spPr>
    </c:plotArea>
    <c:legend>
      <c:legendPos val="r"/>
      <c:overlay val="0"/>
    </c:legend>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Normal Quantile Plot
</a:t>
            </a:r>
            <a:r>
              <a:rPr lang="en-US" sz="1000"/>
              <a:t>Elec dummy only model for _Electric_Natural_Gas    (12 variables, n=78)</a:t>
            </a:r>
          </a:p>
        </c:rich>
      </c:tx>
      <c:overlay val="0"/>
    </c:title>
    <c:autoTitleDeleted val="0"/>
    <c:plotArea>
      <c:layout/>
      <c:scatterChart>
        <c:scatterStyle val="lineMarker"/>
        <c:varyColors val="0"/>
        <c:ser>
          <c:idx val="0"/>
          <c:order val="0"/>
          <c:tx>
            <c:v>Actual</c:v>
          </c:tx>
          <c:spPr>
            <a:ln w="25400">
              <a:noFill/>
            </a:ln>
          </c:spPr>
          <c:marker>
            <c:symbol val="diamond"/>
            <c:size val="6"/>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78"/>
              <c:pt idx="0">
                <c:v>-2.2365394571408492</c:v>
              </c:pt>
              <c:pt idx="1">
                <c:v>-1.9545779044793141</c:v>
              </c:pt>
              <c:pt idx="2">
                <c:v>-1.7746883070113353</c:v>
              </c:pt>
              <c:pt idx="3">
                <c:v>-1.6387476645753798</c:v>
              </c:pt>
              <c:pt idx="4">
                <c:v>-1.5277191697587054</c:v>
              </c:pt>
              <c:pt idx="5">
                <c:v>-1.4328569081865627</c:v>
              </c:pt>
              <c:pt idx="6">
                <c:v>-1.3493792261509356</c:v>
              </c:pt>
              <c:pt idx="7">
                <c:v>-1.2743719014183901</c:v>
              </c:pt>
              <c:pt idx="8">
                <c:v>-1.2059206145156207</c:v>
              </c:pt>
              <c:pt idx="9">
                <c:v>-1.1426966601588431</c:v>
              </c:pt>
              <c:pt idx="10">
                <c:v>-1.0837379306738362</c:v>
              </c:pt>
              <c:pt idx="11">
                <c:v>-1.028323950802468</c:v>
              </c:pt>
              <c:pt idx="12">
                <c:v>-0.97590019790356219</c:v>
              </c:pt>
              <c:pt idx="13">
                <c:v>-0.92603001947707297</c:v>
              </c:pt>
              <c:pt idx="14">
                <c:v>-0.87836285514488632</c:v>
              </c:pt>
              <c:pt idx="15">
                <c:v>-0.83261252800434993</c:v>
              </c:pt>
              <c:pt idx="16">
                <c:v>-0.78854199106676903</c:v>
              </c:pt>
              <c:pt idx="17">
                <c:v>-0.74595234571134561</c:v>
              </c:pt>
              <c:pt idx="18">
                <c:v>-0.70467476624496161</c:v>
              </c:pt>
              <c:pt idx="19">
                <c:v>-0.6645644494105799</c:v>
              </c:pt>
              <c:pt idx="20">
                <c:v>-0.62549600497243729</c:v>
              </c:pt>
              <c:pt idx="21">
                <c:v>-0.58735989122285481</c:v>
              </c:pt>
              <c:pt idx="22">
                <c:v>-0.55005962088827076</c:v>
              </c:pt>
              <c:pt idx="23">
                <c:v>-0.51350954356093248</c:v>
              </c:pt>
              <c:pt idx="24">
                <c:v>-0.47763306537260808</c:v>
              </c:pt>
              <c:pt idx="25">
                <c:v>-0.44236120427171888</c:v>
              </c:pt>
              <c:pt idx="26">
                <c:v>-0.40763140566587441</c:v>
              </c:pt>
              <c:pt idx="27">
                <c:v>-0.37338656199140563</c:v>
              </c:pt>
              <c:pt idx="28">
                <c:v>-0.33957419334523603</c:v>
              </c:pt>
              <c:pt idx="29">
                <c:v>-0.30614575623870488</c:v>
              </c:pt>
              <c:pt idx="30">
                <c:v>-0.27305605487126</c:v>
              </c:pt>
              <c:pt idx="31">
                <c:v>-0.24026273480272833</c:v>
              </c:pt>
              <c:pt idx="32">
                <c:v>-0.20772584303184521</c:v>
              </c:pt>
              <c:pt idx="33">
                <c:v>-0.17540744162137925</c:v>
              </c:pt>
              <c:pt idx="34">
                <c:v>-0.14327126439911458</c:v>
              </c:pt>
              <c:pt idx="35">
                <c:v>-0.11128240809028021</c:v>
              </c:pt>
              <c:pt idx="36">
                <c:v>-7.9407050631538523E-2</c:v>
              </c:pt>
              <c:pt idx="37">
                <c:v>-4.7612190474131351E-2</c:v>
              </c:pt>
              <c:pt idx="38">
                <c:v>-1.5865401472839501E-2</c:v>
              </c:pt>
              <c:pt idx="39">
                <c:v>1.5865401472839637E-2</c:v>
              </c:pt>
              <c:pt idx="40">
                <c:v>4.7612190474131351E-2</c:v>
              </c:pt>
              <c:pt idx="41">
                <c:v>7.9407050631538384E-2</c:v>
              </c:pt>
              <c:pt idx="42">
                <c:v>0.11128240809028021</c:v>
              </c:pt>
              <c:pt idx="43">
                <c:v>0.14327126439911442</c:v>
              </c:pt>
              <c:pt idx="44">
                <c:v>0.17540744162137942</c:v>
              </c:pt>
              <c:pt idx="45">
                <c:v>0.20772584303184521</c:v>
              </c:pt>
              <c:pt idx="46">
                <c:v>0.2402627348027282</c:v>
              </c:pt>
              <c:pt idx="47">
                <c:v>0.27305605487126</c:v>
              </c:pt>
              <c:pt idx="48">
                <c:v>0.30614575623870488</c:v>
              </c:pt>
              <c:pt idx="49">
                <c:v>0.3395741933452362</c:v>
              </c:pt>
              <c:pt idx="50">
                <c:v>0.37338656199140563</c:v>
              </c:pt>
              <c:pt idx="51">
                <c:v>0.40763140566587425</c:v>
              </c:pt>
              <c:pt idx="52">
                <c:v>0.44236120427171888</c:v>
              </c:pt>
              <c:pt idx="53">
                <c:v>0.47763306537260808</c:v>
              </c:pt>
              <c:pt idx="54">
                <c:v>0.51350954356093259</c:v>
              </c:pt>
              <c:pt idx="55">
                <c:v>0.55005962088827076</c:v>
              </c:pt>
              <c:pt idx="56">
                <c:v>0.58735989122285459</c:v>
              </c:pt>
              <c:pt idx="57">
                <c:v>0.62549600497243729</c:v>
              </c:pt>
              <c:pt idx="58">
                <c:v>0.6645644494105799</c:v>
              </c:pt>
              <c:pt idx="59">
                <c:v>0.70467476624496195</c:v>
              </c:pt>
              <c:pt idx="60">
                <c:v>0.74595234571134561</c:v>
              </c:pt>
              <c:pt idx="61">
                <c:v>0.78854199106676903</c:v>
              </c:pt>
              <c:pt idx="62">
                <c:v>0.83261252800434993</c:v>
              </c:pt>
              <c:pt idx="63">
                <c:v>0.87836285514488632</c:v>
              </c:pt>
              <c:pt idx="64">
                <c:v>0.92603001947707397</c:v>
              </c:pt>
              <c:pt idx="65">
                <c:v>0.97590019790356219</c:v>
              </c:pt>
              <c:pt idx="66">
                <c:v>1.028323950802468</c:v>
              </c:pt>
              <c:pt idx="67">
                <c:v>1.0837379306738362</c:v>
              </c:pt>
              <c:pt idx="68">
                <c:v>1.1426966601588431</c:v>
              </c:pt>
              <c:pt idx="69">
                <c:v>1.20592061451562</c:v>
              </c:pt>
              <c:pt idx="70">
                <c:v>1.2743719014183901</c:v>
              </c:pt>
              <c:pt idx="71">
                <c:v>1.3493792261509356</c:v>
              </c:pt>
              <c:pt idx="72">
                <c:v>1.4328569081865656</c:v>
              </c:pt>
              <c:pt idx="73">
                <c:v>1.5277191697587056</c:v>
              </c:pt>
              <c:pt idx="74">
                <c:v>1.6387476645753793</c:v>
              </c:pt>
              <c:pt idx="75">
                <c:v>1.7746883070113353</c:v>
              </c:pt>
              <c:pt idx="76">
                <c:v>1.9545779044793139</c:v>
              </c:pt>
              <c:pt idx="77">
                <c:v>2.236539457140851</c:v>
              </c:pt>
            </c:numLit>
          </c:xVal>
          <c:yVal>
            <c:numLit>
              <c:formatCode>General</c:formatCode>
              <c:ptCount val="78"/>
              <c:pt idx="0">
                <c:v>-3.6792892073138677</c:v>
              </c:pt>
              <c:pt idx="1">
                <c:v>-1.8374396736871217</c:v>
              </c:pt>
              <c:pt idx="2">
                <c:v>-1.7614468262319156</c:v>
              </c:pt>
              <c:pt idx="3">
                <c:v>-1.6969361442151403</c:v>
              </c:pt>
              <c:pt idx="4">
                <c:v>-1.534437429792328</c:v>
              </c:pt>
              <c:pt idx="5">
                <c:v>-1.5322423388674755</c:v>
              </c:pt>
              <c:pt idx="6">
                <c:v>-1.3978626309626456</c:v>
              </c:pt>
              <c:pt idx="7">
                <c:v>-1.3128296690217265</c:v>
              </c:pt>
              <c:pt idx="8">
                <c:v>-1.2762323574837959</c:v>
              </c:pt>
              <c:pt idx="9">
                <c:v>-1.1936886739112866</c:v>
              </c:pt>
              <c:pt idx="10">
                <c:v>-1.034867794484956</c:v>
              </c:pt>
              <c:pt idx="11">
                <c:v>-1.0015183516798514</c:v>
              </c:pt>
              <c:pt idx="12">
                <c:v>-0.85855014145180752</c:v>
              </c:pt>
              <c:pt idx="13">
                <c:v>-0.85555021665130682</c:v>
              </c:pt>
              <c:pt idx="14">
                <c:v>-0.84234818615834361</c:v>
              </c:pt>
              <c:pt idx="15">
                <c:v>-0.79289124289118873</c:v>
              </c:pt>
              <c:pt idx="16">
                <c:v>-0.75467442455704692</c:v>
              </c:pt>
              <c:pt idx="17">
                <c:v>-0.74672841186804295</c:v>
              </c:pt>
              <c:pt idx="18">
                <c:v>-0.6676834926741867</c:v>
              </c:pt>
              <c:pt idx="19">
                <c:v>-0.63221963911269818</c:v>
              </c:pt>
              <c:pt idx="20">
                <c:v>-0.60171466419812558</c:v>
              </c:pt>
              <c:pt idx="21">
                <c:v>-0.48920518537346536</c:v>
              </c:pt>
              <c:pt idx="22">
                <c:v>-0.48736331616173645</c:v>
              </c:pt>
              <c:pt idx="23">
                <c:v>-0.48387439082801764</c:v>
              </c:pt>
              <c:pt idx="24">
                <c:v>-0.44991394333249279</c:v>
              </c:pt>
              <c:pt idx="25">
                <c:v>-0.37869696828842181</c:v>
              </c:pt>
              <c:pt idx="26">
                <c:v>-0.35828685347654804</c:v>
              </c:pt>
              <c:pt idx="27">
                <c:v>-0.34542918955629881</c:v>
              </c:pt>
              <c:pt idx="28">
                <c:v>-0.33170962529980236</c:v>
              </c:pt>
              <c:pt idx="29">
                <c:v>-0.29048599483371568</c:v>
              </c:pt>
              <c:pt idx="30">
                <c:v>-0.20657665182430837</c:v>
              </c:pt>
              <c:pt idx="31">
                <c:v>-0.1732537744405204</c:v>
              </c:pt>
              <c:pt idx="32">
                <c:v>-0.15486853507614648</c:v>
              </c:pt>
              <c:pt idx="33">
                <c:v>-0.1351943808253441</c:v>
              </c:pt>
              <c:pt idx="34">
                <c:v>-0.13154212734568757</c:v>
              </c:pt>
              <c:pt idx="35">
                <c:v>-9.5321651228756007E-2</c:v>
              </c:pt>
              <c:pt idx="36">
                <c:v>-4.719593074121755E-2</c:v>
              </c:pt>
              <c:pt idx="37">
                <c:v>-4.0376488697178206E-2</c:v>
              </c:pt>
              <c:pt idx="38">
                <c:v>-2.2330696383035604E-2</c:v>
              </c:pt>
              <c:pt idx="39">
                <c:v>3.7103038447607206E-2</c:v>
              </c:pt>
              <c:pt idx="40">
                <c:v>9.5548933166830774E-2</c:v>
              </c:pt>
              <c:pt idx="41">
                <c:v>0.11288533034120878</c:v>
              </c:pt>
              <c:pt idx="42">
                <c:v>0.14616294811827579</c:v>
              </c:pt>
              <c:pt idx="43">
                <c:v>0.20662879876254778</c:v>
              </c:pt>
              <c:pt idx="44">
                <c:v>0.23517580373515964</c:v>
              </c:pt>
              <c:pt idx="45">
                <c:v>0.23594423314453555</c:v>
              </c:pt>
              <c:pt idx="46">
                <c:v>0.24638739543789867</c:v>
              </c:pt>
              <c:pt idx="47">
                <c:v>0.2973064207823149</c:v>
              </c:pt>
              <c:pt idx="48">
                <c:v>0.36062264274406569</c:v>
              </c:pt>
              <c:pt idx="49">
                <c:v>0.37796199163192007</c:v>
              </c:pt>
              <c:pt idx="50">
                <c:v>0.47527211384196427</c:v>
              </c:pt>
              <c:pt idx="51">
                <c:v>0.50206284929380252</c:v>
              </c:pt>
              <c:pt idx="52">
                <c:v>0.52136016812360786</c:v>
              </c:pt>
              <c:pt idx="53">
                <c:v>0.54007304768429976</c:v>
              </c:pt>
              <c:pt idx="54">
                <c:v>0.57903763343345349</c:v>
              </c:pt>
              <c:pt idx="55">
                <c:v>0.58268595129512069</c:v>
              </c:pt>
              <c:pt idx="56">
                <c:v>0.65023886600560821</c:v>
              </c:pt>
              <c:pt idx="57">
                <c:v>0.70969031111713266</c:v>
              </c:pt>
              <c:pt idx="58">
                <c:v>0.75382039545684476</c:v>
              </c:pt>
              <c:pt idx="59">
                <c:v>0.8050080267279599</c:v>
              </c:pt>
              <c:pt idx="60">
                <c:v>0.81897651882131028</c:v>
              </c:pt>
              <c:pt idx="61">
                <c:v>0.83371344032403061</c:v>
              </c:pt>
              <c:pt idx="62">
                <c:v>0.85216361738498814</c:v>
              </c:pt>
              <c:pt idx="63">
                <c:v>0.94214660283240181</c:v>
              </c:pt>
              <c:pt idx="64">
                <c:v>0.9655605780627422</c:v>
              </c:pt>
              <c:pt idx="65">
                <c:v>1.0133645617809506</c:v>
              </c:pt>
              <c:pt idx="66">
                <c:v>1.102933323436617</c:v>
              </c:pt>
              <c:pt idx="67">
                <c:v>1.1276490043117828</c:v>
              </c:pt>
              <c:pt idx="68">
                <c:v>1.1486711077186076</c:v>
              </c:pt>
              <c:pt idx="69">
                <c:v>1.1554305315885069</c:v>
              </c:pt>
              <c:pt idx="70">
                <c:v>1.1854140371215434</c:v>
              </c:pt>
              <c:pt idx="71">
                <c:v>1.2145179320374646</c:v>
              </c:pt>
              <c:pt idx="72">
                <c:v>1.2929941544341081</c:v>
              </c:pt>
              <c:pt idx="73">
                <c:v>1.4855816521707472</c:v>
              </c:pt>
              <c:pt idx="74">
                <c:v>1.5140086207951691</c:v>
              </c:pt>
              <c:pt idx="75">
                <c:v>1.6014245994191789</c:v>
              </c:pt>
              <c:pt idx="76">
                <c:v>1.9378313847706952</c:v>
              </c:pt>
              <c:pt idx="77">
                <c:v>1.9694186546280459</c:v>
              </c:pt>
            </c:numLit>
          </c:yVal>
          <c:smooth val="0"/>
          <c:extLst>
            <c:ext xmlns:c16="http://schemas.microsoft.com/office/drawing/2014/chart" uri="{C3380CC4-5D6E-409C-BE32-E72D297353CC}">
              <c16:uniqueId val="{00000000-2DE7-455F-B91C-79437FB3C7BE}"/>
            </c:ext>
          </c:extLst>
        </c:ser>
        <c:ser>
          <c:idx val="1"/>
          <c:order val="1"/>
          <c:tx>
            <c:v>Theoretical</c:v>
          </c:tx>
          <c:spPr>
            <a:ln w="12700">
              <a:solidFill>
                <a:srgbClr val="FF0000"/>
              </a:solidFill>
              <a:prstDash val="solid"/>
            </a:ln>
          </c:spPr>
          <c:marker>
            <c:symbol val="none"/>
          </c:marker>
          <c:xVal>
            <c:numLit>
              <c:formatCode>General</c:formatCode>
              <c:ptCount val="78"/>
              <c:pt idx="0">
                <c:v>-2.2365394571408492</c:v>
              </c:pt>
              <c:pt idx="1">
                <c:v>-1.9545779044793141</c:v>
              </c:pt>
              <c:pt idx="2">
                <c:v>-1.7746883070113353</c:v>
              </c:pt>
              <c:pt idx="3">
                <c:v>-1.6387476645753798</c:v>
              </c:pt>
              <c:pt idx="4">
                <c:v>-1.5277191697587054</c:v>
              </c:pt>
              <c:pt idx="5">
                <c:v>-1.4328569081865627</c:v>
              </c:pt>
              <c:pt idx="6">
                <c:v>-1.3493792261509356</c:v>
              </c:pt>
              <c:pt idx="7">
                <c:v>-1.2743719014183901</c:v>
              </c:pt>
              <c:pt idx="8">
                <c:v>-1.2059206145156207</c:v>
              </c:pt>
              <c:pt idx="9">
                <c:v>-1.1426966601588431</c:v>
              </c:pt>
              <c:pt idx="10">
                <c:v>-1.0837379306738362</c:v>
              </c:pt>
              <c:pt idx="11">
                <c:v>-1.028323950802468</c:v>
              </c:pt>
              <c:pt idx="12">
                <c:v>-0.97590019790356219</c:v>
              </c:pt>
              <c:pt idx="13">
                <c:v>-0.92603001947707297</c:v>
              </c:pt>
              <c:pt idx="14">
                <c:v>-0.87836285514488632</c:v>
              </c:pt>
              <c:pt idx="15">
                <c:v>-0.83261252800434993</c:v>
              </c:pt>
              <c:pt idx="16">
                <c:v>-0.78854199106676903</c:v>
              </c:pt>
              <c:pt idx="17">
                <c:v>-0.74595234571134561</c:v>
              </c:pt>
              <c:pt idx="18">
                <c:v>-0.70467476624496161</c:v>
              </c:pt>
              <c:pt idx="19">
                <c:v>-0.6645644494105799</c:v>
              </c:pt>
              <c:pt idx="20">
                <c:v>-0.62549600497243729</c:v>
              </c:pt>
              <c:pt idx="21">
                <c:v>-0.58735989122285481</c:v>
              </c:pt>
              <c:pt idx="22">
                <c:v>-0.55005962088827076</c:v>
              </c:pt>
              <c:pt idx="23">
                <c:v>-0.51350954356093248</c:v>
              </c:pt>
              <c:pt idx="24">
                <c:v>-0.47763306537260808</c:v>
              </c:pt>
              <c:pt idx="25">
                <c:v>-0.44236120427171888</c:v>
              </c:pt>
              <c:pt idx="26">
                <c:v>-0.40763140566587441</c:v>
              </c:pt>
              <c:pt idx="27">
                <c:v>-0.37338656199140563</c:v>
              </c:pt>
              <c:pt idx="28">
                <c:v>-0.33957419334523603</c:v>
              </c:pt>
              <c:pt idx="29">
                <c:v>-0.30614575623870488</c:v>
              </c:pt>
              <c:pt idx="30">
                <c:v>-0.27305605487126</c:v>
              </c:pt>
              <c:pt idx="31">
                <c:v>-0.24026273480272833</c:v>
              </c:pt>
              <c:pt idx="32">
                <c:v>-0.20772584303184521</c:v>
              </c:pt>
              <c:pt idx="33">
                <c:v>-0.17540744162137925</c:v>
              </c:pt>
              <c:pt idx="34">
                <c:v>-0.14327126439911458</c:v>
              </c:pt>
              <c:pt idx="35">
                <c:v>-0.11128240809028021</c:v>
              </c:pt>
              <c:pt idx="36">
                <c:v>-7.9407050631538523E-2</c:v>
              </c:pt>
              <c:pt idx="37">
                <c:v>-4.7612190474131351E-2</c:v>
              </c:pt>
              <c:pt idx="38">
                <c:v>-1.5865401472839501E-2</c:v>
              </c:pt>
              <c:pt idx="39">
                <c:v>1.5865401472839637E-2</c:v>
              </c:pt>
              <c:pt idx="40">
                <c:v>4.7612190474131351E-2</c:v>
              </c:pt>
              <c:pt idx="41">
                <c:v>7.9407050631538384E-2</c:v>
              </c:pt>
              <c:pt idx="42">
                <c:v>0.11128240809028021</c:v>
              </c:pt>
              <c:pt idx="43">
                <c:v>0.14327126439911442</c:v>
              </c:pt>
              <c:pt idx="44">
                <c:v>0.17540744162137942</c:v>
              </c:pt>
              <c:pt idx="45">
                <c:v>0.20772584303184521</c:v>
              </c:pt>
              <c:pt idx="46">
                <c:v>0.2402627348027282</c:v>
              </c:pt>
              <c:pt idx="47">
                <c:v>0.27305605487126</c:v>
              </c:pt>
              <c:pt idx="48">
                <c:v>0.30614575623870488</c:v>
              </c:pt>
              <c:pt idx="49">
                <c:v>0.3395741933452362</c:v>
              </c:pt>
              <c:pt idx="50">
                <c:v>0.37338656199140563</c:v>
              </c:pt>
              <c:pt idx="51">
                <c:v>0.40763140566587425</c:v>
              </c:pt>
              <c:pt idx="52">
                <c:v>0.44236120427171888</c:v>
              </c:pt>
              <c:pt idx="53">
                <c:v>0.47763306537260808</c:v>
              </c:pt>
              <c:pt idx="54">
                <c:v>0.51350954356093259</c:v>
              </c:pt>
              <c:pt idx="55">
                <c:v>0.55005962088827076</c:v>
              </c:pt>
              <c:pt idx="56">
                <c:v>0.58735989122285459</c:v>
              </c:pt>
              <c:pt idx="57">
                <c:v>0.62549600497243729</c:v>
              </c:pt>
              <c:pt idx="58">
                <c:v>0.6645644494105799</c:v>
              </c:pt>
              <c:pt idx="59">
                <c:v>0.70467476624496195</c:v>
              </c:pt>
              <c:pt idx="60">
                <c:v>0.74595234571134561</c:v>
              </c:pt>
              <c:pt idx="61">
                <c:v>0.78854199106676903</c:v>
              </c:pt>
              <c:pt idx="62">
                <c:v>0.83261252800434993</c:v>
              </c:pt>
              <c:pt idx="63">
                <c:v>0.87836285514488632</c:v>
              </c:pt>
              <c:pt idx="64">
                <c:v>0.92603001947707397</c:v>
              </c:pt>
              <c:pt idx="65">
                <c:v>0.97590019790356219</c:v>
              </c:pt>
              <c:pt idx="66">
                <c:v>1.028323950802468</c:v>
              </c:pt>
              <c:pt idx="67">
                <c:v>1.0837379306738362</c:v>
              </c:pt>
              <c:pt idx="68">
                <c:v>1.1426966601588431</c:v>
              </c:pt>
              <c:pt idx="69">
                <c:v>1.20592061451562</c:v>
              </c:pt>
              <c:pt idx="70">
                <c:v>1.2743719014183901</c:v>
              </c:pt>
              <c:pt idx="71">
                <c:v>1.3493792261509356</c:v>
              </c:pt>
              <c:pt idx="72">
                <c:v>1.4328569081865656</c:v>
              </c:pt>
              <c:pt idx="73">
                <c:v>1.5277191697587056</c:v>
              </c:pt>
              <c:pt idx="74">
                <c:v>1.6387476645753793</c:v>
              </c:pt>
              <c:pt idx="75">
                <c:v>1.7746883070113353</c:v>
              </c:pt>
              <c:pt idx="76">
                <c:v>1.9545779044793139</c:v>
              </c:pt>
              <c:pt idx="77">
                <c:v>2.236539457140851</c:v>
              </c:pt>
            </c:numLit>
          </c:xVal>
          <c:yVal>
            <c:numLit>
              <c:formatCode>General</c:formatCode>
              <c:ptCount val="78"/>
              <c:pt idx="0">
                <c:v>-2.2365394571408492</c:v>
              </c:pt>
              <c:pt idx="1">
                <c:v>-1.9545779044793141</c:v>
              </c:pt>
              <c:pt idx="2">
                <c:v>-1.7746883070113353</c:v>
              </c:pt>
              <c:pt idx="3">
                <c:v>-1.6387476645753798</c:v>
              </c:pt>
              <c:pt idx="4">
                <c:v>-1.5277191697587054</c:v>
              </c:pt>
              <c:pt idx="5">
                <c:v>-1.4328569081865627</c:v>
              </c:pt>
              <c:pt idx="6">
                <c:v>-1.3493792261509356</c:v>
              </c:pt>
              <c:pt idx="7">
                <c:v>-1.2743719014183901</c:v>
              </c:pt>
              <c:pt idx="8">
                <c:v>-1.2059206145156207</c:v>
              </c:pt>
              <c:pt idx="9">
                <c:v>-1.1426966601588431</c:v>
              </c:pt>
              <c:pt idx="10">
                <c:v>-1.0837379306738362</c:v>
              </c:pt>
              <c:pt idx="11">
                <c:v>-1.028323950802468</c:v>
              </c:pt>
              <c:pt idx="12">
                <c:v>-0.97590019790356219</c:v>
              </c:pt>
              <c:pt idx="13">
                <c:v>-0.92603001947707297</c:v>
              </c:pt>
              <c:pt idx="14">
                <c:v>-0.87836285514488632</c:v>
              </c:pt>
              <c:pt idx="15">
                <c:v>-0.83261252800434993</c:v>
              </c:pt>
              <c:pt idx="16">
                <c:v>-0.78854199106676903</c:v>
              </c:pt>
              <c:pt idx="17">
                <c:v>-0.74595234571134561</c:v>
              </c:pt>
              <c:pt idx="18">
                <c:v>-0.70467476624496161</c:v>
              </c:pt>
              <c:pt idx="19">
                <c:v>-0.6645644494105799</c:v>
              </c:pt>
              <c:pt idx="20">
                <c:v>-0.62549600497243729</c:v>
              </c:pt>
              <c:pt idx="21">
                <c:v>-0.58735989122285481</c:v>
              </c:pt>
              <c:pt idx="22">
                <c:v>-0.55005962088827076</c:v>
              </c:pt>
              <c:pt idx="23">
                <c:v>-0.51350954356093248</c:v>
              </c:pt>
              <c:pt idx="24">
                <c:v>-0.47763306537260808</c:v>
              </c:pt>
              <c:pt idx="25">
                <c:v>-0.44236120427171888</c:v>
              </c:pt>
              <c:pt idx="26">
                <c:v>-0.40763140566587441</c:v>
              </c:pt>
              <c:pt idx="27">
                <c:v>-0.37338656199140563</c:v>
              </c:pt>
              <c:pt idx="28">
                <c:v>-0.33957419334523603</c:v>
              </c:pt>
              <c:pt idx="29">
                <c:v>-0.30614575623870488</c:v>
              </c:pt>
              <c:pt idx="30">
                <c:v>-0.27305605487126</c:v>
              </c:pt>
              <c:pt idx="31">
                <c:v>-0.24026273480272833</c:v>
              </c:pt>
              <c:pt idx="32">
                <c:v>-0.20772584303184521</c:v>
              </c:pt>
              <c:pt idx="33">
                <c:v>-0.17540744162137925</c:v>
              </c:pt>
              <c:pt idx="34">
                <c:v>-0.14327126439911458</c:v>
              </c:pt>
              <c:pt idx="35">
                <c:v>-0.11128240809028021</c:v>
              </c:pt>
              <c:pt idx="36">
                <c:v>-7.9407050631538523E-2</c:v>
              </c:pt>
              <c:pt idx="37">
                <c:v>-4.7612190474131351E-2</c:v>
              </c:pt>
              <c:pt idx="38">
                <c:v>-1.5865401472839501E-2</c:v>
              </c:pt>
              <c:pt idx="39">
                <c:v>1.5865401472839637E-2</c:v>
              </c:pt>
              <c:pt idx="40">
                <c:v>4.7612190474131351E-2</c:v>
              </c:pt>
              <c:pt idx="41">
                <c:v>7.9407050631538384E-2</c:v>
              </c:pt>
              <c:pt idx="42">
                <c:v>0.11128240809028021</c:v>
              </c:pt>
              <c:pt idx="43">
                <c:v>0.14327126439911442</c:v>
              </c:pt>
              <c:pt idx="44">
                <c:v>0.17540744162137942</c:v>
              </c:pt>
              <c:pt idx="45">
                <c:v>0.20772584303184521</c:v>
              </c:pt>
              <c:pt idx="46">
                <c:v>0.2402627348027282</c:v>
              </c:pt>
              <c:pt idx="47">
                <c:v>0.27305605487126</c:v>
              </c:pt>
              <c:pt idx="48">
                <c:v>0.30614575623870488</c:v>
              </c:pt>
              <c:pt idx="49">
                <c:v>0.3395741933452362</c:v>
              </c:pt>
              <c:pt idx="50">
                <c:v>0.37338656199140563</c:v>
              </c:pt>
              <c:pt idx="51">
                <c:v>0.40763140566587425</c:v>
              </c:pt>
              <c:pt idx="52">
                <c:v>0.44236120427171888</c:v>
              </c:pt>
              <c:pt idx="53">
                <c:v>0.47763306537260808</c:v>
              </c:pt>
              <c:pt idx="54">
                <c:v>0.51350954356093259</c:v>
              </c:pt>
              <c:pt idx="55">
                <c:v>0.55005962088827076</c:v>
              </c:pt>
              <c:pt idx="56">
                <c:v>0.58735989122285459</c:v>
              </c:pt>
              <c:pt idx="57">
                <c:v>0.62549600497243729</c:v>
              </c:pt>
              <c:pt idx="58">
                <c:v>0.6645644494105799</c:v>
              </c:pt>
              <c:pt idx="59">
                <c:v>0.70467476624496195</c:v>
              </c:pt>
              <c:pt idx="60">
                <c:v>0.74595234571134561</c:v>
              </c:pt>
              <c:pt idx="61">
                <c:v>0.78854199106676903</c:v>
              </c:pt>
              <c:pt idx="62">
                <c:v>0.83261252800434993</c:v>
              </c:pt>
              <c:pt idx="63">
                <c:v>0.87836285514488632</c:v>
              </c:pt>
              <c:pt idx="64">
                <c:v>0.92603001947707397</c:v>
              </c:pt>
              <c:pt idx="65">
                <c:v>0.97590019790356219</c:v>
              </c:pt>
              <c:pt idx="66">
                <c:v>1.028323950802468</c:v>
              </c:pt>
              <c:pt idx="67">
                <c:v>1.0837379306738362</c:v>
              </c:pt>
              <c:pt idx="68">
                <c:v>1.1426966601588431</c:v>
              </c:pt>
              <c:pt idx="69">
                <c:v>1.20592061451562</c:v>
              </c:pt>
              <c:pt idx="70">
                <c:v>1.2743719014183901</c:v>
              </c:pt>
              <c:pt idx="71">
                <c:v>1.3493792261509356</c:v>
              </c:pt>
              <c:pt idx="72">
                <c:v>1.4328569081865656</c:v>
              </c:pt>
              <c:pt idx="73">
                <c:v>1.5277191697587056</c:v>
              </c:pt>
              <c:pt idx="74">
                <c:v>1.6387476645753793</c:v>
              </c:pt>
              <c:pt idx="75">
                <c:v>1.7746883070113353</c:v>
              </c:pt>
              <c:pt idx="76">
                <c:v>1.9545779044793139</c:v>
              </c:pt>
              <c:pt idx="77">
                <c:v>2.236539457140851</c:v>
              </c:pt>
            </c:numLit>
          </c:yVal>
          <c:smooth val="0"/>
          <c:extLst>
            <c:ext xmlns:c16="http://schemas.microsoft.com/office/drawing/2014/chart" uri="{C3380CC4-5D6E-409C-BE32-E72D297353CC}">
              <c16:uniqueId val="{00000001-2DE7-455F-B91C-79437FB3C7BE}"/>
            </c:ext>
          </c:extLst>
        </c:ser>
        <c:dLbls>
          <c:showLegendKey val="0"/>
          <c:showVal val="0"/>
          <c:showCatName val="0"/>
          <c:showSerName val="0"/>
          <c:showPercent val="0"/>
          <c:showBubbleSize val="0"/>
        </c:dLbls>
        <c:axId val="107556224"/>
        <c:axId val="107587072"/>
      </c:scatterChart>
      <c:valAx>
        <c:axId val="107556224"/>
        <c:scaling>
          <c:orientation val="minMax"/>
        </c:scaling>
        <c:delete val="0"/>
        <c:axPos val="b"/>
        <c:title>
          <c:tx>
            <c:rich>
              <a:bodyPr/>
              <a:lstStyle/>
              <a:p>
                <a:pPr>
                  <a:defRPr/>
                </a:pPr>
                <a:r>
                  <a:rPr lang="en-US"/>
                  <a:t>Theoretical Standardized Residual
</a:t>
                </a:r>
                <a:r>
                  <a:rPr lang="en-US" sz="750"/>
                  <a:t>Adjusted Anderson-Darling statistic is 0.228 (P=0.814)</a:t>
                </a:r>
              </a:p>
            </c:rich>
          </c:tx>
          <c:overlay val="0"/>
        </c:title>
        <c:numFmt formatCode="General" sourceLinked="1"/>
        <c:majorTickMark val="out"/>
        <c:minorTickMark val="none"/>
        <c:tickLblPos val="nextTo"/>
        <c:crossAx val="107587072"/>
        <c:crosses val="autoZero"/>
        <c:crossBetween val="midCat"/>
      </c:valAx>
      <c:valAx>
        <c:axId val="107587072"/>
        <c:scaling>
          <c:orientation val="minMax"/>
        </c:scaling>
        <c:delete val="0"/>
        <c:axPos val="l"/>
        <c:title>
          <c:tx>
            <c:rich>
              <a:bodyPr/>
              <a:lstStyle/>
              <a:p>
                <a:pPr>
                  <a:defRPr/>
                </a:pPr>
                <a:r>
                  <a:rPr lang="en-US"/>
                  <a:t>Actual Standardized Residual</a:t>
                </a:r>
              </a:p>
            </c:rich>
          </c:tx>
          <c:overlay val="0"/>
        </c:title>
        <c:numFmt formatCode="General" sourceLinked="1"/>
        <c:majorTickMark val="out"/>
        <c:minorTickMark val="none"/>
        <c:tickLblPos val="nextTo"/>
        <c:crossAx val="107556224"/>
        <c:crossesAt val="-3"/>
        <c:crossBetween val="midCat"/>
      </c:valAx>
      <c:spPr>
        <a:ln w="6350">
          <a:solidFill>
            <a:srgbClr val="808080"/>
          </a:solidFill>
          <a:prstDash val="solid"/>
        </a:ln>
      </c:spPr>
    </c:plotArea>
    <c:legend>
      <c:legendPos val="r"/>
      <c:overlay val="0"/>
    </c:legend>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'Elec dummy only model'!$AA$3</c:f>
          <c:strCache>
            <c:ptCount val="1"/>
            <c:pt idx="0">
              <c:v>Actual and predicted -vs- Observation # with 95.0% confidence limits
Elec dummy only model for _Electric_Natural_Gas    (12 variables, n=78)</c:v>
            </c:pt>
          </c:strCache>
        </c:strRef>
      </c:tx>
      <c:overlay val="0"/>
      <c:txPr>
        <a:bodyPr/>
        <a:lstStyle/>
        <a:p>
          <a:pPr>
            <a:defRPr sz="1000">
              <a:latin typeface="Calibri"/>
              <a:ea typeface="Calibri"/>
              <a:cs typeface="Calibri"/>
            </a:defRPr>
          </a:pPr>
          <a:endParaRPr lang="en-US"/>
        </a:p>
      </c:txPr>
    </c:title>
    <c:autoTitleDeleted val="0"/>
    <c:plotArea>
      <c:layout/>
      <c:scatterChart>
        <c:scatterStyle val="lineMarker"/>
        <c:varyColors val="0"/>
        <c:ser>
          <c:idx val="0"/>
          <c:order val="0"/>
          <c:tx>
            <c:v>Actual</c:v>
          </c:tx>
          <c:spPr>
            <a:ln w="9525" cap="rnd" cmpd="sng" algn="ctr">
              <a:solidFill>
                <a:srgbClr val="0000FF"/>
              </a:solidFill>
              <a:prstDash val="solid"/>
              <a:round/>
              <a:headEnd type="none" w="med" len="med"/>
              <a:tailEnd type="none" w="med" len="med"/>
            </a:ln>
          </c:spPr>
          <c:marker>
            <c:symbol val="diamond"/>
            <c:size val="6"/>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7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numLit>
          </c:xVal>
          <c:yVal>
            <c:numLit>
              <c:formatCode>General</c:formatCode>
              <c:ptCount val="78"/>
              <c:pt idx="0">
                <c:v>1798</c:v>
              </c:pt>
              <c:pt idx="1">
                <c:v>1912</c:v>
              </c:pt>
              <c:pt idx="2">
                <c:v>2674</c:v>
              </c:pt>
              <c:pt idx="3">
                <c:v>1314</c:v>
              </c:pt>
              <c:pt idx="4">
                <c:v>1761</c:v>
              </c:pt>
              <c:pt idx="5">
                <c:v>4481</c:v>
              </c:pt>
              <c:pt idx="6">
                <c:v>5303</c:v>
              </c:pt>
              <c:pt idx="7">
                <c:v>7937</c:v>
              </c:pt>
              <c:pt idx="8">
                <c:v>7103</c:v>
              </c:pt>
              <c:pt idx="9">
                <c:v>1259</c:v>
              </c:pt>
              <c:pt idx="10">
                <c:v>2241</c:v>
              </c:pt>
              <c:pt idx="11">
                <c:v>2133</c:v>
              </c:pt>
              <c:pt idx="12">
                <c:v>4595</c:v>
              </c:pt>
              <c:pt idx="13">
                <c:v>3096</c:v>
              </c:pt>
              <c:pt idx="14">
                <c:v>2555</c:v>
              </c:pt>
              <c:pt idx="15">
                <c:v>3098</c:v>
              </c:pt>
              <c:pt idx="16">
                <c:v>5787</c:v>
              </c:pt>
              <c:pt idx="17">
                <c:v>10952</c:v>
              </c:pt>
              <c:pt idx="18">
                <c:v>12003</c:v>
              </c:pt>
              <c:pt idx="19">
                <c:v>10299</c:v>
              </c:pt>
              <c:pt idx="20">
                <c:v>5803</c:v>
              </c:pt>
              <c:pt idx="21">
                <c:v>4621</c:v>
              </c:pt>
              <c:pt idx="22">
                <c:v>4250</c:v>
              </c:pt>
              <c:pt idx="23">
                <c:v>6013</c:v>
              </c:pt>
              <c:pt idx="24">
                <c:v>4681</c:v>
              </c:pt>
              <c:pt idx="25">
                <c:v>3473</c:v>
              </c:pt>
              <c:pt idx="26">
                <c:v>4445</c:v>
              </c:pt>
              <c:pt idx="27">
                <c:v>3691</c:v>
              </c:pt>
              <c:pt idx="28">
                <c:v>8148</c:v>
              </c:pt>
              <c:pt idx="29">
                <c:v>10582</c:v>
              </c:pt>
              <c:pt idx="30">
                <c:v>14049</c:v>
              </c:pt>
              <c:pt idx="31">
                <c:v>10826</c:v>
              </c:pt>
              <c:pt idx="32">
                <c:v>7157</c:v>
              </c:pt>
              <c:pt idx="33">
                <c:v>6183</c:v>
              </c:pt>
              <c:pt idx="34">
                <c:v>7969</c:v>
              </c:pt>
              <c:pt idx="35">
                <c:v>8594</c:v>
              </c:pt>
              <c:pt idx="36">
                <c:v>10096</c:v>
              </c:pt>
              <c:pt idx="37">
                <c:v>12898</c:v>
              </c:pt>
              <c:pt idx="38">
                <c:v>10717</c:v>
              </c:pt>
              <c:pt idx="39">
                <c:v>10778</c:v>
              </c:pt>
              <c:pt idx="40">
                <c:v>13077</c:v>
              </c:pt>
              <c:pt idx="41">
                <c:v>13291</c:v>
              </c:pt>
              <c:pt idx="42">
                <c:v>20603</c:v>
              </c:pt>
              <c:pt idx="43">
                <c:v>16794</c:v>
              </c:pt>
              <c:pt idx="44">
                <c:v>14032</c:v>
              </c:pt>
              <c:pt idx="45">
                <c:v>9107</c:v>
              </c:pt>
              <c:pt idx="46">
                <c:v>7885</c:v>
              </c:pt>
              <c:pt idx="47">
                <c:v>11589</c:v>
              </c:pt>
              <c:pt idx="48">
                <c:v>15951</c:v>
              </c:pt>
              <c:pt idx="49">
                <c:v>14442</c:v>
              </c:pt>
              <c:pt idx="50">
                <c:v>15968</c:v>
              </c:pt>
              <c:pt idx="51">
                <c:v>14409</c:v>
              </c:pt>
              <c:pt idx="52">
                <c:v>15758</c:v>
              </c:pt>
              <c:pt idx="53">
                <c:v>17311</c:v>
              </c:pt>
              <c:pt idx="54">
                <c:v>19612</c:v>
              </c:pt>
              <c:pt idx="55">
                <c:v>19504</c:v>
              </c:pt>
              <c:pt idx="56">
                <c:v>18336</c:v>
              </c:pt>
              <c:pt idx="57">
                <c:v>15088</c:v>
              </c:pt>
              <c:pt idx="58">
                <c:v>15652</c:v>
              </c:pt>
              <c:pt idx="59">
                <c:v>18969</c:v>
              </c:pt>
              <c:pt idx="60">
                <c:v>17864</c:v>
              </c:pt>
              <c:pt idx="61">
                <c:v>8697</c:v>
              </c:pt>
              <c:pt idx="62">
                <c:v>14767</c:v>
              </c:pt>
              <c:pt idx="63">
                <c:v>15371</c:v>
              </c:pt>
              <c:pt idx="64">
                <c:v>16592</c:v>
              </c:pt>
              <c:pt idx="65">
                <c:v>20928</c:v>
              </c:pt>
              <c:pt idx="66">
                <c:v>20934</c:v>
              </c:pt>
              <c:pt idx="67">
                <c:v>20625</c:v>
              </c:pt>
              <c:pt idx="68">
                <c:v>19655</c:v>
              </c:pt>
              <c:pt idx="69">
                <c:v>12618</c:v>
              </c:pt>
              <c:pt idx="70">
                <c:v>16980</c:v>
              </c:pt>
              <c:pt idx="71">
                <c:v>21194</c:v>
              </c:pt>
              <c:pt idx="72">
                <c:v>21992</c:v>
              </c:pt>
              <c:pt idx="73">
                <c:v>20106</c:v>
              </c:pt>
              <c:pt idx="74">
                <c:v>19194</c:v>
              </c:pt>
              <c:pt idx="75">
                <c:v>19240</c:v>
              </c:pt>
              <c:pt idx="76">
                <c:v>23874</c:v>
              </c:pt>
              <c:pt idx="77">
                <c:v>26468</c:v>
              </c:pt>
            </c:numLit>
          </c:yVal>
          <c:smooth val="0"/>
          <c:extLst>
            <c:ext xmlns:c16="http://schemas.microsoft.com/office/drawing/2014/chart" uri="{C3380CC4-5D6E-409C-BE32-E72D297353CC}">
              <c16:uniqueId val="{00000000-3243-4AE9-B9A6-5A578EC6E962}"/>
            </c:ext>
          </c:extLst>
        </c:ser>
        <c:ser>
          <c:idx val="1"/>
          <c:order val="1"/>
          <c:tx>
            <c:v>Predicted</c:v>
          </c:tx>
          <c:spPr>
            <a:ln w="9525">
              <a:solidFill>
                <a:srgbClr val="FF0000"/>
              </a:solidFill>
              <a:prstDash val="sysDash"/>
            </a:ln>
          </c:spPr>
          <c:marker>
            <c:symbol val="circle"/>
            <c:size val="6"/>
            <c:spPr>
              <a:noFill/>
              <a:ln w="9525">
                <a:solidFill>
                  <a:srgbClr val="FF0000"/>
                </a:solidFill>
                <a:prstDash val="solid"/>
              </a:ln>
            </c:spPr>
          </c:marker>
          <c:xVal>
            <c:numLit>
              <c:formatCode>General</c:formatCode>
              <c:ptCount val="7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numLit>
          </c:xVal>
          <c:yVal>
            <c:numLit>
              <c:formatCode>General</c:formatCode>
              <c:ptCount val="78"/>
              <c:pt idx="0">
                <c:v>1525.9230769230162</c:v>
              </c:pt>
              <c:pt idx="1">
                <c:v>-238.79120879128823</c:v>
              </c:pt>
              <c:pt idx="2">
                <c:v>574.92307692299437</c:v>
              </c:pt>
              <c:pt idx="3">
                <c:v>229.35164835157775</c:v>
              </c:pt>
              <c:pt idx="4">
                <c:v>2671.6373626372915</c:v>
              </c:pt>
              <c:pt idx="5">
                <c:v>5388.2087912086972</c:v>
              </c:pt>
              <c:pt idx="6">
                <c:v>7525.0073260072604</c:v>
              </c:pt>
              <c:pt idx="7">
                <c:v>6438.5073260072568</c:v>
              </c:pt>
              <c:pt idx="8">
                <c:v>4122.0073260072568</c:v>
              </c:pt>
              <c:pt idx="9">
                <c:v>253.67399267393193</c:v>
              </c:pt>
              <c:pt idx="10">
                <c:v>1270.5073260072422</c:v>
              </c:pt>
              <c:pt idx="11">
                <c:v>3523.0073260072422</c:v>
              </c:pt>
              <c:pt idx="12">
                <c:v>4682.8534798534165</c:v>
              </c:pt>
              <c:pt idx="13">
                <c:v>2918.1391941391121</c:v>
              </c:pt>
              <c:pt idx="14">
                <c:v>3731.8534798533947</c:v>
              </c:pt>
              <c:pt idx="15">
                <c:v>3386.2820512819781</c:v>
              </c:pt>
              <c:pt idx="16">
                <c:v>5828.5677655676882</c:v>
              </c:pt>
              <c:pt idx="17">
                <c:v>8545.1391941390975</c:v>
              </c:pt>
              <c:pt idx="18">
                <c:v>10681.937728937657</c:v>
              </c:pt>
              <c:pt idx="19">
                <c:v>9595.4377289376571</c:v>
              </c:pt>
              <c:pt idx="20">
                <c:v>7278.9377289376534</c:v>
              </c:pt>
              <c:pt idx="21">
                <c:v>3410.6043956043322</c:v>
              </c:pt>
              <c:pt idx="22">
                <c:v>4427.4377289376425</c:v>
              </c:pt>
              <c:pt idx="23">
                <c:v>6679.9377289376425</c:v>
              </c:pt>
              <c:pt idx="24">
                <c:v>7839.7838827838132</c:v>
              </c:pt>
              <c:pt idx="25">
                <c:v>6075.0695970695124</c:v>
              </c:pt>
              <c:pt idx="26">
                <c:v>6888.783882783795</c:v>
              </c:pt>
              <c:pt idx="27">
                <c:v>6543.2124542123784</c:v>
              </c:pt>
              <c:pt idx="28">
                <c:v>8985.4981684980885</c:v>
              </c:pt>
              <c:pt idx="29">
                <c:v>11702.069597069494</c:v>
              </c:pt>
              <c:pt idx="30">
                <c:v>13838.868131868061</c:v>
              </c:pt>
              <c:pt idx="31">
                <c:v>12752.368131868061</c:v>
              </c:pt>
              <c:pt idx="32">
                <c:v>10435.868131868054</c:v>
              </c:pt>
              <c:pt idx="33">
                <c:v>6567.5347985347289</c:v>
              </c:pt>
              <c:pt idx="34">
                <c:v>7584.3681318680392</c:v>
              </c:pt>
              <c:pt idx="35">
                <c:v>9836.8681318680392</c:v>
              </c:pt>
              <c:pt idx="36">
                <c:v>10996.714285714217</c:v>
              </c:pt>
              <c:pt idx="37">
                <c:v>9231.9999999999127</c:v>
              </c:pt>
              <c:pt idx="38">
                <c:v>10045.714285714195</c:v>
              </c:pt>
              <c:pt idx="39">
                <c:v>9700.1428571427823</c:v>
              </c:pt>
              <c:pt idx="40">
                <c:v>12142.428571428485</c:v>
              </c:pt>
              <c:pt idx="41">
                <c:v>14858.999999999891</c:v>
              </c:pt>
              <c:pt idx="42">
                <c:v>16995.798534798458</c:v>
              </c:pt>
              <c:pt idx="43">
                <c:v>15909.298534798458</c:v>
              </c:pt>
              <c:pt idx="44">
                <c:v>13592.798534798458</c:v>
              </c:pt>
              <c:pt idx="45">
                <c:v>9724.4652014651365</c:v>
              </c:pt>
              <c:pt idx="46">
                <c:v>10741.298534798443</c:v>
              </c:pt>
              <c:pt idx="47">
                <c:v>12993.798534798443</c:v>
              </c:pt>
              <c:pt idx="48">
                <c:v>14153.644688644614</c:v>
              </c:pt>
              <c:pt idx="49">
                <c:v>12388.930402930309</c:v>
              </c:pt>
              <c:pt idx="50">
                <c:v>13202.644688644592</c:v>
              </c:pt>
              <c:pt idx="51">
                <c:v>12857.073260073179</c:v>
              </c:pt>
              <c:pt idx="52">
                <c:v>15299.358974358882</c:v>
              </c:pt>
              <c:pt idx="53">
                <c:v>18015.930402930295</c:v>
              </c:pt>
              <c:pt idx="54">
                <c:v>20152.728937728862</c:v>
              </c:pt>
              <c:pt idx="55">
                <c:v>19066.228937728862</c:v>
              </c:pt>
              <c:pt idx="56">
                <c:v>16749.728937728854</c:v>
              </c:pt>
              <c:pt idx="57">
                <c:v>12881.395604395533</c:v>
              </c:pt>
              <c:pt idx="58">
                <c:v>13898.22893772884</c:v>
              </c:pt>
              <c:pt idx="59">
                <c:v>16150.72893772884</c:v>
              </c:pt>
              <c:pt idx="60">
                <c:v>17310.57509157501</c:v>
              </c:pt>
              <c:pt idx="61">
                <c:v>15545.860805860713</c:v>
              </c:pt>
              <c:pt idx="62">
                <c:v>16359.575091574996</c:v>
              </c:pt>
              <c:pt idx="63">
                <c:v>16014.003663003583</c:v>
              </c:pt>
              <c:pt idx="64">
                <c:v>18456.289377289286</c:v>
              </c:pt>
              <c:pt idx="65">
                <c:v>21172.860805860691</c:v>
              </c:pt>
              <c:pt idx="66">
                <c:v>23309.659340659258</c:v>
              </c:pt>
              <c:pt idx="67">
                <c:v>22223.159340659258</c:v>
              </c:pt>
              <c:pt idx="68">
                <c:v>19906.659340659251</c:v>
              </c:pt>
              <c:pt idx="69">
                <c:v>16038.32600732593</c:v>
              </c:pt>
              <c:pt idx="70">
                <c:v>17055.159340659244</c:v>
              </c:pt>
              <c:pt idx="71">
                <c:v>19307.659340659244</c:v>
              </c:pt>
              <c:pt idx="72">
                <c:v>20467.505494505414</c:v>
              </c:pt>
              <c:pt idx="73">
                <c:v>18702.79120879111</c:v>
              </c:pt>
              <c:pt idx="74">
                <c:v>19516.505494505393</c:v>
              </c:pt>
              <c:pt idx="75">
                <c:v>19170.93406593398</c:v>
              </c:pt>
              <c:pt idx="76">
                <c:v>21613.219780219682</c:v>
              </c:pt>
              <c:pt idx="77">
                <c:v>24329.791208791088</c:v>
              </c:pt>
            </c:numLit>
          </c:yVal>
          <c:smooth val="0"/>
          <c:extLst>
            <c:ext xmlns:c16="http://schemas.microsoft.com/office/drawing/2014/chart" uri="{C3380CC4-5D6E-409C-BE32-E72D297353CC}">
              <c16:uniqueId val="{00000001-3243-4AE9-B9A6-5A578EC6E962}"/>
            </c:ext>
          </c:extLst>
        </c:ser>
        <c:ser>
          <c:idx val="2"/>
          <c:order val="2"/>
          <c:tx>
            <c:v>Forecast</c:v>
          </c:tx>
          <c:spPr>
            <a:ln w="25400">
              <a:noFill/>
            </a:ln>
          </c:spPr>
          <c:marker>
            <c:symbol val="circle"/>
            <c:size val="7"/>
            <c:spPr>
              <a:solidFill>
                <a:srgbClr val="FF9999"/>
              </a:solidFill>
              <a:ln w="12700">
                <a:solidFill>
                  <a:srgbClr val="FF0000"/>
                </a:solidFill>
                <a:prstDash val="solid"/>
              </a:ln>
            </c:spPr>
          </c:marker>
          <c:errBars>
            <c:errDir val="y"/>
            <c:errBarType val="both"/>
            <c:errValType val="cust"/>
            <c:noEndCap val="0"/>
            <c:plus>
              <c:numRef>
                <c:f>'Elec dummy only model'!$CG$47:$CG$58</c:f>
                <c:numCache>
                  <c:formatCode>General</c:formatCode>
                  <c:ptCount val="12"/>
                  <c:pt idx="0">
                    <c:v>4453.6876531459038</c:v>
                  </c:pt>
                  <c:pt idx="1">
                    <c:v>4453.6876531459038</c:v>
                  </c:pt>
                  <c:pt idx="2">
                    <c:v>4453.6876531459038</c:v>
                  </c:pt>
                  <c:pt idx="3">
                    <c:v>4453.6876531459038</c:v>
                  </c:pt>
                  <c:pt idx="4">
                    <c:v>4453.6876531459038</c:v>
                  </c:pt>
                  <c:pt idx="5">
                    <c:v>4453.6876531459038</c:v>
                  </c:pt>
                  <c:pt idx="6">
                    <c:v>4435.1340545160028</c:v>
                  </c:pt>
                  <c:pt idx="7">
                    <c:v>4435.1340545160028</c:v>
                  </c:pt>
                  <c:pt idx="8">
                    <c:v>4435.1340545160028</c:v>
                  </c:pt>
                  <c:pt idx="9">
                    <c:v>4435.1340545160028</c:v>
                  </c:pt>
                  <c:pt idx="10">
                    <c:v>4435.1340545160028</c:v>
                  </c:pt>
                  <c:pt idx="11">
                    <c:v>4435.1340545160028</c:v>
                  </c:pt>
                </c:numCache>
              </c:numRef>
            </c:plus>
            <c:minus>
              <c:numRef>
                <c:f>'Elec dummy only model'!$CG$47:$CG$58</c:f>
                <c:numCache>
                  <c:formatCode>General</c:formatCode>
                  <c:ptCount val="12"/>
                  <c:pt idx="0">
                    <c:v>4453.6876531459038</c:v>
                  </c:pt>
                  <c:pt idx="1">
                    <c:v>4453.6876531459038</c:v>
                  </c:pt>
                  <c:pt idx="2">
                    <c:v>4453.6876531459038</c:v>
                  </c:pt>
                  <c:pt idx="3">
                    <c:v>4453.6876531459038</c:v>
                  </c:pt>
                  <c:pt idx="4">
                    <c:v>4453.6876531459038</c:v>
                  </c:pt>
                  <c:pt idx="5">
                    <c:v>4453.6876531459038</c:v>
                  </c:pt>
                  <c:pt idx="6">
                    <c:v>4435.1340545160028</c:v>
                  </c:pt>
                  <c:pt idx="7">
                    <c:v>4435.1340545160028</c:v>
                  </c:pt>
                  <c:pt idx="8">
                    <c:v>4435.1340545160028</c:v>
                  </c:pt>
                  <c:pt idx="9">
                    <c:v>4435.1340545160028</c:v>
                  </c:pt>
                  <c:pt idx="10">
                    <c:v>4435.1340545160028</c:v>
                  </c:pt>
                  <c:pt idx="11">
                    <c:v>4435.1340545160028</c:v>
                  </c:pt>
                </c:numCache>
              </c:numRef>
            </c:minus>
          </c:errBars>
          <c:xVal>
            <c:numRef>
              <c:f>'Elec dummy only model'!$A$47:$A$58</c:f>
              <c:numCache>
                <c:formatCode>0</c:formatCode>
                <c:ptCount val="12"/>
                <c:pt idx="0">
                  <c:v>79</c:v>
                </c:pt>
                <c:pt idx="1">
                  <c:v>80</c:v>
                </c:pt>
                <c:pt idx="2">
                  <c:v>81</c:v>
                </c:pt>
                <c:pt idx="3">
                  <c:v>82</c:v>
                </c:pt>
                <c:pt idx="4">
                  <c:v>83</c:v>
                </c:pt>
                <c:pt idx="5">
                  <c:v>84</c:v>
                </c:pt>
                <c:pt idx="6">
                  <c:v>85</c:v>
                </c:pt>
                <c:pt idx="7">
                  <c:v>86</c:v>
                </c:pt>
                <c:pt idx="8">
                  <c:v>87</c:v>
                </c:pt>
                <c:pt idx="9">
                  <c:v>88</c:v>
                </c:pt>
                <c:pt idx="10">
                  <c:v>89</c:v>
                </c:pt>
                <c:pt idx="11">
                  <c:v>90</c:v>
                </c:pt>
              </c:numCache>
            </c:numRef>
          </c:xVal>
          <c:yVal>
            <c:numRef>
              <c:f>'Elec dummy only model'!$B$47:$B$58</c:f>
              <c:numCache>
                <c:formatCode>#,###</c:formatCode>
                <c:ptCount val="12"/>
                <c:pt idx="0">
                  <c:v>26466.589743589659</c:v>
                </c:pt>
                <c:pt idx="1">
                  <c:v>25380.089743589655</c:v>
                </c:pt>
                <c:pt idx="2">
                  <c:v>23063.589743589651</c:v>
                </c:pt>
                <c:pt idx="3">
                  <c:v>19195.25641025633</c:v>
                </c:pt>
                <c:pt idx="4">
                  <c:v>20212.08974358964</c:v>
                </c:pt>
                <c:pt idx="5">
                  <c:v>22464.58974358964</c:v>
                </c:pt>
                <c:pt idx="6">
                  <c:v>23624.435897435811</c:v>
                </c:pt>
                <c:pt idx="7">
                  <c:v>21859.72161172151</c:v>
                </c:pt>
                <c:pt idx="8">
                  <c:v>22673.435897435793</c:v>
                </c:pt>
                <c:pt idx="9">
                  <c:v>22327.864468864376</c:v>
                </c:pt>
                <c:pt idx="10">
                  <c:v>24770.150183150086</c:v>
                </c:pt>
                <c:pt idx="11">
                  <c:v>27486.721611721496</c:v>
                </c:pt>
              </c:numCache>
            </c:numRef>
          </c:yVal>
          <c:smooth val="0"/>
          <c:extLst>
            <c:ext xmlns:c16="http://schemas.microsoft.com/office/drawing/2014/chart" uri="{C3380CC4-5D6E-409C-BE32-E72D297353CC}">
              <c16:uniqueId val="{00000002-3243-4AE9-B9A6-5A578EC6E962}"/>
            </c:ext>
          </c:extLst>
        </c:ser>
        <c:dLbls>
          <c:showLegendKey val="0"/>
          <c:showVal val="0"/>
          <c:showCatName val="0"/>
          <c:showSerName val="0"/>
          <c:showPercent val="0"/>
          <c:showBubbleSize val="0"/>
        </c:dLbls>
        <c:axId val="107606784"/>
        <c:axId val="107608704"/>
      </c:scatterChart>
      <c:valAx>
        <c:axId val="107606784"/>
        <c:scaling>
          <c:orientation val="minMax"/>
        </c:scaling>
        <c:delete val="0"/>
        <c:axPos val="b"/>
        <c:title>
          <c:tx>
            <c:rich>
              <a:bodyPr/>
              <a:lstStyle/>
              <a:p>
                <a:pPr>
                  <a:defRPr/>
                </a:pPr>
                <a:r>
                  <a:rPr lang="en-US"/>
                  <a:t>Observation #</a:t>
                </a:r>
              </a:p>
            </c:rich>
          </c:tx>
          <c:overlay val="0"/>
        </c:title>
        <c:numFmt formatCode="0" sourceLinked="0"/>
        <c:majorTickMark val="out"/>
        <c:minorTickMark val="none"/>
        <c:tickLblPos val="nextTo"/>
        <c:crossAx val="107608704"/>
        <c:crossesAt val="-5000"/>
        <c:crossBetween val="midCat"/>
      </c:valAx>
      <c:valAx>
        <c:axId val="107608704"/>
        <c:scaling>
          <c:orientation val="minMax"/>
        </c:scaling>
        <c:delete val="0"/>
        <c:axPos val="l"/>
        <c:majorGridlines>
          <c:spPr>
            <a:ln w="3175">
              <a:solidFill>
                <a:srgbClr val="C0C0C0"/>
              </a:solidFill>
              <a:prstDash val="solid"/>
            </a:ln>
          </c:spPr>
        </c:majorGridlines>
        <c:title>
          <c:tx>
            <c:rich>
              <a:bodyPr/>
              <a:lstStyle/>
              <a:p>
                <a:pPr>
                  <a:defRPr/>
                </a:pPr>
                <a:r>
                  <a:rPr lang="en-US"/>
                  <a:t>_Electric_Natural_Gas</a:t>
                </a:r>
              </a:p>
            </c:rich>
          </c:tx>
          <c:layout>
            <c:manualLayout>
              <c:xMode val="edge"/>
              <c:yMode val="edge"/>
              <c:x val="1.358249430444452E-2"/>
              <c:y val="0.29430287812829936"/>
            </c:manualLayout>
          </c:layout>
          <c:overlay val="0"/>
        </c:title>
        <c:numFmt formatCode="General" sourceLinked="1"/>
        <c:majorTickMark val="out"/>
        <c:minorTickMark val="none"/>
        <c:tickLblPos val="nextTo"/>
        <c:crossAx val="107606784"/>
        <c:crossesAt val="0"/>
        <c:crossBetween val="midCat"/>
      </c:valAx>
      <c:spPr>
        <a:ln w="6350">
          <a:solidFill>
            <a:srgbClr val="808080"/>
          </a:solidFill>
          <a:prstDash val="solid"/>
        </a:ln>
      </c:spPr>
    </c:plotArea>
    <c:legend>
      <c:legendPos val="r"/>
      <c:overlay val="0"/>
    </c:legend>
    <c:plotVisOnly val="1"/>
    <c:dispBlanksAs val="gap"/>
    <c:showDLblsOverMax val="0"/>
  </c:chart>
  <c:spPr>
    <a:solidFill>
      <a:srgbClr val="F3F3F3"/>
    </a:solidFill>
    <a:ln w="6350">
      <a:solidFill>
        <a:srgbClr val="808080"/>
      </a:solidFill>
      <a:prstDash val="solid"/>
    </a:ln>
  </c:spPr>
  <c:txPr>
    <a:bodyPr/>
    <a:lstStyle/>
    <a:p>
      <a:pPr>
        <a:defRPr sz="1000">
          <a:latin typeface="+mn-lt"/>
          <a:ea typeface="+mn-lt"/>
          <a:cs typeface="+mn-lt"/>
        </a:defRPr>
      </a:pPr>
      <a:endParaRPr lang="en-US"/>
    </a:p>
  </c:tx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5.0347222222222224E-2"/>
          <c:y val="3.5833333333333335E-2"/>
          <c:w val="0.92720827865266842"/>
          <c:h val="0.96416666666666662"/>
        </c:manualLayout>
      </c:layout>
      <c:scatterChart>
        <c:scatterStyle val="lineMarker"/>
        <c:varyColors val="0"/>
        <c:ser>
          <c:idx val="0"/>
          <c:order val="0"/>
          <c:spPr>
            <a:ln w="9525" cap="rnd" cmpd="sng" algn="ctr">
              <a:solidFill>
                <a:srgbClr val="0000FF"/>
              </a:solidFill>
              <a:prstDash val="solid"/>
              <a:round/>
              <a:headEnd type="none" w="med" len="med"/>
              <a:tailEnd type="none" w="med" len="med"/>
            </a:ln>
            <a:effectLst/>
          </c:spPr>
          <c:marker>
            <c:symbol val="diamond"/>
            <c:size val="5"/>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17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172</c:v>
              </c:pt>
              <c:pt idx="171">
                <c:v>173</c:v>
              </c:pt>
              <c:pt idx="172">
                <c:v>174</c:v>
              </c:pt>
            </c:numLit>
          </c:xVal>
          <c:yVal>
            <c:numLit>
              <c:formatCode>General</c:formatCode>
              <c:ptCount val="173"/>
              <c:pt idx="0">
                <c:v>0</c:v>
              </c:pt>
              <c:pt idx="1">
                <c:v>0</c:v>
              </c:pt>
              <c:pt idx="2">
                <c:v>0.56666666666666665</c:v>
              </c:pt>
              <c:pt idx="3">
                <c:v>37.5</c:v>
              </c:pt>
              <c:pt idx="4">
                <c:v>60.86666666666666</c:v>
              </c:pt>
              <c:pt idx="5">
                <c:v>183.13333333333333</c:v>
              </c:pt>
              <c:pt idx="6">
                <c:v>185.13333333333333</c:v>
              </c:pt>
              <c:pt idx="7">
                <c:v>237.53333333333336</c:v>
              </c:pt>
              <c:pt idx="8">
                <c:v>87.7</c:v>
              </c:pt>
              <c:pt idx="9">
                <c:v>15.433333333333334</c:v>
              </c:pt>
              <c:pt idx="10">
                <c:v>5.1333333333333337</c:v>
              </c:pt>
              <c:pt idx="11">
                <c:v>0.3</c:v>
              </c:pt>
              <c:pt idx="12">
                <c:v>0.83333333333333337</c:v>
              </c:pt>
              <c:pt idx="13">
                <c:v>0</c:v>
              </c:pt>
              <c:pt idx="14">
                <c:v>3.5333333333333337</c:v>
              </c:pt>
              <c:pt idx="15">
                <c:v>50.866666666666667</c:v>
              </c:pt>
              <c:pt idx="16">
                <c:v>73.900000000000006</c:v>
              </c:pt>
              <c:pt idx="17">
                <c:v>193.93333333333334</c:v>
              </c:pt>
              <c:pt idx="18">
                <c:v>259.2</c:v>
              </c:pt>
              <c:pt idx="19">
                <c:v>220.26666666666665</c:v>
              </c:pt>
              <c:pt idx="20">
                <c:v>130.30000000000001</c:v>
              </c:pt>
              <c:pt idx="21">
                <c:v>42.93333333333333</c:v>
              </c:pt>
              <c:pt idx="22">
                <c:v>1.3</c:v>
              </c:pt>
              <c:pt idx="23">
                <c:v>0</c:v>
              </c:pt>
              <c:pt idx="24">
                <c:v>0</c:v>
              </c:pt>
              <c:pt idx="25">
                <c:v>0</c:v>
              </c:pt>
              <c:pt idx="26">
                <c:v>3.8</c:v>
              </c:pt>
              <c:pt idx="27">
                <c:v>8.2333333333333325</c:v>
              </c:pt>
              <c:pt idx="28">
                <c:v>45.6</c:v>
              </c:pt>
              <c:pt idx="29">
                <c:v>132.96666666666667</c:v>
              </c:pt>
              <c:pt idx="30">
                <c:v>207.33333333333334</c:v>
              </c:pt>
              <c:pt idx="31">
                <c:v>224.33333333333334</c:v>
              </c:pt>
              <c:pt idx="32">
                <c:v>86.033333333333331</c:v>
              </c:pt>
              <c:pt idx="33">
                <c:v>6.1666666666666661</c:v>
              </c:pt>
              <c:pt idx="34">
                <c:v>12.366666666666667</c:v>
              </c:pt>
              <c:pt idx="35">
                <c:v>0</c:v>
              </c:pt>
              <c:pt idx="36">
                <c:v>0.1</c:v>
              </c:pt>
              <c:pt idx="37">
                <c:v>0</c:v>
              </c:pt>
              <c:pt idx="38">
                <c:v>4.5</c:v>
              </c:pt>
              <c:pt idx="39">
                <c:v>25.533333333333335</c:v>
              </c:pt>
              <c:pt idx="40">
                <c:v>143.96666666666667</c:v>
              </c:pt>
              <c:pt idx="41">
                <c:v>172.56666666666666</c:v>
              </c:pt>
              <c:pt idx="42">
                <c:v>232</c:v>
              </c:pt>
              <c:pt idx="43">
                <c:v>172.43333333333334</c:v>
              </c:pt>
              <c:pt idx="44">
                <c:v>103.73333333333332</c:v>
              </c:pt>
              <c:pt idx="45">
                <c:v>21.533333333333335</c:v>
              </c:pt>
              <c:pt idx="46">
                <c:v>7.1</c:v>
              </c:pt>
              <c:pt idx="47">
                <c:v>0</c:v>
              </c:pt>
              <c:pt idx="48">
                <c:v>1.3</c:v>
              </c:pt>
              <c:pt idx="49">
                <c:v>0</c:v>
              </c:pt>
              <c:pt idx="50">
                <c:v>0</c:v>
              </c:pt>
              <c:pt idx="51">
                <c:v>8.8333333333333321</c:v>
              </c:pt>
              <c:pt idx="52">
                <c:v>35.4</c:v>
              </c:pt>
              <c:pt idx="53">
                <c:v>172.13333333333333</c:v>
              </c:pt>
              <c:pt idx="54">
                <c:v>268.56666666666666</c:v>
              </c:pt>
              <c:pt idx="55">
                <c:v>253.56666666666666</c:v>
              </c:pt>
              <c:pt idx="56">
                <c:v>166.86666666666667</c:v>
              </c:pt>
              <c:pt idx="57">
                <c:v>40.133333333333333</c:v>
              </c:pt>
              <c:pt idx="58">
                <c:v>3.166666666666667</c:v>
              </c:pt>
              <c:pt idx="59">
                <c:v>0</c:v>
              </c:pt>
              <c:pt idx="60">
                <c:v>0</c:v>
              </c:pt>
              <c:pt idx="61">
                <c:v>0</c:v>
              </c:pt>
              <c:pt idx="62">
                <c:v>6.9</c:v>
              </c:pt>
              <c:pt idx="63">
                <c:v>35.299999999999997</c:v>
              </c:pt>
              <c:pt idx="64">
                <c:v>55.13333333333334</c:v>
              </c:pt>
              <c:pt idx="65">
                <c:v>158.80000000000001</c:v>
              </c:pt>
              <c:pt idx="66">
                <c:v>240.5</c:v>
              </c:pt>
              <c:pt idx="67">
                <c:v>251.9</c:v>
              </c:pt>
              <c:pt idx="68">
                <c:v>85.933333333333337</c:v>
              </c:pt>
              <c:pt idx="69">
                <c:v>12.333333333333332</c:v>
              </c:pt>
              <c:pt idx="70">
                <c:v>1.5</c:v>
              </c:pt>
              <c:pt idx="71">
                <c:v>0</c:v>
              </c:pt>
              <c:pt idx="72">
                <c:v>0.1</c:v>
              </c:pt>
              <c:pt idx="73">
                <c:v>0</c:v>
              </c:pt>
              <c:pt idx="74">
                <c:v>16.8</c:v>
              </c:pt>
              <c:pt idx="75">
                <c:v>26.366666666666667</c:v>
              </c:pt>
              <c:pt idx="76">
                <c:v>82.733333333333334</c:v>
              </c:pt>
              <c:pt idx="77">
                <c:v>183.26666666666668</c:v>
              </c:pt>
              <c:pt idx="78">
                <c:v>215.2</c:v>
              </c:pt>
              <c:pt idx="79">
                <c:v>322.7</c:v>
              </c:pt>
              <c:pt idx="80">
                <c:v>163.6</c:v>
              </c:pt>
              <c:pt idx="81">
                <c:v>76.266666666666666</c:v>
              </c:pt>
              <c:pt idx="82">
                <c:v>0.13333333333333333</c:v>
              </c:pt>
              <c:pt idx="83">
                <c:v>2.5333333333333332</c:v>
              </c:pt>
              <c:pt idx="84">
                <c:v>0</c:v>
              </c:pt>
              <c:pt idx="85">
                <c:v>0.76666666666666672</c:v>
              </c:pt>
              <c:pt idx="86">
                <c:v>1.8333333333333333</c:v>
              </c:pt>
              <c:pt idx="87">
                <c:v>12.133333333333333</c:v>
              </c:pt>
              <c:pt idx="88">
                <c:v>48.93333333333333</c:v>
              </c:pt>
              <c:pt idx="89">
                <c:v>242.73333333333335</c:v>
              </c:pt>
              <c:pt idx="90">
                <c:v>235.33333333333334</c:v>
              </c:pt>
              <c:pt idx="91">
                <c:v>217</c:v>
              </c:pt>
              <c:pt idx="92">
                <c:v>118</c:v>
              </c:pt>
              <c:pt idx="93">
                <c:v>14.533333333333335</c:v>
              </c:pt>
              <c:pt idx="94">
                <c:v>0</c:v>
              </c:pt>
              <c:pt idx="95">
                <c:v>0.2</c:v>
              </c:pt>
              <c:pt idx="96">
                <c:v>0</c:v>
              </c:pt>
              <c:pt idx="97">
                <c:v>0</c:v>
              </c:pt>
              <c:pt idx="98">
                <c:v>6.0666666666666664</c:v>
              </c:pt>
              <c:pt idx="99">
                <c:v>23.166666666666664</c:v>
              </c:pt>
              <c:pt idx="100">
                <c:v>102.4</c:v>
              </c:pt>
              <c:pt idx="101">
                <c:v>201.4</c:v>
              </c:pt>
              <c:pt idx="102">
                <c:v>219.66666666666666</c:v>
              </c:pt>
              <c:pt idx="103">
                <c:v>244.73333333333335</c:v>
              </c:pt>
              <c:pt idx="104">
                <c:v>103.93333333333332</c:v>
              </c:pt>
              <c:pt idx="105">
                <c:v>13.4</c:v>
              </c:pt>
              <c:pt idx="106">
                <c:v>0.1</c:v>
              </c:pt>
              <c:pt idx="107">
                <c:v>0</c:v>
              </c:pt>
              <c:pt idx="108">
                <c:v>0</c:v>
              </c:pt>
              <c:pt idx="109">
                <c:v>0</c:v>
              </c:pt>
              <c:pt idx="110">
                <c:v>0</c:v>
              </c:pt>
              <c:pt idx="111">
                <c:v>30.6</c:v>
              </c:pt>
              <c:pt idx="112">
                <c:v>124.4</c:v>
              </c:pt>
              <c:pt idx="113">
                <c:v>259.8</c:v>
              </c:pt>
              <c:pt idx="114">
                <c:v>289.13333333333333</c:v>
              </c:pt>
              <c:pt idx="115">
                <c:v>268.76666666666665</c:v>
              </c:pt>
              <c:pt idx="116">
                <c:v>181.16666666666669</c:v>
              </c:pt>
              <c:pt idx="117">
                <c:v>25.466666666666665</c:v>
              </c:pt>
              <c:pt idx="118">
                <c:v>0.1</c:v>
              </c:pt>
              <c:pt idx="119">
                <c:v>0</c:v>
              </c:pt>
              <c:pt idx="120">
                <c:v>0</c:v>
              </c:pt>
              <c:pt idx="121">
                <c:v>1.1666666666666665</c:v>
              </c:pt>
              <c:pt idx="122">
                <c:v>4.6666666666666661</c:v>
              </c:pt>
              <c:pt idx="123">
                <c:v>39.200000000000003</c:v>
              </c:pt>
              <c:pt idx="124">
                <c:v>99.566666666666663</c:v>
              </c:pt>
              <c:pt idx="125">
                <c:v>233</c:v>
              </c:pt>
              <c:pt idx="126">
                <c:v>296.53333333333336</c:v>
              </c:pt>
              <c:pt idx="127">
                <c:v>248.06666666666666</c:v>
              </c:pt>
              <c:pt idx="128">
                <c:v>131.03333333333333</c:v>
              </c:pt>
              <c:pt idx="129">
                <c:v>9.3000000000000007</c:v>
              </c:pt>
              <c:pt idx="130">
                <c:v>5.3333333333333339</c:v>
              </c:pt>
              <c:pt idx="131">
                <c:v>0.2</c:v>
              </c:pt>
              <c:pt idx="132">
                <c:v>0</c:v>
              </c:pt>
              <c:pt idx="133">
                <c:v>0</c:v>
              </c:pt>
              <c:pt idx="134">
                <c:v>24.166666666666664</c:v>
              </c:pt>
              <c:pt idx="135">
                <c:v>21.9</c:v>
              </c:pt>
              <c:pt idx="136">
                <c:v>118.5</c:v>
              </c:pt>
              <c:pt idx="137">
                <c:v>159.06666666666666</c:v>
              </c:pt>
              <c:pt idx="138">
                <c:v>299.83333333333337</c:v>
              </c:pt>
              <c:pt idx="139">
                <c:v>212.3</c:v>
              </c:pt>
              <c:pt idx="140">
                <c:v>105.06666666666668</c:v>
              </c:pt>
              <c:pt idx="141">
                <c:v>19.833333333333336</c:v>
              </c:pt>
              <c:pt idx="142">
                <c:v>0</c:v>
              </c:pt>
              <c:pt idx="143">
                <c:v>0.46666666666666667</c:v>
              </c:pt>
              <c:pt idx="144">
                <c:v>0.3</c:v>
              </c:pt>
              <c:pt idx="145">
                <c:v>0</c:v>
              </c:pt>
              <c:pt idx="146">
                <c:v>0.46666666666666667</c:v>
              </c:pt>
              <c:pt idx="147">
                <c:v>22.4</c:v>
              </c:pt>
              <c:pt idx="148">
                <c:v>66.666666666666657</c:v>
              </c:pt>
              <c:pt idx="149">
                <c:v>177.96666666666667</c:v>
              </c:pt>
              <c:pt idx="150">
                <c:v>229.76666666666665</c:v>
              </c:pt>
              <c:pt idx="151">
                <c:v>185.06666666666666</c:v>
              </c:pt>
              <c:pt idx="152">
                <c:v>107.06666666666668</c:v>
              </c:pt>
              <c:pt idx="153">
                <c:v>29.233333333333331</c:v>
              </c:pt>
              <c:pt idx="154">
                <c:v>0.43333333333333329</c:v>
              </c:pt>
              <c:pt idx="155">
                <c:v>5.2666666666666666</c:v>
              </c:pt>
              <c:pt idx="156">
                <c:v>0</c:v>
              </c:pt>
              <c:pt idx="157">
                <c:v>0.1</c:v>
              </c:pt>
              <c:pt idx="158">
                <c:v>0</c:v>
              </c:pt>
              <c:pt idx="159">
                <c:v>15.066666666666666</c:v>
              </c:pt>
              <c:pt idx="160">
                <c:v>98.833333333333343</c:v>
              </c:pt>
              <c:pt idx="161">
                <c:v>201.76666666666668</c:v>
              </c:pt>
              <c:pt idx="162">
                <c:v>219.13333333333335</c:v>
              </c:pt>
              <c:pt idx="163">
                <c:v>185.33333333333331</c:v>
              </c:pt>
              <c:pt idx="164">
                <c:v>120.23333333333332</c:v>
              </c:pt>
              <c:pt idx="165">
                <c:v>31.233333333333331</c:v>
              </c:pt>
              <c:pt idx="166">
                <c:v>0.5</c:v>
              </c:pt>
              <c:pt idx="167">
                <c:v>0</c:v>
              </c:pt>
              <c:pt idx="168">
                <c:v>0</c:v>
              </c:pt>
              <c:pt idx="169">
                <c:v>0</c:v>
              </c:pt>
              <c:pt idx="170">
                <c:v>25.3</c:v>
              </c:pt>
              <c:pt idx="171">
                <c:v>116.3</c:v>
              </c:pt>
              <c:pt idx="172">
                <c:v>240.36666666666665</c:v>
              </c:pt>
            </c:numLit>
          </c:yVal>
          <c:smooth val="0"/>
          <c:extLst>
            <c:ext xmlns:c16="http://schemas.microsoft.com/office/drawing/2014/chart" uri="{C3380CC4-5D6E-409C-BE32-E72D297353CC}">
              <c16:uniqueId val="{00000000-3BE5-4041-AEA7-57E02202F7BB}"/>
            </c:ext>
          </c:extLst>
        </c:ser>
        <c:dLbls>
          <c:showLegendKey val="0"/>
          <c:showVal val="0"/>
          <c:showCatName val="0"/>
          <c:showSerName val="0"/>
          <c:showPercent val="0"/>
          <c:showBubbleSize val="0"/>
        </c:dLbls>
        <c:axId val="137319168"/>
        <c:axId val="138076160"/>
      </c:scatterChart>
      <c:valAx>
        <c:axId val="137319168"/>
        <c:scaling>
          <c:orientation val="minMax"/>
          <c:min val="0"/>
        </c:scaling>
        <c:delete val="0"/>
        <c:axPos val="b"/>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38076160"/>
        <c:crossesAt val="0"/>
        <c:crossBetween val="midCat"/>
      </c:valAx>
      <c:valAx>
        <c:axId val="138076160"/>
        <c:scaling>
          <c:orientation val="minMax"/>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title>
          <c:tx>
            <c:rich>
              <a:bodyPr/>
              <a:lstStyle/>
              <a:p>
                <a:pPr>
                  <a:defRPr/>
                </a:pPr>
                <a:r>
                  <a:rPr lang="en-US"/>
                  <a:t>Cooling_Degree_Days</a:t>
                </a:r>
              </a:p>
            </c:rich>
          </c:tx>
          <c:overlay val="0"/>
        </c:title>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37319168"/>
        <c:crossesAt val="0"/>
        <c:crossBetween val="midCat"/>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5.0347222222222224E-2"/>
          <c:y val="3.5833333333333335E-2"/>
          <c:w val="0.92720827865266842"/>
          <c:h val="0.96416666666666662"/>
        </c:manualLayout>
      </c:layout>
      <c:scatterChart>
        <c:scatterStyle val="lineMarker"/>
        <c:varyColors val="0"/>
        <c:ser>
          <c:idx val="0"/>
          <c:order val="0"/>
          <c:spPr>
            <a:ln w="9525" cap="rnd" cmpd="sng" algn="ctr">
              <a:solidFill>
                <a:srgbClr val="0000FF"/>
              </a:solidFill>
              <a:prstDash val="solid"/>
              <a:round/>
              <a:headEnd type="none" w="med" len="med"/>
              <a:tailEnd type="none" w="med" len="med"/>
            </a:ln>
            <a:effectLst/>
          </c:spPr>
          <c:marker>
            <c:symbol val="diamond"/>
            <c:size val="5"/>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17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172</c:v>
              </c:pt>
              <c:pt idx="171">
                <c:v>173</c:v>
              </c:pt>
              <c:pt idx="172">
                <c:v>174</c:v>
              </c:pt>
            </c:numLit>
          </c:xVal>
          <c:yVal>
            <c:numLit>
              <c:formatCode>General</c:formatCode>
              <c:ptCount val="173"/>
              <c:pt idx="0">
                <c:v>424.36666666666667</c:v>
              </c:pt>
              <c:pt idx="1">
                <c:v>284.10000000000002</c:v>
              </c:pt>
              <c:pt idx="2">
                <c:v>294.89999999999998</c:v>
              </c:pt>
              <c:pt idx="3">
                <c:v>109.86666666666667</c:v>
              </c:pt>
              <c:pt idx="4">
                <c:v>16.766666666666666</c:v>
              </c:pt>
              <c:pt idx="5">
                <c:v>0</c:v>
              </c:pt>
              <c:pt idx="6">
                <c:v>0</c:v>
              </c:pt>
              <c:pt idx="7">
                <c:v>0</c:v>
              </c:pt>
              <c:pt idx="8">
                <c:v>29.733333333333331</c:v>
              </c:pt>
              <c:pt idx="9">
                <c:v>130.53333333333333</c:v>
              </c:pt>
              <c:pt idx="10">
                <c:v>159.83333333333331</c:v>
              </c:pt>
              <c:pt idx="11">
                <c:v>303.93333333333334</c:v>
              </c:pt>
              <c:pt idx="12">
                <c:v>388.46666666666664</c:v>
              </c:pt>
              <c:pt idx="13">
                <c:v>329.26666666666665</c:v>
              </c:pt>
              <c:pt idx="14">
                <c:v>238.53333333333336</c:v>
              </c:pt>
              <c:pt idx="15">
                <c:v>80</c:v>
              </c:pt>
              <c:pt idx="16">
                <c:v>53.8</c:v>
              </c:pt>
              <c:pt idx="17">
                <c:v>0</c:v>
              </c:pt>
              <c:pt idx="18">
                <c:v>0</c:v>
              </c:pt>
              <c:pt idx="19">
                <c:v>0.1</c:v>
              </c:pt>
              <c:pt idx="20">
                <c:v>0.26666666666666666</c:v>
              </c:pt>
              <c:pt idx="21">
                <c:v>108.33333333333333</c:v>
              </c:pt>
              <c:pt idx="22">
                <c:v>274.26666666666665</c:v>
              </c:pt>
              <c:pt idx="23">
                <c:v>424.6</c:v>
              </c:pt>
              <c:pt idx="24">
                <c:v>484.9</c:v>
              </c:pt>
              <c:pt idx="25">
                <c:v>369</c:v>
              </c:pt>
              <c:pt idx="26">
                <c:v>201.96666666666667</c:v>
              </c:pt>
              <c:pt idx="27">
                <c:v>117</c:v>
              </c:pt>
              <c:pt idx="28">
                <c:v>32.966666666666669</c:v>
              </c:pt>
              <c:pt idx="29">
                <c:v>2.5333333333333332</c:v>
              </c:pt>
              <c:pt idx="30">
                <c:v>0</c:v>
              </c:pt>
              <c:pt idx="31">
                <c:v>0</c:v>
              </c:pt>
              <c:pt idx="32">
                <c:v>10.533333333333333</c:v>
              </c:pt>
              <c:pt idx="33">
                <c:v>102.56666666666668</c:v>
              </c:pt>
              <c:pt idx="34">
                <c:v>169.63333333333333</c:v>
              </c:pt>
              <c:pt idx="35">
                <c:v>426.0333333333333</c:v>
              </c:pt>
              <c:pt idx="36">
                <c:v>462.16666666666669</c:v>
              </c:pt>
              <c:pt idx="37">
                <c:v>402.1</c:v>
              </c:pt>
              <c:pt idx="38">
                <c:v>218.8</c:v>
              </c:pt>
              <c:pt idx="39">
                <c:v>115.46666666666667</c:v>
              </c:pt>
              <c:pt idx="40">
                <c:v>16.166666666666664</c:v>
              </c:pt>
              <c:pt idx="41">
                <c:v>0</c:v>
              </c:pt>
              <c:pt idx="42">
                <c:v>0</c:v>
              </c:pt>
              <c:pt idx="43">
                <c:v>0.26666666666666666</c:v>
              </c:pt>
              <c:pt idx="44">
                <c:v>4.5333333333333332</c:v>
              </c:pt>
              <c:pt idx="45">
                <c:v>65.8</c:v>
              </c:pt>
              <c:pt idx="46">
                <c:v>205.63333333333335</c:v>
              </c:pt>
              <c:pt idx="47">
                <c:v>389.76666666666665</c:v>
              </c:pt>
              <c:pt idx="48">
                <c:v>372.36666666666667</c:v>
              </c:pt>
              <c:pt idx="49">
                <c:v>317.5</c:v>
              </c:pt>
              <c:pt idx="50">
                <c:v>293.96666666666664</c:v>
              </c:pt>
              <c:pt idx="51">
                <c:v>113.46666666666667</c:v>
              </c:pt>
              <c:pt idx="52">
                <c:v>41.833333333333329</c:v>
              </c:pt>
              <c:pt idx="53">
                <c:v>3.0333333333333332</c:v>
              </c:pt>
              <c:pt idx="54">
                <c:v>0</c:v>
              </c:pt>
              <c:pt idx="55">
                <c:v>0</c:v>
              </c:pt>
              <c:pt idx="56">
                <c:v>0.56666666666666665</c:v>
              </c:pt>
              <c:pt idx="57">
                <c:v>90.2</c:v>
              </c:pt>
              <c:pt idx="58">
                <c:v>217.3</c:v>
              </c:pt>
              <c:pt idx="59">
                <c:v>429.3</c:v>
              </c:pt>
              <c:pt idx="60">
                <c:v>307.36666666666667</c:v>
              </c:pt>
              <c:pt idx="61">
                <c:v>339.36666666666667</c:v>
              </c:pt>
              <c:pt idx="62">
                <c:v>239</c:v>
              </c:pt>
              <c:pt idx="63">
                <c:v>72.3</c:v>
              </c:pt>
              <c:pt idx="64">
                <c:v>46.6</c:v>
              </c:pt>
              <c:pt idx="65">
                <c:v>0.26666666666666666</c:v>
              </c:pt>
              <c:pt idx="66">
                <c:v>0</c:v>
              </c:pt>
              <c:pt idx="67">
                <c:v>0</c:v>
              </c:pt>
              <c:pt idx="68">
                <c:v>14.133333333333335</c:v>
              </c:pt>
              <c:pt idx="69">
                <c:v>132.80000000000001</c:v>
              </c:pt>
              <c:pt idx="70">
                <c:v>216.4</c:v>
              </c:pt>
              <c:pt idx="71">
                <c:v>306.73333333333335</c:v>
              </c:pt>
              <c:pt idx="72">
                <c:v>357.43333333333334</c:v>
              </c:pt>
              <c:pt idx="73">
                <c:v>385.2</c:v>
              </c:pt>
              <c:pt idx="74">
                <c:v>169.26666666666668</c:v>
              </c:pt>
              <c:pt idx="75">
                <c:v>126.2</c:v>
              </c:pt>
              <c:pt idx="76">
                <c:v>32.133333333333333</c:v>
              </c:pt>
              <c:pt idx="77">
                <c:v>0.6333333333333333</c:v>
              </c:pt>
              <c:pt idx="78">
                <c:v>0</c:v>
              </c:pt>
              <c:pt idx="79">
                <c:v>0</c:v>
              </c:pt>
              <c:pt idx="80">
                <c:v>2.2333333333333334</c:v>
              </c:pt>
              <c:pt idx="81">
                <c:v>49.333333333333329</c:v>
              </c:pt>
              <c:pt idx="82">
                <c:v>243.9</c:v>
              </c:pt>
              <c:pt idx="83">
                <c:v>293.23333333333335</c:v>
              </c:pt>
              <c:pt idx="84">
                <c:v>419.13333333333333</c:v>
              </c:pt>
              <c:pt idx="85">
                <c:v>297.3</c:v>
              </c:pt>
              <c:pt idx="86">
                <c:v>218.7</c:v>
              </c:pt>
              <c:pt idx="87">
                <c:v>110.7</c:v>
              </c:pt>
              <c:pt idx="88">
                <c:v>19.833333333333336</c:v>
              </c:pt>
              <c:pt idx="89">
                <c:v>0</c:v>
              </c:pt>
              <c:pt idx="90">
                <c:v>0</c:v>
              </c:pt>
              <c:pt idx="91">
                <c:v>0</c:v>
              </c:pt>
              <c:pt idx="92">
                <c:v>5.7</c:v>
              </c:pt>
              <c:pt idx="93">
                <c:v>126.06666666666668</c:v>
              </c:pt>
              <c:pt idx="94">
                <c:v>290.43333333333334</c:v>
              </c:pt>
              <c:pt idx="95">
                <c:v>322</c:v>
              </c:pt>
              <c:pt idx="96">
                <c:v>442.9</c:v>
              </c:pt>
              <c:pt idx="97">
                <c:v>317.2</c:v>
              </c:pt>
              <c:pt idx="98">
                <c:v>253.06666666666666</c:v>
              </c:pt>
              <c:pt idx="99">
                <c:v>95.833333333333343</c:v>
              </c:pt>
              <c:pt idx="100">
                <c:v>22.666666666666664</c:v>
              </c:pt>
              <c:pt idx="101">
                <c:v>0</c:v>
              </c:pt>
              <c:pt idx="102">
                <c:v>0</c:v>
              </c:pt>
              <c:pt idx="103">
                <c:v>0</c:v>
              </c:pt>
              <c:pt idx="104">
                <c:v>6.2333333333333334</c:v>
              </c:pt>
              <c:pt idx="105">
                <c:v>109.43333333333332</c:v>
              </c:pt>
              <c:pt idx="106">
                <c:v>201.56666666666666</c:v>
              </c:pt>
              <c:pt idx="107">
                <c:v>433.06666666666672</c:v>
              </c:pt>
              <c:pt idx="108">
                <c:v>479.0333333333333</c:v>
              </c:pt>
              <c:pt idx="109">
                <c:v>427.16666666666669</c:v>
              </c:pt>
              <c:pt idx="110">
                <c:v>234.46666666666664</c:v>
              </c:pt>
              <c:pt idx="111">
                <c:v>65.599999999999994</c:v>
              </c:pt>
              <c:pt idx="112">
                <c:v>14.833333333333334</c:v>
              </c:pt>
              <c:pt idx="113">
                <c:v>0</c:v>
              </c:pt>
              <c:pt idx="114">
                <c:v>0</c:v>
              </c:pt>
              <c:pt idx="115">
                <c:v>0</c:v>
              </c:pt>
              <c:pt idx="116">
                <c:v>1.4</c:v>
              </c:pt>
              <c:pt idx="117">
                <c:v>69.333333333333343</c:v>
              </c:pt>
              <c:pt idx="118">
                <c:v>235.83333333333334</c:v>
              </c:pt>
              <c:pt idx="119">
                <c:v>528.33333333333326</c:v>
              </c:pt>
              <c:pt idx="120">
                <c:v>484.1</c:v>
              </c:pt>
              <c:pt idx="121">
                <c:v>279.46666666666664</c:v>
              </c:pt>
              <c:pt idx="122">
                <c:v>241.3</c:v>
              </c:pt>
              <c:pt idx="123">
                <c:v>75.266666666666666</c:v>
              </c:pt>
              <c:pt idx="124">
                <c:v>24.266666666666666</c:v>
              </c:pt>
              <c:pt idx="125">
                <c:v>0</c:v>
              </c:pt>
              <c:pt idx="126">
                <c:v>0</c:v>
              </c:pt>
              <c:pt idx="127">
                <c:v>0</c:v>
              </c:pt>
              <c:pt idx="128">
                <c:v>9.7333333333333325</c:v>
              </c:pt>
              <c:pt idx="129">
                <c:v>118.56666666666668</c:v>
              </c:pt>
              <c:pt idx="130">
                <c:v>203.9</c:v>
              </c:pt>
              <c:pt idx="131">
                <c:v>297.03333333333336</c:v>
              </c:pt>
              <c:pt idx="132">
                <c:v>354.13333333333333</c:v>
              </c:pt>
              <c:pt idx="133">
                <c:v>298.89999999999998</c:v>
              </c:pt>
              <c:pt idx="134">
                <c:v>105.36666666666667</c:v>
              </c:pt>
              <c:pt idx="135">
                <c:v>102.56666666666668</c:v>
              </c:pt>
              <c:pt idx="136">
                <c:v>7.833333333333333</c:v>
              </c:pt>
              <c:pt idx="137">
                <c:v>0.73333333333333328</c:v>
              </c:pt>
              <c:pt idx="138">
                <c:v>0</c:v>
              </c:pt>
              <c:pt idx="139">
                <c:v>0</c:v>
              </c:pt>
              <c:pt idx="140">
                <c:v>6.8666666666666671</c:v>
              </c:pt>
              <c:pt idx="141">
                <c:v>104.73333333333332</c:v>
              </c:pt>
              <c:pt idx="142">
                <c:v>294.16666666666663</c:v>
              </c:pt>
              <c:pt idx="143">
                <c:v>286.5</c:v>
              </c:pt>
              <c:pt idx="144">
                <c:v>360.93333333333334</c:v>
              </c:pt>
              <c:pt idx="145">
                <c:v>360.96666666666664</c:v>
              </c:pt>
              <c:pt idx="146">
                <c:v>343.93333333333334</c:v>
              </c:pt>
              <c:pt idx="147">
                <c:v>100.76666666666667</c:v>
              </c:pt>
              <c:pt idx="148">
                <c:v>48.633333333333333</c:v>
              </c:pt>
              <c:pt idx="149">
                <c:v>0</c:v>
              </c:pt>
              <c:pt idx="150">
                <c:v>0</c:v>
              </c:pt>
              <c:pt idx="151">
                <c:v>0.7</c:v>
              </c:pt>
              <c:pt idx="152">
                <c:v>5.8333333333333339</c:v>
              </c:pt>
              <c:pt idx="153">
                <c:v>83.933333333333337</c:v>
              </c:pt>
              <c:pt idx="154">
                <c:v>292.73333333333335</c:v>
              </c:pt>
              <c:pt idx="155">
                <c:v>333.76666666666665</c:v>
              </c:pt>
              <c:pt idx="156">
                <c:v>510.1</c:v>
              </c:pt>
              <c:pt idx="157">
                <c:v>331.83333333333337</c:v>
              </c:pt>
              <c:pt idx="158">
                <c:v>326.93333333333334</c:v>
              </c:pt>
              <c:pt idx="159">
                <c:v>93.066666666666663</c:v>
              </c:pt>
              <c:pt idx="160">
                <c:v>17.733333333333334</c:v>
              </c:pt>
              <c:pt idx="161">
                <c:v>0</c:v>
              </c:pt>
              <c:pt idx="162">
                <c:v>0</c:v>
              </c:pt>
              <c:pt idx="163">
                <c:v>0</c:v>
              </c:pt>
              <c:pt idx="164">
                <c:v>7.5333333333333332</c:v>
              </c:pt>
              <c:pt idx="165">
                <c:v>74.13333333333334</c:v>
              </c:pt>
              <c:pt idx="166">
                <c:v>307.23333333333335</c:v>
              </c:pt>
              <c:pt idx="167">
                <c:v>347.36666666666667</c:v>
              </c:pt>
              <c:pt idx="168">
                <c:v>437.66666666666669</c:v>
              </c:pt>
              <c:pt idx="169">
                <c:v>458.8</c:v>
              </c:pt>
              <c:pt idx="170">
                <c:v>84.466666666666669</c:v>
              </c:pt>
              <c:pt idx="171">
                <c:v>10.833333333333332</c:v>
              </c:pt>
              <c:pt idx="172">
                <c:v>0.73333333333333328</c:v>
              </c:pt>
            </c:numLit>
          </c:yVal>
          <c:smooth val="0"/>
          <c:extLst>
            <c:ext xmlns:c16="http://schemas.microsoft.com/office/drawing/2014/chart" uri="{C3380CC4-5D6E-409C-BE32-E72D297353CC}">
              <c16:uniqueId val="{00000000-2DD8-48E5-A172-D57B130AE47D}"/>
            </c:ext>
          </c:extLst>
        </c:ser>
        <c:dLbls>
          <c:showLegendKey val="0"/>
          <c:showVal val="0"/>
          <c:showCatName val="0"/>
          <c:showSerName val="0"/>
          <c:showPercent val="0"/>
          <c:showBubbleSize val="0"/>
        </c:dLbls>
        <c:axId val="139669504"/>
        <c:axId val="139694464"/>
      </c:scatterChart>
      <c:valAx>
        <c:axId val="139669504"/>
        <c:scaling>
          <c:orientation val="minMax"/>
          <c:min val="0"/>
        </c:scaling>
        <c:delete val="0"/>
        <c:axPos val="b"/>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39694464"/>
        <c:crossesAt val="0"/>
        <c:crossBetween val="midCat"/>
      </c:valAx>
      <c:valAx>
        <c:axId val="139694464"/>
        <c:scaling>
          <c:orientation val="minMax"/>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title>
          <c:tx>
            <c:rich>
              <a:bodyPr/>
              <a:lstStyle/>
              <a:p>
                <a:pPr>
                  <a:defRPr/>
                </a:pPr>
                <a:r>
                  <a:rPr lang="en-US"/>
                  <a:t>Heating_Degree_Days</a:t>
                </a:r>
              </a:p>
            </c:rich>
          </c:tx>
          <c:overlay val="0"/>
        </c:title>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39669504"/>
        <c:crossesAt val="0"/>
        <c:crossBetween val="midCat"/>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5.0347222222222224E-2"/>
          <c:y val="3.5833333333333335E-2"/>
          <c:w val="0.92720827865266842"/>
          <c:h val="0.96416666666666662"/>
        </c:manualLayout>
      </c:layout>
      <c:scatterChart>
        <c:scatterStyle val="lineMarker"/>
        <c:varyColors val="0"/>
        <c:ser>
          <c:idx val="0"/>
          <c:order val="0"/>
          <c:spPr>
            <a:ln w="9525" cap="rnd" cmpd="sng" algn="ctr">
              <a:solidFill>
                <a:srgbClr val="0000FF"/>
              </a:solidFill>
              <a:prstDash val="solid"/>
              <a:round/>
              <a:headEnd type="none" w="med" len="med"/>
              <a:tailEnd type="none" w="med" len="med"/>
            </a:ln>
            <a:effectLst/>
          </c:spPr>
          <c:marker>
            <c:symbol val="diamond"/>
            <c:size val="5"/>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17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172</c:v>
              </c:pt>
              <c:pt idx="171">
                <c:v>173</c:v>
              </c:pt>
              <c:pt idx="172">
                <c:v>174</c:v>
              </c:pt>
            </c:numLit>
          </c:xVal>
          <c:yVal>
            <c:numLit>
              <c:formatCode>General</c:formatCode>
              <c:ptCount val="173"/>
              <c:pt idx="0">
                <c:v>10.766666666666667</c:v>
              </c:pt>
              <c:pt idx="1">
                <c:v>14.366666666666665</c:v>
              </c:pt>
              <c:pt idx="2">
                <c:v>14.633333333333335</c:v>
              </c:pt>
              <c:pt idx="3">
                <c:v>22.666666666666664</c:v>
              </c:pt>
              <c:pt idx="4">
                <c:v>26.166666666666668</c:v>
              </c:pt>
              <c:pt idx="5">
                <c:v>30</c:v>
              </c:pt>
              <c:pt idx="6">
                <c:v>29.5</c:v>
              </c:pt>
              <c:pt idx="7">
                <c:v>31.633333333333333</c:v>
              </c:pt>
              <c:pt idx="8">
                <c:v>26.1</c:v>
              </c:pt>
              <c:pt idx="9">
                <c:v>22.366666666666667</c:v>
              </c:pt>
              <c:pt idx="10">
                <c:v>20.666666666666664</c:v>
              </c:pt>
              <c:pt idx="11">
                <c:v>14.533333333333335</c:v>
              </c:pt>
              <c:pt idx="12">
                <c:v>11.933333333333334</c:v>
              </c:pt>
              <c:pt idx="13">
                <c:v>13.133333333333335</c:v>
              </c:pt>
              <c:pt idx="14">
                <c:v>17.2</c:v>
              </c:pt>
              <c:pt idx="15">
                <c:v>24.033333333333335</c:v>
              </c:pt>
              <c:pt idx="16">
                <c:v>25.566666666666666</c:v>
              </c:pt>
              <c:pt idx="17">
                <c:v>31.4</c:v>
              </c:pt>
              <c:pt idx="18">
                <c:v>32.466666666666669</c:v>
              </c:pt>
              <c:pt idx="19">
                <c:v>31.266666666666669</c:v>
              </c:pt>
              <c:pt idx="20">
                <c:v>27.366666666666667</c:v>
              </c:pt>
              <c:pt idx="21">
                <c:v>20.333333333333336</c:v>
              </c:pt>
              <c:pt idx="22">
                <c:v>15.1</c:v>
              </c:pt>
              <c:pt idx="23">
                <c:v>9.8000000000000007</c:v>
              </c:pt>
              <c:pt idx="24">
                <c:v>7.9333333333333327</c:v>
              </c:pt>
              <c:pt idx="25">
                <c:v>10.466666666666667</c:v>
              </c:pt>
              <c:pt idx="26">
                <c:v>17.600000000000001</c:v>
              </c:pt>
              <c:pt idx="27">
                <c:v>20.633333333333333</c:v>
              </c:pt>
              <c:pt idx="28">
                <c:v>23.533333333333335</c:v>
              </c:pt>
              <c:pt idx="29">
                <c:v>27.9</c:v>
              </c:pt>
              <c:pt idx="30">
                <c:v>29.966666666666669</c:v>
              </c:pt>
              <c:pt idx="31">
                <c:v>30.233333333333331</c:v>
              </c:pt>
              <c:pt idx="32">
                <c:v>26.2</c:v>
              </c:pt>
              <c:pt idx="33">
                <c:v>21.166666666666664</c:v>
              </c:pt>
              <c:pt idx="34">
                <c:v>19.966666666666665</c:v>
              </c:pt>
              <c:pt idx="35">
                <c:v>10.766666666666667</c:v>
              </c:pt>
              <c:pt idx="36">
                <c:v>9.1999999999999993</c:v>
              </c:pt>
              <c:pt idx="37">
                <c:v>9.9</c:v>
              </c:pt>
              <c:pt idx="38">
                <c:v>17.7</c:v>
              </c:pt>
              <c:pt idx="39">
                <c:v>22.233333333333334</c:v>
              </c:pt>
              <c:pt idx="40">
                <c:v>28.5</c:v>
              </c:pt>
              <c:pt idx="41">
                <c:v>28.93333333333333</c:v>
              </c:pt>
              <c:pt idx="42">
                <c:v>31.233333333333331</c:v>
              </c:pt>
              <c:pt idx="43">
                <c:v>28.8</c:v>
              </c:pt>
              <c:pt idx="44">
                <c:v>26.56666666666667</c:v>
              </c:pt>
              <c:pt idx="45">
                <c:v>21.733333333333334</c:v>
              </c:pt>
              <c:pt idx="46">
                <c:v>17.533333333333335</c:v>
              </c:pt>
              <c:pt idx="47">
                <c:v>11.833333333333332</c:v>
              </c:pt>
              <c:pt idx="48">
                <c:v>11.666666666666668</c:v>
              </c:pt>
              <c:pt idx="49">
                <c:v>12.666666666666668</c:v>
              </c:pt>
              <c:pt idx="50">
                <c:v>15.366666666666665</c:v>
              </c:pt>
              <c:pt idx="51">
                <c:v>21.566666666666666</c:v>
              </c:pt>
              <c:pt idx="52">
                <c:v>24.5</c:v>
              </c:pt>
              <c:pt idx="53">
                <c:v>29.266666666666669</c:v>
              </c:pt>
              <c:pt idx="54">
                <c:v>32.200000000000003</c:v>
              </c:pt>
              <c:pt idx="55">
                <c:v>31.7</c:v>
              </c:pt>
              <c:pt idx="56">
                <c:v>30.033333333333331</c:v>
              </c:pt>
              <c:pt idx="57">
                <c:v>22.433333333333334</c:v>
              </c:pt>
              <c:pt idx="58">
                <c:v>18.133333333333333</c:v>
              </c:pt>
              <c:pt idx="59">
                <c:v>10.133333333333333</c:v>
              </c:pt>
              <c:pt idx="60">
                <c:v>14.166666666666666</c:v>
              </c:pt>
              <c:pt idx="61">
                <c:v>12.433333333333334</c:v>
              </c:pt>
              <c:pt idx="62">
                <c:v>17.266666666666666</c:v>
              </c:pt>
              <c:pt idx="63">
                <c:v>24.2</c:v>
              </c:pt>
              <c:pt idx="64">
                <c:v>25.4</c:v>
              </c:pt>
              <c:pt idx="65">
                <c:v>29.466666666666669</c:v>
              </c:pt>
              <c:pt idx="66">
                <c:v>31.633333333333333</c:v>
              </c:pt>
              <c:pt idx="67">
                <c:v>31.7</c:v>
              </c:pt>
              <c:pt idx="68">
                <c:v>25.9</c:v>
              </c:pt>
              <c:pt idx="69">
                <c:v>20.6</c:v>
              </c:pt>
              <c:pt idx="70">
                <c:v>17.600000000000001</c:v>
              </c:pt>
              <c:pt idx="71">
                <c:v>15.066666666666666</c:v>
              </c:pt>
              <c:pt idx="72">
                <c:v>12.4</c:v>
              </c:pt>
              <c:pt idx="73">
                <c:v>10.666666666666668</c:v>
              </c:pt>
              <c:pt idx="74">
                <c:v>20.5</c:v>
              </c:pt>
              <c:pt idx="75">
                <c:v>21.8</c:v>
              </c:pt>
              <c:pt idx="76">
                <c:v>26.633333333333333</c:v>
              </c:pt>
              <c:pt idx="77">
                <c:v>30.4</c:v>
              </c:pt>
              <c:pt idx="78">
                <c:v>31.166666666666668</c:v>
              </c:pt>
              <c:pt idx="79">
                <c:v>35.299999999999997</c:v>
              </c:pt>
              <c:pt idx="80">
                <c:v>30.3</c:v>
              </c:pt>
              <c:pt idx="81">
                <c:v>25.533333333333335</c:v>
              </c:pt>
              <c:pt idx="82">
                <c:v>17.066666666666666</c:v>
              </c:pt>
              <c:pt idx="83">
                <c:v>14.533333333333335</c:v>
              </c:pt>
              <c:pt idx="84">
                <c:v>10.133333333333333</c:v>
              </c:pt>
              <c:pt idx="85">
                <c:v>14.3</c:v>
              </c:pt>
              <c:pt idx="86">
                <c:v>17.8</c:v>
              </c:pt>
              <c:pt idx="87">
                <c:v>20.966666666666665</c:v>
              </c:pt>
              <c:pt idx="88">
                <c:v>25.6</c:v>
              </c:pt>
              <c:pt idx="89">
                <c:v>33</c:v>
              </c:pt>
              <c:pt idx="90">
                <c:v>31.733333333333331</c:v>
              </c:pt>
              <c:pt idx="91">
                <c:v>31</c:v>
              </c:pt>
              <c:pt idx="92">
                <c:v>26.8</c:v>
              </c:pt>
              <c:pt idx="93">
                <c:v>21.2</c:v>
              </c:pt>
              <c:pt idx="94">
                <c:v>14.833333333333334</c:v>
              </c:pt>
              <c:pt idx="95">
                <c:v>13.133333333333335</c:v>
              </c:pt>
              <c:pt idx="96">
                <c:v>9.1999999999999993</c:v>
              </c:pt>
              <c:pt idx="97">
                <c:v>13.366666666666665</c:v>
              </c:pt>
              <c:pt idx="98">
                <c:v>15.833333333333334</c:v>
              </c:pt>
              <c:pt idx="99">
                <c:v>22.633333333333333</c:v>
              </c:pt>
              <c:pt idx="100">
                <c:v>26.3</c:v>
              </c:pt>
              <c:pt idx="101">
                <c:v>30.7</c:v>
              </c:pt>
              <c:pt idx="102">
                <c:v>31.1</c:v>
              </c:pt>
              <c:pt idx="103">
                <c:v>31.533333333333331</c:v>
              </c:pt>
              <c:pt idx="104">
                <c:v>26.9</c:v>
              </c:pt>
              <c:pt idx="105">
                <c:v>20.533333333333335</c:v>
              </c:pt>
              <c:pt idx="106">
                <c:v>17.233333333333334</c:v>
              </c:pt>
              <c:pt idx="107">
                <c:v>9.4333333333333336</c:v>
              </c:pt>
              <c:pt idx="108">
                <c:v>8.7666666666666675</c:v>
              </c:pt>
              <c:pt idx="109">
                <c:v>7.9666666666666668</c:v>
              </c:pt>
              <c:pt idx="110">
                <c:v>17.399999999999999</c:v>
              </c:pt>
              <c:pt idx="111">
                <c:v>24.566666666666666</c:v>
              </c:pt>
              <c:pt idx="112">
                <c:v>27.366666666666667</c:v>
              </c:pt>
              <c:pt idx="113">
                <c:v>32.700000000000003</c:v>
              </c:pt>
              <c:pt idx="114">
                <c:v>33.5</c:v>
              </c:pt>
              <c:pt idx="115">
                <c:v>32.266666666666666</c:v>
              </c:pt>
              <c:pt idx="116">
                <c:v>30.93333333333333</c:v>
              </c:pt>
              <c:pt idx="117">
                <c:v>24.133333333333333</c:v>
              </c:pt>
              <c:pt idx="118">
                <c:v>17.233333333333334</c:v>
              </c:pt>
              <c:pt idx="119">
                <c:v>6.4</c:v>
              </c:pt>
              <c:pt idx="120">
                <c:v>8.2333333333333325</c:v>
              </c:pt>
              <c:pt idx="121">
                <c:v>15.166666666666666</c:v>
              </c:pt>
              <c:pt idx="122">
                <c:v>16.600000000000001</c:v>
              </c:pt>
              <c:pt idx="123">
                <c:v>24</c:v>
              </c:pt>
              <c:pt idx="124">
                <c:v>26.8</c:v>
              </c:pt>
              <c:pt idx="125">
                <c:v>32.533333333333331</c:v>
              </c:pt>
              <c:pt idx="126">
                <c:v>33.9</c:v>
              </c:pt>
              <c:pt idx="127">
                <c:v>32.1</c:v>
              </c:pt>
              <c:pt idx="128">
                <c:v>27.466666666666669</c:v>
              </c:pt>
              <c:pt idx="129">
                <c:v>21.266666666666666</c:v>
              </c:pt>
              <c:pt idx="130">
                <c:v>18.433333333333334</c:v>
              </c:pt>
              <c:pt idx="131">
                <c:v>14.6</c:v>
              </c:pt>
              <c:pt idx="132">
                <c:v>12.866666666666665</c:v>
              </c:pt>
              <c:pt idx="133">
                <c:v>14.233333333333334</c:v>
              </c:pt>
              <c:pt idx="134">
                <c:v>22</c:v>
              </c:pt>
              <c:pt idx="135">
                <c:v>22.1</c:v>
              </c:pt>
              <c:pt idx="136">
                <c:v>27.6</c:v>
              </c:pt>
              <c:pt idx="137">
                <c:v>30.033333333333331</c:v>
              </c:pt>
              <c:pt idx="138">
                <c:v>33.966666666666669</c:v>
              </c:pt>
              <c:pt idx="139">
                <c:v>30.3</c:v>
              </c:pt>
              <c:pt idx="140">
                <c:v>27.06666666666667</c:v>
              </c:pt>
              <c:pt idx="141">
                <c:v>21.366666666666667</c:v>
              </c:pt>
              <c:pt idx="142">
                <c:v>15.3</c:v>
              </c:pt>
              <c:pt idx="143">
                <c:v>14.233333333333334</c:v>
              </c:pt>
              <c:pt idx="144">
                <c:v>11.966666666666667</c:v>
              </c:pt>
              <c:pt idx="145">
                <c:v>10.966666666666667</c:v>
              </c:pt>
              <c:pt idx="146">
                <c:v>13.466666666666665</c:v>
              </c:pt>
              <c:pt idx="147">
                <c:v>21.766666666666666</c:v>
              </c:pt>
              <c:pt idx="148">
                <c:v>24.433333333333334</c:v>
              </c:pt>
              <c:pt idx="149">
                <c:v>29.3</c:v>
              </c:pt>
              <c:pt idx="150">
                <c:v>30.133333333333333</c:v>
              </c:pt>
              <c:pt idx="151">
                <c:v>29.1</c:v>
              </c:pt>
              <c:pt idx="152">
                <c:v>27.333333333333332</c:v>
              </c:pt>
              <c:pt idx="153">
                <c:v>22</c:v>
              </c:pt>
              <c:pt idx="154">
                <c:v>14.8</c:v>
              </c:pt>
              <c:pt idx="155">
                <c:v>13.566666666666666</c:v>
              </c:pt>
              <c:pt idx="156">
                <c:v>8.1</c:v>
              </c:pt>
              <c:pt idx="157">
                <c:v>12.233333333333333</c:v>
              </c:pt>
              <c:pt idx="158">
                <c:v>14.566666666666666</c:v>
              </c:pt>
              <c:pt idx="159">
                <c:v>22.433333333333334</c:v>
              </c:pt>
              <c:pt idx="160">
                <c:v>27.43333333333333</c:v>
              </c:pt>
              <c:pt idx="161">
                <c:v>30.866666666666667</c:v>
              </c:pt>
              <c:pt idx="162">
                <c:v>30.766666666666669</c:v>
              </c:pt>
              <c:pt idx="163">
                <c:v>29.2</c:v>
              </c:pt>
              <c:pt idx="164">
                <c:v>26.466666666666669</c:v>
              </c:pt>
              <c:pt idx="165">
                <c:v>23.666666666666664</c:v>
              </c:pt>
              <c:pt idx="166">
                <c:v>14.4</c:v>
              </c:pt>
              <c:pt idx="167">
                <c:v>12.266666666666667</c:v>
              </c:pt>
              <c:pt idx="168">
                <c:v>9.9</c:v>
              </c:pt>
              <c:pt idx="169">
                <c:v>7.5333333333333332</c:v>
              </c:pt>
              <c:pt idx="170">
                <c:v>22.166666666666664</c:v>
              </c:pt>
              <c:pt idx="171">
                <c:v>28</c:v>
              </c:pt>
              <c:pt idx="172">
                <c:v>32.333333333333329</c:v>
              </c:pt>
            </c:numLit>
          </c:yVal>
          <c:smooth val="0"/>
          <c:extLst>
            <c:ext xmlns:c16="http://schemas.microsoft.com/office/drawing/2014/chart" uri="{C3380CC4-5D6E-409C-BE32-E72D297353CC}">
              <c16:uniqueId val="{00000000-9582-4423-8F19-48AFC233E25D}"/>
            </c:ext>
          </c:extLst>
        </c:ser>
        <c:dLbls>
          <c:showLegendKey val="0"/>
          <c:showVal val="0"/>
          <c:showCatName val="0"/>
          <c:showSerName val="0"/>
          <c:showPercent val="0"/>
          <c:showBubbleSize val="0"/>
        </c:dLbls>
        <c:axId val="150315008"/>
        <c:axId val="150318464"/>
      </c:scatterChart>
      <c:valAx>
        <c:axId val="150315008"/>
        <c:scaling>
          <c:orientation val="minMax"/>
          <c:min val="0"/>
        </c:scaling>
        <c:delete val="0"/>
        <c:axPos val="b"/>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50318464"/>
        <c:crossesAt val="5"/>
        <c:crossBetween val="midCat"/>
      </c:valAx>
      <c:valAx>
        <c:axId val="150318464"/>
        <c:scaling>
          <c:orientation val="minMax"/>
          <c:min val="5"/>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title>
          <c:tx>
            <c:rich>
              <a:bodyPr/>
              <a:lstStyle/>
              <a:p>
                <a:pPr>
                  <a:defRPr/>
                </a:pPr>
                <a:r>
                  <a:rPr lang="en-US"/>
                  <a:t>Mean_Maximum_Temp</a:t>
                </a:r>
              </a:p>
            </c:rich>
          </c:tx>
          <c:overlay val="0"/>
        </c:title>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50315008"/>
        <c:crossesAt val="0"/>
        <c:crossBetween val="midCat"/>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B00-000000000000}">
  <sheetPr/>
  <sheetViews>
    <sheetView zoomScale="135"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8" Type="http://schemas.openxmlformats.org/officeDocument/2006/relationships/image" Target="../media/image11.png"/><Relationship Id="rId3" Type="http://schemas.openxmlformats.org/officeDocument/2006/relationships/chart" Target="../charts/chart63.xml"/><Relationship Id="rId7" Type="http://schemas.openxmlformats.org/officeDocument/2006/relationships/image" Target="../media/image10.png"/><Relationship Id="rId2" Type="http://schemas.openxmlformats.org/officeDocument/2006/relationships/chart" Target="../charts/chart62.xml"/><Relationship Id="rId1" Type="http://schemas.openxmlformats.org/officeDocument/2006/relationships/chart" Target="../charts/chart61.xml"/><Relationship Id="rId6" Type="http://schemas.openxmlformats.org/officeDocument/2006/relationships/chart" Target="../charts/chart66.xml"/><Relationship Id="rId5" Type="http://schemas.openxmlformats.org/officeDocument/2006/relationships/chart" Target="../charts/chart65.xml"/><Relationship Id="rId4" Type="http://schemas.openxmlformats.org/officeDocument/2006/relationships/chart" Target="../charts/chart64.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7.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3.xml"/><Relationship Id="rId13" Type="http://schemas.openxmlformats.org/officeDocument/2006/relationships/chart" Target="../charts/chart17.xml"/><Relationship Id="rId3" Type="http://schemas.openxmlformats.org/officeDocument/2006/relationships/chart" Target="../charts/chart8.xml"/><Relationship Id="rId7" Type="http://schemas.openxmlformats.org/officeDocument/2006/relationships/chart" Target="../charts/chart12.xml"/><Relationship Id="rId12" Type="http://schemas.openxmlformats.org/officeDocument/2006/relationships/image" Target="../media/image2.png"/><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11" Type="http://schemas.openxmlformats.org/officeDocument/2006/relationships/chart" Target="../charts/chart16.xml"/><Relationship Id="rId5" Type="http://schemas.openxmlformats.org/officeDocument/2006/relationships/chart" Target="../charts/chart10.xml"/><Relationship Id="rId10" Type="http://schemas.openxmlformats.org/officeDocument/2006/relationships/chart" Target="../charts/chart15.xml"/><Relationship Id="rId4" Type="http://schemas.openxmlformats.org/officeDocument/2006/relationships/chart" Target="../charts/chart9.xml"/><Relationship Id="rId9"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chart" Target="../charts/chart20.xml"/><Relationship Id="rId7" Type="http://schemas.openxmlformats.org/officeDocument/2006/relationships/chart" Target="../charts/chart24.xml"/><Relationship Id="rId2" Type="http://schemas.openxmlformats.org/officeDocument/2006/relationships/chart" Target="../charts/chart19.xml"/><Relationship Id="rId1" Type="http://schemas.openxmlformats.org/officeDocument/2006/relationships/chart" Target="../charts/chart18.xml"/><Relationship Id="rId6" Type="http://schemas.openxmlformats.org/officeDocument/2006/relationships/chart" Target="../charts/chart23.xml"/><Relationship Id="rId5" Type="http://schemas.openxmlformats.org/officeDocument/2006/relationships/chart" Target="../charts/chart22.xml"/><Relationship Id="rId4" Type="http://schemas.openxmlformats.org/officeDocument/2006/relationships/chart" Target="../charts/chart2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27.xml"/><Relationship Id="rId7" Type="http://schemas.openxmlformats.org/officeDocument/2006/relationships/image" Target="../media/image4.png"/><Relationship Id="rId2" Type="http://schemas.openxmlformats.org/officeDocument/2006/relationships/chart" Target="../charts/chart26.xml"/><Relationship Id="rId1" Type="http://schemas.openxmlformats.org/officeDocument/2006/relationships/chart" Target="../charts/chart25.xml"/><Relationship Id="rId6" Type="http://schemas.openxmlformats.org/officeDocument/2006/relationships/chart" Target="../charts/chart30.xml"/><Relationship Id="rId5" Type="http://schemas.openxmlformats.org/officeDocument/2006/relationships/chart" Target="../charts/chart29.xml"/><Relationship Id="rId4" Type="http://schemas.openxmlformats.org/officeDocument/2006/relationships/chart" Target="../charts/chart28.xml"/></Relationships>
</file>

<file path=xl/drawings/_rels/drawing5.xml.rels><?xml version="1.0" encoding="UTF-8" standalone="yes"?>
<Relationships xmlns="http://schemas.openxmlformats.org/package/2006/relationships"><Relationship Id="rId3" Type="http://schemas.openxmlformats.org/officeDocument/2006/relationships/chart" Target="../charts/chart33.xml"/><Relationship Id="rId7" Type="http://schemas.openxmlformats.org/officeDocument/2006/relationships/image" Target="../media/image5.png"/><Relationship Id="rId2" Type="http://schemas.openxmlformats.org/officeDocument/2006/relationships/chart" Target="../charts/chart32.xml"/><Relationship Id="rId1" Type="http://schemas.openxmlformats.org/officeDocument/2006/relationships/chart" Target="../charts/chart31.xml"/><Relationship Id="rId6" Type="http://schemas.openxmlformats.org/officeDocument/2006/relationships/chart" Target="../charts/chart36.xml"/><Relationship Id="rId5" Type="http://schemas.openxmlformats.org/officeDocument/2006/relationships/chart" Target="../charts/chart35.xml"/><Relationship Id="rId4" Type="http://schemas.openxmlformats.org/officeDocument/2006/relationships/chart" Target="../charts/chart3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39.xml"/><Relationship Id="rId7" Type="http://schemas.openxmlformats.org/officeDocument/2006/relationships/image" Target="../media/image6.png"/><Relationship Id="rId2" Type="http://schemas.openxmlformats.org/officeDocument/2006/relationships/chart" Target="../charts/chart38.xml"/><Relationship Id="rId1" Type="http://schemas.openxmlformats.org/officeDocument/2006/relationships/chart" Target="../charts/chart37.xml"/><Relationship Id="rId6" Type="http://schemas.openxmlformats.org/officeDocument/2006/relationships/chart" Target="../charts/chart42.xml"/><Relationship Id="rId5" Type="http://schemas.openxmlformats.org/officeDocument/2006/relationships/chart" Target="../charts/chart41.xml"/><Relationship Id="rId4" Type="http://schemas.openxmlformats.org/officeDocument/2006/relationships/chart" Target="../charts/chart40.xml"/></Relationships>
</file>

<file path=xl/drawings/_rels/drawing7.xml.rels><?xml version="1.0" encoding="UTF-8" standalone="yes"?>
<Relationships xmlns="http://schemas.openxmlformats.org/package/2006/relationships"><Relationship Id="rId3" Type="http://schemas.openxmlformats.org/officeDocument/2006/relationships/chart" Target="../charts/chart45.xml"/><Relationship Id="rId7" Type="http://schemas.openxmlformats.org/officeDocument/2006/relationships/image" Target="../media/image7.png"/><Relationship Id="rId2" Type="http://schemas.openxmlformats.org/officeDocument/2006/relationships/chart" Target="../charts/chart44.xml"/><Relationship Id="rId1" Type="http://schemas.openxmlformats.org/officeDocument/2006/relationships/chart" Target="../charts/chart43.xml"/><Relationship Id="rId6" Type="http://schemas.openxmlformats.org/officeDocument/2006/relationships/chart" Target="../charts/chart48.xml"/><Relationship Id="rId5" Type="http://schemas.openxmlformats.org/officeDocument/2006/relationships/chart" Target="../charts/chart47.xml"/><Relationship Id="rId4" Type="http://schemas.openxmlformats.org/officeDocument/2006/relationships/chart" Target="../charts/chart46.xml"/></Relationships>
</file>

<file path=xl/drawings/_rels/drawing8.xml.rels><?xml version="1.0" encoding="UTF-8" standalone="yes"?>
<Relationships xmlns="http://schemas.openxmlformats.org/package/2006/relationships"><Relationship Id="rId3" Type="http://schemas.openxmlformats.org/officeDocument/2006/relationships/chart" Target="../charts/chart51.xml"/><Relationship Id="rId7" Type="http://schemas.openxmlformats.org/officeDocument/2006/relationships/image" Target="../media/image8.png"/><Relationship Id="rId2" Type="http://schemas.openxmlformats.org/officeDocument/2006/relationships/chart" Target="../charts/chart50.xml"/><Relationship Id="rId1" Type="http://schemas.openxmlformats.org/officeDocument/2006/relationships/chart" Target="../charts/chart49.xml"/><Relationship Id="rId6" Type="http://schemas.openxmlformats.org/officeDocument/2006/relationships/chart" Target="../charts/chart54.xml"/><Relationship Id="rId5" Type="http://schemas.openxmlformats.org/officeDocument/2006/relationships/chart" Target="../charts/chart53.xml"/><Relationship Id="rId4" Type="http://schemas.openxmlformats.org/officeDocument/2006/relationships/chart" Target="../charts/chart52.xml"/></Relationships>
</file>

<file path=xl/drawings/_rels/drawing9.xml.rels><?xml version="1.0" encoding="UTF-8" standalone="yes"?>
<Relationships xmlns="http://schemas.openxmlformats.org/package/2006/relationships"><Relationship Id="rId3" Type="http://schemas.openxmlformats.org/officeDocument/2006/relationships/chart" Target="../charts/chart57.xml"/><Relationship Id="rId7" Type="http://schemas.openxmlformats.org/officeDocument/2006/relationships/image" Target="../media/image9.png"/><Relationship Id="rId2" Type="http://schemas.openxmlformats.org/officeDocument/2006/relationships/chart" Target="../charts/chart56.xml"/><Relationship Id="rId1" Type="http://schemas.openxmlformats.org/officeDocument/2006/relationships/chart" Target="../charts/chart55.xml"/><Relationship Id="rId6" Type="http://schemas.openxmlformats.org/officeDocument/2006/relationships/chart" Target="../charts/chart60.xml"/><Relationship Id="rId5" Type="http://schemas.openxmlformats.org/officeDocument/2006/relationships/chart" Target="../charts/chart59.xml"/><Relationship Id="rId4" Type="http://schemas.openxmlformats.org/officeDocument/2006/relationships/chart" Target="../charts/chart58.xml"/></Relationships>
</file>

<file path=xl/drawings/drawing1.xml><?xml version="1.0" encoding="utf-8"?>
<xdr:wsDr xmlns:xdr="http://schemas.openxmlformats.org/drawingml/2006/spreadsheetDrawing" xmlns:a="http://schemas.openxmlformats.org/drawingml/2006/main">
  <xdr:twoCellAnchor>
    <xdr:from>
      <xdr:col>1</xdr:col>
      <xdr:colOff>0</xdr:colOff>
      <xdr:row>15</xdr:row>
      <xdr:rowOff>0</xdr:rowOff>
    </xdr:from>
    <xdr:to>
      <xdr:col>13</xdr:col>
      <xdr:colOff>0</xdr:colOff>
      <xdr:row>25</xdr:row>
      <xdr:rowOff>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25</xdr:row>
      <xdr:rowOff>0</xdr:rowOff>
    </xdr:from>
    <xdr:to>
      <xdr:col>13</xdr:col>
      <xdr:colOff>0</xdr:colOff>
      <xdr:row>35</xdr:row>
      <xdr:rowOff>0</xdr:rowOff>
    </xdr:to>
    <xdr:graphicFrame macro="">
      <xdr:nvGraphicFramePr>
        <xdr:cNvPr id="3" name="Chart 1">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35</xdr:row>
      <xdr:rowOff>0</xdr:rowOff>
    </xdr:from>
    <xdr:to>
      <xdr:col>13</xdr:col>
      <xdr:colOff>0</xdr:colOff>
      <xdr:row>45</xdr:row>
      <xdr:rowOff>0</xdr:rowOff>
    </xdr:to>
    <xdr:graphicFrame macro="">
      <xdr:nvGraphicFramePr>
        <xdr:cNvPr id="4" name="Chart 1">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45</xdr:row>
      <xdr:rowOff>0</xdr:rowOff>
    </xdr:from>
    <xdr:to>
      <xdr:col>13</xdr:col>
      <xdr:colOff>0</xdr:colOff>
      <xdr:row>55</xdr:row>
      <xdr:rowOff>0</xdr:rowOff>
    </xdr:to>
    <xdr:graphicFrame macro="">
      <xdr:nvGraphicFramePr>
        <xdr:cNvPr id="5" name="Chart 1">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55</xdr:row>
      <xdr:rowOff>0</xdr:rowOff>
    </xdr:from>
    <xdr:to>
      <xdr:col>13</xdr:col>
      <xdr:colOff>0</xdr:colOff>
      <xdr:row>65</xdr:row>
      <xdr:rowOff>0</xdr:rowOff>
    </xdr:to>
    <xdr:graphicFrame macro="">
      <xdr:nvGraphicFramePr>
        <xdr:cNvPr id="6" name="Chart 1">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13</xdr:col>
      <xdr:colOff>285750</xdr:colOff>
      <xdr:row>23</xdr:row>
      <xdr:rowOff>104775</xdr:rowOff>
    </xdr:from>
    <xdr:to>
      <xdr:col>24</xdr:col>
      <xdr:colOff>351579</xdr:colOff>
      <xdr:row>54</xdr:row>
      <xdr:rowOff>37518</xdr:rowOff>
    </xdr:to>
    <xdr:pic>
      <xdr:nvPicPr>
        <xdr:cNvPr id="7" name="Picture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6"/>
        <a:stretch>
          <a:fillRect/>
        </a:stretch>
      </xdr:blipFill>
      <xdr:spPr>
        <a:xfrm>
          <a:off x="8896350" y="3609975"/>
          <a:ext cx="6771429" cy="4657143"/>
        </a:xfrm>
        <a:prstGeom prst="rect">
          <a:avLst/>
        </a:prstGeom>
      </xdr:spPr>
    </xdr:pic>
    <xdr:clientData/>
  </xdr:twoCellAnchor>
  <xdr:twoCellAnchor>
    <xdr:from>
      <xdr:col>10</xdr:col>
      <xdr:colOff>323850</xdr:colOff>
      <xdr:row>0</xdr:row>
      <xdr:rowOff>47625</xdr:rowOff>
    </xdr:from>
    <xdr:to>
      <xdr:col>19</xdr:col>
      <xdr:colOff>295275</xdr:colOff>
      <xdr:row>7</xdr:row>
      <xdr:rowOff>66674</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7105650" y="47625"/>
          <a:ext cx="5457825" cy="1085849"/>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latin typeface="+mn-lt"/>
              <a:ea typeface="+mn-ea"/>
              <a:cs typeface="+mn-cs"/>
            </a:rPr>
            <a:t>As the first step in the analysis, the data</a:t>
          </a:r>
          <a:r>
            <a:rPr lang="en-US" sz="1100" baseline="0">
              <a:solidFill>
                <a:schemeClr val="dk1"/>
              </a:solidFill>
              <a:latin typeface="+mn-lt"/>
              <a:ea typeface="+mn-ea"/>
              <a:cs typeface="+mn-cs"/>
            </a:rPr>
            <a:t> analysis procedure was used to produce summary statistics, autocorrelations, and time series charts of the five natural-gas variables.  They all show a strong seasonal pattern, and those for electrical and industrial use also show a  sharp increase in trend starting at around row 100 in the  file, which was the beginning of 2009.  A screen shot of the dialog box that produced this analysis is shown below.</a:t>
          </a:r>
          <a:endParaRPr lang="en-US" sz="1100"/>
        </a:p>
      </xdr:txBody>
    </xdr:sp>
    <xdr:clientData/>
  </xdr:twoCellAnchor>
  <xdr:twoCellAnchor>
    <xdr:from>
      <xdr:col>13</xdr:col>
      <xdr:colOff>238126</xdr:colOff>
      <xdr:row>13</xdr:row>
      <xdr:rowOff>57151</xdr:rowOff>
    </xdr:from>
    <xdr:to>
      <xdr:col>20</xdr:col>
      <xdr:colOff>542926</xdr:colOff>
      <xdr:row>21</xdr:row>
      <xdr:rowOff>104775</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8848726" y="2038351"/>
          <a:ext cx="4572000" cy="1266824"/>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latin typeface="+mn-lt"/>
              <a:ea typeface="+mn-ea"/>
              <a:cs typeface="+mn-cs"/>
            </a:rPr>
            <a:t>Notice that usage</a:t>
          </a:r>
          <a:r>
            <a:rPr lang="en-US" sz="1100" baseline="0">
              <a:solidFill>
                <a:schemeClr val="dk1"/>
              </a:solidFill>
              <a:latin typeface="+mn-lt"/>
              <a:ea typeface="+mn-ea"/>
              <a:cs typeface="+mn-cs"/>
            </a:rPr>
            <a:t> of natural gas by commercial and residential customers is typically highest in January (rows 1, 13, 25, etc. in the file), while usage for electrical power generation is typically highest in August (rows 8, 20, 32, ...) which is not surprising.  If you go back and look at the columns for these variables on the data sheet, the seasonal variations in the magnitudes of these numbers stand out very clearly.</a:t>
          </a:r>
          <a:endParaRPr 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127000</xdr:colOff>
      <xdr:row>58</xdr:row>
      <xdr:rowOff>127000</xdr:rowOff>
    </xdr:from>
    <xdr:to>
      <xdr:col>7</xdr:col>
      <xdr:colOff>450850</xdr:colOff>
      <xdr:row>76</xdr:row>
      <xdr:rowOff>127000</xdr:rowOff>
    </xdr:to>
    <xdr:graphicFrame macro="">
      <xdr:nvGraphicFramePr>
        <xdr:cNvPr id="2" name="Chart 1">
          <a:extLst>
            <a:ext uri="{FF2B5EF4-FFF2-40B4-BE49-F238E27FC236}">
              <a16:creationId xmlns:a16="http://schemas.microsoft.com/office/drawing/2014/main" id="{00000000-0008-0000-0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127000</xdr:colOff>
      <xdr:row>82</xdr:row>
      <xdr:rowOff>127000</xdr:rowOff>
    </xdr:from>
    <xdr:to>
      <xdr:col>7</xdr:col>
      <xdr:colOff>450850</xdr:colOff>
      <xdr:row>100</xdr:row>
      <xdr:rowOff>127000</xdr:rowOff>
    </xdr:to>
    <xdr:graphicFrame macro="">
      <xdr:nvGraphicFramePr>
        <xdr:cNvPr id="3" name="Chart 1">
          <a:extLst>
            <a:ext uri="{FF2B5EF4-FFF2-40B4-BE49-F238E27FC236}">
              <a16:creationId xmlns:a16="http://schemas.microsoft.com/office/drawing/2014/main" id="{00000000-0008-0000-0A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127000</xdr:colOff>
      <xdr:row>104</xdr:row>
      <xdr:rowOff>127000</xdr:rowOff>
    </xdr:from>
    <xdr:to>
      <xdr:col>7</xdr:col>
      <xdr:colOff>450850</xdr:colOff>
      <xdr:row>122</xdr:row>
      <xdr:rowOff>127000</xdr:rowOff>
    </xdr:to>
    <xdr:graphicFrame macro="">
      <xdr:nvGraphicFramePr>
        <xdr:cNvPr id="4" name="Chart 1">
          <a:extLst>
            <a:ext uri="{FF2B5EF4-FFF2-40B4-BE49-F238E27FC236}">
              <a16:creationId xmlns:a16="http://schemas.microsoft.com/office/drawing/2014/main" id="{00000000-0008-0000-0A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127000</xdr:colOff>
      <xdr:row>126</xdr:row>
      <xdr:rowOff>127000</xdr:rowOff>
    </xdr:from>
    <xdr:to>
      <xdr:col>7</xdr:col>
      <xdr:colOff>450850</xdr:colOff>
      <xdr:row>144</xdr:row>
      <xdr:rowOff>127000</xdr:rowOff>
    </xdr:to>
    <xdr:graphicFrame macro="">
      <xdr:nvGraphicFramePr>
        <xdr:cNvPr id="5" name="Chart 1">
          <a:extLst>
            <a:ext uri="{FF2B5EF4-FFF2-40B4-BE49-F238E27FC236}">
              <a16:creationId xmlns:a16="http://schemas.microsoft.com/office/drawing/2014/main" id="{00000000-0008-0000-0A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127000</xdr:colOff>
      <xdr:row>148</xdr:row>
      <xdr:rowOff>127000</xdr:rowOff>
    </xdr:from>
    <xdr:to>
      <xdr:col>7</xdr:col>
      <xdr:colOff>450850</xdr:colOff>
      <xdr:row>166</xdr:row>
      <xdr:rowOff>127000</xdr:rowOff>
    </xdr:to>
    <xdr:graphicFrame macro="">
      <xdr:nvGraphicFramePr>
        <xdr:cNvPr id="6" name="Chart 1">
          <a:extLst>
            <a:ext uri="{FF2B5EF4-FFF2-40B4-BE49-F238E27FC236}">
              <a16:creationId xmlns:a16="http://schemas.microsoft.com/office/drawing/2014/main" id="{00000000-0008-0000-0A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127000</xdr:colOff>
      <xdr:row>170</xdr:row>
      <xdr:rowOff>127000</xdr:rowOff>
    </xdr:from>
    <xdr:to>
      <xdr:col>7</xdr:col>
      <xdr:colOff>450850</xdr:colOff>
      <xdr:row>188</xdr:row>
      <xdr:rowOff>127000</xdr:rowOff>
    </xdr:to>
    <xdr:graphicFrame macro="">
      <xdr:nvGraphicFramePr>
        <xdr:cNvPr id="7" name="Chart 1">
          <a:extLst>
            <a:ext uri="{FF2B5EF4-FFF2-40B4-BE49-F238E27FC236}">
              <a16:creationId xmlns:a16="http://schemas.microsoft.com/office/drawing/2014/main" id="{00000000-0008-0000-0A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561976</xdr:colOff>
      <xdr:row>0</xdr:row>
      <xdr:rowOff>161925</xdr:rowOff>
    </xdr:from>
    <xdr:to>
      <xdr:col>19</xdr:col>
      <xdr:colOff>266700</xdr:colOff>
      <xdr:row>22</xdr:row>
      <xdr:rowOff>19050</xdr:rowOff>
    </xdr:to>
    <xdr:sp macro="" textlink="">
      <xdr:nvSpPr>
        <xdr:cNvPr id="9" name="TextBox 8">
          <a:extLst>
            <a:ext uri="{FF2B5EF4-FFF2-40B4-BE49-F238E27FC236}">
              <a16:creationId xmlns:a16="http://schemas.microsoft.com/office/drawing/2014/main" id="{00000000-0008-0000-0A00-000009000000}"/>
            </a:ext>
          </a:extLst>
        </xdr:cNvPr>
        <xdr:cNvSpPr txBox="1"/>
      </xdr:nvSpPr>
      <xdr:spPr>
        <a:xfrm>
          <a:off x="7296151" y="161925"/>
          <a:ext cx="5191124" cy="249555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latin typeface="+mn-lt"/>
              <a:ea typeface="+mn-ea"/>
              <a:cs typeface="+mn-cs"/>
            </a:rPr>
            <a:t>If the</a:t>
          </a:r>
          <a:r>
            <a:rPr lang="en-US" sz="1100" baseline="0">
              <a:solidFill>
                <a:schemeClr val="dk1"/>
              </a:solidFill>
              <a:latin typeface="+mn-lt"/>
              <a:ea typeface="+mn-ea"/>
              <a:cs typeface="+mn-cs"/>
            </a:rPr>
            <a:t> cooling degree day variables are removed from the previous model, so that gas consumption for electric power is modeled purely as a calendar effect, the results shown here are obtained.   A nice feature of this model is that it is capable of forecasting any number of periods into the future.  By default it generates forecasts for the next 12 months, because the original variable definitions included 12 additional rows with month numbers.  The chart of actual-and-predicted-values-vs-observation# has been copied and moved to a separate sheet:  see the Chart 66 sheet.  It was assigned this name by default  when it was moved because 65 charts have already been produced in this session.</a:t>
          </a:r>
        </a:p>
        <a:p>
          <a:pPr marL="0" marR="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dk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latin typeface="+mn-lt"/>
              <a:ea typeface="+mn-ea"/>
              <a:cs typeface="+mn-cs"/>
            </a:rPr>
            <a:t>The confidence limits for forecasts (as well as all other confidenc e limits on the worksheet ) are calculated with live formulas that respond interactively to changes in the confidence level in cell I10.  Try it!  Changes in the confidence level setting on this sheet are also automatically applied to the chart that was copied to the next sheet.</a:t>
          </a:r>
        </a:p>
        <a:p>
          <a:pPr marL="0" marR="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dk1"/>
            </a:solidFill>
            <a:latin typeface="+mn-lt"/>
            <a:ea typeface="+mn-ea"/>
            <a:cs typeface="+mn-cs"/>
          </a:endParaRPr>
        </a:p>
      </xdr:txBody>
    </xdr:sp>
    <xdr:clientData/>
  </xdr:twoCellAnchor>
  <xdr:twoCellAnchor editAs="oneCell">
    <xdr:from>
      <xdr:col>9</xdr:col>
      <xdr:colOff>600075</xdr:colOff>
      <xdr:row>25</xdr:row>
      <xdr:rowOff>66675</xdr:rowOff>
    </xdr:from>
    <xdr:to>
      <xdr:col>22</xdr:col>
      <xdr:colOff>399085</xdr:colOff>
      <xdr:row>63</xdr:row>
      <xdr:rowOff>56541</xdr:rowOff>
    </xdr:to>
    <xdr:pic>
      <xdr:nvPicPr>
        <xdr:cNvPr id="11" name="Picture 10">
          <a:extLst>
            <a:ext uri="{FF2B5EF4-FFF2-40B4-BE49-F238E27FC236}">
              <a16:creationId xmlns:a16="http://schemas.microsoft.com/office/drawing/2014/main" id="{00000000-0008-0000-0A00-00000B000000}"/>
            </a:ext>
          </a:extLst>
        </xdr:cNvPr>
        <xdr:cNvPicPr>
          <a:picLocks noChangeAspect="1"/>
        </xdr:cNvPicPr>
      </xdr:nvPicPr>
      <xdr:blipFill>
        <a:blip xmlns:r="http://schemas.openxmlformats.org/officeDocument/2006/relationships" r:embed="rId7"/>
        <a:stretch>
          <a:fillRect/>
        </a:stretch>
      </xdr:blipFill>
      <xdr:spPr>
        <a:xfrm>
          <a:off x="6724650" y="3133725"/>
          <a:ext cx="7723810" cy="4876191"/>
        </a:xfrm>
        <a:prstGeom prst="rect">
          <a:avLst/>
        </a:prstGeom>
      </xdr:spPr>
    </xdr:pic>
    <xdr:clientData/>
  </xdr:twoCellAnchor>
  <xdr:twoCellAnchor editAs="oneCell">
    <xdr:from>
      <xdr:col>8</xdr:col>
      <xdr:colOff>409575</xdr:colOff>
      <xdr:row>11</xdr:row>
      <xdr:rowOff>0</xdr:rowOff>
    </xdr:from>
    <xdr:to>
      <xdr:col>10</xdr:col>
      <xdr:colOff>352280</xdr:colOff>
      <xdr:row>16</xdr:row>
      <xdr:rowOff>85624</xdr:rowOff>
    </xdr:to>
    <xdr:pic>
      <xdr:nvPicPr>
        <xdr:cNvPr id="13" name="Picture 12">
          <a:extLst>
            <a:ext uri="{FF2B5EF4-FFF2-40B4-BE49-F238E27FC236}">
              <a16:creationId xmlns:a16="http://schemas.microsoft.com/office/drawing/2014/main" id="{00000000-0008-0000-0A00-00000D000000}"/>
            </a:ext>
          </a:extLst>
        </xdr:cNvPr>
        <xdr:cNvPicPr>
          <a:picLocks noChangeAspect="1"/>
        </xdr:cNvPicPr>
      </xdr:nvPicPr>
      <xdr:blipFill>
        <a:blip xmlns:r="http://schemas.openxmlformats.org/officeDocument/2006/relationships" r:embed="rId8"/>
        <a:stretch>
          <a:fillRect/>
        </a:stretch>
      </xdr:blipFill>
      <xdr:spPr>
        <a:xfrm>
          <a:off x="5924550" y="1057275"/>
          <a:ext cx="1161905" cy="809524"/>
        </a:xfrm>
        <a:prstGeom prst="rect">
          <a:avLst/>
        </a:prstGeom>
        <a:ln>
          <a:solidFill>
            <a:schemeClr val="tx1"/>
          </a:solidFill>
        </a:ln>
      </xdr:spPr>
    </xdr:pic>
    <xdr:clientData/>
  </xdr:twoCellAnchor>
</xdr:wsDr>
</file>

<file path=xl/drawings/drawing11.xml><?xml version="1.0" encoding="utf-8"?>
<xdr:wsDr xmlns:xdr="http://schemas.openxmlformats.org/drawingml/2006/spreadsheetDrawing" xmlns:a="http://schemas.openxmlformats.org/drawingml/2006/main">
  <xdr:absoluteAnchor>
    <xdr:pos x="0" y="0"/>
    <xdr:ext cx="8683037" cy="6293556"/>
    <xdr:graphicFrame macro="">
      <xdr:nvGraphicFramePr>
        <xdr:cNvPr id="2" name="Chart 1">
          <a:extLst>
            <a:ext uri="{FF2B5EF4-FFF2-40B4-BE49-F238E27FC236}">
              <a16:creationId xmlns:a16="http://schemas.microsoft.com/office/drawing/2014/main" id="{00000000-0008-0000-0B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xdr:wsDr xmlns:xdr="http://schemas.openxmlformats.org/drawingml/2006/spreadsheetDrawing" xmlns:a="http://schemas.openxmlformats.org/drawingml/2006/main">
  <xdr:twoCellAnchor>
    <xdr:from>
      <xdr:col>1</xdr:col>
      <xdr:colOff>466725</xdr:colOff>
      <xdr:row>19</xdr:row>
      <xdr:rowOff>57150</xdr:rowOff>
    </xdr:from>
    <xdr:to>
      <xdr:col>5</xdr:col>
      <xdr:colOff>209550</xdr:colOff>
      <xdr:row>31</xdr:row>
      <xdr:rowOff>66675</xdr:rowOff>
    </xdr:to>
    <xdr:sp macro="" textlink="">
      <xdr:nvSpPr>
        <xdr:cNvPr id="2" name="TextBox 1">
          <a:extLst>
            <a:ext uri="{FF2B5EF4-FFF2-40B4-BE49-F238E27FC236}">
              <a16:creationId xmlns:a16="http://schemas.microsoft.com/office/drawing/2014/main" id="{00000000-0008-0000-0C00-000002000000}"/>
            </a:ext>
          </a:extLst>
        </xdr:cNvPr>
        <xdr:cNvSpPr txBox="1"/>
      </xdr:nvSpPr>
      <xdr:spPr>
        <a:xfrm>
          <a:off x="3057525" y="2771775"/>
          <a:ext cx="5419725" cy="1724025"/>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latin typeface="+mn-lt"/>
              <a:ea typeface="+mn-ea"/>
              <a:cs typeface="+mn-cs"/>
            </a:rPr>
            <a:t>Every workbook</a:t>
          </a:r>
          <a:r>
            <a:rPr lang="en-US" sz="1100" baseline="0">
              <a:solidFill>
                <a:schemeClr val="dk1"/>
              </a:solidFill>
              <a:latin typeface="+mn-lt"/>
              <a:ea typeface="+mn-ea"/>
              <a:cs typeface="+mn-cs"/>
            </a:rPr>
            <a:t> in which regression models have been fitted with RegressIt includes this  additional </a:t>
          </a:r>
          <a:r>
            <a:rPr lang="en-US" sz="1100">
              <a:solidFill>
                <a:schemeClr val="dk1"/>
              </a:solidFill>
              <a:latin typeface="+mn-lt"/>
              <a:ea typeface="+mn-ea"/>
              <a:cs typeface="+mn-cs"/>
            </a:rPr>
            <a:t> Model</a:t>
          </a:r>
          <a:r>
            <a:rPr lang="en-US" sz="1100" baseline="0">
              <a:solidFill>
                <a:schemeClr val="dk1"/>
              </a:solidFill>
              <a:latin typeface="+mn-lt"/>
              <a:ea typeface="+mn-ea"/>
              <a:cs typeface="+mn-cs"/>
            </a:rPr>
            <a:t> Summary </a:t>
          </a:r>
          <a:r>
            <a:rPr lang="en-US" sz="1100">
              <a:solidFill>
                <a:schemeClr val="dk1"/>
              </a:solidFill>
              <a:latin typeface="+mn-lt"/>
              <a:ea typeface="+mn-ea"/>
              <a:cs typeface="+mn-cs"/>
            </a:rPr>
            <a:t>worksheet that provide</a:t>
          </a:r>
          <a:r>
            <a:rPr lang="en-US" sz="1100" baseline="0">
              <a:solidFill>
                <a:schemeClr val="dk1"/>
              </a:solidFill>
              <a:latin typeface="+mn-lt"/>
              <a:ea typeface="+mn-ea"/>
              <a:cs typeface="+mn-cs"/>
            </a:rPr>
            <a:t>s an audit trail of all the models it contains, formatted for presentation. Results for models fitted to the same dependent variable are arranged side by side.  When additional models are fitted to other dependent variables, their results are appended below as was done here for the models for electrical gas use.</a:t>
          </a:r>
        </a:p>
        <a:p>
          <a:pPr marL="0" marR="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dk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latin typeface="+mn-lt"/>
              <a:ea typeface="+mn-ea"/>
              <a:cs typeface="+mn-cs"/>
            </a:rPr>
            <a:t>The models in the file were fitted with an older version of RegressIt.  If you run some new models in the same file, the formatting of results on this sheet will be slightly different.</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17</xdr:row>
      <xdr:rowOff>0</xdr:rowOff>
    </xdr:from>
    <xdr:to>
      <xdr:col>13</xdr:col>
      <xdr:colOff>0</xdr:colOff>
      <xdr:row>27</xdr:row>
      <xdr:rowOff>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27</xdr:row>
      <xdr:rowOff>0</xdr:rowOff>
    </xdr:from>
    <xdr:to>
      <xdr:col>13</xdr:col>
      <xdr:colOff>0</xdr:colOff>
      <xdr:row>37</xdr:row>
      <xdr:rowOff>0</xdr:rowOff>
    </xdr:to>
    <xdr:graphicFrame macro="">
      <xdr:nvGraphicFramePr>
        <xdr:cNvPr id="3" name="Chart 1">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37</xdr:row>
      <xdr:rowOff>0</xdr:rowOff>
    </xdr:from>
    <xdr:to>
      <xdr:col>13</xdr:col>
      <xdr:colOff>0</xdr:colOff>
      <xdr:row>47</xdr:row>
      <xdr:rowOff>0</xdr:rowOff>
    </xdr:to>
    <xdr:graphicFrame macro="">
      <xdr:nvGraphicFramePr>
        <xdr:cNvPr id="4" name="Chart 1">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47</xdr:row>
      <xdr:rowOff>0</xdr:rowOff>
    </xdr:from>
    <xdr:to>
      <xdr:col>13</xdr:col>
      <xdr:colOff>0</xdr:colOff>
      <xdr:row>57</xdr:row>
      <xdr:rowOff>0</xdr:rowOff>
    </xdr:to>
    <xdr:graphicFrame macro="">
      <xdr:nvGraphicFramePr>
        <xdr:cNvPr id="5" name="Chart 1">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57</xdr:row>
      <xdr:rowOff>0</xdr:rowOff>
    </xdr:from>
    <xdr:to>
      <xdr:col>13</xdr:col>
      <xdr:colOff>0</xdr:colOff>
      <xdr:row>67</xdr:row>
      <xdr:rowOff>0</xdr:rowOff>
    </xdr:to>
    <xdr:graphicFrame macro="">
      <xdr:nvGraphicFramePr>
        <xdr:cNvPr id="6" name="Chart 1">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67</xdr:row>
      <xdr:rowOff>0</xdr:rowOff>
    </xdr:from>
    <xdr:to>
      <xdr:col>13</xdr:col>
      <xdr:colOff>0</xdr:colOff>
      <xdr:row>77</xdr:row>
      <xdr:rowOff>0</xdr:rowOff>
    </xdr:to>
    <xdr:graphicFrame macro="">
      <xdr:nvGraphicFramePr>
        <xdr:cNvPr id="7" name="Chart 1">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88</xdr:row>
      <xdr:rowOff>0</xdr:rowOff>
    </xdr:from>
    <xdr:to>
      <xdr:col>5</xdr:col>
      <xdr:colOff>3048</xdr:colOff>
      <xdr:row>102</xdr:row>
      <xdr:rowOff>60960</xdr:rowOff>
    </xdr:to>
    <xdr:graphicFrame macro="">
      <xdr:nvGraphicFramePr>
        <xdr:cNvPr id="8" name="Chart 1">
          <a:extLst>
            <a:ext uri="{FF2B5EF4-FFF2-40B4-BE49-F238E27FC236}">
              <a16:creationId xmlns:a16="http://schemas.microsoft.com/office/drawing/2014/main" id="{00000000-0008-0000-02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102</xdr:row>
      <xdr:rowOff>60961</xdr:rowOff>
    </xdr:from>
    <xdr:to>
      <xdr:col>5</xdr:col>
      <xdr:colOff>3048</xdr:colOff>
      <xdr:row>116</xdr:row>
      <xdr:rowOff>121921</xdr:rowOff>
    </xdr:to>
    <xdr:graphicFrame macro="">
      <xdr:nvGraphicFramePr>
        <xdr:cNvPr id="9" name="Chart 1">
          <a:extLst>
            <a:ext uri="{FF2B5EF4-FFF2-40B4-BE49-F238E27FC236}">
              <a16:creationId xmlns:a16="http://schemas.microsoft.com/office/drawing/2014/main" id="{00000000-0008-0000-02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0</xdr:colOff>
      <xdr:row>116</xdr:row>
      <xdr:rowOff>121920</xdr:rowOff>
    </xdr:from>
    <xdr:to>
      <xdr:col>5</xdr:col>
      <xdr:colOff>3048</xdr:colOff>
      <xdr:row>131</xdr:row>
      <xdr:rowOff>30480</xdr:rowOff>
    </xdr:to>
    <xdr:graphicFrame macro="">
      <xdr:nvGraphicFramePr>
        <xdr:cNvPr id="10" name="Chart 1">
          <a:extLst>
            <a:ext uri="{FF2B5EF4-FFF2-40B4-BE49-F238E27FC236}">
              <a16:creationId xmlns:a16="http://schemas.microsoft.com/office/drawing/2014/main" id="{00000000-0008-0000-02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0</xdr:colOff>
      <xdr:row>131</xdr:row>
      <xdr:rowOff>30480</xdr:rowOff>
    </xdr:from>
    <xdr:to>
      <xdr:col>5</xdr:col>
      <xdr:colOff>3048</xdr:colOff>
      <xdr:row>145</xdr:row>
      <xdr:rowOff>91440</xdr:rowOff>
    </xdr:to>
    <xdr:graphicFrame macro="">
      <xdr:nvGraphicFramePr>
        <xdr:cNvPr id="11" name="Chart 1">
          <a:extLst>
            <a:ext uri="{FF2B5EF4-FFF2-40B4-BE49-F238E27FC236}">
              <a16:creationId xmlns:a16="http://schemas.microsoft.com/office/drawing/2014/main" id="{00000000-0008-0000-02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0</xdr:colOff>
      <xdr:row>145</xdr:row>
      <xdr:rowOff>91439</xdr:rowOff>
    </xdr:from>
    <xdr:to>
      <xdr:col>5</xdr:col>
      <xdr:colOff>3048</xdr:colOff>
      <xdr:row>159</xdr:row>
      <xdr:rowOff>152399</xdr:rowOff>
    </xdr:to>
    <xdr:graphicFrame macro="">
      <xdr:nvGraphicFramePr>
        <xdr:cNvPr id="12" name="Chart 1">
          <a:extLst>
            <a:ext uri="{FF2B5EF4-FFF2-40B4-BE49-F238E27FC236}">
              <a16:creationId xmlns:a16="http://schemas.microsoft.com/office/drawing/2014/main" id="{00000000-0008-0000-02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11</xdr:col>
      <xdr:colOff>476251</xdr:colOff>
      <xdr:row>0</xdr:row>
      <xdr:rowOff>38100</xdr:rowOff>
    </xdr:from>
    <xdr:to>
      <xdr:col>21</xdr:col>
      <xdr:colOff>76200</xdr:colOff>
      <xdr:row>8</xdr:row>
      <xdr:rowOff>133350</xdr:rowOff>
    </xdr:to>
    <xdr:sp macro="" textlink="">
      <xdr:nvSpPr>
        <xdr:cNvPr id="14" name="TextBox 13">
          <a:extLst>
            <a:ext uri="{FF2B5EF4-FFF2-40B4-BE49-F238E27FC236}">
              <a16:creationId xmlns:a16="http://schemas.microsoft.com/office/drawing/2014/main" id="{00000000-0008-0000-0200-00000E000000}"/>
            </a:ext>
          </a:extLst>
        </xdr:cNvPr>
        <xdr:cNvSpPr txBox="1"/>
      </xdr:nvSpPr>
      <xdr:spPr>
        <a:xfrm>
          <a:off x="7867651" y="38100"/>
          <a:ext cx="5695949" cy="131445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latin typeface="+mn-lt"/>
              <a:ea typeface="+mn-ea"/>
              <a:cs typeface="+mn-cs"/>
            </a:rPr>
            <a:t>Here the data</a:t>
          </a:r>
          <a:r>
            <a:rPr lang="en-US" sz="1100" baseline="0">
              <a:solidFill>
                <a:schemeClr val="dk1"/>
              </a:solidFill>
              <a:latin typeface="+mn-lt"/>
              <a:ea typeface="+mn-ea"/>
              <a:cs typeface="+mn-cs"/>
            </a:rPr>
            <a:t> analysis procedure has been used to  focus on the relationship between commercial natural gas use and the five temperature variables.   Scatterplots of commercial gas use vs. all the temperature variables are at the bottom of the sheet, below the correlation matrix, and it is seen that the strongest linear relationship is that of commercial gas use vs. heating degree days (r = 0.953).   A chart of the autocorrelations of commercial natural gas was later created from the autocorrelation table by simply highlighting the first row of values (including the label in column A) and using the Insert/Column -chart command in Excel.</a:t>
          </a:r>
          <a:endParaRPr lang="en-US" sz="1100"/>
        </a:p>
      </xdr:txBody>
    </xdr:sp>
    <xdr:clientData/>
  </xdr:twoCellAnchor>
  <xdr:twoCellAnchor editAs="oneCell">
    <xdr:from>
      <xdr:col>13</xdr:col>
      <xdr:colOff>114300</xdr:colOff>
      <xdr:row>10</xdr:row>
      <xdr:rowOff>9525</xdr:rowOff>
    </xdr:from>
    <xdr:to>
      <xdr:col>24</xdr:col>
      <xdr:colOff>170605</xdr:colOff>
      <xdr:row>40</xdr:row>
      <xdr:rowOff>66097</xdr:rowOff>
    </xdr:to>
    <xdr:pic>
      <xdr:nvPicPr>
        <xdr:cNvPr id="13" name="Picture 12">
          <a:extLst>
            <a:ext uri="{FF2B5EF4-FFF2-40B4-BE49-F238E27FC236}">
              <a16:creationId xmlns:a16="http://schemas.microsoft.com/office/drawing/2014/main" id="{00000000-0008-0000-0200-00000D000000}"/>
            </a:ext>
          </a:extLst>
        </xdr:cNvPr>
        <xdr:cNvPicPr>
          <a:picLocks noChangeAspect="1"/>
        </xdr:cNvPicPr>
      </xdr:nvPicPr>
      <xdr:blipFill>
        <a:blip xmlns:r="http://schemas.openxmlformats.org/officeDocument/2006/relationships" r:embed="rId12"/>
        <a:stretch>
          <a:fillRect/>
        </a:stretch>
      </xdr:blipFill>
      <xdr:spPr>
        <a:xfrm>
          <a:off x="8724900" y="1533525"/>
          <a:ext cx="6761905" cy="4628572"/>
        </a:xfrm>
        <a:prstGeom prst="rect">
          <a:avLst/>
        </a:prstGeom>
      </xdr:spPr>
    </xdr:pic>
    <xdr:clientData/>
  </xdr:twoCellAnchor>
  <xdr:twoCellAnchor>
    <xdr:from>
      <xdr:col>13</xdr:col>
      <xdr:colOff>323855</xdr:colOff>
      <xdr:row>42</xdr:row>
      <xdr:rowOff>128587</xdr:rowOff>
    </xdr:from>
    <xdr:to>
      <xdr:col>23</xdr:col>
      <xdr:colOff>390524</xdr:colOff>
      <xdr:row>59</xdr:row>
      <xdr:rowOff>19050</xdr:rowOff>
    </xdr:to>
    <xdr:graphicFrame macro="">
      <xdr:nvGraphicFramePr>
        <xdr:cNvPr id="16" name="Chart 15">
          <a:extLst>
            <a:ext uri="{FF2B5EF4-FFF2-40B4-BE49-F238E27FC236}">
              <a16:creationId xmlns:a16="http://schemas.microsoft.com/office/drawing/2014/main" id="{00000000-0008-0000-02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127000</xdr:colOff>
      <xdr:row>23</xdr:row>
      <xdr:rowOff>127000</xdr:rowOff>
    </xdr:from>
    <xdr:to>
      <xdr:col>7</xdr:col>
      <xdr:colOff>555625</xdr:colOff>
      <xdr:row>41</xdr:row>
      <xdr:rowOff>127000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127000</xdr:colOff>
      <xdr:row>58</xdr:row>
      <xdr:rowOff>127000</xdr:rowOff>
    </xdr:from>
    <xdr:to>
      <xdr:col>7</xdr:col>
      <xdr:colOff>555625</xdr:colOff>
      <xdr:row>76</xdr:row>
      <xdr:rowOff>127000</xdr:rowOff>
    </xdr:to>
    <xdr:graphicFrame macro="">
      <xdr:nvGraphicFramePr>
        <xdr:cNvPr id="3" name="Chart 1">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127000</xdr:colOff>
      <xdr:row>84</xdr:row>
      <xdr:rowOff>127000</xdr:rowOff>
    </xdr:from>
    <xdr:to>
      <xdr:col>7</xdr:col>
      <xdr:colOff>555625</xdr:colOff>
      <xdr:row>102</xdr:row>
      <xdr:rowOff>127000</xdr:rowOff>
    </xdr:to>
    <xdr:graphicFrame macro="">
      <xdr:nvGraphicFramePr>
        <xdr:cNvPr id="4" name="Chart 1">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127000</xdr:colOff>
      <xdr:row>106</xdr:row>
      <xdr:rowOff>127000</xdr:rowOff>
    </xdr:from>
    <xdr:to>
      <xdr:col>7</xdr:col>
      <xdr:colOff>555625</xdr:colOff>
      <xdr:row>124</xdr:row>
      <xdr:rowOff>127000</xdr:rowOff>
    </xdr:to>
    <xdr:graphicFrame macro="">
      <xdr:nvGraphicFramePr>
        <xdr:cNvPr id="5" name="Chart 1">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127000</xdr:colOff>
      <xdr:row>128</xdr:row>
      <xdr:rowOff>127000</xdr:rowOff>
    </xdr:from>
    <xdr:to>
      <xdr:col>7</xdr:col>
      <xdr:colOff>555625</xdr:colOff>
      <xdr:row>146</xdr:row>
      <xdr:rowOff>127000</xdr:rowOff>
    </xdr:to>
    <xdr:graphicFrame macro="">
      <xdr:nvGraphicFramePr>
        <xdr:cNvPr id="6" name="Chart 1">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127000</xdr:colOff>
      <xdr:row>150</xdr:row>
      <xdr:rowOff>127000</xdr:rowOff>
    </xdr:from>
    <xdr:to>
      <xdr:col>7</xdr:col>
      <xdr:colOff>555625</xdr:colOff>
      <xdr:row>168</xdr:row>
      <xdr:rowOff>127000</xdr:rowOff>
    </xdr:to>
    <xdr:graphicFrame macro="">
      <xdr:nvGraphicFramePr>
        <xdr:cNvPr id="7" name="Chart 1">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127000</xdr:colOff>
      <xdr:row>172</xdr:row>
      <xdr:rowOff>127000</xdr:rowOff>
    </xdr:from>
    <xdr:to>
      <xdr:col>7</xdr:col>
      <xdr:colOff>555625</xdr:colOff>
      <xdr:row>190</xdr:row>
      <xdr:rowOff>127000</xdr:rowOff>
    </xdr:to>
    <xdr:graphicFrame macro="">
      <xdr:nvGraphicFramePr>
        <xdr:cNvPr id="8" name="Chart 1">
          <a:extLst>
            <a:ext uri="{FF2B5EF4-FFF2-40B4-BE49-F238E27FC236}">
              <a16:creationId xmlns:a16="http://schemas.microsoft.com/office/drawing/2014/main" id="{00000000-0008-0000-03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457200</xdr:colOff>
      <xdr:row>1</xdr:row>
      <xdr:rowOff>38100</xdr:rowOff>
    </xdr:from>
    <xdr:to>
      <xdr:col>17</xdr:col>
      <xdr:colOff>342900</xdr:colOff>
      <xdr:row>16</xdr:row>
      <xdr:rowOff>38100</xdr:rowOff>
    </xdr:to>
    <xdr:sp macro="" textlink="">
      <xdr:nvSpPr>
        <xdr:cNvPr id="10" name="TextBox 9">
          <a:extLst>
            <a:ext uri="{FF2B5EF4-FFF2-40B4-BE49-F238E27FC236}">
              <a16:creationId xmlns:a16="http://schemas.microsoft.com/office/drawing/2014/main" id="{00000000-0008-0000-0300-00000A000000}"/>
            </a:ext>
          </a:extLst>
        </xdr:cNvPr>
        <xdr:cNvSpPr txBox="1"/>
      </xdr:nvSpPr>
      <xdr:spPr>
        <a:xfrm>
          <a:off x="6715125" y="228600"/>
          <a:ext cx="4762500" cy="1590675"/>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latin typeface="+mn-lt"/>
              <a:ea typeface="+mn-ea"/>
              <a:cs typeface="+mn-cs"/>
            </a:rPr>
            <a:t>Here's</a:t>
          </a:r>
          <a:r>
            <a:rPr lang="en-US" sz="1100" baseline="0">
              <a:solidFill>
                <a:schemeClr val="dk1"/>
              </a:solidFill>
              <a:latin typeface="+mn-lt"/>
              <a:ea typeface="+mn-ea"/>
              <a:cs typeface="+mn-cs"/>
            </a:rPr>
            <a:t> the first regression model that was fitted:  a simple regression of commercial gas use on heating-degree-days.    R-squared is very large (0.953 squared, as expected), because there's indeed a very strong (though not perfect) linear relationship, but the chart of residuals-vs-observation # (below) shows a very strong upward linear trend in the errors.  More charts and the sorted residual table appear farther down on the worksheet.  </a:t>
          </a:r>
          <a:r>
            <a:rPr lang="en-US" sz="1100" baseline="0">
              <a:solidFill>
                <a:schemeClr val="dk1"/>
              </a:solidFill>
              <a:effectLst/>
              <a:latin typeface="+mn-lt"/>
              <a:ea typeface="+mn-ea"/>
              <a:cs typeface="+mn-cs"/>
            </a:rPr>
            <a:t>A forecast has been automatically produced for row 171, where the value of commercial gas use is missing.  To see it, click the + next to the "Forecasts: ..." row.</a:t>
          </a:r>
          <a:endParaRPr lang="en-US" sz="1100"/>
        </a:p>
      </xdr:txBody>
    </xdr:sp>
    <xdr:clientData/>
  </xdr:twoCellAnchor>
  <xdr:twoCellAnchor editAs="oneCell">
    <xdr:from>
      <xdr:col>9</xdr:col>
      <xdr:colOff>342900</xdr:colOff>
      <xdr:row>22</xdr:row>
      <xdr:rowOff>47625</xdr:rowOff>
    </xdr:from>
    <xdr:to>
      <xdr:col>22</xdr:col>
      <xdr:colOff>141910</xdr:colOff>
      <xdr:row>82</xdr:row>
      <xdr:rowOff>56540</xdr:rowOff>
    </xdr:to>
    <xdr:pic>
      <xdr:nvPicPr>
        <xdr:cNvPr id="9" name="Picture 8">
          <a:extLst>
            <a:ext uri="{FF2B5EF4-FFF2-40B4-BE49-F238E27FC236}">
              <a16:creationId xmlns:a16="http://schemas.microsoft.com/office/drawing/2014/main" id="{00000000-0008-0000-0300-000009000000}"/>
            </a:ext>
          </a:extLst>
        </xdr:cNvPr>
        <xdr:cNvPicPr>
          <a:picLocks noChangeAspect="1"/>
        </xdr:cNvPicPr>
      </xdr:nvPicPr>
      <xdr:blipFill>
        <a:blip xmlns:r="http://schemas.openxmlformats.org/officeDocument/2006/relationships" r:embed="rId8"/>
        <a:stretch>
          <a:fillRect/>
        </a:stretch>
      </xdr:blipFill>
      <xdr:spPr>
        <a:xfrm>
          <a:off x="6600825" y="2114550"/>
          <a:ext cx="7723810" cy="488571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127000</xdr:colOff>
      <xdr:row>37</xdr:row>
      <xdr:rowOff>127000</xdr:rowOff>
    </xdr:from>
    <xdr:to>
      <xdr:col>7</xdr:col>
      <xdr:colOff>574675</xdr:colOff>
      <xdr:row>55</xdr:row>
      <xdr:rowOff>127000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127000</xdr:colOff>
      <xdr:row>63</xdr:row>
      <xdr:rowOff>127000</xdr:rowOff>
    </xdr:from>
    <xdr:to>
      <xdr:col>7</xdr:col>
      <xdr:colOff>574675</xdr:colOff>
      <xdr:row>81</xdr:row>
      <xdr:rowOff>127000</xdr:rowOff>
    </xdr:to>
    <xdr:graphicFrame macro="">
      <xdr:nvGraphicFramePr>
        <xdr:cNvPr id="3" name="Chart 1">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127000</xdr:colOff>
      <xdr:row>85</xdr:row>
      <xdr:rowOff>127000</xdr:rowOff>
    </xdr:from>
    <xdr:to>
      <xdr:col>7</xdr:col>
      <xdr:colOff>574675</xdr:colOff>
      <xdr:row>103</xdr:row>
      <xdr:rowOff>127000</xdr:rowOff>
    </xdr:to>
    <xdr:graphicFrame macro="">
      <xdr:nvGraphicFramePr>
        <xdr:cNvPr id="4" name="Chart 1">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127000</xdr:colOff>
      <xdr:row>107</xdr:row>
      <xdr:rowOff>127000</xdr:rowOff>
    </xdr:from>
    <xdr:to>
      <xdr:col>7</xdr:col>
      <xdr:colOff>574675</xdr:colOff>
      <xdr:row>125</xdr:row>
      <xdr:rowOff>127000</xdr:rowOff>
    </xdr:to>
    <xdr:graphicFrame macro="">
      <xdr:nvGraphicFramePr>
        <xdr:cNvPr id="5" name="Chart 1">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127000</xdr:colOff>
      <xdr:row>129</xdr:row>
      <xdr:rowOff>127000</xdr:rowOff>
    </xdr:from>
    <xdr:to>
      <xdr:col>7</xdr:col>
      <xdr:colOff>574675</xdr:colOff>
      <xdr:row>147</xdr:row>
      <xdr:rowOff>127000</xdr:rowOff>
    </xdr:to>
    <xdr:graphicFrame macro="">
      <xdr:nvGraphicFramePr>
        <xdr:cNvPr id="6" name="Chart 1">
          <a:extLst>
            <a:ext uri="{FF2B5EF4-FFF2-40B4-BE49-F238E27FC236}">
              <a16:creationId xmlns:a16="http://schemas.microsoft.com/office/drawing/2014/main" id="{00000000-0008-0000-04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127000</xdr:colOff>
      <xdr:row>151</xdr:row>
      <xdr:rowOff>127000</xdr:rowOff>
    </xdr:from>
    <xdr:to>
      <xdr:col>7</xdr:col>
      <xdr:colOff>574675</xdr:colOff>
      <xdr:row>169</xdr:row>
      <xdr:rowOff>127000</xdr:rowOff>
    </xdr:to>
    <xdr:graphicFrame macro="">
      <xdr:nvGraphicFramePr>
        <xdr:cNvPr id="7" name="Chart 1">
          <a:extLst>
            <a:ext uri="{FF2B5EF4-FFF2-40B4-BE49-F238E27FC236}">
              <a16:creationId xmlns:a16="http://schemas.microsoft.com/office/drawing/2014/main" id="{00000000-0008-0000-04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10</xdr:col>
      <xdr:colOff>95250</xdr:colOff>
      <xdr:row>17</xdr:row>
      <xdr:rowOff>123825</xdr:rowOff>
    </xdr:from>
    <xdr:to>
      <xdr:col>22</xdr:col>
      <xdr:colOff>484812</xdr:colOff>
      <xdr:row>81</xdr:row>
      <xdr:rowOff>123216</xdr:rowOff>
    </xdr:to>
    <xdr:pic>
      <xdr:nvPicPr>
        <xdr:cNvPr id="8" name="Picture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7"/>
        <a:stretch>
          <a:fillRect/>
        </a:stretch>
      </xdr:blipFill>
      <xdr:spPr>
        <a:xfrm>
          <a:off x="6981825" y="2047875"/>
          <a:ext cx="7704762" cy="4876191"/>
        </a:xfrm>
        <a:prstGeom prst="rect">
          <a:avLst/>
        </a:prstGeom>
      </xdr:spPr>
    </xdr:pic>
    <xdr:clientData/>
  </xdr:twoCellAnchor>
  <xdr:twoCellAnchor>
    <xdr:from>
      <xdr:col>10</xdr:col>
      <xdr:colOff>133350</xdr:colOff>
      <xdr:row>6</xdr:row>
      <xdr:rowOff>19050</xdr:rowOff>
    </xdr:from>
    <xdr:to>
      <xdr:col>18</xdr:col>
      <xdr:colOff>533399</xdr:colOff>
      <xdr:row>16</xdr:row>
      <xdr:rowOff>66675</xdr:rowOff>
    </xdr:to>
    <xdr:sp macro="" textlink="">
      <xdr:nvSpPr>
        <xdr:cNvPr id="10" name="TextBox 9">
          <a:extLst>
            <a:ext uri="{FF2B5EF4-FFF2-40B4-BE49-F238E27FC236}">
              <a16:creationId xmlns:a16="http://schemas.microsoft.com/office/drawing/2014/main" id="{00000000-0008-0000-0400-00000A000000}"/>
            </a:ext>
          </a:extLst>
        </xdr:cNvPr>
        <xdr:cNvSpPr txBox="1"/>
      </xdr:nvSpPr>
      <xdr:spPr>
        <a:xfrm>
          <a:off x="7019925" y="352425"/>
          <a:ext cx="5276849" cy="1495425"/>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latin typeface="+mn-lt"/>
              <a:ea typeface="+mn-ea"/>
              <a:cs typeface="+mn-cs"/>
            </a:rPr>
            <a:t>Here's</a:t>
          </a:r>
          <a:r>
            <a:rPr lang="en-US" sz="1100" baseline="0">
              <a:solidFill>
                <a:schemeClr val="dk1"/>
              </a:solidFill>
              <a:latin typeface="+mn-lt"/>
              <a:ea typeface="+mn-ea"/>
              <a:cs typeface="+mn-cs"/>
            </a:rPr>
            <a:t> the second regression model, in which a linear trend variable has been added as a second predictor.  This flattens out the trend in the errors, but there is still a very significant time pattern in them, namely a seasonal pattern in the early years, which suggests that the time pattern in heating degree days did not match the time pattern in commercial gas consumption as well in those years as it did in later years.  This fact, combined with the fact that a significant change in trend occurred in some of the variables around the beginning of 2009, suggests that it might be good to truncate the data set so as to more accurately fit the more recent data.</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127000</xdr:colOff>
      <xdr:row>37</xdr:row>
      <xdr:rowOff>127000</xdr:rowOff>
    </xdr:from>
    <xdr:to>
      <xdr:col>7</xdr:col>
      <xdr:colOff>536575</xdr:colOff>
      <xdr:row>55</xdr:row>
      <xdr:rowOff>127000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127000</xdr:colOff>
      <xdr:row>63</xdr:row>
      <xdr:rowOff>127000</xdr:rowOff>
    </xdr:from>
    <xdr:to>
      <xdr:col>7</xdr:col>
      <xdr:colOff>536575</xdr:colOff>
      <xdr:row>81</xdr:row>
      <xdr:rowOff>127000</xdr:rowOff>
    </xdr:to>
    <xdr:graphicFrame macro="">
      <xdr:nvGraphicFramePr>
        <xdr:cNvPr id="3" name="Chart 1">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127000</xdr:colOff>
      <xdr:row>85</xdr:row>
      <xdr:rowOff>127000</xdr:rowOff>
    </xdr:from>
    <xdr:to>
      <xdr:col>7</xdr:col>
      <xdr:colOff>536575</xdr:colOff>
      <xdr:row>103</xdr:row>
      <xdr:rowOff>127000</xdr:rowOff>
    </xdr:to>
    <xdr:graphicFrame macro="">
      <xdr:nvGraphicFramePr>
        <xdr:cNvPr id="4" name="Chart 1">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127000</xdr:colOff>
      <xdr:row>107</xdr:row>
      <xdr:rowOff>127000</xdr:rowOff>
    </xdr:from>
    <xdr:to>
      <xdr:col>7</xdr:col>
      <xdr:colOff>536575</xdr:colOff>
      <xdr:row>125</xdr:row>
      <xdr:rowOff>127000</xdr:rowOff>
    </xdr:to>
    <xdr:graphicFrame macro="">
      <xdr:nvGraphicFramePr>
        <xdr:cNvPr id="5" name="Chart 1">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127000</xdr:colOff>
      <xdr:row>129</xdr:row>
      <xdr:rowOff>127000</xdr:rowOff>
    </xdr:from>
    <xdr:to>
      <xdr:col>7</xdr:col>
      <xdr:colOff>536575</xdr:colOff>
      <xdr:row>147</xdr:row>
      <xdr:rowOff>127000</xdr:rowOff>
    </xdr:to>
    <xdr:graphicFrame macro="">
      <xdr:nvGraphicFramePr>
        <xdr:cNvPr id="6" name="Chart 1">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127000</xdr:colOff>
      <xdr:row>151</xdr:row>
      <xdr:rowOff>127000</xdr:rowOff>
    </xdr:from>
    <xdr:to>
      <xdr:col>7</xdr:col>
      <xdr:colOff>536575</xdr:colOff>
      <xdr:row>169</xdr:row>
      <xdr:rowOff>127000</xdr:rowOff>
    </xdr:to>
    <xdr:graphicFrame macro="">
      <xdr:nvGraphicFramePr>
        <xdr:cNvPr id="7" name="Chart 1">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400049</xdr:colOff>
      <xdr:row>1</xdr:row>
      <xdr:rowOff>38100</xdr:rowOff>
    </xdr:from>
    <xdr:to>
      <xdr:col>17</xdr:col>
      <xdr:colOff>66674</xdr:colOff>
      <xdr:row>14</xdr:row>
      <xdr:rowOff>76200</xdr:rowOff>
    </xdr:to>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6638924" y="228600"/>
          <a:ext cx="4543425" cy="1343025"/>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latin typeface="+mn-lt"/>
              <a:ea typeface="+mn-ea"/>
              <a:cs typeface="+mn-cs"/>
            </a:rPr>
            <a:t>Here the same 2-variable</a:t>
          </a:r>
          <a:r>
            <a:rPr lang="en-US" sz="1100" baseline="0">
              <a:solidFill>
                <a:schemeClr val="dk1"/>
              </a:solidFill>
              <a:latin typeface="+mn-lt"/>
              <a:ea typeface="+mn-ea"/>
              <a:cs typeface="+mn-cs"/>
            </a:rPr>
            <a:t> model was re-fitted after deleting the data prior to 2009.  The seasonal pattern in the errors has largely disappeared, but another problem remains.  The residual-vs-predicted plot shows a strongly *nonlinear* pattern.  Because most of the variance is being explained by the heating-degree-day variable, a nonlinear transformation of that variable</a:t>
          </a:r>
          <a:r>
            <a:rPr lang="en-US" sz="1100" baseline="0">
              <a:solidFill>
                <a:schemeClr val="dk1"/>
              </a:solidFill>
              <a:effectLst/>
              <a:latin typeface="+mn-lt"/>
              <a:ea typeface="+mn-ea"/>
              <a:cs typeface="+mn-cs"/>
            </a:rPr>
            <a:t> is suggested.   For example, we could add a </a:t>
          </a:r>
          <a:r>
            <a:rPr lang="en-US" sz="1100" baseline="0">
              <a:solidFill>
                <a:schemeClr val="dk1"/>
              </a:solidFill>
              <a:latin typeface="+mn-lt"/>
              <a:ea typeface="+mn-ea"/>
              <a:cs typeface="+mn-cs"/>
            </a:rPr>
            <a:t>quadratic (squared) term as another independent variable.</a:t>
          </a:r>
          <a:endParaRPr lang="en-US" sz="1100"/>
        </a:p>
      </xdr:txBody>
    </xdr:sp>
    <xdr:clientData/>
  </xdr:twoCellAnchor>
  <xdr:twoCellAnchor editAs="oneCell">
    <xdr:from>
      <xdr:col>9</xdr:col>
      <xdr:colOff>409575</xdr:colOff>
      <xdr:row>22</xdr:row>
      <xdr:rowOff>28575</xdr:rowOff>
    </xdr:from>
    <xdr:to>
      <xdr:col>22</xdr:col>
      <xdr:colOff>189537</xdr:colOff>
      <xdr:row>82</xdr:row>
      <xdr:rowOff>18442</xdr:rowOff>
    </xdr:to>
    <xdr:pic>
      <xdr:nvPicPr>
        <xdr:cNvPr id="8" name="Picture 7">
          <a:extLst>
            <a:ext uri="{FF2B5EF4-FFF2-40B4-BE49-F238E27FC236}">
              <a16:creationId xmlns:a16="http://schemas.microsoft.com/office/drawing/2014/main" id="{00000000-0008-0000-0500-000008000000}"/>
            </a:ext>
          </a:extLst>
        </xdr:cNvPr>
        <xdr:cNvPicPr>
          <a:picLocks noChangeAspect="1"/>
        </xdr:cNvPicPr>
      </xdr:nvPicPr>
      <xdr:blipFill>
        <a:blip xmlns:r="http://schemas.openxmlformats.org/officeDocument/2006/relationships" r:embed="rId7"/>
        <a:stretch>
          <a:fillRect/>
        </a:stretch>
      </xdr:blipFill>
      <xdr:spPr>
        <a:xfrm>
          <a:off x="6648450" y="2095500"/>
          <a:ext cx="7704762" cy="486666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127000</xdr:colOff>
      <xdr:row>38</xdr:row>
      <xdr:rowOff>127000</xdr:rowOff>
    </xdr:from>
    <xdr:to>
      <xdr:col>6</xdr:col>
      <xdr:colOff>527050</xdr:colOff>
      <xdr:row>56</xdr:row>
      <xdr:rowOff>127000</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127000</xdr:colOff>
      <xdr:row>64</xdr:row>
      <xdr:rowOff>127000</xdr:rowOff>
    </xdr:from>
    <xdr:to>
      <xdr:col>6</xdr:col>
      <xdr:colOff>527050</xdr:colOff>
      <xdr:row>82</xdr:row>
      <xdr:rowOff>127000</xdr:rowOff>
    </xdr:to>
    <xdr:graphicFrame macro="">
      <xdr:nvGraphicFramePr>
        <xdr:cNvPr id="3" name="Chart 1">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127000</xdr:colOff>
      <xdr:row>86</xdr:row>
      <xdr:rowOff>127000</xdr:rowOff>
    </xdr:from>
    <xdr:to>
      <xdr:col>6</xdr:col>
      <xdr:colOff>527050</xdr:colOff>
      <xdr:row>104</xdr:row>
      <xdr:rowOff>127000</xdr:rowOff>
    </xdr:to>
    <xdr:graphicFrame macro="">
      <xdr:nvGraphicFramePr>
        <xdr:cNvPr id="4" name="Chart 1">
          <a:extLst>
            <a:ext uri="{FF2B5EF4-FFF2-40B4-BE49-F238E27FC236}">
              <a16:creationId xmlns:a16="http://schemas.microsoft.com/office/drawing/2014/main" id="{00000000-0008-0000-06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127000</xdr:colOff>
      <xdr:row>108</xdr:row>
      <xdr:rowOff>127000</xdr:rowOff>
    </xdr:from>
    <xdr:to>
      <xdr:col>6</xdr:col>
      <xdr:colOff>527050</xdr:colOff>
      <xdr:row>126</xdr:row>
      <xdr:rowOff>127000</xdr:rowOff>
    </xdr:to>
    <xdr:graphicFrame macro="">
      <xdr:nvGraphicFramePr>
        <xdr:cNvPr id="5" name="Chart 1">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127000</xdr:colOff>
      <xdr:row>130</xdr:row>
      <xdr:rowOff>127000</xdr:rowOff>
    </xdr:from>
    <xdr:to>
      <xdr:col>6</xdr:col>
      <xdr:colOff>527050</xdr:colOff>
      <xdr:row>148</xdr:row>
      <xdr:rowOff>127000</xdr:rowOff>
    </xdr:to>
    <xdr:graphicFrame macro="">
      <xdr:nvGraphicFramePr>
        <xdr:cNvPr id="6" name="Chart 1">
          <a:extLst>
            <a:ext uri="{FF2B5EF4-FFF2-40B4-BE49-F238E27FC236}">
              <a16:creationId xmlns:a16="http://schemas.microsoft.com/office/drawing/2014/main" id="{00000000-0008-0000-06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127000</xdr:colOff>
      <xdr:row>152</xdr:row>
      <xdr:rowOff>127000</xdr:rowOff>
    </xdr:from>
    <xdr:to>
      <xdr:col>6</xdr:col>
      <xdr:colOff>527050</xdr:colOff>
      <xdr:row>170</xdr:row>
      <xdr:rowOff>127000</xdr:rowOff>
    </xdr:to>
    <xdr:graphicFrame macro="">
      <xdr:nvGraphicFramePr>
        <xdr:cNvPr id="7" name="Chart 1">
          <a:extLst>
            <a:ext uri="{FF2B5EF4-FFF2-40B4-BE49-F238E27FC236}">
              <a16:creationId xmlns:a16="http://schemas.microsoft.com/office/drawing/2014/main" id="{00000000-0008-0000-06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276225</xdr:colOff>
      <xdr:row>1</xdr:row>
      <xdr:rowOff>133350</xdr:rowOff>
    </xdr:from>
    <xdr:to>
      <xdr:col>17</xdr:col>
      <xdr:colOff>390524</xdr:colOff>
      <xdr:row>30</xdr:row>
      <xdr:rowOff>38100</xdr:rowOff>
    </xdr:to>
    <xdr:sp macro="" textlink="">
      <xdr:nvSpPr>
        <xdr:cNvPr id="10" name="TextBox 9">
          <a:extLst>
            <a:ext uri="{FF2B5EF4-FFF2-40B4-BE49-F238E27FC236}">
              <a16:creationId xmlns:a16="http://schemas.microsoft.com/office/drawing/2014/main" id="{00000000-0008-0000-0600-00000A000000}"/>
            </a:ext>
          </a:extLst>
        </xdr:cNvPr>
        <xdr:cNvSpPr txBox="1"/>
      </xdr:nvSpPr>
      <xdr:spPr>
        <a:xfrm>
          <a:off x="6686550" y="323850"/>
          <a:ext cx="4991099" cy="29337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latin typeface="+mn-lt"/>
              <a:ea typeface="+mn-ea"/>
              <a:cs typeface="+mn-cs"/>
            </a:rPr>
            <a:t>A</a:t>
          </a:r>
          <a:r>
            <a:rPr lang="en-US" sz="1100" baseline="0">
              <a:solidFill>
                <a:schemeClr val="dk1"/>
              </a:solidFill>
              <a:latin typeface="+mn-lt"/>
              <a:ea typeface="+mn-ea"/>
              <a:cs typeface="+mn-cs"/>
            </a:rPr>
            <a:t> squared version of heating-degree-days was created using the variable transformation tool in RegressIt (automatically getting the name Heating_Degree_Days_POW2) and  it has been added to the model here.   This yields a very significant reduction in the standard error of the regression from 420 to 298, and the nonlinear pattern has disappeared from the residual-vs-predicted plot.</a:t>
          </a:r>
        </a:p>
        <a:p>
          <a:pPr marL="0" marR="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dk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latin typeface="+mn-lt"/>
              <a:ea typeface="+mn-ea"/>
              <a:cs typeface="+mn-cs"/>
            </a:rPr>
            <a:t>This model nicely passes all of the usual diagnostic tests for a valid linear regression model for time series data.  The estimated coefficients are (very) significantly different from zero, the autocorrelations in the errors are not significant (we are especially interested in lags 1 and 12 for monthly data), the error distribution is very close to normal (as indicated by the A-D stat and residual distribution plots), and there is no sign of nonlinearity or heteroscedasticity in any of the plots.</a:t>
          </a:r>
        </a:p>
        <a:p>
          <a:pPr marL="0" marR="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dk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latin typeface="+mn-lt"/>
              <a:ea typeface="+mn-ea"/>
              <a:cs typeface="+mn-cs"/>
            </a:rPr>
            <a:t>Very similar results  (not shown here) are obtained if the Mean Temp variable and its square are used instead of the Heating Degree Day variables.</a:t>
          </a:r>
          <a:endParaRPr lang="en-US" sz="1100"/>
        </a:p>
      </xdr:txBody>
    </xdr:sp>
    <xdr:clientData/>
  </xdr:twoCellAnchor>
  <xdr:twoCellAnchor editAs="oneCell">
    <xdr:from>
      <xdr:col>9</xdr:col>
      <xdr:colOff>266700</xdr:colOff>
      <xdr:row>32</xdr:row>
      <xdr:rowOff>85725</xdr:rowOff>
    </xdr:from>
    <xdr:to>
      <xdr:col>22</xdr:col>
      <xdr:colOff>46662</xdr:colOff>
      <xdr:row>92</xdr:row>
      <xdr:rowOff>94642</xdr:rowOff>
    </xdr:to>
    <xdr:pic>
      <xdr:nvPicPr>
        <xdr:cNvPr id="11" name="Picture 10">
          <a:extLst>
            <a:ext uri="{FF2B5EF4-FFF2-40B4-BE49-F238E27FC236}">
              <a16:creationId xmlns:a16="http://schemas.microsoft.com/office/drawing/2014/main" id="{00000000-0008-0000-0600-00000B000000}"/>
            </a:ext>
          </a:extLst>
        </xdr:cNvPr>
        <xdr:cNvPicPr>
          <a:picLocks noChangeAspect="1"/>
        </xdr:cNvPicPr>
      </xdr:nvPicPr>
      <xdr:blipFill>
        <a:blip xmlns:r="http://schemas.openxmlformats.org/officeDocument/2006/relationships" r:embed="rId7"/>
        <a:stretch>
          <a:fillRect/>
        </a:stretch>
      </xdr:blipFill>
      <xdr:spPr>
        <a:xfrm>
          <a:off x="6677025" y="3600450"/>
          <a:ext cx="7704762" cy="486666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127000</xdr:colOff>
      <xdr:row>49</xdr:row>
      <xdr:rowOff>127000</xdr:rowOff>
    </xdr:from>
    <xdr:to>
      <xdr:col>6</xdr:col>
      <xdr:colOff>555625</xdr:colOff>
      <xdr:row>67</xdr:row>
      <xdr:rowOff>127000</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127000</xdr:colOff>
      <xdr:row>75</xdr:row>
      <xdr:rowOff>127000</xdr:rowOff>
    </xdr:from>
    <xdr:to>
      <xdr:col>6</xdr:col>
      <xdr:colOff>555625</xdr:colOff>
      <xdr:row>93</xdr:row>
      <xdr:rowOff>127000</xdr:rowOff>
    </xdr:to>
    <xdr:graphicFrame macro="">
      <xdr:nvGraphicFramePr>
        <xdr:cNvPr id="3" name="Chart 1">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127000</xdr:colOff>
      <xdr:row>97</xdr:row>
      <xdr:rowOff>127000</xdr:rowOff>
    </xdr:from>
    <xdr:to>
      <xdr:col>6</xdr:col>
      <xdr:colOff>555625</xdr:colOff>
      <xdr:row>115</xdr:row>
      <xdr:rowOff>127000</xdr:rowOff>
    </xdr:to>
    <xdr:graphicFrame macro="">
      <xdr:nvGraphicFramePr>
        <xdr:cNvPr id="4" name="Chart 1">
          <a:extLst>
            <a:ext uri="{FF2B5EF4-FFF2-40B4-BE49-F238E27FC236}">
              <a16:creationId xmlns:a16="http://schemas.microsoft.com/office/drawing/2014/main" id="{00000000-0008-0000-07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127000</xdr:colOff>
      <xdr:row>119</xdr:row>
      <xdr:rowOff>127000</xdr:rowOff>
    </xdr:from>
    <xdr:to>
      <xdr:col>6</xdr:col>
      <xdr:colOff>555625</xdr:colOff>
      <xdr:row>137</xdr:row>
      <xdr:rowOff>127000</xdr:rowOff>
    </xdr:to>
    <xdr:graphicFrame macro="">
      <xdr:nvGraphicFramePr>
        <xdr:cNvPr id="5" name="Chart 1">
          <a:extLst>
            <a:ext uri="{FF2B5EF4-FFF2-40B4-BE49-F238E27FC236}">
              <a16:creationId xmlns:a16="http://schemas.microsoft.com/office/drawing/2014/main" id="{00000000-0008-0000-07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127000</xdr:colOff>
      <xdr:row>141</xdr:row>
      <xdr:rowOff>127000</xdr:rowOff>
    </xdr:from>
    <xdr:to>
      <xdr:col>6</xdr:col>
      <xdr:colOff>555625</xdr:colOff>
      <xdr:row>159</xdr:row>
      <xdr:rowOff>127000</xdr:rowOff>
    </xdr:to>
    <xdr:graphicFrame macro="">
      <xdr:nvGraphicFramePr>
        <xdr:cNvPr id="6" name="Chart 1">
          <a:extLst>
            <a:ext uri="{FF2B5EF4-FFF2-40B4-BE49-F238E27FC236}">
              <a16:creationId xmlns:a16="http://schemas.microsoft.com/office/drawing/2014/main" id="{00000000-0008-0000-07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127000</xdr:colOff>
      <xdr:row>163</xdr:row>
      <xdr:rowOff>127000</xdr:rowOff>
    </xdr:from>
    <xdr:to>
      <xdr:col>6</xdr:col>
      <xdr:colOff>555625</xdr:colOff>
      <xdr:row>181</xdr:row>
      <xdr:rowOff>127000</xdr:rowOff>
    </xdr:to>
    <xdr:graphicFrame macro="">
      <xdr:nvGraphicFramePr>
        <xdr:cNvPr id="7" name="Chart 1">
          <a:extLst>
            <a:ext uri="{FF2B5EF4-FFF2-40B4-BE49-F238E27FC236}">
              <a16:creationId xmlns:a16="http://schemas.microsoft.com/office/drawing/2014/main" id="{00000000-0008-0000-07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571500</xdr:colOff>
      <xdr:row>6</xdr:row>
      <xdr:rowOff>9525</xdr:rowOff>
    </xdr:from>
    <xdr:to>
      <xdr:col>17</xdr:col>
      <xdr:colOff>428626</xdr:colOff>
      <xdr:row>20</xdr:row>
      <xdr:rowOff>114300</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6953250" y="342900"/>
          <a:ext cx="4733926" cy="2124075"/>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latin typeface="+mn-lt"/>
              <a:ea typeface="+mn-ea"/>
              <a:cs typeface="+mn-cs"/>
            </a:rPr>
            <a:t>The previous</a:t>
          </a:r>
          <a:r>
            <a:rPr lang="en-US" sz="1100" baseline="0">
              <a:solidFill>
                <a:schemeClr val="dk1"/>
              </a:solidFill>
              <a:latin typeface="+mn-lt"/>
              <a:ea typeface="+mn-ea"/>
              <a:cs typeface="+mn-cs"/>
            </a:rPr>
            <a:t> model assumes that the seasonal pattern in commercial natural gas consumption is explained by a quadratic relationship with the seasonal pattern in heating degree days.  The fact that the errors do not have significant autocorrelation at lag 12 does not indicate an obvious problem with this assumption, but it is plausible that there could be more subtle calendar effects not directly related to temperature.  One way to test this hypothesis is to add dummy variables for months of the year, as was done in this model.  Many of the temperature dummies have coefficients that are significantly different from zero, and there is a significant further reduction in the standard error of the regression, from 297 to 255.  Also, the heating-degree-day variables remain significant, so the seasonal pattern is not purely a calendar effect.</a:t>
          </a:r>
          <a:endParaRPr lang="en-US" sz="1100"/>
        </a:p>
      </xdr:txBody>
    </xdr:sp>
    <xdr:clientData/>
  </xdr:twoCellAnchor>
  <xdr:twoCellAnchor editAs="oneCell">
    <xdr:from>
      <xdr:col>9</xdr:col>
      <xdr:colOff>561975</xdr:colOff>
      <xdr:row>22</xdr:row>
      <xdr:rowOff>104775</xdr:rowOff>
    </xdr:from>
    <xdr:to>
      <xdr:col>22</xdr:col>
      <xdr:colOff>360985</xdr:colOff>
      <xdr:row>86</xdr:row>
      <xdr:rowOff>85118</xdr:rowOff>
    </xdr:to>
    <xdr:pic>
      <xdr:nvPicPr>
        <xdr:cNvPr id="10" name="Picture 9">
          <a:extLst>
            <a:ext uri="{FF2B5EF4-FFF2-40B4-BE49-F238E27FC236}">
              <a16:creationId xmlns:a16="http://schemas.microsoft.com/office/drawing/2014/main" id="{00000000-0008-0000-0700-00000A000000}"/>
            </a:ext>
          </a:extLst>
        </xdr:cNvPr>
        <xdr:cNvPicPr>
          <a:picLocks noChangeAspect="1"/>
        </xdr:cNvPicPr>
      </xdr:nvPicPr>
      <xdr:blipFill>
        <a:blip xmlns:r="http://schemas.openxmlformats.org/officeDocument/2006/relationships" r:embed="rId7"/>
        <a:stretch>
          <a:fillRect/>
        </a:stretch>
      </xdr:blipFill>
      <xdr:spPr>
        <a:xfrm>
          <a:off x="6943725" y="2743200"/>
          <a:ext cx="7723810" cy="485714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127000</xdr:colOff>
      <xdr:row>51</xdr:row>
      <xdr:rowOff>127000</xdr:rowOff>
    </xdr:from>
    <xdr:to>
      <xdr:col>6</xdr:col>
      <xdr:colOff>441325</xdr:colOff>
      <xdr:row>69</xdr:row>
      <xdr:rowOff>127000</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127000</xdr:colOff>
      <xdr:row>75</xdr:row>
      <xdr:rowOff>127000</xdr:rowOff>
    </xdr:from>
    <xdr:to>
      <xdr:col>6</xdr:col>
      <xdr:colOff>441325</xdr:colOff>
      <xdr:row>93</xdr:row>
      <xdr:rowOff>127000</xdr:rowOff>
    </xdr:to>
    <xdr:graphicFrame macro="">
      <xdr:nvGraphicFramePr>
        <xdr:cNvPr id="3" name="Chart 1">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127000</xdr:colOff>
      <xdr:row>97</xdr:row>
      <xdr:rowOff>127000</xdr:rowOff>
    </xdr:from>
    <xdr:to>
      <xdr:col>6</xdr:col>
      <xdr:colOff>441325</xdr:colOff>
      <xdr:row>115</xdr:row>
      <xdr:rowOff>127000</xdr:rowOff>
    </xdr:to>
    <xdr:graphicFrame macro="">
      <xdr:nvGraphicFramePr>
        <xdr:cNvPr id="4" name="Chart 1">
          <a:extLst>
            <a:ext uri="{FF2B5EF4-FFF2-40B4-BE49-F238E27FC236}">
              <a16:creationId xmlns:a16="http://schemas.microsoft.com/office/drawing/2014/main" id="{00000000-0008-0000-08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127000</xdr:colOff>
      <xdr:row>119</xdr:row>
      <xdr:rowOff>127000</xdr:rowOff>
    </xdr:from>
    <xdr:to>
      <xdr:col>6</xdr:col>
      <xdr:colOff>441325</xdr:colOff>
      <xdr:row>137</xdr:row>
      <xdr:rowOff>127000</xdr:rowOff>
    </xdr:to>
    <xdr:graphicFrame macro="">
      <xdr:nvGraphicFramePr>
        <xdr:cNvPr id="5" name="Chart 1">
          <a:extLst>
            <a:ext uri="{FF2B5EF4-FFF2-40B4-BE49-F238E27FC236}">
              <a16:creationId xmlns:a16="http://schemas.microsoft.com/office/drawing/2014/main" id="{00000000-0008-0000-08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127000</xdr:colOff>
      <xdr:row>141</xdr:row>
      <xdr:rowOff>127000</xdr:rowOff>
    </xdr:from>
    <xdr:to>
      <xdr:col>6</xdr:col>
      <xdr:colOff>441325</xdr:colOff>
      <xdr:row>159</xdr:row>
      <xdr:rowOff>127000</xdr:rowOff>
    </xdr:to>
    <xdr:graphicFrame macro="">
      <xdr:nvGraphicFramePr>
        <xdr:cNvPr id="6" name="Chart 1">
          <a:extLst>
            <a:ext uri="{FF2B5EF4-FFF2-40B4-BE49-F238E27FC236}">
              <a16:creationId xmlns:a16="http://schemas.microsoft.com/office/drawing/2014/main" id="{00000000-0008-0000-08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127000</xdr:colOff>
      <xdr:row>163</xdr:row>
      <xdr:rowOff>127000</xdr:rowOff>
    </xdr:from>
    <xdr:to>
      <xdr:col>6</xdr:col>
      <xdr:colOff>441325</xdr:colOff>
      <xdr:row>181</xdr:row>
      <xdr:rowOff>127000</xdr:rowOff>
    </xdr:to>
    <xdr:graphicFrame macro="">
      <xdr:nvGraphicFramePr>
        <xdr:cNvPr id="7" name="Chart 1">
          <a:extLst>
            <a:ext uri="{FF2B5EF4-FFF2-40B4-BE49-F238E27FC236}">
              <a16:creationId xmlns:a16="http://schemas.microsoft.com/office/drawing/2014/main" id="{00000000-0008-0000-08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9</xdr:col>
      <xdr:colOff>133350</xdr:colOff>
      <xdr:row>19</xdr:row>
      <xdr:rowOff>85725</xdr:rowOff>
    </xdr:from>
    <xdr:to>
      <xdr:col>21</xdr:col>
      <xdr:colOff>522912</xdr:colOff>
      <xdr:row>83</xdr:row>
      <xdr:rowOff>75592</xdr:rowOff>
    </xdr:to>
    <xdr:pic>
      <xdr:nvPicPr>
        <xdr:cNvPr id="8" name="Picture 7">
          <a:extLst>
            <a:ext uri="{FF2B5EF4-FFF2-40B4-BE49-F238E27FC236}">
              <a16:creationId xmlns:a16="http://schemas.microsoft.com/office/drawing/2014/main" id="{00000000-0008-0000-0800-000008000000}"/>
            </a:ext>
          </a:extLst>
        </xdr:cNvPr>
        <xdr:cNvPicPr>
          <a:picLocks noChangeAspect="1"/>
        </xdr:cNvPicPr>
      </xdr:nvPicPr>
      <xdr:blipFill>
        <a:blip xmlns:r="http://schemas.openxmlformats.org/officeDocument/2006/relationships" r:embed="rId7"/>
        <a:stretch>
          <a:fillRect/>
        </a:stretch>
      </xdr:blipFill>
      <xdr:spPr>
        <a:xfrm>
          <a:off x="6629400" y="2295525"/>
          <a:ext cx="7704762" cy="4866667"/>
        </a:xfrm>
        <a:prstGeom prst="rect">
          <a:avLst/>
        </a:prstGeom>
      </xdr:spPr>
    </xdr:pic>
    <xdr:clientData/>
  </xdr:twoCellAnchor>
  <xdr:twoCellAnchor>
    <xdr:from>
      <xdr:col>9</xdr:col>
      <xdr:colOff>238124</xdr:colOff>
      <xdr:row>1</xdr:row>
      <xdr:rowOff>66673</xdr:rowOff>
    </xdr:from>
    <xdr:to>
      <xdr:col>16</xdr:col>
      <xdr:colOff>247650</xdr:colOff>
      <xdr:row>17</xdr:row>
      <xdr:rowOff>19050</xdr:rowOff>
    </xdr:to>
    <xdr:sp macro="" textlink="">
      <xdr:nvSpPr>
        <xdr:cNvPr id="10" name="TextBox 9">
          <a:extLst>
            <a:ext uri="{FF2B5EF4-FFF2-40B4-BE49-F238E27FC236}">
              <a16:creationId xmlns:a16="http://schemas.microsoft.com/office/drawing/2014/main" id="{00000000-0008-0000-0800-00000A000000}"/>
            </a:ext>
          </a:extLst>
        </xdr:cNvPr>
        <xdr:cNvSpPr txBox="1"/>
      </xdr:nvSpPr>
      <xdr:spPr>
        <a:xfrm>
          <a:off x="6734174" y="257173"/>
          <a:ext cx="4276726" cy="1685927"/>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latin typeface="+mn-lt"/>
              <a:ea typeface="+mn-ea"/>
              <a:cs typeface="+mn-cs"/>
            </a:rPr>
            <a:t>When</a:t>
          </a:r>
          <a:r>
            <a:rPr lang="en-US" sz="1100" baseline="0">
              <a:solidFill>
                <a:schemeClr val="dk1"/>
              </a:solidFill>
              <a:latin typeface="+mn-lt"/>
              <a:ea typeface="+mn-ea"/>
              <a:cs typeface="+mn-cs"/>
            </a:rPr>
            <a:t> </a:t>
          </a:r>
          <a:r>
            <a:rPr lang="en-US" sz="1100">
              <a:solidFill>
                <a:schemeClr val="dk1"/>
              </a:solidFill>
              <a:latin typeface="+mn-lt"/>
              <a:ea typeface="+mn-ea"/>
              <a:cs typeface="+mn-cs"/>
            </a:rPr>
            <a:t>the same</a:t>
          </a:r>
          <a:r>
            <a:rPr lang="en-US" sz="1100" baseline="0">
              <a:solidFill>
                <a:schemeClr val="dk1"/>
              </a:solidFill>
              <a:latin typeface="+mn-lt"/>
              <a:ea typeface="+mn-ea"/>
              <a:cs typeface="+mn-cs"/>
            </a:rPr>
            <a:t>  quadratic-heating-degree-day-plus-monthly-dummy model is fitted to *electrical* gas use, the heating-degree-day variables are NOT significant in the presence of the month dummies, as indicated by their t-stats less than 2 in magnitude and corresponding P-values greater than 0.05.  This is not particularly suprising, given that electric power is typically used more for air conditioning than heating.   </a:t>
          </a:r>
          <a:r>
            <a:rPr lang="en-US" sz="1100" baseline="0">
              <a:solidFill>
                <a:schemeClr val="dk1"/>
              </a:solidFill>
              <a:effectLst/>
              <a:latin typeface="+mn-lt"/>
              <a:ea typeface="+mn-ea"/>
              <a:cs typeface="+mn-cs"/>
            </a:rPr>
            <a:t>It might be conjectured that cooling degree days would be more relevant for predicting electric power consumption than heating degree days.  </a:t>
          </a:r>
          <a:endParaRPr 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127000</xdr:colOff>
      <xdr:row>51</xdr:row>
      <xdr:rowOff>127000</xdr:rowOff>
    </xdr:from>
    <xdr:to>
      <xdr:col>6</xdr:col>
      <xdr:colOff>441325</xdr:colOff>
      <xdr:row>69</xdr:row>
      <xdr:rowOff>127000</xdr:rowOff>
    </xdr:to>
    <xdr:graphicFrame macro="">
      <xdr:nvGraphicFramePr>
        <xdr:cNvPr id="2" name="Chart 1">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127000</xdr:colOff>
      <xdr:row>75</xdr:row>
      <xdr:rowOff>127000</xdr:rowOff>
    </xdr:from>
    <xdr:to>
      <xdr:col>6</xdr:col>
      <xdr:colOff>441325</xdr:colOff>
      <xdr:row>93</xdr:row>
      <xdr:rowOff>127000</xdr:rowOff>
    </xdr:to>
    <xdr:graphicFrame macro="">
      <xdr:nvGraphicFramePr>
        <xdr:cNvPr id="3" name="Chart 1">
          <a:extLst>
            <a:ext uri="{FF2B5EF4-FFF2-40B4-BE49-F238E27FC236}">
              <a16:creationId xmlns:a16="http://schemas.microsoft.com/office/drawing/2014/main" id="{00000000-0008-0000-09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127000</xdr:colOff>
      <xdr:row>97</xdr:row>
      <xdr:rowOff>127000</xdr:rowOff>
    </xdr:from>
    <xdr:to>
      <xdr:col>6</xdr:col>
      <xdr:colOff>441325</xdr:colOff>
      <xdr:row>115</xdr:row>
      <xdr:rowOff>127000</xdr:rowOff>
    </xdr:to>
    <xdr:graphicFrame macro="">
      <xdr:nvGraphicFramePr>
        <xdr:cNvPr id="4" name="Chart 1">
          <a:extLst>
            <a:ext uri="{FF2B5EF4-FFF2-40B4-BE49-F238E27FC236}">
              <a16:creationId xmlns:a16="http://schemas.microsoft.com/office/drawing/2014/main" id="{00000000-0008-0000-09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127000</xdr:colOff>
      <xdr:row>119</xdr:row>
      <xdr:rowOff>127000</xdr:rowOff>
    </xdr:from>
    <xdr:to>
      <xdr:col>6</xdr:col>
      <xdr:colOff>441325</xdr:colOff>
      <xdr:row>137</xdr:row>
      <xdr:rowOff>127000</xdr:rowOff>
    </xdr:to>
    <xdr:graphicFrame macro="">
      <xdr:nvGraphicFramePr>
        <xdr:cNvPr id="5" name="Chart 1">
          <a:extLst>
            <a:ext uri="{FF2B5EF4-FFF2-40B4-BE49-F238E27FC236}">
              <a16:creationId xmlns:a16="http://schemas.microsoft.com/office/drawing/2014/main" id="{00000000-0008-0000-09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127000</xdr:colOff>
      <xdr:row>141</xdr:row>
      <xdr:rowOff>127000</xdr:rowOff>
    </xdr:from>
    <xdr:to>
      <xdr:col>6</xdr:col>
      <xdr:colOff>441325</xdr:colOff>
      <xdr:row>159</xdr:row>
      <xdr:rowOff>127000</xdr:rowOff>
    </xdr:to>
    <xdr:graphicFrame macro="">
      <xdr:nvGraphicFramePr>
        <xdr:cNvPr id="6" name="Chart 1">
          <a:extLst>
            <a:ext uri="{FF2B5EF4-FFF2-40B4-BE49-F238E27FC236}">
              <a16:creationId xmlns:a16="http://schemas.microsoft.com/office/drawing/2014/main" id="{00000000-0008-0000-09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127000</xdr:colOff>
      <xdr:row>163</xdr:row>
      <xdr:rowOff>127000</xdr:rowOff>
    </xdr:from>
    <xdr:to>
      <xdr:col>6</xdr:col>
      <xdr:colOff>441325</xdr:colOff>
      <xdr:row>181</xdr:row>
      <xdr:rowOff>127000</xdr:rowOff>
    </xdr:to>
    <xdr:graphicFrame macro="">
      <xdr:nvGraphicFramePr>
        <xdr:cNvPr id="7" name="Chart 1">
          <a:extLst>
            <a:ext uri="{FF2B5EF4-FFF2-40B4-BE49-F238E27FC236}">
              <a16:creationId xmlns:a16="http://schemas.microsoft.com/office/drawing/2014/main" id="{00000000-0008-0000-09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276223</xdr:colOff>
      <xdr:row>1</xdr:row>
      <xdr:rowOff>76199</xdr:rowOff>
    </xdr:from>
    <xdr:to>
      <xdr:col>18</xdr:col>
      <xdr:colOff>219075</xdr:colOff>
      <xdr:row>23</xdr:row>
      <xdr:rowOff>38100</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6762748" y="266699"/>
          <a:ext cx="5429252" cy="2552701"/>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latin typeface="+mn-lt"/>
              <a:ea typeface="+mn-ea"/>
              <a:cs typeface="+mn-cs"/>
            </a:rPr>
            <a:t>When a similar model that uses  the first and second powers of cooling degrees days is fitted,  as shown here, the 2nd-power  term turns out to be marginally significant (t=2.055) and the standard error of the regression decreases by about 5% from 2056 to 1956.  So, there is evidently a temperature effect as well as a calendar effect, although not as strong as for commercial gas use.  The time pattern in electrical gas use is quite a bit more complicated than that of commercial or residential gas use.</a:t>
          </a:r>
        </a:p>
        <a:p>
          <a:pPr marL="0" marR="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dk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latin typeface="+mn-lt"/>
              <a:ea typeface="+mn-ea"/>
              <a:cs typeface="+mn-cs"/>
            </a:rPr>
            <a:t>This model also has a problem:  there is significant positive autocorrelation in the errors, as indicated by the lag-1 autocorrelation stat (which is 0.468,  when ideally it should be close to zero) and the Durbin-Watson stat (which is 1.056, when ideally it should be close to 2.)  This is confirmed by the residual-vs-observation # chart, which shows that the model tends to make many positive errors in a row or many negative errors in a row.  There are a variety of ways in which this problem could be addressed.  A simple one would be to add electrical- natural-gas-lagged-by-one-period as another independent variable.</a:t>
          </a:r>
          <a:endParaRPr lang="en-US" sz="1100"/>
        </a:p>
      </xdr:txBody>
    </xdr:sp>
    <xdr:clientData/>
  </xdr:twoCellAnchor>
  <xdr:twoCellAnchor editAs="oneCell">
    <xdr:from>
      <xdr:col>9</xdr:col>
      <xdr:colOff>257175</xdr:colOff>
      <xdr:row>24</xdr:row>
      <xdr:rowOff>38100</xdr:rowOff>
    </xdr:from>
    <xdr:to>
      <xdr:col>22</xdr:col>
      <xdr:colOff>37137</xdr:colOff>
      <xdr:row>88</xdr:row>
      <xdr:rowOff>37491</xdr:rowOff>
    </xdr:to>
    <xdr:pic>
      <xdr:nvPicPr>
        <xdr:cNvPr id="10" name="Picture 9">
          <a:extLst>
            <a:ext uri="{FF2B5EF4-FFF2-40B4-BE49-F238E27FC236}">
              <a16:creationId xmlns:a16="http://schemas.microsoft.com/office/drawing/2014/main" id="{00000000-0008-0000-0900-00000A000000}"/>
            </a:ext>
          </a:extLst>
        </xdr:cNvPr>
        <xdr:cNvPicPr>
          <a:picLocks noChangeAspect="1"/>
        </xdr:cNvPicPr>
      </xdr:nvPicPr>
      <xdr:blipFill>
        <a:blip xmlns:r="http://schemas.openxmlformats.org/officeDocument/2006/relationships" r:embed="rId7"/>
        <a:stretch>
          <a:fillRect/>
        </a:stretch>
      </xdr:blipFill>
      <xdr:spPr>
        <a:xfrm>
          <a:off x="6743700" y="2962275"/>
          <a:ext cx="7704762" cy="487619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B40038-D9A2-B344-9EFD-196777B6391C}">
  <dimension ref="A1:I9"/>
  <sheetViews>
    <sheetView workbookViewId="0">
      <selection sqref="A1:I9"/>
    </sheetView>
  </sheetViews>
  <sheetFormatPr baseColWidth="10" defaultRowHeight="15" x14ac:dyDescent="0.2"/>
  <sheetData>
    <row r="1" spans="1:9" x14ac:dyDescent="0.2">
      <c r="B1" t="s">
        <v>326</v>
      </c>
      <c r="C1" t="s">
        <v>7</v>
      </c>
      <c r="D1" t="s">
        <v>273</v>
      </c>
      <c r="E1" t="s">
        <v>8</v>
      </c>
      <c r="F1" t="s">
        <v>36</v>
      </c>
      <c r="G1" t="s">
        <v>9</v>
      </c>
      <c r="H1" t="s">
        <v>10</v>
      </c>
      <c r="I1" t="s">
        <v>11</v>
      </c>
    </row>
    <row r="2" spans="1:9" x14ac:dyDescent="0.2">
      <c r="A2" t="s">
        <v>326</v>
      </c>
      <c r="B2">
        <v>1</v>
      </c>
    </row>
    <row r="3" spans="1:9" x14ac:dyDescent="0.2">
      <c r="A3" t="s">
        <v>7</v>
      </c>
      <c r="B3">
        <v>-0.42855546789966958</v>
      </c>
      <c r="C3">
        <v>1</v>
      </c>
    </row>
    <row r="4" spans="1:9" x14ac:dyDescent="0.2">
      <c r="A4" t="s">
        <v>273</v>
      </c>
      <c r="B4">
        <v>-0.28228120511601174</v>
      </c>
      <c r="C4">
        <v>0.9704805816590556</v>
      </c>
      <c r="D4">
        <v>1</v>
      </c>
    </row>
    <row r="5" spans="1:9" x14ac:dyDescent="0.2">
      <c r="A5" t="s">
        <v>8</v>
      </c>
      <c r="B5">
        <v>0.90288339632233172</v>
      </c>
      <c r="C5">
        <v>-0.73425326548313208</v>
      </c>
      <c r="D5">
        <v>-0.61354987176431097</v>
      </c>
      <c r="E5">
        <v>1</v>
      </c>
    </row>
    <row r="6" spans="1:9" x14ac:dyDescent="0.2">
      <c r="A6" t="s">
        <v>36</v>
      </c>
      <c r="B6">
        <v>0.9452027427359776</v>
      </c>
      <c r="C6">
        <v>-0.5852361476121889</v>
      </c>
      <c r="D6">
        <v>-0.47641569336660827</v>
      </c>
      <c r="E6">
        <v>0.96678620488853617</v>
      </c>
      <c r="F6">
        <v>1</v>
      </c>
    </row>
    <row r="7" spans="1:9" x14ac:dyDescent="0.2">
      <c r="A7" t="s">
        <v>9</v>
      </c>
      <c r="B7">
        <v>-0.78952152719622903</v>
      </c>
      <c r="C7">
        <v>0.8706537130684201</v>
      </c>
      <c r="D7">
        <v>0.77712682594467841</v>
      </c>
      <c r="E7">
        <v>-0.96860967581178814</v>
      </c>
      <c r="F7">
        <v>-0.89269306211139143</v>
      </c>
      <c r="G7">
        <v>1</v>
      </c>
    </row>
    <row r="8" spans="1:9" x14ac:dyDescent="0.2">
      <c r="A8" t="s">
        <v>10</v>
      </c>
      <c r="B8">
        <v>-0.7509544095866082</v>
      </c>
      <c r="C8">
        <v>0.90705518584955824</v>
      </c>
      <c r="D8">
        <v>0.81540553117773118</v>
      </c>
      <c r="E8">
        <v>-0.94672658727000403</v>
      </c>
      <c r="F8">
        <v>-0.85540932858199648</v>
      </c>
      <c r="G8">
        <v>0.98701068253223467</v>
      </c>
      <c r="H8">
        <v>1</v>
      </c>
    </row>
    <row r="9" spans="1:9" x14ac:dyDescent="0.2">
      <c r="A9" t="s">
        <v>11</v>
      </c>
      <c r="B9">
        <v>-0.7725414118614653</v>
      </c>
      <c r="C9">
        <v>0.89180830643093323</v>
      </c>
      <c r="D9">
        <v>0.79911785021428783</v>
      </c>
      <c r="E9">
        <v>-0.96071640373749845</v>
      </c>
      <c r="F9">
        <v>-0.87683113176391081</v>
      </c>
      <c r="G9">
        <v>0.99678518875385835</v>
      </c>
      <c r="H9">
        <v>0.99670531707668597</v>
      </c>
      <c r="I9">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CG264"/>
  <sheetViews>
    <sheetView showGridLines="0" showRowColHeaders="0" workbookViewId="0">
      <selection activeCell="B1" sqref="B1"/>
    </sheetView>
  </sheetViews>
  <sheetFormatPr baseColWidth="10" defaultColWidth="9.1640625" defaultRowHeight="11" outlineLevelRow="1" x14ac:dyDescent="0.15"/>
  <cols>
    <col min="1" max="1" width="22" style="18" customWidth="1"/>
    <col min="2" max="2" width="9.1640625" style="18"/>
    <col min="3" max="3" width="9.5" style="18" bestFit="1" customWidth="1"/>
    <col min="4" max="7" width="9.1640625" style="18"/>
    <col min="8" max="8" width="9.33203125" style="18" bestFit="1" customWidth="1"/>
    <col min="9" max="77" width="9.1640625" style="18"/>
    <col min="78" max="78" width="73.5" style="18" bestFit="1" customWidth="1"/>
    <col min="79" max="16384" width="9.1640625" style="18"/>
  </cols>
  <sheetData>
    <row r="1" spans="1:78" ht="15" x14ac:dyDescent="0.2">
      <c r="A1" s="19" t="s">
        <v>94</v>
      </c>
      <c r="B1" s="18" t="s">
        <v>210</v>
      </c>
      <c r="E1"/>
      <c r="U1" s="52"/>
      <c r="Z1" s="35" t="s">
        <v>211</v>
      </c>
      <c r="BZ1"/>
    </row>
    <row r="2" spans="1:78" x14ac:dyDescent="0.15">
      <c r="A2" s="19" t="s">
        <v>97</v>
      </c>
      <c r="C2" s="18" t="s">
        <v>49</v>
      </c>
      <c r="AA2" s="35" t="str">
        <f>"Forecasts and " &amp; TEXT($I$10, "0.0%") &amp; " confidence limits for means and forecasts
Com HDD model with dummies for _Commercial_Natural_Gas    (14 variables, n=77)"</f>
        <v>Forecasts and 95.0% confidence limits for means and forecasts
Com HDD model with dummies for _Commercial_Natural_Gas    (14 variables, n=77)</v>
      </c>
    </row>
    <row r="3" spans="1:78" ht="11.25" hidden="1" customHeight="1" outlineLevel="1" x14ac:dyDescent="0.15">
      <c r="A3" s="19" t="s">
        <v>98</v>
      </c>
      <c r="AA3" s="35" t="str">
        <f>IF($A$49 &lt;&gt; "","Actual and predicted -vs- Observation # with " &amp; TEXT($I$10, "0.0%") &amp; " confidence limits
Com HDD model with dummies for _Commercial_Natural_Gas
(14 variables, n=77)","Actual and predicted -vs- Observation #
Com HDD model with dummies for _Commercial_Natural_Gas
(14 variables, n=77)")</f>
        <v>Actual and predicted -vs- Observation # with 95.0% confidence limits
Com HDD model with dummies for _Commercial_Natural_Gas
(14 variables, n=77)</v>
      </c>
    </row>
    <row r="4" spans="1:78" hidden="1" outlineLevel="1" x14ac:dyDescent="0.15">
      <c r="A4" s="18" t="s">
        <v>212</v>
      </c>
    </row>
    <row r="5" spans="1:78" hidden="1" outlineLevel="1" x14ac:dyDescent="0.15">
      <c r="A5" s="19" t="s">
        <v>99</v>
      </c>
    </row>
    <row r="6" spans="1:78" hidden="1" outlineLevel="1" x14ac:dyDescent="0.15">
      <c r="A6" s="18" t="s">
        <v>213</v>
      </c>
    </row>
    <row r="7" spans="1:78" collapsed="1" x14ac:dyDescent="0.15"/>
    <row r="8" spans="1:78" x14ac:dyDescent="0.15">
      <c r="A8" s="20" t="s">
        <v>214</v>
      </c>
    </row>
    <row r="9" spans="1:78" ht="12" outlineLevel="1" thickBot="1" x14ac:dyDescent="0.2">
      <c r="A9" s="21"/>
      <c r="B9" s="23" t="s">
        <v>102</v>
      </c>
      <c r="C9" s="23" t="s">
        <v>103</v>
      </c>
      <c r="D9" s="23" t="s">
        <v>104</v>
      </c>
      <c r="E9" s="23" t="s">
        <v>105</v>
      </c>
      <c r="F9" s="23" t="s">
        <v>39</v>
      </c>
      <c r="G9" s="23" t="s">
        <v>106</v>
      </c>
      <c r="H9" s="23" t="str">
        <f>"t("&amp;TEXT((1-I10)/2,"0.00%") &amp; ",62)"</f>
        <v>t(2.50%,62)</v>
      </c>
      <c r="I9" s="23" t="s">
        <v>107</v>
      </c>
    </row>
    <row r="10" spans="1:78" outlineLevel="1" x14ac:dyDescent="0.15">
      <c r="B10" s="24">
        <f xml:space="preserve"> 1 - C33 / C34</f>
        <v>0.9919170602486681</v>
      </c>
      <c r="C10" s="24">
        <f>1-D10^2/E10^2</f>
        <v>0.99009188030481898</v>
      </c>
      <c r="D10" s="24">
        <f xml:space="preserve"> SQRT(D33)</f>
        <v>255.30604899121755</v>
      </c>
      <c r="E10" s="25">
        <v>2564.8707359912892</v>
      </c>
      <c r="F10" s="26">
        <v>77</v>
      </c>
      <c r="G10" s="26">
        <v>13</v>
      </c>
      <c r="H10" s="18">
        <f>TINV(1 - $I$10, F10 - 14 - 1)</f>
        <v>1.9989715170333793</v>
      </c>
      <c r="I10" s="27">
        <v>0.95</v>
      </c>
    </row>
    <row r="12" spans="1:78" x14ac:dyDescent="0.15">
      <c r="A12" s="20" t="s">
        <v>215</v>
      </c>
    </row>
    <row r="13" spans="1:78" ht="12" outlineLevel="1" thickBot="1" x14ac:dyDescent="0.2">
      <c r="A13" s="28" t="s">
        <v>38</v>
      </c>
      <c r="B13" s="23" t="s">
        <v>109</v>
      </c>
      <c r="C13" s="23" t="s">
        <v>110</v>
      </c>
      <c r="D13" s="23" t="s">
        <v>111</v>
      </c>
      <c r="E13" s="23" t="s">
        <v>112</v>
      </c>
      <c r="F13" s="23" t="str">
        <f>IF($I$10&gt;99%,("Lower"&amp;TEXT($I$10,"0.0%")),("Lower"&amp;TEXT($I$10,"0%")))</f>
        <v>Lower95%</v>
      </c>
      <c r="G13" s="23" t="str">
        <f>IF($I$10&gt;99%,("Upper"&amp;TEXT($I$10,"0.0%")),("Upper"&amp;TEXT($I$10,"0%")))</f>
        <v>Upper95%</v>
      </c>
      <c r="H13" s="23" t="s">
        <v>105</v>
      </c>
      <c r="I13" s="23" t="s">
        <v>113</v>
      </c>
    </row>
    <row r="14" spans="1:78" outlineLevel="1" x14ac:dyDescent="0.15">
      <c r="A14" s="18" t="s">
        <v>114</v>
      </c>
      <c r="B14" s="24">
        <v>375.8445608131762</v>
      </c>
      <c r="C14" s="24">
        <v>466.44390389425956</v>
      </c>
      <c r="D14" s="24">
        <f>(B14 - 0) / C14</f>
        <v>0.80576583309442984</v>
      </c>
      <c r="E14" s="24">
        <f>TDIST(ABS(D14),$F$10 - 15,2)</f>
        <v>0.42345757645447246</v>
      </c>
      <c r="F14" s="24">
        <f>B14 - TINV(1 - $I$10, $F$10 - 15) * C14</f>
        <v>-556.5635173653036</v>
      </c>
      <c r="G14" s="25">
        <f>B14 + TINV(1 - $I$10, $F$10 - 15) * C14</f>
        <v>1308.2526389916561</v>
      </c>
    </row>
    <row r="15" spans="1:78" outlineLevel="1" x14ac:dyDescent="0.15">
      <c r="A15" s="18" t="s">
        <v>78</v>
      </c>
      <c r="B15" s="24">
        <v>9.9785724254705919</v>
      </c>
      <c r="C15" s="24">
        <v>2.4159972051859175</v>
      </c>
      <c r="D15" s="24">
        <f t="shared" ref="D15:D28" si="0">(B15 - 0) / C15</f>
        <v>4.130208596289628</v>
      </c>
      <c r="E15" s="24">
        <f t="shared" ref="E15:E28" si="1">TDIST(ABS(D15),$F$10 - 15,2)</f>
        <v>1.1034824479650165E-4</v>
      </c>
      <c r="F15" s="24">
        <f t="shared" ref="F15:F28" si="2">B15 - TINV(1 - $I$10, $F$10 - 15) * C15</f>
        <v>5.1490628270716936</v>
      </c>
      <c r="G15" s="24">
        <f t="shared" ref="G15:G28" si="3">B15 + TINV(1 - $I$10, $F$10 - 15) * C15</f>
        <v>14.80808202386949</v>
      </c>
      <c r="H15" s="24">
        <v>168.02028789630083</v>
      </c>
      <c r="I15" s="18">
        <f t="shared" ref="I15:I28" si="4">B15*H15/$E$10</f>
        <v>0.65367918476159481</v>
      </c>
    </row>
    <row r="16" spans="1:78" outlineLevel="1" x14ac:dyDescent="0.15">
      <c r="A16" s="18" t="s">
        <v>36</v>
      </c>
      <c r="B16" s="24">
        <v>1.3297775677606382E-2</v>
      </c>
      <c r="C16" s="46">
        <v>3.453530470162296E-3</v>
      </c>
      <c r="D16" s="24">
        <f t="shared" si="0"/>
        <v>3.8504874338003057</v>
      </c>
      <c r="E16" s="24">
        <f t="shared" si="1"/>
        <v>2.8164365955792638E-4</v>
      </c>
      <c r="F16" s="46">
        <f t="shared" si="2"/>
        <v>6.3942666345450571E-3</v>
      </c>
      <c r="G16" s="24">
        <f t="shared" si="3"/>
        <v>2.0201284720667706E-2</v>
      </c>
      <c r="H16" s="25">
        <v>74410.039515540513</v>
      </c>
      <c r="I16" s="18">
        <f t="shared" si="4"/>
        <v>0.38578474920961664</v>
      </c>
    </row>
    <row r="17" spans="1:9" outlineLevel="1" x14ac:dyDescent="0.15">
      <c r="A17" s="18" t="s">
        <v>24</v>
      </c>
      <c r="B17" s="24">
        <v>374.48288283202032</v>
      </c>
      <c r="C17" s="24">
        <v>150.41357501283451</v>
      </c>
      <c r="D17" s="24">
        <f t="shared" si="0"/>
        <v>2.4896880670515702</v>
      </c>
      <c r="E17" s="24">
        <f t="shared" si="1"/>
        <v>1.548142708155725E-2</v>
      </c>
      <c r="F17" s="24">
        <f t="shared" si="2"/>
        <v>73.810430606200498</v>
      </c>
      <c r="G17" s="24">
        <f t="shared" si="3"/>
        <v>675.15533505784015</v>
      </c>
      <c r="H17" s="24">
        <v>0.28936492084609694</v>
      </c>
      <c r="I17" s="18">
        <f t="shared" si="4"/>
        <v>4.2248604667800213E-2</v>
      </c>
    </row>
    <row r="18" spans="1:9" outlineLevel="1" x14ac:dyDescent="0.15">
      <c r="A18" s="18" t="s">
        <v>25</v>
      </c>
      <c r="B18" s="24">
        <v>556.32424818917843</v>
      </c>
      <c r="C18" s="24">
        <v>143.42444617932503</v>
      </c>
      <c r="D18" s="24">
        <f t="shared" si="0"/>
        <v>3.8788662812307506</v>
      </c>
      <c r="E18" s="24">
        <f t="shared" si="1"/>
        <v>2.5648852915844739E-4</v>
      </c>
      <c r="F18" s="24">
        <f t="shared" si="2"/>
        <v>269.6228654304208</v>
      </c>
      <c r="G18" s="24">
        <f t="shared" si="3"/>
        <v>843.02563094793607</v>
      </c>
      <c r="H18" s="24">
        <v>0.28936492084609694</v>
      </c>
      <c r="I18" s="18">
        <f t="shared" si="4"/>
        <v>6.2763678411968407E-2</v>
      </c>
    </row>
    <row r="19" spans="1:9" outlineLevel="1" x14ac:dyDescent="0.15">
      <c r="A19" s="18" t="s">
        <v>26</v>
      </c>
      <c r="B19" s="24">
        <v>568.48381232100201</v>
      </c>
      <c r="C19" s="24">
        <v>168.97700709064071</v>
      </c>
      <c r="D19" s="24">
        <f t="shared" si="0"/>
        <v>3.364267258065841</v>
      </c>
      <c r="E19" s="24">
        <f t="shared" si="1"/>
        <v>1.3205546403518742E-3</v>
      </c>
      <c r="F19" s="24">
        <f t="shared" si="2"/>
        <v>230.70358811326383</v>
      </c>
      <c r="G19" s="24">
        <f t="shared" si="3"/>
        <v>906.26403652874023</v>
      </c>
      <c r="H19" s="24">
        <v>0.26980664452011627</v>
      </c>
      <c r="I19" s="18">
        <f t="shared" si="4"/>
        <v>5.9800561374900418E-2</v>
      </c>
    </row>
    <row r="20" spans="1:9" outlineLevel="1" x14ac:dyDescent="0.15">
      <c r="A20" s="18" t="s">
        <v>27</v>
      </c>
      <c r="B20" s="24">
        <v>359.57948380891162</v>
      </c>
      <c r="C20" s="24">
        <v>299.98460509070151</v>
      </c>
      <c r="D20" s="24">
        <f t="shared" si="0"/>
        <v>1.1986597902255396</v>
      </c>
      <c r="E20" s="24">
        <f t="shared" si="1"/>
        <v>0.23522184387456374</v>
      </c>
      <c r="F20" s="24">
        <f t="shared" si="2"/>
        <v>-240.08119731590716</v>
      </c>
      <c r="G20" s="24">
        <f t="shared" si="3"/>
        <v>959.2401649337304</v>
      </c>
      <c r="H20" s="24">
        <v>0.28936492084609694</v>
      </c>
      <c r="I20" s="18">
        <f t="shared" si="4"/>
        <v>4.0567225244601754E-2</v>
      </c>
    </row>
    <row r="21" spans="1:9" outlineLevel="1" x14ac:dyDescent="0.15">
      <c r="A21" s="18" t="s">
        <v>28</v>
      </c>
      <c r="B21" s="24">
        <v>578.91584174923025</v>
      </c>
      <c r="C21" s="24">
        <v>417.53940323779892</v>
      </c>
      <c r="D21" s="24">
        <f t="shared" si="0"/>
        <v>1.3864939147300632</v>
      </c>
      <c r="E21" s="24">
        <f t="shared" si="1"/>
        <v>0.17056180150990841</v>
      </c>
      <c r="F21" s="24">
        <f t="shared" si="2"/>
        <v>-255.73353256224448</v>
      </c>
      <c r="G21" s="25">
        <f t="shared" si="3"/>
        <v>1413.5652160607051</v>
      </c>
      <c r="H21" s="24">
        <v>0.28936492084609694</v>
      </c>
      <c r="I21" s="18">
        <f t="shared" si="4"/>
        <v>6.5312428565556579E-2</v>
      </c>
    </row>
    <row r="22" spans="1:9" outlineLevel="1" x14ac:dyDescent="0.15">
      <c r="A22" s="18" t="s">
        <v>29</v>
      </c>
      <c r="B22" s="24">
        <v>516.70510315822708</v>
      </c>
      <c r="C22" s="24">
        <v>460.80496379674724</v>
      </c>
      <c r="D22" s="24">
        <f t="shared" si="0"/>
        <v>1.1213097595583548</v>
      </c>
      <c r="E22" s="24">
        <f t="shared" si="1"/>
        <v>0.26648033042878827</v>
      </c>
      <c r="F22" s="24">
        <f t="shared" si="2"/>
        <v>-404.43089437906815</v>
      </c>
      <c r="G22" s="25">
        <f t="shared" si="3"/>
        <v>1437.8411006955223</v>
      </c>
      <c r="H22" s="24">
        <v>0.28936492084609694</v>
      </c>
      <c r="I22" s="18">
        <f t="shared" si="4"/>
        <v>5.8293905099419611E-2</v>
      </c>
    </row>
    <row r="23" spans="1:9" outlineLevel="1" x14ac:dyDescent="0.15">
      <c r="A23" s="18" t="s">
        <v>30</v>
      </c>
      <c r="B23" s="24">
        <v>421.68766097837261</v>
      </c>
      <c r="C23" s="24">
        <v>462.23566099992928</v>
      </c>
      <c r="D23" s="24">
        <f t="shared" si="0"/>
        <v>0.91227851193081599</v>
      </c>
      <c r="E23" s="24">
        <f t="shared" si="1"/>
        <v>0.3651558468993481</v>
      </c>
      <c r="F23" s="24">
        <f t="shared" si="2"/>
        <v>-502.30825951758288</v>
      </c>
      <c r="G23" s="25">
        <f t="shared" si="3"/>
        <v>1345.6835814743281</v>
      </c>
      <c r="H23" s="24">
        <v>0.26980664452011627</v>
      </c>
      <c r="I23" s="18">
        <f t="shared" si="4"/>
        <v>4.4358622540928504E-2</v>
      </c>
    </row>
    <row r="24" spans="1:9" outlineLevel="1" x14ac:dyDescent="0.15">
      <c r="A24" s="18" t="s">
        <v>31</v>
      </c>
      <c r="B24" s="24">
        <v>617.43493118112428</v>
      </c>
      <c r="C24" s="24">
        <v>462.11609541585966</v>
      </c>
      <c r="D24" s="24">
        <f t="shared" si="0"/>
        <v>1.3361034971644792</v>
      </c>
      <c r="E24" s="24">
        <f t="shared" si="1"/>
        <v>0.1863988921839925</v>
      </c>
      <c r="F24" s="24">
        <f t="shared" si="2"/>
        <v>-306.32198111785851</v>
      </c>
      <c r="G24" s="25">
        <f t="shared" si="3"/>
        <v>1541.1918434801071</v>
      </c>
      <c r="H24" s="24">
        <v>0.26980664452011627</v>
      </c>
      <c r="I24" s="18">
        <f t="shared" si="4"/>
        <v>6.4949880184548142E-2</v>
      </c>
    </row>
    <row r="25" spans="1:9" outlineLevel="1" x14ac:dyDescent="0.15">
      <c r="A25" s="18" t="s">
        <v>32</v>
      </c>
      <c r="B25" s="24">
        <v>701.04086884657977</v>
      </c>
      <c r="C25" s="24">
        <v>449.07280521341676</v>
      </c>
      <c r="D25" s="24">
        <f t="shared" si="0"/>
        <v>1.561085108490188</v>
      </c>
      <c r="E25" s="24">
        <f t="shared" si="1"/>
        <v>0.12359398937090897</v>
      </c>
      <c r="F25" s="24">
        <f t="shared" si="2"/>
        <v>-196.64287784931912</v>
      </c>
      <c r="G25" s="25">
        <f t="shared" si="3"/>
        <v>1598.7246155424787</v>
      </c>
      <c r="H25" s="24">
        <v>0.26980664452011627</v>
      </c>
      <c r="I25" s="18">
        <f t="shared" si="4"/>
        <v>7.3744646013071041E-2</v>
      </c>
    </row>
    <row r="26" spans="1:9" outlineLevel="1" x14ac:dyDescent="0.15">
      <c r="A26" s="18" t="s">
        <v>33</v>
      </c>
      <c r="B26" s="24">
        <v>796.91338283497873</v>
      </c>
      <c r="C26" s="24">
        <v>295.54875851667742</v>
      </c>
      <c r="D26" s="24">
        <f t="shared" si="0"/>
        <v>2.6963854858825602</v>
      </c>
      <c r="E26" s="24">
        <f t="shared" si="1"/>
        <v>9.0135270189213076E-3</v>
      </c>
      <c r="F26" s="24">
        <f t="shared" si="2"/>
        <v>206.11983266556422</v>
      </c>
      <c r="G26" s="25">
        <f t="shared" si="3"/>
        <v>1387.7069330043932</v>
      </c>
      <c r="H26" s="24">
        <v>0.26980664452011627</v>
      </c>
      <c r="I26" s="18">
        <f t="shared" si="4"/>
        <v>8.3829770747795948E-2</v>
      </c>
    </row>
    <row r="27" spans="1:9" outlineLevel="1" x14ac:dyDescent="0.15">
      <c r="A27" s="18" t="s">
        <v>34</v>
      </c>
      <c r="B27" s="24">
        <v>193.40502616126813</v>
      </c>
      <c r="C27" s="24">
        <v>166.5664788049327</v>
      </c>
      <c r="D27" s="24">
        <f t="shared" si="0"/>
        <v>1.1611281426424716</v>
      </c>
      <c r="E27" s="24">
        <f t="shared" si="1"/>
        <v>0.25004081349172308</v>
      </c>
      <c r="F27" s="24">
        <f t="shared" si="2"/>
        <v>-139.55662066233643</v>
      </c>
      <c r="G27" s="24">
        <f t="shared" si="3"/>
        <v>526.36667298487271</v>
      </c>
      <c r="H27" s="24">
        <v>0.26980664452011627</v>
      </c>
      <c r="I27" s="18">
        <f t="shared" si="4"/>
        <v>2.0344869786090566E-2</v>
      </c>
    </row>
    <row r="28" spans="1:9" outlineLevel="1" x14ac:dyDescent="0.15">
      <c r="A28" s="18" t="s">
        <v>1</v>
      </c>
      <c r="B28" s="24">
        <v>10.754143695801687</v>
      </c>
      <c r="C28" s="24">
        <v>1.3227258457150406</v>
      </c>
      <c r="D28" s="24">
        <f t="shared" si="0"/>
        <v>8.1302892285953643</v>
      </c>
      <c r="E28" s="24">
        <f t="shared" si="1"/>
        <v>2.3521299392772103E-11</v>
      </c>
      <c r="F28" s="24">
        <f t="shared" si="2"/>
        <v>8.110052405373434</v>
      </c>
      <c r="G28" s="24">
        <f t="shared" si="3"/>
        <v>13.398234986229941</v>
      </c>
      <c r="H28" s="24">
        <v>22.437891798920024</v>
      </c>
      <c r="I28" s="18">
        <f t="shared" si="4"/>
        <v>9.40789370982381E-2</v>
      </c>
    </row>
    <row r="30" spans="1:9" x14ac:dyDescent="0.15">
      <c r="A30" s="20" t="s">
        <v>216</v>
      </c>
    </row>
    <row r="31" spans="1:9" ht="12" hidden="1" outlineLevel="1" thickBot="1" x14ac:dyDescent="0.2">
      <c r="A31" s="28" t="s">
        <v>116</v>
      </c>
      <c r="B31" s="23" t="s">
        <v>120</v>
      </c>
      <c r="C31" s="23" t="s">
        <v>121</v>
      </c>
      <c r="D31" s="23" t="s">
        <v>122</v>
      </c>
      <c r="E31" s="23" t="s">
        <v>123</v>
      </c>
      <c r="F31" s="23" t="s">
        <v>112</v>
      </c>
    </row>
    <row r="32" spans="1:9" hidden="1" outlineLevel="1" x14ac:dyDescent="0.15">
      <c r="A32" s="18" t="s">
        <v>117</v>
      </c>
      <c r="B32" s="26">
        <v>14</v>
      </c>
      <c r="C32" s="25">
        <f>C34 - C33</f>
        <v>495929470.74178845</v>
      </c>
      <c r="D32" s="25">
        <f>C32/B32</f>
        <v>35423533.62441346</v>
      </c>
      <c r="E32" s="24">
        <f>D32/D33</f>
        <v>543.46261232566735</v>
      </c>
      <c r="F32" s="24">
        <f>FDIST(E32,14,62)</f>
        <v>3.0237663539063916E-59</v>
      </c>
    </row>
    <row r="33" spans="1:22" hidden="1" outlineLevel="1" x14ac:dyDescent="0.15">
      <c r="A33" s="18" t="s">
        <v>118</v>
      </c>
      <c r="B33" s="26">
        <v>62</v>
      </c>
      <c r="C33" s="25">
        <v>4041233.0763933705</v>
      </c>
      <c r="D33" s="25">
        <f>C33/B33</f>
        <v>65181.178651505979</v>
      </c>
    </row>
    <row r="34" spans="1:22" hidden="1" outlineLevel="1" x14ac:dyDescent="0.15">
      <c r="A34" s="18" t="s">
        <v>119</v>
      </c>
      <c r="B34" s="26">
        <f>B32 + B33</f>
        <v>76</v>
      </c>
      <c r="C34" s="25">
        <v>499970703.81818181</v>
      </c>
    </row>
    <row r="35" spans="1:22" collapsed="1" x14ac:dyDescent="0.15"/>
    <row r="36" spans="1:22" x14ac:dyDescent="0.15">
      <c r="A36" s="20" t="s">
        <v>217</v>
      </c>
    </row>
    <row r="37" spans="1:22" ht="12" outlineLevel="1" thickBot="1" x14ac:dyDescent="0.2">
      <c r="A37" s="23" t="s">
        <v>129</v>
      </c>
      <c r="B37" s="23" t="s">
        <v>130</v>
      </c>
      <c r="C37" s="23" t="s">
        <v>131</v>
      </c>
      <c r="D37" s="23" t="s">
        <v>112</v>
      </c>
      <c r="E37" s="23" t="s">
        <v>133</v>
      </c>
      <c r="F37" s="23" t="s">
        <v>134</v>
      </c>
      <c r="G37" s="28" t="s">
        <v>135</v>
      </c>
    </row>
    <row r="38" spans="1:22" outlineLevel="1" x14ac:dyDescent="0.15">
      <c r="A38" s="26">
        <v>42</v>
      </c>
      <c r="B38" s="26">
        <v>35</v>
      </c>
      <c r="C38" s="18">
        <v>1.0158123439600275</v>
      </c>
      <c r="D38" s="18">
        <v>1.1261338379630734E-2</v>
      </c>
      <c r="E38" s="24">
        <v>-2.7755593989364811</v>
      </c>
      <c r="F38" s="24">
        <v>2.702430002561905</v>
      </c>
      <c r="G38" s="24">
        <v>1.6710154882823258</v>
      </c>
    </row>
    <row r="39" spans="1:22" outlineLevel="1" x14ac:dyDescent="0.15">
      <c r="A39" s="18" t="s">
        <v>132</v>
      </c>
    </row>
    <row r="41" spans="1:22" x14ac:dyDescent="0.15">
      <c r="A41" s="20" t="s">
        <v>218</v>
      </c>
    </row>
    <row r="42" spans="1:22" ht="12" outlineLevel="1" thickBot="1" x14ac:dyDescent="0.2">
      <c r="A42" s="22" t="s">
        <v>137</v>
      </c>
      <c r="B42" s="31">
        <v>1</v>
      </c>
      <c r="C42" s="31">
        <v>2</v>
      </c>
      <c r="D42" s="31">
        <v>3</v>
      </c>
      <c r="E42" s="31">
        <v>4</v>
      </c>
      <c r="F42" s="31">
        <v>5</v>
      </c>
      <c r="G42" s="31">
        <v>6</v>
      </c>
      <c r="H42" s="31">
        <v>7</v>
      </c>
      <c r="I42" s="31">
        <v>12</v>
      </c>
    </row>
    <row r="43" spans="1:22" outlineLevel="1" x14ac:dyDescent="0.15">
      <c r="A43" s="18" t="s">
        <v>138</v>
      </c>
      <c r="B43" s="24">
        <v>0.15655990465379008</v>
      </c>
      <c r="C43" s="24">
        <v>0.26753193335813158</v>
      </c>
      <c r="D43" s="45">
        <v>-1.4267093186012601E-2</v>
      </c>
      <c r="E43" s="45">
        <v>8.2251467845549389E-2</v>
      </c>
      <c r="F43" s="45">
        <v>-2.6936218254995571E-2</v>
      </c>
      <c r="G43" s="24">
        <v>0.1114730332347246</v>
      </c>
      <c r="H43" s="45">
        <v>8.8596186831478088E-2</v>
      </c>
      <c r="I43" s="24">
        <v>-0.28967727547917388</v>
      </c>
    </row>
    <row r="44" spans="1:22" outlineLevel="1" x14ac:dyDescent="0.15">
      <c r="A44" s="18" t="s">
        <v>140</v>
      </c>
    </row>
    <row r="45" spans="1:22" outlineLevel="1" x14ac:dyDescent="0.15">
      <c r="A45" s="32" t="s">
        <v>139</v>
      </c>
      <c r="B45" s="33">
        <f t="shared" ref="B45:I45" si="5" xml:space="preserve"> 1 / SQRT($F$10 - B42)</f>
        <v>0.11470786693528087</v>
      </c>
      <c r="C45" s="33">
        <f t="shared" si="5"/>
        <v>0.11547005383792514</v>
      </c>
      <c r="D45" s="33">
        <f t="shared" si="5"/>
        <v>0.11624763874381928</v>
      </c>
      <c r="E45" s="33">
        <f t="shared" si="5"/>
        <v>0.11704114719613057</v>
      </c>
      <c r="F45" s="33">
        <f t="shared" si="5"/>
        <v>0.11785113019775793</v>
      </c>
      <c r="G45" s="33">
        <f t="shared" si="5"/>
        <v>0.11867816581938533</v>
      </c>
      <c r="H45" s="33">
        <f t="shared" si="5"/>
        <v>0.11952286093343936</v>
      </c>
      <c r="I45" s="33">
        <f t="shared" si="5"/>
        <v>0.12403473458920847</v>
      </c>
    </row>
    <row r="47" spans="1:22" x14ac:dyDescent="0.15">
      <c r="A47" s="20" t="s">
        <v>219</v>
      </c>
    </row>
    <row r="48" spans="1:22" ht="12" hidden="1" outlineLevel="1" thickBot="1" x14ac:dyDescent="0.2">
      <c r="A48" s="23" t="s">
        <v>142</v>
      </c>
      <c r="B48" s="23" t="s">
        <v>143</v>
      </c>
      <c r="C48" s="23" t="s">
        <v>144</v>
      </c>
      <c r="D48" s="23" t="str">
        <f>IF($I$10&gt;99%,("Low"&amp;TEXT($I$10,"0.0%")&amp;"F"),("Lower"&amp;TEXT($I$10,"0%")&amp;"F"))</f>
        <v>Lower95%F</v>
      </c>
      <c r="E48" s="23" t="str">
        <f>IF($I$10&gt;99%,("Up"&amp;TEXT($I$10,"0.0%")&amp;"F"),("Upper"&amp;TEXT($I$10,"0%")&amp;"F"))</f>
        <v>Upper95%F</v>
      </c>
      <c r="F48" s="23" t="s">
        <v>145</v>
      </c>
      <c r="G48" s="23" t="str">
        <f>IF($I$10&gt;99%,("Low"&amp;TEXT($I$10,"0.0%")&amp;"M"),("Lower"&amp;TEXT($I$10,"0%")&amp;"M"))</f>
        <v>Lower95%M</v>
      </c>
      <c r="H48" s="23" t="str">
        <f>IF($I$10&gt;99%,("Up"&amp;TEXT($I$10,"0.0%")&amp;"M"),("Upper"&amp;TEXT($I$10,"0%")&amp;"M"))</f>
        <v>Upper95%M</v>
      </c>
      <c r="I48" s="28" t="s">
        <v>146</v>
      </c>
      <c r="J48" s="28" t="s">
        <v>204</v>
      </c>
      <c r="K48" s="28" t="s">
        <v>220</v>
      </c>
      <c r="L48" s="28" t="s">
        <v>221</v>
      </c>
      <c r="M48" s="28" t="s">
        <v>222</v>
      </c>
      <c r="N48" s="28" t="s">
        <v>223</v>
      </c>
      <c r="O48" s="28" t="s">
        <v>224</v>
      </c>
      <c r="P48" s="28" t="s">
        <v>225</v>
      </c>
      <c r="Q48" s="28" t="s">
        <v>226</v>
      </c>
      <c r="R48" s="28" t="s">
        <v>227</v>
      </c>
      <c r="S48" s="28" t="s">
        <v>228</v>
      </c>
      <c r="T48" s="28" t="s">
        <v>229</v>
      </c>
      <c r="U48" s="28" t="s">
        <v>230</v>
      </c>
      <c r="V48" s="28" t="s">
        <v>176</v>
      </c>
    </row>
    <row r="49" spans="1:85" hidden="1" outlineLevel="1" x14ac:dyDescent="0.15">
      <c r="A49" s="26">
        <v>75</v>
      </c>
      <c r="B49" s="25">
        <v>5663.4320581609318</v>
      </c>
      <c r="C49" s="24">
        <v>282.15471396914177</v>
      </c>
      <c r="D49" s="25">
        <f xml:space="preserve"> B49 - $H$10 * C49</f>
        <v>5099.4128215399169</v>
      </c>
      <c r="E49" s="25">
        <f xml:space="preserve"> B49 + $H$10 * C49</f>
        <v>6227.4512947819467</v>
      </c>
      <c r="F49" s="24">
        <v>120.12536769351522</v>
      </c>
      <c r="G49" s="25">
        <f xml:space="preserve"> B49 - $H$10 * F49</f>
        <v>5423.3048696684327</v>
      </c>
      <c r="H49" s="25">
        <f xml:space="preserve"> B49 + $H$10 * F49</f>
        <v>5903.5592466534308</v>
      </c>
      <c r="I49" s="34">
        <v>222.6</v>
      </c>
      <c r="J49" s="34">
        <v>49550.759999999995</v>
      </c>
      <c r="K49" s="34">
        <v>0</v>
      </c>
      <c r="L49" s="34">
        <v>0</v>
      </c>
      <c r="M49" s="34">
        <v>1</v>
      </c>
      <c r="N49" s="34">
        <v>0</v>
      </c>
      <c r="O49" s="34">
        <v>0</v>
      </c>
      <c r="P49" s="34">
        <v>0</v>
      </c>
      <c r="Q49" s="34">
        <v>0</v>
      </c>
      <c r="R49" s="34">
        <v>0</v>
      </c>
      <c r="S49" s="34">
        <v>0</v>
      </c>
      <c r="T49" s="34">
        <v>0</v>
      </c>
      <c r="U49" s="34">
        <v>0</v>
      </c>
      <c r="V49" s="34">
        <v>171</v>
      </c>
      <c r="W49" s="34"/>
      <c r="CG49" s="18">
        <f xml:space="preserve"> $C$49 * $H$10</f>
        <v>564.01923662101456</v>
      </c>
    </row>
    <row r="50" spans="1:85" hidden="1" outlineLevel="1" x14ac:dyDescent="0.15">
      <c r="I50" s="34"/>
      <c r="J50" s="34"/>
      <c r="K50" s="34"/>
      <c r="L50" s="34"/>
      <c r="M50" s="34"/>
      <c r="N50" s="34"/>
      <c r="O50" s="34"/>
      <c r="P50" s="34"/>
      <c r="Q50" s="34"/>
      <c r="R50" s="34"/>
      <c r="S50" s="34"/>
      <c r="T50" s="34"/>
      <c r="U50" s="34"/>
      <c r="V50" s="34"/>
      <c r="W50" s="34"/>
    </row>
    <row r="51" spans="1:85" hidden="1" outlineLevel="1" x14ac:dyDescent="0.15"/>
    <row r="52" spans="1:85" hidden="1" outlineLevel="1" x14ac:dyDescent="0.15"/>
    <row r="53" spans="1:85" hidden="1" outlineLevel="1" x14ac:dyDescent="0.15"/>
    <row r="54" spans="1:85" hidden="1" outlineLevel="1" x14ac:dyDescent="0.15"/>
    <row r="55" spans="1:85" hidden="1" outlineLevel="1" x14ac:dyDescent="0.15"/>
    <row r="56" spans="1:85" hidden="1" outlineLevel="1" x14ac:dyDescent="0.15"/>
    <row r="57" spans="1:85" hidden="1" outlineLevel="1" x14ac:dyDescent="0.15"/>
    <row r="58" spans="1:85" hidden="1" outlineLevel="1" x14ac:dyDescent="0.15"/>
    <row r="59" spans="1:85" hidden="1" outlineLevel="1" x14ac:dyDescent="0.15"/>
    <row r="60" spans="1:85" hidden="1" outlineLevel="1" x14ac:dyDescent="0.15"/>
    <row r="61" spans="1:85" hidden="1" outlineLevel="1" x14ac:dyDescent="0.15"/>
    <row r="62" spans="1:85" hidden="1" outlineLevel="1" x14ac:dyDescent="0.15"/>
    <row r="63" spans="1:85" hidden="1" outlineLevel="1" x14ac:dyDescent="0.15"/>
    <row r="64" spans="1:85" hidden="1" outlineLevel="1" x14ac:dyDescent="0.15"/>
    <row r="65" spans="1:3" hidden="1" outlineLevel="1" x14ac:dyDescent="0.15"/>
    <row r="66" spans="1:3" hidden="1" outlineLevel="1" x14ac:dyDescent="0.15"/>
    <row r="67" spans="1:3" hidden="1" outlineLevel="1" x14ac:dyDescent="0.15"/>
    <row r="68" spans="1:3" hidden="1" outlineLevel="1" x14ac:dyDescent="0.15"/>
    <row r="69" spans="1:3" hidden="1" outlineLevel="1" x14ac:dyDescent="0.15"/>
    <row r="70" spans="1:3" hidden="1" outlineLevel="1" x14ac:dyDescent="0.15"/>
    <row r="71" spans="1:3" hidden="1" outlineLevel="1" x14ac:dyDescent="0.15"/>
    <row r="72" spans="1:3" hidden="1" outlineLevel="1" x14ac:dyDescent="0.15"/>
    <row r="73" spans="1:3" hidden="1" outlineLevel="1" x14ac:dyDescent="0.15"/>
    <row r="74" spans="1:3" collapsed="1" x14ac:dyDescent="0.15"/>
    <row r="75" spans="1:3" x14ac:dyDescent="0.15">
      <c r="A75" s="20" t="s">
        <v>147</v>
      </c>
    </row>
    <row r="76" spans="1:3" outlineLevel="1" x14ac:dyDescent="0.15"/>
    <row r="77" spans="1:3" outlineLevel="1" x14ac:dyDescent="0.15"/>
    <row r="78" spans="1:3" outlineLevel="1" x14ac:dyDescent="0.15">
      <c r="C78" s="32" t="b">
        <v>1</v>
      </c>
    </row>
    <row r="79" spans="1:3" outlineLevel="1" x14ac:dyDescent="0.15"/>
    <row r="80" spans="1:3" outlineLevel="1" x14ac:dyDescent="0.15"/>
    <row r="81" outlineLevel="1" x14ac:dyDescent="0.15"/>
    <row r="82" outlineLevel="1" x14ac:dyDescent="0.15"/>
    <row r="83" outlineLevel="1" x14ac:dyDescent="0.15"/>
    <row r="84" outlineLevel="1" x14ac:dyDescent="0.15"/>
    <row r="85" outlineLevel="1" x14ac:dyDescent="0.15"/>
    <row r="86" outlineLevel="1" x14ac:dyDescent="0.15"/>
    <row r="87" outlineLevel="1" x14ac:dyDescent="0.15"/>
    <row r="88" outlineLevel="1" x14ac:dyDescent="0.15"/>
    <row r="89" outlineLevel="1" x14ac:dyDescent="0.15"/>
    <row r="90" outlineLevel="1" x14ac:dyDescent="0.15"/>
    <row r="91" outlineLevel="1" x14ac:dyDescent="0.15"/>
    <row r="92" outlineLevel="1" x14ac:dyDescent="0.15"/>
    <row r="93" outlineLevel="1" x14ac:dyDescent="0.15"/>
    <row r="94" outlineLevel="1" x14ac:dyDescent="0.15"/>
    <row r="95" outlineLevel="1" x14ac:dyDescent="0.15"/>
    <row r="97" spans="1:1" x14ac:dyDescent="0.15">
      <c r="A97" s="20" t="s">
        <v>148</v>
      </c>
    </row>
    <row r="98" spans="1:1" outlineLevel="1" x14ac:dyDescent="0.15"/>
    <row r="99" spans="1:1" outlineLevel="1" x14ac:dyDescent="0.15"/>
    <row r="100" spans="1:1" outlineLevel="1" x14ac:dyDescent="0.15"/>
    <row r="101" spans="1:1" outlineLevel="1" x14ac:dyDescent="0.15"/>
    <row r="102" spans="1:1" outlineLevel="1" x14ac:dyDescent="0.15"/>
    <row r="103" spans="1:1" outlineLevel="1" x14ac:dyDescent="0.15"/>
    <row r="104" spans="1:1" outlineLevel="1" x14ac:dyDescent="0.15"/>
    <row r="105" spans="1:1" outlineLevel="1" x14ac:dyDescent="0.15"/>
    <row r="106" spans="1:1" outlineLevel="1" x14ac:dyDescent="0.15"/>
    <row r="107" spans="1:1" outlineLevel="1" x14ac:dyDescent="0.15"/>
    <row r="108" spans="1:1" outlineLevel="1" x14ac:dyDescent="0.15"/>
    <row r="109" spans="1:1" outlineLevel="1" x14ac:dyDescent="0.15"/>
    <row r="110" spans="1:1" outlineLevel="1" x14ac:dyDescent="0.15"/>
    <row r="111" spans="1:1" outlineLevel="1" x14ac:dyDescent="0.15"/>
    <row r="112" spans="1:1" outlineLevel="1" x14ac:dyDescent="0.15"/>
    <row r="113" spans="1:1" outlineLevel="1" x14ac:dyDescent="0.15"/>
    <row r="114" spans="1:1" outlineLevel="1" x14ac:dyDescent="0.15"/>
    <row r="115" spans="1:1" outlineLevel="1" x14ac:dyDescent="0.15"/>
    <row r="116" spans="1:1" outlineLevel="1" x14ac:dyDescent="0.15"/>
    <row r="117" spans="1:1" outlineLevel="1" x14ac:dyDescent="0.15"/>
    <row r="119" spans="1:1" x14ac:dyDescent="0.15">
      <c r="A119" s="20" t="s">
        <v>149</v>
      </c>
    </row>
    <row r="120" spans="1:1" outlineLevel="1" x14ac:dyDescent="0.15"/>
    <row r="121" spans="1:1" outlineLevel="1" x14ac:dyDescent="0.15"/>
    <row r="122" spans="1:1" outlineLevel="1" x14ac:dyDescent="0.15"/>
    <row r="123" spans="1:1" outlineLevel="1" x14ac:dyDescent="0.15"/>
    <row r="124" spans="1:1" outlineLevel="1" x14ac:dyDescent="0.15"/>
    <row r="125" spans="1:1" outlineLevel="1" x14ac:dyDescent="0.15"/>
    <row r="126" spans="1:1" outlineLevel="1" x14ac:dyDescent="0.15"/>
    <row r="127" spans="1:1" outlineLevel="1" x14ac:dyDescent="0.15"/>
    <row r="128" spans="1:1" outlineLevel="1" x14ac:dyDescent="0.15"/>
    <row r="129" spans="1:1" outlineLevel="1" x14ac:dyDescent="0.15"/>
    <row r="130" spans="1:1" outlineLevel="1" x14ac:dyDescent="0.15"/>
    <row r="131" spans="1:1" outlineLevel="1" x14ac:dyDescent="0.15"/>
    <row r="132" spans="1:1" outlineLevel="1" x14ac:dyDescent="0.15"/>
    <row r="133" spans="1:1" outlineLevel="1" x14ac:dyDescent="0.15"/>
    <row r="134" spans="1:1" outlineLevel="1" x14ac:dyDescent="0.15"/>
    <row r="135" spans="1:1" outlineLevel="1" x14ac:dyDescent="0.15"/>
    <row r="136" spans="1:1" outlineLevel="1" x14ac:dyDescent="0.15"/>
    <row r="137" spans="1:1" outlineLevel="1" x14ac:dyDescent="0.15"/>
    <row r="138" spans="1:1" outlineLevel="1" x14ac:dyDescent="0.15"/>
    <row r="139" spans="1:1" outlineLevel="1" x14ac:dyDescent="0.15"/>
    <row r="141" spans="1:1" x14ac:dyDescent="0.15">
      <c r="A141" s="20" t="s">
        <v>150</v>
      </c>
    </row>
    <row r="142" spans="1:1" outlineLevel="1" x14ac:dyDescent="0.15"/>
    <row r="143" spans="1:1" outlineLevel="1" x14ac:dyDescent="0.15"/>
    <row r="144" spans="1:1" outlineLevel="1" x14ac:dyDescent="0.15"/>
    <row r="145" outlineLevel="1" x14ac:dyDescent="0.15"/>
    <row r="146" outlineLevel="1" x14ac:dyDescent="0.15"/>
    <row r="147" outlineLevel="1" x14ac:dyDescent="0.15"/>
    <row r="148" outlineLevel="1" x14ac:dyDescent="0.15"/>
    <row r="149" outlineLevel="1" x14ac:dyDescent="0.15"/>
    <row r="150" outlineLevel="1" x14ac:dyDescent="0.15"/>
    <row r="151" outlineLevel="1" x14ac:dyDescent="0.15"/>
    <row r="152" outlineLevel="1" x14ac:dyDescent="0.15"/>
    <row r="153" outlineLevel="1" x14ac:dyDescent="0.15"/>
    <row r="154" outlineLevel="1" x14ac:dyDescent="0.15"/>
    <row r="155" outlineLevel="1" x14ac:dyDescent="0.15"/>
    <row r="156" outlineLevel="1" x14ac:dyDescent="0.15"/>
    <row r="157" outlineLevel="1" x14ac:dyDescent="0.15"/>
    <row r="158" outlineLevel="1" x14ac:dyDescent="0.15"/>
    <row r="159" outlineLevel="1" x14ac:dyDescent="0.15"/>
    <row r="160" outlineLevel="1" x14ac:dyDescent="0.15"/>
    <row r="161" spans="1:1" outlineLevel="1" x14ac:dyDescent="0.15"/>
    <row r="163" spans="1:1" x14ac:dyDescent="0.15">
      <c r="A163" s="20" t="s">
        <v>151</v>
      </c>
    </row>
    <row r="164" spans="1:1" outlineLevel="1" x14ac:dyDescent="0.15"/>
    <row r="165" spans="1:1" outlineLevel="1" x14ac:dyDescent="0.15"/>
    <row r="166" spans="1:1" outlineLevel="1" x14ac:dyDescent="0.15"/>
    <row r="167" spans="1:1" outlineLevel="1" x14ac:dyDescent="0.15"/>
    <row r="168" spans="1:1" outlineLevel="1" x14ac:dyDescent="0.15"/>
    <row r="169" spans="1:1" outlineLevel="1" x14ac:dyDescent="0.15"/>
    <row r="170" spans="1:1" outlineLevel="1" x14ac:dyDescent="0.15"/>
    <row r="171" spans="1:1" outlineLevel="1" x14ac:dyDescent="0.15"/>
    <row r="172" spans="1:1" outlineLevel="1" x14ac:dyDescent="0.15"/>
    <row r="173" spans="1:1" outlineLevel="1" x14ac:dyDescent="0.15"/>
    <row r="174" spans="1:1" outlineLevel="1" x14ac:dyDescent="0.15"/>
    <row r="175" spans="1:1" outlineLevel="1" x14ac:dyDescent="0.15"/>
    <row r="176" spans="1:1" outlineLevel="1" x14ac:dyDescent="0.15"/>
    <row r="177" spans="1:6" outlineLevel="1" x14ac:dyDescent="0.15"/>
    <row r="178" spans="1:6" outlineLevel="1" x14ac:dyDescent="0.15"/>
    <row r="179" spans="1:6" outlineLevel="1" x14ac:dyDescent="0.15"/>
    <row r="180" spans="1:6" outlineLevel="1" x14ac:dyDescent="0.15"/>
    <row r="181" spans="1:6" outlineLevel="1" x14ac:dyDescent="0.15"/>
    <row r="182" spans="1:6" outlineLevel="1" x14ac:dyDescent="0.15"/>
    <row r="183" spans="1:6" outlineLevel="1" x14ac:dyDescent="0.15"/>
    <row r="185" spans="1:6" x14ac:dyDescent="0.15">
      <c r="A185" s="20" t="s">
        <v>231</v>
      </c>
    </row>
    <row r="186" spans="1:6" ht="12" hidden="1" outlineLevel="1" thickBot="1" x14ac:dyDescent="0.2">
      <c r="A186" s="23" t="s">
        <v>142</v>
      </c>
      <c r="B186" s="23" t="s">
        <v>153</v>
      </c>
      <c r="C186" s="23" t="s">
        <v>127</v>
      </c>
      <c r="D186" s="23" t="s">
        <v>118</v>
      </c>
      <c r="E186" s="23" t="s">
        <v>154</v>
      </c>
    </row>
    <row r="187" spans="1:6" ht="15" hidden="1" outlineLevel="1" x14ac:dyDescent="0.2">
      <c r="A187" s="36">
        <v>49</v>
      </c>
      <c r="B187" s="37">
        <v>6935</v>
      </c>
      <c r="C187" s="37">
        <v>7643.6171038829116</v>
      </c>
      <c r="D187" s="30">
        <f t="shared" ref="D187:D218" si="6">B187 - C187</f>
        <v>-708.61710388291158</v>
      </c>
      <c r="E187" s="19">
        <f t="shared" ref="E187:E218" si="7">D187 /255.306048991218</f>
        <v>-2.7755593989364762</v>
      </c>
      <c r="F187"/>
    </row>
    <row r="188" spans="1:6" ht="15" hidden="1" outlineLevel="1" x14ac:dyDescent="0.2">
      <c r="A188" s="36">
        <v>37</v>
      </c>
      <c r="B188" s="37">
        <v>8072</v>
      </c>
      <c r="C188" s="37">
        <v>7382.0532733705941</v>
      </c>
      <c r="D188" s="30">
        <f t="shared" si="6"/>
        <v>689.94672662940593</v>
      </c>
      <c r="E188" s="19">
        <f t="shared" si="7"/>
        <v>2.7024300025619001</v>
      </c>
      <c r="F188"/>
    </row>
    <row r="189" spans="1:6" ht="15" hidden="1" outlineLevel="1" x14ac:dyDescent="0.2">
      <c r="A189" s="36">
        <v>50</v>
      </c>
      <c r="B189" s="37">
        <v>7155</v>
      </c>
      <c r="C189" s="37">
        <v>7836.8652208254416</v>
      </c>
      <c r="D189" s="30">
        <f t="shared" si="6"/>
        <v>-681.86522082544161</v>
      </c>
      <c r="E189" s="19">
        <f t="shared" si="7"/>
        <v>-2.670775814046209</v>
      </c>
      <c r="F189"/>
    </row>
    <row r="190" spans="1:6" ht="15" hidden="1" outlineLevel="1" x14ac:dyDescent="0.2">
      <c r="A190" s="26">
        <v>47</v>
      </c>
      <c r="B190" s="25">
        <v>5686</v>
      </c>
      <c r="C190" s="25">
        <v>6193.1656138353328</v>
      </c>
      <c r="D190" s="24">
        <f t="shared" si="6"/>
        <v>-507.16561383533281</v>
      </c>
      <c r="E190" s="18">
        <f t="shared" si="7"/>
        <v>-1.986500577793902</v>
      </c>
      <c r="F190"/>
    </row>
    <row r="191" spans="1:6" ht="15" hidden="1" outlineLevel="1" x14ac:dyDescent="0.2">
      <c r="A191" s="26">
        <v>25</v>
      </c>
      <c r="B191" s="25">
        <v>9522</v>
      </c>
      <c r="C191" s="25">
        <v>9998.5768388042252</v>
      </c>
      <c r="D191" s="24">
        <f t="shared" si="6"/>
        <v>-476.57683880422519</v>
      </c>
      <c r="E191" s="18">
        <f t="shared" si="7"/>
        <v>-1.8666883949178126</v>
      </c>
      <c r="F191"/>
    </row>
    <row r="192" spans="1:6" ht="15" hidden="1" outlineLevel="1" x14ac:dyDescent="0.2">
      <c r="A192" s="26">
        <v>65</v>
      </c>
      <c r="B192" s="25">
        <v>3314</v>
      </c>
      <c r="C192" s="25">
        <v>2867.3126548907994</v>
      </c>
      <c r="D192" s="24">
        <f t="shared" si="6"/>
        <v>446.68734510920058</v>
      </c>
      <c r="E192" s="18">
        <f t="shared" si="7"/>
        <v>1.7496152044739279</v>
      </c>
      <c r="F192"/>
    </row>
    <row r="193" spans="1:6" ht="15" hidden="1" outlineLevel="1" x14ac:dyDescent="0.2">
      <c r="A193" s="26">
        <v>77</v>
      </c>
      <c r="B193" s="25">
        <v>2502</v>
      </c>
      <c r="C193" s="25">
        <v>2924.8891049408599</v>
      </c>
      <c r="D193" s="24">
        <f t="shared" si="6"/>
        <v>-422.88910494085985</v>
      </c>
      <c r="E193" s="18">
        <f t="shared" si="7"/>
        <v>-1.6564006478178133</v>
      </c>
      <c r="F193"/>
    </row>
    <row r="194" spans="1:6" ht="15" hidden="1" outlineLevel="1" x14ac:dyDescent="0.2">
      <c r="A194" s="26">
        <v>61</v>
      </c>
      <c r="B194" s="25">
        <v>11381</v>
      </c>
      <c r="C194" s="25">
        <v>10988.905757960903</v>
      </c>
      <c r="D194" s="24">
        <f t="shared" si="6"/>
        <v>392.09424203909657</v>
      </c>
      <c r="E194" s="18">
        <f t="shared" si="7"/>
        <v>1.5357812460314397</v>
      </c>
      <c r="F194"/>
    </row>
    <row r="195" spans="1:6" ht="15" hidden="1" outlineLevel="1" x14ac:dyDescent="0.2">
      <c r="A195" s="26">
        <v>74</v>
      </c>
      <c r="B195" s="25">
        <v>10511</v>
      </c>
      <c r="C195" s="25">
        <v>10137.690003924959</v>
      </c>
      <c r="D195" s="24">
        <f t="shared" si="6"/>
        <v>373.30999607504054</v>
      </c>
      <c r="E195" s="18">
        <f t="shared" si="7"/>
        <v>1.4622058409900096</v>
      </c>
      <c r="F195"/>
    </row>
    <row r="196" spans="1:6" ht="15" hidden="1" outlineLevel="1" x14ac:dyDescent="0.2">
      <c r="A196" s="26">
        <v>67</v>
      </c>
      <c r="B196" s="25">
        <v>2889</v>
      </c>
      <c r="C196" s="25">
        <v>2550.4576442072239</v>
      </c>
      <c r="D196" s="24">
        <f t="shared" si="6"/>
        <v>338.54235579277611</v>
      </c>
      <c r="E196" s="18">
        <f t="shared" si="7"/>
        <v>1.3260255960657683</v>
      </c>
      <c r="F196"/>
    </row>
    <row r="197" spans="1:6" ht="15" hidden="1" outlineLevel="1" x14ac:dyDescent="0.2">
      <c r="A197" s="26">
        <v>43</v>
      </c>
      <c r="B197" s="25">
        <v>1976</v>
      </c>
      <c r="C197" s="25">
        <v>2292.3581955079835</v>
      </c>
      <c r="D197" s="24">
        <f t="shared" si="6"/>
        <v>-316.35819550798351</v>
      </c>
      <c r="E197" s="18">
        <f t="shared" si="7"/>
        <v>-1.2391331766638463</v>
      </c>
      <c r="F197"/>
    </row>
    <row r="198" spans="1:6" ht="15" hidden="1" outlineLevel="1" x14ac:dyDescent="0.2">
      <c r="A198" s="26">
        <v>41</v>
      </c>
      <c r="B198" s="25">
        <v>2205</v>
      </c>
      <c r="C198" s="25">
        <v>2507.0595391776415</v>
      </c>
      <c r="D198" s="24">
        <f t="shared" si="6"/>
        <v>-302.05953917764145</v>
      </c>
      <c r="E198" s="18">
        <f t="shared" si="7"/>
        <v>-1.1831272324770952</v>
      </c>
      <c r="F198"/>
    </row>
    <row r="199" spans="1:6" ht="15" hidden="1" outlineLevel="1" x14ac:dyDescent="0.2">
      <c r="A199" s="26">
        <v>66</v>
      </c>
      <c r="B199" s="25">
        <v>2930</v>
      </c>
      <c r="C199" s="25">
        <v>2634.7209426912764</v>
      </c>
      <c r="D199" s="24">
        <f t="shared" si="6"/>
        <v>295.27905730872362</v>
      </c>
      <c r="E199" s="18">
        <f t="shared" si="7"/>
        <v>1.1565689825033507</v>
      </c>
      <c r="F199"/>
    </row>
    <row r="200" spans="1:6" ht="15" hidden="1" outlineLevel="1" x14ac:dyDescent="0.2">
      <c r="A200" s="26">
        <v>3</v>
      </c>
      <c r="B200" s="25">
        <v>5670</v>
      </c>
      <c r="C200" s="25">
        <v>5385.8586215729592</v>
      </c>
      <c r="D200" s="24">
        <f t="shared" si="6"/>
        <v>284.14137842704076</v>
      </c>
      <c r="E200" s="18">
        <f t="shared" si="7"/>
        <v>1.1129441685763373</v>
      </c>
      <c r="F200"/>
    </row>
    <row r="201" spans="1:6" ht="15" hidden="1" outlineLevel="1" x14ac:dyDescent="0.2">
      <c r="A201" s="26">
        <v>51</v>
      </c>
      <c r="B201" s="25">
        <v>7253</v>
      </c>
      <c r="C201" s="25">
        <v>7530.1468896592532</v>
      </c>
      <c r="D201" s="24">
        <f t="shared" si="6"/>
        <v>-277.14688965925325</v>
      </c>
      <c r="E201" s="18">
        <f t="shared" si="7"/>
        <v>-1.0855476819070062</v>
      </c>
      <c r="F201"/>
    </row>
    <row r="202" spans="1:6" ht="15" hidden="1" outlineLevel="1" x14ac:dyDescent="0.2">
      <c r="A202" s="26">
        <v>4</v>
      </c>
      <c r="B202" s="25">
        <v>3161</v>
      </c>
      <c r="C202" s="25">
        <v>2889.2454128489831</v>
      </c>
      <c r="D202" s="24">
        <f t="shared" si="6"/>
        <v>271.75458715101695</v>
      </c>
      <c r="E202" s="18">
        <f t="shared" si="7"/>
        <v>1.0644267467409858</v>
      </c>
      <c r="F202"/>
    </row>
    <row r="203" spans="1:6" ht="15" hidden="1" outlineLevel="1" x14ac:dyDescent="0.2">
      <c r="A203" s="26">
        <v>23</v>
      </c>
      <c r="B203" s="25">
        <v>5190</v>
      </c>
      <c r="C203" s="25">
        <v>4941.8598756176443</v>
      </c>
      <c r="D203" s="24">
        <f t="shared" si="6"/>
        <v>248.14012438235568</v>
      </c>
      <c r="E203" s="18">
        <f t="shared" si="7"/>
        <v>0.97193202183349436</v>
      </c>
      <c r="F203"/>
    </row>
    <row r="204" spans="1:6" ht="15" hidden="1" outlineLevel="1" x14ac:dyDescent="0.2">
      <c r="A204" s="26">
        <v>72</v>
      </c>
      <c r="B204" s="25">
        <v>7464</v>
      </c>
      <c r="C204" s="25">
        <v>7253.3216432632262</v>
      </c>
      <c r="D204" s="24">
        <f t="shared" si="6"/>
        <v>210.67835673677382</v>
      </c>
      <c r="E204" s="18">
        <f t="shared" si="7"/>
        <v>0.8251992366386145</v>
      </c>
      <c r="F204"/>
    </row>
    <row r="205" spans="1:6" ht="15" hidden="1" outlineLevel="1" x14ac:dyDescent="0.2">
      <c r="A205" s="26">
        <v>12</v>
      </c>
      <c r="B205" s="25">
        <v>8161</v>
      </c>
      <c r="C205" s="25">
        <v>8352.6336263859794</v>
      </c>
      <c r="D205" s="24">
        <f t="shared" si="6"/>
        <v>-191.63362638597937</v>
      </c>
      <c r="E205" s="18">
        <f t="shared" si="7"/>
        <v>-0.75060354873366575</v>
      </c>
      <c r="F205"/>
    </row>
    <row r="206" spans="1:6" ht="15" hidden="1" outlineLevel="1" x14ac:dyDescent="0.2">
      <c r="A206" s="26">
        <v>55</v>
      </c>
      <c r="B206" s="25">
        <v>2613</v>
      </c>
      <c r="C206" s="25">
        <v>2421.4079198576037</v>
      </c>
      <c r="D206" s="24">
        <f t="shared" si="6"/>
        <v>191.5920801423963</v>
      </c>
      <c r="E206" s="18">
        <f t="shared" si="7"/>
        <v>0.75044081759687042</v>
      </c>
      <c r="F206"/>
    </row>
    <row r="207" spans="1:6" ht="15" hidden="1" outlineLevel="1" x14ac:dyDescent="0.2">
      <c r="A207" s="26">
        <v>5</v>
      </c>
      <c r="B207" s="25">
        <v>2464</v>
      </c>
      <c r="C207" s="25">
        <v>2273.9419924527378</v>
      </c>
      <c r="D207" s="24">
        <f t="shared" si="6"/>
        <v>190.05800754726215</v>
      </c>
      <c r="E207" s="18">
        <f t="shared" si="7"/>
        <v>0.74443205830113235</v>
      </c>
      <c r="F207"/>
    </row>
    <row r="208" spans="1:6" ht="15" hidden="1" outlineLevel="1" x14ac:dyDescent="0.2">
      <c r="A208" s="26">
        <v>31</v>
      </c>
      <c r="B208" s="25">
        <v>1980</v>
      </c>
      <c r="C208" s="25">
        <v>2163.3084711583629</v>
      </c>
      <c r="D208" s="24">
        <f t="shared" si="6"/>
        <v>-183.30847115836286</v>
      </c>
      <c r="E208" s="18">
        <f t="shared" si="7"/>
        <v>-0.71799501767648399</v>
      </c>
      <c r="F208"/>
    </row>
    <row r="209" spans="1:6" ht="15" hidden="1" outlineLevel="1" x14ac:dyDescent="0.2">
      <c r="A209" s="26">
        <v>9</v>
      </c>
      <c r="B209" s="25">
        <v>2450</v>
      </c>
      <c r="C209" s="25">
        <v>2268.7869635239999</v>
      </c>
      <c r="D209" s="24">
        <f t="shared" si="6"/>
        <v>181.21303647600007</v>
      </c>
      <c r="E209" s="18">
        <f t="shared" si="7"/>
        <v>0.70978747739045311</v>
      </c>
      <c r="F209"/>
    </row>
    <row r="210" spans="1:6" ht="15" hidden="1" outlineLevel="1" x14ac:dyDescent="0.2">
      <c r="A210" s="26">
        <v>33</v>
      </c>
      <c r="B210" s="25">
        <v>2382</v>
      </c>
      <c r="C210" s="25">
        <v>2562.5545397431711</v>
      </c>
      <c r="D210" s="24">
        <f t="shared" si="6"/>
        <v>-180.55453974317106</v>
      </c>
      <c r="E210" s="18">
        <f t="shared" si="7"/>
        <v>-0.70720823285069034</v>
      </c>
      <c r="F210"/>
    </row>
    <row r="211" spans="1:6" ht="15" hidden="1" outlineLevel="1" x14ac:dyDescent="0.2">
      <c r="A211" s="26">
        <v>44</v>
      </c>
      <c r="B211" s="25">
        <v>2673</v>
      </c>
      <c r="C211" s="25">
        <v>2498.8596094065365</v>
      </c>
      <c r="D211" s="24">
        <f t="shared" si="6"/>
        <v>174.14039059346351</v>
      </c>
      <c r="E211" s="18">
        <f t="shared" si="7"/>
        <v>0.68208485964801235</v>
      </c>
      <c r="F211"/>
    </row>
    <row r="212" spans="1:6" ht="15" hidden="1" outlineLevel="1" x14ac:dyDescent="0.2">
      <c r="A212" s="26">
        <v>78</v>
      </c>
      <c r="B212" s="25">
        <v>2944</v>
      </c>
      <c r="C212" s="25">
        <v>2771.0954380678286</v>
      </c>
      <c r="D212" s="24">
        <f t="shared" si="6"/>
        <v>172.90456193217142</v>
      </c>
      <c r="E212" s="18">
        <f t="shared" si="7"/>
        <v>0.67724428236370915</v>
      </c>
      <c r="F212"/>
    </row>
    <row r="213" spans="1:6" ht="15" hidden="1" outlineLevel="1" x14ac:dyDescent="0.2">
      <c r="A213" s="26">
        <v>60</v>
      </c>
      <c r="B213" s="25">
        <v>6700</v>
      </c>
      <c r="C213" s="25">
        <v>6865.3805414115914</v>
      </c>
      <c r="D213" s="24">
        <f t="shared" si="6"/>
        <v>-165.38054141159137</v>
      </c>
      <c r="E213" s="18">
        <f t="shared" si="7"/>
        <v>-0.64777368991081019</v>
      </c>
      <c r="F213"/>
    </row>
    <row r="214" spans="1:6" ht="15" hidden="1" outlineLevel="1" x14ac:dyDescent="0.2">
      <c r="A214" s="26">
        <v>70</v>
      </c>
      <c r="B214" s="25">
        <v>3606</v>
      </c>
      <c r="C214" s="25">
        <v>3770.7718984149665</v>
      </c>
      <c r="D214" s="24">
        <f t="shared" si="6"/>
        <v>-164.77189841496647</v>
      </c>
      <c r="E214" s="18">
        <f t="shared" si="7"/>
        <v>-0.64538971585680793</v>
      </c>
      <c r="F214"/>
    </row>
    <row r="215" spans="1:6" ht="15" hidden="1" outlineLevel="1" x14ac:dyDescent="0.2">
      <c r="A215" s="26">
        <v>71</v>
      </c>
      <c r="B215" s="25">
        <v>6843</v>
      </c>
      <c r="C215" s="25">
        <v>6686.149564182886</v>
      </c>
      <c r="D215" s="24">
        <f t="shared" si="6"/>
        <v>156.85043581711398</v>
      </c>
      <c r="E215" s="18">
        <f t="shared" si="7"/>
        <v>0.61436239539514126</v>
      </c>
      <c r="F215"/>
    </row>
    <row r="216" spans="1:6" ht="15" hidden="1" outlineLevel="1" x14ac:dyDescent="0.2">
      <c r="A216" s="26">
        <v>20</v>
      </c>
      <c r="B216" s="25">
        <v>2092</v>
      </c>
      <c r="C216" s="25">
        <v>2240.7601607072961</v>
      </c>
      <c r="D216" s="24">
        <f t="shared" si="6"/>
        <v>-148.76016070729611</v>
      </c>
      <c r="E216" s="18">
        <f t="shared" si="7"/>
        <v>-0.58267385866918153</v>
      </c>
      <c r="F216"/>
    </row>
    <row r="217" spans="1:6" ht="15" hidden="1" outlineLevel="1" x14ac:dyDescent="0.2">
      <c r="A217" s="26">
        <v>36</v>
      </c>
      <c r="B217" s="25">
        <v>6081</v>
      </c>
      <c r="C217" s="25">
        <v>5932.6069635843187</v>
      </c>
      <c r="D217" s="24">
        <f t="shared" si="6"/>
        <v>148.39303641568131</v>
      </c>
      <c r="E217" s="18">
        <f t="shared" si="7"/>
        <v>0.58123588141378402</v>
      </c>
      <c r="F217"/>
    </row>
    <row r="218" spans="1:6" ht="15" hidden="1" outlineLevel="1" x14ac:dyDescent="0.2">
      <c r="A218" s="26">
        <v>18</v>
      </c>
      <c r="B218" s="25">
        <v>1977</v>
      </c>
      <c r="C218" s="25">
        <v>2118.5220452927956</v>
      </c>
      <c r="D218" s="24">
        <f t="shared" si="6"/>
        <v>-141.52204529279561</v>
      </c>
      <c r="E218" s="18">
        <f t="shared" si="7"/>
        <v>-0.55432311867261586</v>
      </c>
      <c r="F218"/>
    </row>
    <row r="219" spans="1:6" ht="15" hidden="1" outlineLevel="1" x14ac:dyDescent="0.2">
      <c r="A219" s="26">
        <v>1</v>
      </c>
      <c r="B219" s="25">
        <v>8960</v>
      </c>
      <c r="C219" s="25">
        <v>8821.4862383861819</v>
      </c>
      <c r="D219" s="24">
        <f t="shared" ref="D219:D250" si="8">B219 - C219</f>
        <v>138.51376161381813</v>
      </c>
      <c r="E219" s="18">
        <f t="shared" ref="E219:E250" si="9">D219 /255.306048991218</f>
        <v>0.54254006969722335</v>
      </c>
      <c r="F219"/>
    </row>
    <row r="220" spans="1:6" ht="15" hidden="1" outlineLevel="1" x14ac:dyDescent="0.2">
      <c r="A220" s="26">
        <v>6</v>
      </c>
      <c r="B220" s="25">
        <v>1853</v>
      </c>
      <c r="C220" s="25">
        <v>1989.4723209431754</v>
      </c>
      <c r="D220" s="24">
        <f t="shared" si="8"/>
        <v>-136.47232094317542</v>
      </c>
      <c r="E220" s="18">
        <f t="shared" si="9"/>
        <v>-0.53454401680811636</v>
      </c>
      <c r="F220"/>
    </row>
    <row r="221" spans="1:6" ht="15" hidden="1" outlineLevel="1" x14ac:dyDescent="0.2">
      <c r="A221" s="26">
        <v>28</v>
      </c>
      <c r="B221" s="25">
        <v>2761</v>
      </c>
      <c r="C221" s="25">
        <v>2895.3245922918277</v>
      </c>
      <c r="D221" s="24">
        <f t="shared" si="8"/>
        <v>-134.32459229182768</v>
      </c>
      <c r="E221" s="18">
        <f t="shared" si="9"/>
        <v>-0.52613164796752687</v>
      </c>
      <c r="F221"/>
    </row>
    <row r="222" spans="1:6" ht="15" hidden="1" outlineLevel="1" x14ac:dyDescent="0.2">
      <c r="A222" s="26">
        <v>45</v>
      </c>
      <c r="B222" s="25">
        <v>2529</v>
      </c>
      <c r="C222" s="25">
        <v>2662.3662263211972</v>
      </c>
      <c r="D222" s="24">
        <f t="shared" si="8"/>
        <v>-133.36622632119725</v>
      </c>
      <c r="E222" s="18">
        <f t="shared" si="9"/>
        <v>-0.52237785531585568</v>
      </c>
      <c r="F222"/>
    </row>
    <row r="223" spans="1:6" ht="15" hidden="1" outlineLevel="1" x14ac:dyDescent="0.2">
      <c r="A223" s="26">
        <v>64</v>
      </c>
      <c r="B223" s="25">
        <v>3372</v>
      </c>
      <c r="C223" s="25">
        <v>3499.9369230360658</v>
      </c>
      <c r="D223" s="24">
        <f t="shared" si="8"/>
        <v>-127.93692303606576</v>
      </c>
      <c r="E223" s="18">
        <f t="shared" si="9"/>
        <v>-0.50111199300439024</v>
      </c>
      <c r="F223"/>
    </row>
    <row r="224" spans="1:6" ht="15" hidden="1" outlineLevel="1" x14ac:dyDescent="0.2">
      <c r="A224" s="26">
        <v>54</v>
      </c>
      <c r="B224" s="25">
        <v>2381</v>
      </c>
      <c r="C224" s="25">
        <v>2505.6712183416562</v>
      </c>
      <c r="D224" s="24">
        <f t="shared" si="8"/>
        <v>-124.67121834165619</v>
      </c>
      <c r="E224" s="18">
        <f t="shared" si="9"/>
        <v>-0.48832065998539897</v>
      </c>
      <c r="F224"/>
    </row>
    <row r="225" spans="1:6" ht="15" hidden="1" outlineLevel="1" x14ac:dyDescent="0.2">
      <c r="A225" s="26">
        <v>35</v>
      </c>
      <c r="B225" s="25">
        <v>4446</v>
      </c>
      <c r="C225" s="25">
        <v>4565.5311450072968</v>
      </c>
      <c r="D225" s="24">
        <f t="shared" si="8"/>
        <v>-119.5311450072968</v>
      </c>
      <c r="E225" s="18">
        <f t="shared" si="9"/>
        <v>-0.4681876731068304</v>
      </c>
      <c r="F225"/>
    </row>
    <row r="226" spans="1:6" ht="15" hidden="1" outlineLevel="1" x14ac:dyDescent="0.2">
      <c r="A226" s="26">
        <v>59</v>
      </c>
      <c r="B226" s="25">
        <v>6415</v>
      </c>
      <c r="C226" s="25">
        <v>6296.7263185270112</v>
      </c>
      <c r="D226" s="24">
        <f t="shared" si="8"/>
        <v>118.27368147298876</v>
      </c>
      <c r="E226" s="18">
        <f t="shared" si="9"/>
        <v>0.4632623548886502</v>
      </c>
      <c r="F226"/>
    </row>
    <row r="227" spans="1:6" ht="15" hidden="1" outlineLevel="1" x14ac:dyDescent="0.2">
      <c r="A227" s="26">
        <v>30</v>
      </c>
      <c r="B227" s="25">
        <v>2133</v>
      </c>
      <c r="C227" s="25">
        <v>2247.5717696424158</v>
      </c>
      <c r="D227" s="24">
        <f t="shared" si="8"/>
        <v>-114.5717696424158</v>
      </c>
      <c r="E227" s="18">
        <f t="shared" si="9"/>
        <v>-0.44876245625640004</v>
      </c>
      <c r="F227"/>
    </row>
    <row r="228" spans="1:6" ht="15" hidden="1" outlineLevel="1" x14ac:dyDescent="0.2">
      <c r="A228" s="26">
        <v>46</v>
      </c>
      <c r="B228" s="25">
        <v>4003</v>
      </c>
      <c r="C228" s="25">
        <v>3890.7997475068823</v>
      </c>
      <c r="D228" s="24">
        <f t="shared" si="8"/>
        <v>112.20025249311766</v>
      </c>
      <c r="E228" s="18">
        <f t="shared" si="9"/>
        <v>0.43947353749137807</v>
      </c>
      <c r="F228"/>
    </row>
    <row r="229" spans="1:6" ht="15" hidden="1" outlineLevel="1" x14ac:dyDescent="0.2">
      <c r="A229" s="26">
        <v>58</v>
      </c>
      <c r="B229" s="25">
        <v>3869</v>
      </c>
      <c r="C229" s="25">
        <v>3760.1111475742728</v>
      </c>
      <c r="D229" s="24">
        <f t="shared" si="8"/>
        <v>108.88885242572724</v>
      </c>
      <c r="E229" s="18">
        <f t="shared" si="9"/>
        <v>0.42650322174494498</v>
      </c>
      <c r="F229"/>
    </row>
    <row r="230" spans="1:6" ht="15" hidden="1" outlineLevel="1" x14ac:dyDescent="0.2">
      <c r="A230" s="26">
        <v>19</v>
      </c>
      <c r="B230" s="25">
        <v>1926</v>
      </c>
      <c r="C230" s="25">
        <v>2034.2587468087429</v>
      </c>
      <c r="D230" s="24">
        <f t="shared" si="8"/>
        <v>-108.2587468087429</v>
      </c>
      <c r="E230" s="18">
        <f t="shared" si="9"/>
        <v>-0.42403518144792085</v>
      </c>
      <c r="F230"/>
    </row>
    <row r="231" spans="1:6" ht="15" hidden="1" outlineLevel="1" x14ac:dyDescent="0.2">
      <c r="A231" s="26">
        <v>14</v>
      </c>
      <c r="B231" s="25">
        <v>8911</v>
      </c>
      <c r="C231" s="25">
        <v>8804.1013642637936</v>
      </c>
      <c r="D231" s="24">
        <f t="shared" si="8"/>
        <v>106.89863573620642</v>
      </c>
      <c r="E231" s="18">
        <f t="shared" si="9"/>
        <v>0.41870780640956728</v>
      </c>
      <c r="F231"/>
    </row>
    <row r="232" spans="1:6" ht="15" hidden="1" outlineLevel="1" x14ac:dyDescent="0.2">
      <c r="A232" s="26">
        <v>11</v>
      </c>
      <c r="B232" s="25">
        <v>4375</v>
      </c>
      <c r="C232" s="25">
        <v>4271.5674828331048</v>
      </c>
      <c r="D232" s="24">
        <f t="shared" si="8"/>
        <v>103.4325171668952</v>
      </c>
      <c r="E232" s="18">
        <f t="shared" si="9"/>
        <v>0.40513147877061484</v>
      </c>
      <c r="F232"/>
    </row>
    <row r="233" spans="1:6" ht="15" hidden="1" outlineLevel="1" x14ac:dyDescent="0.2">
      <c r="A233" s="26">
        <v>26</v>
      </c>
      <c r="B233" s="25">
        <v>6169</v>
      </c>
      <c r="C233" s="25">
        <v>6071.4305069953853</v>
      </c>
      <c r="D233" s="24">
        <f t="shared" si="8"/>
        <v>97.569493004614742</v>
      </c>
      <c r="E233" s="18">
        <f t="shared" si="9"/>
        <v>0.38216678919335328</v>
      </c>
      <c r="F233"/>
    </row>
    <row r="234" spans="1:6" ht="15" hidden="1" outlineLevel="1" x14ac:dyDescent="0.2">
      <c r="A234" s="26">
        <v>32</v>
      </c>
      <c r="B234" s="25">
        <v>2465</v>
      </c>
      <c r="C234" s="25">
        <v>2369.8098850569163</v>
      </c>
      <c r="D234" s="24">
        <f t="shared" si="8"/>
        <v>95.190114943083699</v>
      </c>
      <c r="E234" s="18">
        <f t="shared" si="9"/>
        <v>0.37284708027563435</v>
      </c>
      <c r="F234"/>
    </row>
    <row r="235" spans="1:6" ht="15" hidden="1" outlineLevel="1" x14ac:dyDescent="0.2">
      <c r="A235" s="26">
        <v>57</v>
      </c>
      <c r="B235" s="25">
        <v>2873</v>
      </c>
      <c r="C235" s="25">
        <v>2780.9302480216888</v>
      </c>
      <c r="D235" s="24">
        <f t="shared" si="8"/>
        <v>92.06975197831116</v>
      </c>
      <c r="E235" s="18">
        <f t="shared" si="9"/>
        <v>0.3606250315732949</v>
      </c>
      <c r="F235"/>
    </row>
    <row r="236" spans="1:6" ht="15" hidden="1" outlineLevel="1" x14ac:dyDescent="0.2">
      <c r="A236" s="26">
        <v>63</v>
      </c>
      <c r="B236" s="25">
        <v>7426</v>
      </c>
      <c r="C236" s="25">
        <v>7337.9032972462855</v>
      </c>
      <c r="D236" s="24">
        <f t="shared" si="8"/>
        <v>88.096702753714453</v>
      </c>
      <c r="E236" s="18">
        <f t="shared" si="9"/>
        <v>0.34506312365808767</v>
      </c>
      <c r="F236"/>
    </row>
    <row r="237" spans="1:6" ht="15" hidden="1" outlineLevel="1" x14ac:dyDescent="0.2">
      <c r="A237" s="26">
        <v>21</v>
      </c>
      <c r="B237" s="25">
        <v>2433</v>
      </c>
      <c r="C237" s="25">
        <v>2349.1163071045403</v>
      </c>
      <c r="D237" s="24">
        <f t="shared" si="8"/>
        <v>83.883692895459717</v>
      </c>
      <c r="E237" s="18">
        <f t="shared" si="9"/>
        <v>0.32856132170352587</v>
      </c>
      <c r="F237"/>
    </row>
    <row r="238" spans="1:6" ht="15" hidden="1" outlineLevel="1" x14ac:dyDescent="0.2">
      <c r="A238" s="26">
        <v>22</v>
      </c>
      <c r="B238" s="25">
        <v>3117</v>
      </c>
      <c r="C238" s="25">
        <v>3197.5184731315994</v>
      </c>
      <c r="D238" s="24">
        <f t="shared" si="8"/>
        <v>-80.518473131599421</v>
      </c>
      <c r="E238" s="18">
        <f t="shared" si="9"/>
        <v>-0.31538020132993044</v>
      </c>
      <c r="F238"/>
    </row>
    <row r="239" spans="1:6" ht="15" hidden="1" outlineLevel="1" x14ac:dyDescent="0.2">
      <c r="A239" s="26">
        <v>7</v>
      </c>
      <c r="B239" s="25">
        <v>1983</v>
      </c>
      <c r="C239" s="25">
        <v>1905.2090224591227</v>
      </c>
      <c r="D239" s="24">
        <f t="shared" si="8"/>
        <v>77.790977540877293</v>
      </c>
      <c r="E239" s="18">
        <f t="shared" si="9"/>
        <v>0.30469696212937414</v>
      </c>
      <c r="F239"/>
    </row>
    <row r="240" spans="1:6" ht="15" hidden="1" outlineLevel="1" x14ac:dyDescent="0.2">
      <c r="A240" s="26">
        <v>52</v>
      </c>
      <c r="B240" s="25">
        <v>3390</v>
      </c>
      <c r="C240" s="25">
        <v>3467.5693581909914</v>
      </c>
      <c r="D240" s="24">
        <f t="shared" si="8"/>
        <v>-77.569358190991352</v>
      </c>
      <c r="E240" s="18">
        <f t="shared" si="9"/>
        <v>-0.30382890847078825</v>
      </c>
      <c r="F240"/>
    </row>
    <row r="241" spans="1:6" ht="15" hidden="1" outlineLevel="1" x14ac:dyDescent="0.2">
      <c r="A241" s="26">
        <v>2</v>
      </c>
      <c r="B241" s="25">
        <v>6565</v>
      </c>
      <c r="C241" s="25">
        <v>6489.2449344841261</v>
      </c>
      <c r="D241" s="24">
        <f t="shared" si="8"/>
        <v>75.755065515873866</v>
      </c>
      <c r="E241" s="18">
        <f t="shared" si="9"/>
        <v>0.2967225642134303</v>
      </c>
      <c r="F241"/>
    </row>
    <row r="242" spans="1:6" ht="15" hidden="1" outlineLevel="1" x14ac:dyDescent="0.2">
      <c r="A242" s="26">
        <v>17</v>
      </c>
      <c r="B242" s="25">
        <v>2389</v>
      </c>
      <c r="C242" s="25">
        <v>2320.920011197542</v>
      </c>
      <c r="D242" s="24">
        <f t="shared" si="8"/>
        <v>68.079988802458047</v>
      </c>
      <c r="E242" s="18">
        <f t="shared" si="9"/>
        <v>0.266660304647932</v>
      </c>
      <c r="F242"/>
    </row>
    <row r="243" spans="1:6" ht="15" hidden="1" outlineLevel="1" x14ac:dyDescent="0.2">
      <c r="A243" s="26">
        <v>15</v>
      </c>
      <c r="B243" s="25">
        <v>5153</v>
      </c>
      <c r="C243" s="25">
        <v>5208.7210732312105</v>
      </c>
      <c r="D243" s="24">
        <f t="shared" si="8"/>
        <v>-55.721073231210539</v>
      </c>
      <c r="E243" s="18">
        <f t="shared" si="9"/>
        <v>-0.21825206825838753</v>
      </c>
      <c r="F243"/>
    </row>
    <row r="244" spans="1:6" ht="15" hidden="1" outlineLevel="1" x14ac:dyDescent="0.2">
      <c r="A244" s="26">
        <v>13</v>
      </c>
      <c r="B244" s="25">
        <v>9701</v>
      </c>
      <c r="C244" s="25">
        <v>9754.0775236931404</v>
      </c>
      <c r="D244" s="24">
        <f t="shared" si="8"/>
        <v>-53.077523693140392</v>
      </c>
      <c r="E244" s="18">
        <f t="shared" si="9"/>
        <v>-0.20789763463444672</v>
      </c>
      <c r="F244"/>
    </row>
    <row r="245" spans="1:6" ht="15" hidden="1" outlineLevel="1" x14ac:dyDescent="0.2">
      <c r="A245" s="26">
        <v>39</v>
      </c>
      <c r="B245" s="25">
        <v>3545</v>
      </c>
      <c r="C245" s="25">
        <v>3595.1803800160069</v>
      </c>
      <c r="D245" s="24">
        <f t="shared" si="8"/>
        <v>-50.180380016006893</v>
      </c>
      <c r="E245" s="18">
        <f t="shared" si="9"/>
        <v>-0.19654990633509428</v>
      </c>
      <c r="F245"/>
    </row>
    <row r="246" spans="1:6" ht="15" hidden="1" outlineLevel="1" x14ac:dyDescent="0.2">
      <c r="A246" s="26">
        <v>42</v>
      </c>
      <c r="B246" s="25">
        <v>2433</v>
      </c>
      <c r="C246" s="25">
        <v>2383.9462650189676</v>
      </c>
      <c r="D246" s="24">
        <f t="shared" si="8"/>
        <v>49.053734981032449</v>
      </c>
      <c r="E246" s="18">
        <f t="shared" si="9"/>
        <v>0.19213698686285258</v>
      </c>
      <c r="F246"/>
    </row>
    <row r="247" spans="1:6" ht="15" hidden="1" outlineLevel="1" x14ac:dyDescent="0.2">
      <c r="A247" s="26">
        <v>68</v>
      </c>
      <c r="B247" s="25">
        <v>2708</v>
      </c>
      <c r="C247" s="25">
        <v>2756.9590581057773</v>
      </c>
      <c r="D247" s="24">
        <f t="shared" si="8"/>
        <v>-48.959058105777331</v>
      </c>
      <c r="E247" s="18">
        <f t="shared" si="9"/>
        <v>-0.1917661500744991</v>
      </c>
      <c r="F247"/>
    </row>
    <row r="248" spans="1:6" ht="15" hidden="1" outlineLevel="1" x14ac:dyDescent="0.2">
      <c r="A248" s="26">
        <v>8</v>
      </c>
      <c r="B248" s="25">
        <v>2064</v>
      </c>
      <c r="C248" s="25">
        <v>2111.7104363576759</v>
      </c>
      <c r="D248" s="24">
        <f t="shared" si="8"/>
        <v>-47.710436357675917</v>
      </c>
      <c r="E248" s="18">
        <f t="shared" si="9"/>
        <v>-0.1868754639625364</v>
      </c>
      <c r="F248"/>
    </row>
    <row r="249" spans="1:6" ht="15" hidden="1" outlineLevel="1" x14ac:dyDescent="0.2">
      <c r="A249" s="26">
        <v>69</v>
      </c>
      <c r="B249" s="25">
        <v>2884</v>
      </c>
      <c r="C249" s="25">
        <v>2927.2457152839229</v>
      </c>
      <c r="D249" s="24">
        <f t="shared" si="8"/>
        <v>-43.245715283922891</v>
      </c>
      <c r="E249" s="18">
        <f t="shared" si="9"/>
        <v>-0.16938774249493185</v>
      </c>
      <c r="F249"/>
    </row>
    <row r="250" spans="1:6" ht="15" hidden="1" outlineLevel="1" x14ac:dyDescent="0.2">
      <c r="A250" s="26">
        <v>16</v>
      </c>
      <c r="B250" s="25">
        <v>2691</v>
      </c>
      <c r="C250" s="25">
        <v>2651.7076056027317</v>
      </c>
      <c r="D250" s="24">
        <f t="shared" si="8"/>
        <v>39.292394397268254</v>
      </c>
      <c r="E250" s="18">
        <f t="shared" si="9"/>
        <v>0.15390310786807809</v>
      </c>
      <c r="F250"/>
    </row>
    <row r="251" spans="1:6" ht="15" hidden="1" outlineLevel="1" x14ac:dyDescent="0.2">
      <c r="A251" s="26">
        <v>38</v>
      </c>
      <c r="B251" s="25">
        <v>6583</v>
      </c>
      <c r="C251" s="25">
        <v>6543.8587315588638</v>
      </c>
      <c r="D251" s="24">
        <f t="shared" ref="D251:D263" si="10">B251 - C251</f>
        <v>39.141268441136162</v>
      </c>
      <c r="E251" s="18">
        <f t="shared" ref="E251:E263" si="11">D251 /255.306048991218</f>
        <v>0.1533111675018814</v>
      </c>
      <c r="F251"/>
    </row>
    <row r="252" spans="1:6" ht="15" hidden="1" outlineLevel="1" x14ac:dyDescent="0.2">
      <c r="A252" s="26">
        <v>10</v>
      </c>
      <c r="B252" s="25">
        <v>3598</v>
      </c>
      <c r="C252" s="25">
        <v>3563.9351842252172</v>
      </c>
      <c r="D252" s="24">
        <f t="shared" si="10"/>
        <v>34.064815774782801</v>
      </c>
      <c r="E252" s="18">
        <f t="shared" si="11"/>
        <v>0.13342737435866456</v>
      </c>
      <c r="F252"/>
    </row>
    <row r="253" spans="1:6" ht="15" hidden="1" outlineLevel="1" x14ac:dyDescent="0.2">
      <c r="A253" s="26">
        <v>56</v>
      </c>
      <c r="B253" s="25">
        <v>2611</v>
      </c>
      <c r="C253" s="25">
        <v>2634.900850364068</v>
      </c>
      <c r="D253" s="24">
        <f t="shared" si="10"/>
        <v>-23.900850364067992</v>
      </c>
      <c r="E253" s="18">
        <f t="shared" si="11"/>
        <v>-9.3616467210654031E-2</v>
      </c>
      <c r="F253"/>
    </row>
    <row r="254" spans="1:6" ht="15" hidden="1" outlineLevel="1" x14ac:dyDescent="0.2">
      <c r="A254" s="26">
        <v>76</v>
      </c>
      <c r="B254" s="25">
        <v>3543</v>
      </c>
      <c r="C254" s="25">
        <v>3522.8680579257452</v>
      </c>
      <c r="D254" s="24">
        <f t="shared" si="10"/>
        <v>20.131942074254766</v>
      </c>
      <c r="E254" s="18">
        <f t="shared" si="11"/>
        <v>7.8854152315628298E-2</v>
      </c>
      <c r="F254"/>
    </row>
    <row r="255" spans="1:6" ht="15" hidden="1" outlineLevel="1" x14ac:dyDescent="0.2">
      <c r="A255" s="26">
        <v>29</v>
      </c>
      <c r="B255" s="25">
        <v>2568</v>
      </c>
      <c r="C255" s="25">
        <v>2549.0057313342818</v>
      </c>
      <c r="D255" s="24">
        <f t="shared" si="10"/>
        <v>18.994268665718209</v>
      </c>
      <c r="E255" s="18">
        <f t="shared" si="11"/>
        <v>7.4398036163927997E-2</v>
      </c>
      <c r="F255"/>
    </row>
    <row r="256" spans="1:6" ht="15" hidden="1" outlineLevel="1" x14ac:dyDescent="0.2">
      <c r="A256" s="26">
        <v>73</v>
      </c>
      <c r="B256" s="25">
        <v>9500</v>
      </c>
      <c r="C256" s="25">
        <v>9482.2832639108001</v>
      </c>
      <c r="D256" s="24">
        <f t="shared" si="10"/>
        <v>17.716736089199912</v>
      </c>
      <c r="E256" s="18">
        <f t="shared" si="11"/>
        <v>6.9394110163873673E-2</v>
      </c>
      <c r="F256"/>
    </row>
    <row r="257" spans="1:6" ht="15" hidden="1" outlineLevel="1" x14ac:dyDescent="0.2">
      <c r="A257" s="26">
        <v>27</v>
      </c>
      <c r="B257" s="25">
        <v>5460</v>
      </c>
      <c r="C257" s="25">
        <v>5449.1897382776888</v>
      </c>
      <c r="D257" s="24">
        <f t="shared" si="10"/>
        <v>10.810261722311225</v>
      </c>
      <c r="E257" s="18">
        <f t="shared" si="11"/>
        <v>4.2342364252728984E-2</v>
      </c>
      <c r="F257"/>
    </row>
    <row r="258" spans="1:6" ht="15" hidden="1" outlineLevel="1" x14ac:dyDescent="0.2">
      <c r="A258" s="26">
        <v>62</v>
      </c>
      <c r="B258" s="25">
        <v>7396</v>
      </c>
      <c r="C258" s="25">
        <v>7406.8092379538357</v>
      </c>
      <c r="D258" s="24">
        <f t="shared" si="10"/>
        <v>-10.809237953835691</v>
      </c>
      <c r="E258" s="18">
        <f t="shared" si="11"/>
        <v>-4.2338354287122688E-2</v>
      </c>
      <c r="F258"/>
    </row>
    <row r="259" spans="1:6" ht="15" hidden="1" outlineLevel="1" x14ac:dyDescent="0.2">
      <c r="A259" s="26">
        <v>34</v>
      </c>
      <c r="B259" s="25">
        <v>3931</v>
      </c>
      <c r="C259" s="25">
        <v>3940.8635491481373</v>
      </c>
      <c r="D259" s="24">
        <f t="shared" si="10"/>
        <v>-9.863549148137281</v>
      </c>
      <c r="E259" s="18">
        <f t="shared" si="11"/>
        <v>-3.8634216412461758E-2</v>
      </c>
      <c r="F259"/>
    </row>
    <row r="260" spans="1:6" ht="15" hidden="1" outlineLevel="1" x14ac:dyDescent="0.2">
      <c r="A260" s="26">
        <v>40</v>
      </c>
      <c r="B260" s="25">
        <v>3370</v>
      </c>
      <c r="C260" s="25">
        <v>3361.3480501052222</v>
      </c>
      <c r="D260" s="24">
        <f t="shared" si="10"/>
        <v>8.651949894777772</v>
      </c>
      <c r="E260" s="18">
        <f t="shared" si="11"/>
        <v>3.3888542511875154E-2</v>
      </c>
      <c r="F260"/>
    </row>
    <row r="261" spans="1:6" ht="15" hidden="1" outlineLevel="1" x14ac:dyDescent="0.2">
      <c r="A261" s="26">
        <v>24</v>
      </c>
      <c r="B261" s="25">
        <v>10645</v>
      </c>
      <c r="C261" s="25">
        <v>10650.243624841305</v>
      </c>
      <c r="D261" s="24">
        <f t="shared" si="10"/>
        <v>-5.2436248413050635</v>
      </c>
      <c r="E261" s="18">
        <f t="shared" si="11"/>
        <v>-2.0538584424552482E-2</v>
      </c>
      <c r="F261"/>
    </row>
    <row r="262" spans="1:6" ht="15" hidden="1" outlineLevel="1" x14ac:dyDescent="0.2">
      <c r="A262" s="26">
        <v>48</v>
      </c>
      <c r="B262" s="25">
        <v>5878</v>
      </c>
      <c r="C262" s="25">
        <v>5874.81360051915</v>
      </c>
      <c r="D262" s="24">
        <f t="shared" si="10"/>
        <v>3.1863994808500138</v>
      </c>
      <c r="E262" s="18">
        <f t="shared" si="11"/>
        <v>1.2480704994810441E-2</v>
      </c>
      <c r="F262"/>
    </row>
    <row r="263" spans="1:6" ht="15" hidden="1" outlineLevel="1" x14ac:dyDescent="0.2">
      <c r="A263" s="26">
        <v>53</v>
      </c>
      <c r="B263" s="25">
        <v>3075</v>
      </c>
      <c r="C263" s="25">
        <v>3073.8709660035584</v>
      </c>
      <c r="D263" s="24">
        <f t="shared" si="10"/>
        <v>1.1290339964416489</v>
      </c>
      <c r="E263" s="18">
        <f t="shared" si="11"/>
        <v>4.4222767180909428E-3</v>
      </c>
      <c r="F263"/>
    </row>
    <row r="264" spans="1:6" collapsed="1" x14ac:dyDescent="0.15"/>
  </sheetData>
  <sortState xmlns:xlrd2="http://schemas.microsoft.com/office/spreadsheetml/2017/richdata2" ref="A187:F263">
    <sortCondition descending="1" ref="F187"/>
    <sortCondition ref="A1"/>
  </sortState>
  <dataValidations count="1">
    <dataValidation type="decimal" allowBlank="1" showInputMessage="1" showErrorMessage="1" error="Please enter a confidence level between 0 and 1." prompt="Confidence level can be adjusted between 0 and 100% to dynamically change confidence limits on this sheet." sqref="I10" xr:uid="{00000000-0002-0000-0700-000000000000}">
      <formula1>0</formula1>
      <formula2>1</formula2>
    </dataValidation>
  </dataValidations>
  <pageMargins left="0.7" right="0.7" top="0.75" bottom="0.75" header="0.3" footer="0.3"/>
  <pageSetup fitToHeight="0" orientation="portrait" horizontalDpi="0" verticalDpi="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BZ265"/>
  <sheetViews>
    <sheetView showGridLines="0" showRowColHeaders="0" workbookViewId="0">
      <selection activeCell="B1" sqref="B1"/>
    </sheetView>
  </sheetViews>
  <sheetFormatPr baseColWidth="10" defaultColWidth="9.1640625" defaultRowHeight="11" outlineLevelRow="1" x14ac:dyDescent="0.15"/>
  <cols>
    <col min="1" max="1" width="22" style="18" customWidth="1"/>
    <col min="2" max="2" width="9.1640625" style="18"/>
    <col min="3" max="3" width="10.83203125" style="18" bestFit="1" customWidth="1"/>
    <col min="4" max="4" width="9.5" style="18" bestFit="1" customWidth="1"/>
    <col min="5" max="7" width="9.1640625" style="18"/>
    <col min="8" max="8" width="9.33203125" style="18" bestFit="1" customWidth="1"/>
    <col min="9" max="77" width="9.1640625" style="18"/>
    <col min="78" max="78" width="73.5" style="18" bestFit="1" customWidth="1"/>
    <col min="79" max="16384" width="9.1640625" style="18"/>
  </cols>
  <sheetData>
    <row r="1" spans="1:78" ht="15" x14ac:dyDescent="0.2">
      <c r="A1" s="19" t="s">
        <v>94</v>
      </c>
      <c r="B1" s="18" t="s">
        <v>247</v>
      </c>
      <c r="E1"/>
      <c r="U1" s="52"/>
      <c r="Z1" s="35" t="s">
        <v>248</v>
      </c>
      <c r="BZ1"/>
    </row>
    <row r="2" spans="1:78" x14ac:dyDescent="0.15">
      <c r="A2" s="19" t="s">
        <v>97</v>
      </c>
      <c r="C2" s="18" t="s">
        <v>50</v>
      </c>
      <c r="AA2" s="35" t="str">
        <f>"Forecasts and " &amp; TEXT($I$10, "0.0%") &amp; " confidence limits for means and forecasts
Elec HDD model with dummies for _Electric_Natural_Gas    (14 variables, n=78)"</f>
        <v>Forecasts and 95.0% confidence limits for means and forecasts
Elec HDD model with dummies for _Electric_Natural_Gas    (14 variables, n=78)</v>
      </c>
    </row>
    <row r="3" spans="1:78" ht="11.25" hidden="1" customHeight="1" outlineLevel="1" x14ac:dyDescent="0.15">
      <c r="A3" s="19" t="s">
        <v>98</v>
      </c>
      <c r="AA3" s="35" t="str">
        <f>IF($A$49 &lt;&gt; "","Actual and predicted -vs- Observation # with " &amp; TEXT($I$10, "0.0%") &amp; " confidence limits
Elec HDD model with dummies for _Electric_Natural_Gas
(14 variables, n=78)","Actual and predicted -vs- Observation #
Elec HDD model with dummies for _Electric_Natural_Gas
(14 variables, n=78)")</f>
        <v>Actual and predicted -vs- Observation #
Elec HDD model with dummies for _Electric_Natural_Gas
(14 variables, n=78)</v>
      </c>
    </row>
    <row r="4" spans="1:78" hidden="1" outlineLevel="1" x14ac:dyDescent="0.15">
      <c r="A4" s="18" t="s">
        <v>212</v>
      </c>
    </row>
    <row r="5" spans="1:78" hidden="1" outlineLevel="1" x14ac:dyDescent="0.15">
      <c r="A5" s="19" t="s">
        <v>99</v>
      </c>
    </row>
    <row r="6" spans="1:78" hidden="1" outlineLevel="1" x14ac:dyDescent="0.15">
      <c r="A6" s="18" t="s">
        <v>249</v>
      </c>
    </row>
    <row r="7" spans="1:78" collapsed="1" x14ac:dyDescent="0.15"/>
    <row r="8" spans="1:78" x14ac:dyDescent="0.15">
      <c r="A8" s="20" t="s">
        <v>250</v>
      </c>
    </row>
    <row r="9" spans="1:78" ht="12" outlineLevel="1" thickBot="1" x14ac:dyDescent="0.2">
      <c r="A9" s="21"/>
      <c r="B9" s="23" t="s">
        <v>102</v>
      </c>
      <c r="C9" s="23" t="s">
        <v>103</v>
      </c>
      <c r="D9" s="23" t="s">
        <v>104</v>
      </c>
      <c r="E9" s="23" t="s">
        <v>105</v>
      </c>
      <c r="F9" s="23" t="s">
        <v>39</v>
      </c>
      <c r="G9" s="23" t="s">
        <v>106</v>
      </c>
      <c r="H9" s="23" t="str">
        <f>"t("&amp;TEXT((1-I10)/2,"0.00%") &amp; ",63)"</f>
        <v>t(2.50%,63)</v>
      </c>
      <c r="I9" s="23" t="s">
        <v>107</v>
      </c>
    </row>
    <row r="10" spans="1:78" outlineLevel="1" x14ac:dyDescent="0.15">
      <c r="B10" s="24">
        <f xml:space="preserve"> 1 - C33 / C34</f>
        <v>0.92138392459201868</v>
      </c>
      <c r="C10" s="24">
        <f>1-D10^2/E10^2</f>
        <v>0.90391368561246732</v>
      </c>
      <c r="D10" s="25">
        <f xml:space="preserve"> SQRT(D33)</f>
        <v>2055.6800835865065</v>
      </c>
      <c r="E10" s="25">
        <v>6631.6983033719498</v>
      </c>
      <c r="F10" s="26">
        <v>78</v>
      </c>
      <c r="G10" s="26">
        <v>12</v>
      </c>
      <c r="H10" s="18">
        <f>TINV(1 - $I$10, F10 - 14 - 1)</f>
        <v>1.9983405425207412</v>
      </c>
      <c r="I10" s="27">
        <v>0.95</v>
      </c>
    </row>
    <row r="12" spans="1:78" x14ac:dyDescent="0.15">
      <c r="A12" s="20" t="s">
        <v>251</v>
      </c>
    </row>
    <row r="13" spans="1:78" ht="12" outlineLevel="1" thickBot="1" x14ac:dyDescent="0.2">
      <c r="A13" s="28" t="s">
        <v>38</v>
      </c>
      <c r="B13" s="23" t="s">
        <v>109</v>
      </c>
      <c r="C13" s="23" t="s">
        <v>110</v>
      </c>
      <c r="D13" s="23" t="s">
        <v>111</v>
      </c>
      <c r="E13" s="23" t="s">
        <v>112</v>
      </c>
      <c r="F13" s="23" t="str">
        <f>IF($I$10&gt;99%,("Lower"&amp;TEXT($I$10,"0.0%")),("Lower"&amp;TEXT($I$10,"0%")))</f>
        <v>Lower95%</v>
      </c>
      <c r="G13" s="23" t="str">
        <f>IF($I$10&gt;99%,("Upper"&amp;TEXT($I$10,"0.0%")),("Upper"&amp;TEXT($I$10,"0%")))</f>
        <v>Upper95%</v>
      </c>
      <c r="H13" s="23" t="s">
        <v>105</v>
      </c>
      <c r="I13" s="23" t="s">
        <v>113</v>
      </c>
    </row>
    <row r="14" spans="1:78" outlineLevel="1" x14ac:dyDescent="0.15">
      <c r="A14" s="18" t="s">
        <v>114</v>
      </c>
      <c r="B14" s="25">
        <v>-25881.307418585984</v>
      </c>
      <c r="C14" s="25">
        <v>3754.6604906472471</v>
      </c>
      <c r="D14" s="24">
        <f>(B14 - 0) / C14</f>
        <v>-6.8931152318713202</v>
      </c>
      <c r="E14" s="24">
        <f>TDIST(ABS(D14),$F$10 - 15,2)</f>
        <v>3.0678627113824315E-9</v>
      </c>
      <c r="F14" s="25">
        <f>B14 - TINV(1 - $I$10, $F$10 - 15) * C14</f>
        <v>-33384.397700447196</v>
      </c>
      <c r="G14" s="25">
        <f>B14 + TINV(1 - $I$10, $F$10 - 15) * C14</f>
        <v>-18378.217136724772</v>
      </c>
    </row>
    <row r="15" spans="1:78" outlineLevel="1" x14ac:dyDescent="0.15">
      <c r="A15" s="18" t="s">
        <v>78</v>
      </c>
      <c r="B15" s="24">
        <v>6.8416777145708432</v>
      </c>
      <c r="C15" s="24">
        <v>19.439831099894146</v>
      </c>
      <c r="D15" s="48">
        <f t="shared" ref="D15:D28" si="0">(B15 - 0) / C15</f>
        <v>0.35194121180446353</v>
      </c>
      <c r="E15" s="48">
        <f t="shared" ref="E15:E28" si="1">TDIST(ABS(D15),$F$10 - 15,2)</f>
        <v>0.72605686747618003</v>
      </c>
      <c r="F15" s="24">
        <f t="shared" ref="F15:F28" si="2">B15 - TINV(1 - $I$10, $F$10 - 15) * C15</f>
        <v>-32.005724912103204</v>
      </c>
      <c r="G15" s="24">
        <f t="shared" ref="G15:G28" si="3">B15 + TINV(1 - $I$10, $F$10 - 15) * C15</f>
        <v>45.689080341244889</v>
      </c>
      <c r="H15" s="24">
        <v>167.08534506370543</v>
      </c>
      <c r="I15" s="18">
        <f t="shared" ref="I15:I28" si="4">B15*H15/$E$10</f>
        <v>0.17237576702976529</v>
      </c>
    </row>
    <row r="16" spans="1:78" outlineLevel="1" x14ac:dyDescent="0.15">
      <c r="A16" s="18" t="s">
        <v>36</v>
      </c>
      <c r="B16" s="24">
        <v>-1.030781772063912E-2</v>
      </c>
      <c r="C16" s="24">
        <v>2.7803926093456447E-2</v>
      </c>
      <c r="D16" s="48">
        <f t="shared" si="0"/>
        <v>-0.37073245289142914</v>
      </c>
      <c r="E16" s="48">
        <f t="shared" si="1"/>
        <v>0.71208048708187222</v>
      </c>
      <c r="F16" s="24">
        <f t="shared" si="2"/>
        <v>-6.5869530474443466E-2</v>
      </c>
      <c r="G16" s="24">
        <f t="shared" si="3"/>
        <v>4.525389503316523E-2</v>
      </c>
      <c r="H16" s="25">
        <v>73926.228654593477</v>
      </c>
      <c r="I16" s="18">
        <f t="shared" si="4"/>
        <v>-0.11490542164114775</v>
      </c>
    </row>
    <row r="17" spans="1:9" outlineLevel="1" x14ac:dyDescent="0.15">
      <c r="A17" s="18" t="s">
        <v>24</v>
      </c>
      <c r="B17" s="24">
        <v>954.29480557682848</v>
      </c>
      <c r="C17" s="25">
        <v>1210.5196440905904</v>
      </c>
      <c r="D17" s="24">
        <f t="shared" si="0"/>
        <v>0.78833483639478463</v>
      </c>
      <c r="E17" s="24">
        <f t="shared" si="1"/>
        <v>0.43345728290017538</v>
      </c>
      <c r="F17" s="25">
        <f t="shared" si="2"/>
        <v>-1464.7356767271767</v>
      </c>
      <c r="G17" s="25">
        <f t="shared" si="3"/>
        <v>3373.3252878808335</v>
      </c>
      <c r="H17" s="24">
        <v>0.28766401017607807</v>
      </c>
      <c r="I17" s="18">
        <f t="shared" si="4"/>
        <v>4.1394565630775274E-2</v>
      </c>
    </row>
    <row r="18" spans="1:9" outlineLevel="1" x14ac:dyDescent="0.15">
      <c r="A18" s="18" t="s">
        <v>25</v>
      </c>
      <c r="B18" s="25">
        <v>-1178.2089301810738</v>
      </c>
      <c r="C18" s="25">
        <v>1154.8254253345458</v>
      </c>
      <c r="D18" s="24">
        <f t="shared" si="0"/>
        <v>-1.0202485192424249</v>
      </c>
      <c r="E18" s="24">
        <f t="shared" si="1"/>
        <v>0.3115125914993313</v>
      </c>
      <c r="F18" s="25">
        <f t="shared" si="2"/>
        <v>-3485.943397160856</v>
      </c>
      <c r="G18" s="25">
        <f t="shared" si="3"/>
        <v>1129.5255367987083</v>
      </c>
      <c r="H18" s="24">
        <v>0.28766401017607807</v>
      </c>
      <c r="I18" s="18">
        <f t="shared" si="4"/>
        <v>-5.1107316734964131E-2</v>
      </c>
    </row>
    <row r="19" spans="1:9" outlineLevel="1" x14ac:dyDescent="0.15">
      <c r="A19" s="18" t="s">
        <v>26</v>
      </c>
      <c r="B19" s="24">
        <v>-542.92063863987573</v>
      </c>
      <c r="C19" s="25">
        <v>1332.4599273299434</v>
      </c>
      <c r="D19" s="24">
        <f t="shared" si="0"/>
        <v>-0.40745738577505292</v>
      </c>
      <c r="E19" s="24">
        <f t="shared" si="1"/>
        <v>0.68505334049550326</v>
      </c>
      <c r="F19" s="25">
        <f t="shared" si="2"/>
        <v>-3205.6293327075418</v>
      </c>
      <c r="G19" s="25">
        <f t="shared" si="3"/>
        <v>2119.7880554277908</v>
      </c>
      <c r="H19" s="24">
        <v>0.28766401017607807</v>
      </c>
      <c r="I19" s="18">
        <f t="shared" si="4"/>
        <v>-2.3550336727334756E-2</v>
      </c>
    </row>
    <row r="20" spans="1:9" outlineLevel="1" x14ac:dyDescent="0.15">
      <c r="A20" s="18" t="s">
        <v>27</v>
      </c>
      <c r="B20" s="24">
        <v>-666.17780293243118</v>
      </c>
      <c r="C20" s="25">
        <v>2411.3110309362378</v>
      </c>
      <c r="D20" s="24">
        <f t="shared" si="0"/>
        <v>-0.27627203392080651</v>
      </c>
      <c r="E20" s="24">
        <f t="shared" si="1"/>
        <v>0.78324344203147023</v>
      </c>
      <c r="F20" s="25">
        <f t="shared" si="2"/>
        <v>-5484.798396679801</v>
      </c>
      <c r="G20" s="25">
        <f t="shared" si="3"/>
        <v>4152.4427908149382</v>
      </c>
      <c r="H20" s="24">
        <v>0.28766401017607807</v>
      </c>
      <c r="I20" s="18">
        <f t="shared" si="4"/>
        <v>-2.8896878222640705E-2</v>
      </c>
    </row>
    <row r="21" spans="1:9" outlineLevel="1" x14ac:dyDescent="0.15">
      <c r="A21" s="18" t="s">
        <v>28</v>
      </c>
      <c r="B21" s="25">
        <v>1897.7867456581616</v>
      </c>
      <c r="C21" s="25">
        <v>3356.6739676316797</v>
      </c>
      <c r="D21" s="24">
        <f t="shared" si="0"/>
        <v>0.56537714534043826</v>
      </c>
      <c r="E21" s="24">
        <f t="shared" si="1"/>
        <v>0.57382532301264133</v>
      </c>
      <c r="F21" s="25">
        <f t="shared" si="2"/>
        <v>-4809.9909318841783</v>
      </c>
      <c r="G21" s="25">
        <f t="shared" si="3"/>
        <v>8605.5644232005016</v>
      </c>
      <c r="H21" s="24">
        <v>0.28766401017607807</v>
      </c>
      <c r="I21" s="18">
        <f t="shared" si="4"/>
        <v>8.2320534008227544E-2</v>
      </c>
    </row>
    <row r="22" spans="1:9" outlineLevel="1" x14ac:dyDescent="0.15">
      <c r="A22" s="18" t="s">
        <v>29</v>
      </c>
      <c r="B22" s="25">
        <v>4487.5584992078802</v>
      </c>
      <c r="C22" s="25">
        <v>3704.6425301154181</v>
      </c>
      <c r="D22" s="24">
        <f t="shared" si="0"/>
        <v>1.2113337421162929</v>
      </c>
      <c r="E22" s="24">
        <f t="shared" si="1"/>
        <v>0.23029172902803866</v>
      </c>
      <c r="F22" s="25">
        <f t="shared" si="2"/>
        <v>-2915.5788642683756</v>
      </c>
      <c r="G22" s="25">
        <f t="shared" si="3"/>
        <v>11890.695862684137</v>
      </c>
      <c r="H22" s="24">
        <v>0.28766401017607807</v>
      </c>
      <c r="I22" s="18">
        <f t="shared" si="4"/>
        <v>0.19465738860971801</v>
      </c>
    </row>
    <row r="23" spans="1:9" outlineLevel="1" x14ac:dyDescent="0.15">
      <c r="A23" s="18" t="s">
        <v>30</v>
      </c>
      <c r="B23" s="25">
        <v>6360.7772579275097</v>
      </c>
      <c r="C23" s="25">
        <v>3716.7463779817563</v>
      </c>
      <c r="D23" s="24">
        <f t="shared" si="0"/>
        <v>1.7113831860062236</v>
      </c>
      <c r="E23" s="24">
        <f t="shared" si="1"/>
        <v>9.1930026872533821E-2</v>
      </c>
      <c r="F23" s="25">
        <f t="shared" si="2"/>
        <v>-1066.5477154605533</v>
      </c>
      <c r="G23" s="25">
        <f t="shared" si="3"/>
        <v>13788.102231315574</v>
      </c>
      <c r="H23" s="24">
        <v>0.26819409376060449</v>
      </c>
      <c r="I23" s="18">
        <f t="shared" si="4"/>
        <v>0.25723771110569654</v>
      </c>
    </row>
    <row r="24" spans="1:9" outlineLevel="1" x14ac:dyDescent="0.15">
      <c r="A24" s="18" t="s">
        <v>31</v>
      </c>
      <c r="B24" s="25">
        <v>5010.7892010362384</v>
      </c>
      <c r="C24" s="25">
        <v>3715.6742506096161</v>
      </c>
      <c r="D24" s="24">
        <f t="shared" si="0"/>
        <v>1.3485544918837107</v>
      </c>
      <c r="E24" s="24">
        <f t="shared" si="1"/>
        <v>0.18230818658329334</v>
      </c>
      <c r="F24" s="25">
        <f t="shared" si="2"/>
        <v>-2414.3932967573301</v>
      </c>
      <c r="G24" s="25">
        <f t="shared" si="3"/>
        <v>12435.971698829806</v>
      </c>
      <c r="H24" s="24">
        <v>0.26819409376060449</v>
      </c>
      <c r="I24" s="18">
        <f t="shared" si="4"/>
        <v>0.20264252191841073</v>
      </c>
    </row>
    <row r="25" spans="1:9" outlineLevel="1" x14ac:dyDescent="0.15">
      <c r="A25" s="18" t="s">
        <v>32</v>
      </c>
      <c r="B25" s="25">
        <v>2389.9911724735312</v>
      </c>
      <c r="C25" s="25">
        <v>3610.6239266132557</v>
      </c>
      <c r="D25" s="24">
        <f t="shared" si="0"/>
        <v>0.66193301242406855</v>
      </c>
      <c r="E25" s="24">
        <f t="shared" si="1"/>
        <v>0.51042820910370967</v>
      </c>
      <c r="F25" s="25">
        <f t="shared" si="2"/>
        <v>-4825.2650038731708</v>
      </c>
      <c r="G25" s="25">
        <f t="shared" si="3"/>
        <v>9605.247348820234</v>
      </c>
      <c r="H25" s="24">
        <v>0.26819409376060449</v>
      </c>
      <c r="I25" s="18">
        <f t="shared" si="4"/>
        <v>9.6654203384292994E-2</v>
      </c>
    </row>
    <row r="26" spans="1:9" outlineLevel="1" x14ac:dyDescent="0.15">
      <c r="A26" s="18" t="s">
        <v>33</v>
      </c>
      <c r="B26" s="25">
        <v>-2243.9643920561234</v>
      </c>
      <c r="C26" s="25">
        <v>2375.7214597914021</v>
      </c>
      <c r="D26" s="24">
        <f t="shared" si="0"/>
        <v>-0.94454018706938503</v>
      </c>
      <c r="E26" s="24">
        <f t="shared" si="1"/>
        <v>0.3485021528489195</v>
      </c>
      <c r="F26" s="25">
        <f t="shared" si="2"/>
        <v>-6991.464902893842</v>
      </c>
      <c r="G26" s="25">
        <f t="shared" si="3"/>
        <v>2503.5361187815947</v>
      </c>
      <c r="H26" s="24">
        <v>0.26819409376060449</v>
      </c>
      <c r="I26" s="18">
        <f t="shared" si="4"/>
        <v>-9.0748699507720035E-2</v>
      </c>
    </row>
    <row r="27" spans="1:9" outlineLevel="1" x14ac:dyDescent="0.15">
      <c r="A27" s="18" t="s">
        <v>34</v>
      </c>
      <c r="B27" s="25">
        <v>-2000.4918046061684</v>
      </c>
      <c r="C27" s="25">
        <v>1340.3177595213037</v>
      </c>
      <c r="D27" s="24">
        <f t="shared" si="0"/>
        <v>-1.4925503973928143</v>
      </c>
      <c r="E27" s="24">
        <f t="shared" si="1"/>
        <v>0.14054609822363814</v>
      </c>
      <c r="F27" s="25">
        <f t="shared" si="2"/>
        <v>-4678.9031233181549</v>
      </c>
      <c r="G27" s="24">
        <f t="shared" si="3"/>
        <v>677.91951410581805</v>
      </c>
      <c r="H27" s="24">
        <v>0.26819409376060449</v>
      </c>
      <c r="I27" s="18">
        <f t="shared" si="4"/>
        <v>-8.0902366493220745E-2</v>
      </c>
    </row>
    <row r="28" spans="1:9" outlineLevel="1" x14ac:dyDescent="0.15">
      <c r="A28" s="18" t="s">
        <v>1</v>
      </c>
      <c r="B28" s="24">
        <v>262.69070296234668</v>
      </c>
      <c r="C28" s="24">
        <v>10.433923588175441</v>
      </c>
      <c r="D28" s="24">
        <f t="shared" si="0"/>
        <v>25.176598308621777</v>
      </c>
      <c r="E28" s="24">
        <f t="shared" si="1"/>
        <v>1.3822358360485342E-34</v>
      </c>
      <c r="F28" s="24">
        <f t="shared" si="2"/>
        <v>241.8401704385322</v>
      </c>
      <c r="G28" s="24">
        <f t="shared" si="3"/>
        <v>283.54123548616116</v>
      </c>
      <c r="H28" s="24">
        <v>22.660538387249321</v>
      </c>
      <c r="I28" s="18">
        <f t="shared" si="4"/>
        <v>0.89761513358125056</v>
      </c>
    </row>
    <row r="30" spans="1:9" x14ac:dyDescent="0.15">
      <c r="A30" s="20" t="s">
        <v>252</v>
      </c>
    </row>
    <row r="31" spans="1:9" ht="12" hidden="1" outlineLevel="1" thickBot="1" x14ac:dyDescent="0.2">
      <c r="A31" s="28" t="s">
        <v>116</v>
      </c>
      <c r="B31" s="23" t="s">
        <v>120</v>
      </c>
      <c r="C31" s="23" t="s">
        <v>121</v>
      </c>
      <c r="D31" s="23" t="s">
        <v>122</v>
      </c>
      <c r="E31" s="23" t="s">
        <v>123</v>
      </c>
      <c r="F31" s="23" t="s">
        <v>112</v>
      </c>
    </row>
    <row r="32" spans="1:9" hidden="1" outlineLevel="1" x14ac:dyDescent="0.15">
      <c r="A32" s="18" t="s">
        <v>117</v>
      </c>
      <c r="B32" s="26">
        <v>14</v>
      </c>
      <c r="C32" s="25">
        <f>C34 - C33</f>
        <v>3120188825.6134567</v>
      </c>
      <c r="D32" s="25">
        <f>C32/B32</f>
        <v>222870630.40096119</v>
      </c>
      <c r="E32" s="24">
        <f>D32/D33</f>
        <v>52.740201531901306</v>
      </c>
      <c r="F32" s="24">
        <f>FDIST(E32,14,63)</f>
        <v>2.5473769296500619E-29</v>
      </c>
    </row>
    <row r="33" spans="1:22" hidden="1" outlineLevel="1" x14ac:dyDescent="0.15">
      <c r="A33" s="18" t="s">
        <v>118</v>
      </c>
      <c r="B33" s="26">
        <v>63</v>
      </c>
      <c r="C33" s="25">
        <v>266226698.18141624</v>
      </c>
      <c r="D33" s="25">
        <f>C33/B33</f>
        <v>4225820.6060542259</v>
      </c>
    </row>
    <row r="34" spans="1:22" hidden="1" outlineLevel="1" x14ac:dyDescent="0.15">
      <c r="A34" s="18" t="s">
        <v>119</v>
      </c>
      <c r="B34" s="26">
        <f>B32 + B33</f>
        <v>77</v>
      </c>
      <c r="C34" s="25">
        <v>3386415523.7948728</v>
      </c>
    </row>
    <row r="35" spans="1:22" collapsed="1" x14ac:dyDescent="0.15"/>
    <row r="36" spans="1:22" x14ac:dyDescent="0.15">
      <c r="A36" s="20" t="s">
        <v>253</v>
      </c>
    </row>
    <row r="37" spans="1:22" ht="12" outlineLevel="1" thickBot="1" x14ac:dyDescent="0.2">
      <c r="A37" s="23" t="s">
        <v>129</v>
      </c>
      <c r="B37" s="23" t="s">
        <v>130</v>
      </c>
      <c r="C37" s="23" t="s">
        <v>131</v>
      </c>
      <c r="D37" s="23" t="s">
        <v>112</v>
      </c>
      <c r="E37" s="23" t="s">
        <v>133</v>
      </c>
      <c r="F37" s="23" t="s">
        <v>134</v>
      </c>
      <c r="G37" s="28" t="s">
        <v>135</v>
      </c>
    </row>
    <row r="38" spans="1:22" outlineLevel="1" x14ac:dyDescent="0.15">
      <c r="A38" s="26">
        <v>39</v>
      </c>
      <c r="B38" s="26">
        <v>39</v>
      </c>
      <c r="C38" s="18">
        <v>0.26459009315620025</v>
      </c>
      <c r="D38" s="18">
        <v>0.69600284196633411</v>
      </c>
      <c r="E38" s="24">
        <v>-3.3487131781476984</v>
      </c>
      <c r="F38" s="24">
        <v>1.7672485225475674</v>
      </c>
      <c r="G38" s="24">
        <v>1.2174632638033911</v>
      </c>
    </row>
    <row r="39" spans="1:22" outlineLevel="1" x14ac:dyDescent="0.15">
      <c r="A39" s="18" t="s">
        <v>132</v>
      </c>
    </row>
    <row r="41" spans="1:22" x14ac:dyDescent="0.15">
      <c r="A41" s="20" t="s">
        <v>254</v>
      </c>
    </row>
    <row r="42" spans="1:22" ht="12" outlineLevel="1" thickBot="1" x14ac:dyDescent="0.2">
      <c r="A42" s="22" t="s">
        <v>137</v>
      </c>
      <c r="B42" s="31">
        <v>1</v>
      </c>
      <c r="C42" s="31">
        <v>2</v>
      </c>
      <c r="D42" s="31">
        <v>3</v>
      </c>
      <c r="E42" s="31">
        <v>4</v>
      </c>
      <c r="F42" s="31">
        <v>5</v>
      </c>
      <c r="G42" s="31">
        <v>6</v>
      </c>
      <c r="H42" s="31">
        <v>7</v>
      </c>
      <c r="I42" s="31">
        <v>12</v>
      </c>
    </row>
    <row r="43" spans="1:22" outlineLevel="1" x14ac:dyDescent="0.15">
      <c r="A43" s="18" t="s">
        <v>138</v>
      </c>
      <c r="B43" s="24">
        <v>0.38249407937788704</v>
      </c>
      <c r="C43" s="45">
        <v>8.5890517423790558E-2</v>
      </c>
      <c r="D43" s="47">
        <v>6.067085713398316E-3</v>
      </c>
      <c r="E43" s="24">
        <v>-0.11887771512961202</v>
      </c>
      <c r="F43" s="45">
        <v>7.7185029416991999E-2</v>
      </c>
      <c r="G43" s="45">
        <v>5.7417512114362357E-2</v>
      </c>
      <c r="H43" s="45">
        <v>1.601651374444971E-2</v>
      </c>
      <c r="I43" s="24">
        <v>-0.19764711992250578</v>
      </c>
    </row>
    <row r="44" spans="1:22" outlineLevel="1" x14ac:dyDescent="0.15">
      <c r="A44" s="18" t="s">
        <v>140</v>
      </c>
    </row>
    <row r="45" spans="1:22" outlineLevel="1" x14ac:dyDescent="0.15">
      <c r="A45" s="32" t="s">
        <v>139</v>
      </c>
      <c r="B45" s="33">
        <f t="shared" ref="B45:I45" si="5" xml:space="preserve"> 1 / SQRT($F$10 - B42)</f>
        <v>0.11396057645963795</v>
      </c>
      <c r="C45" s="33">
        <f t="shared" si="5"/>
        <v>0.11470786693528087</v>
      </c>
      <c r="D45" s="33">
        <f t="shared" si="5"/>
        <v>0.11547005383792514</v>
      </c>
      <c r="E45" s="33">
        <f t="shared" si="5"/>
        <v>0.11624763874381928</v>
      </c>
      <c r="F45" s="33">
        <f t="shared" si="5"/>
        <v>0.11704114719613057</v>
      </c>
      <c r="G45" s="33">
        <f t="shared" si="5"/>
        <v>0.11785113019775793</v>
      </c>
      <c r="H45" s="33">
        <f t="shared" si="5"/>
        <v>0.11867816581938533</v>
      </c>
      <c r="I45" s="33">
        <f t="shared" si="5"/>
        <v>0.12309149097933272</v>
      </c>
    </row>
    <row r="47" spans="1:22" x14ac:dyDescent="0.15">
      <c r="A47" s="20" t="s">
        <v>255</v>
      </c>
    </row>
    <row r="48" spans="1:22" ht="12" hidden="1" outlineLevel="1" thickBot="1" x14ac:dyDescent="0.2">
      <c r="A48" s="23" t="s">
        <v>142</v>
      </c>
      <c r="B48" s="23" t="s">
        <v>143</v>
      </c>
      <c r="C48" s="23" t="s">
        <v>144</v>
      </c>
      <c r="D48" s="23" t="str">
        <f>IF($I$10&gt;99%,("Low"&amp;TEXT($I$10,"0.0%")&amp;"F"),("Lower"&amp;TEXT($I$10,"0%")&amp;"F"))</f>
        <v>Lower95%F</v>
      </c>
      <c r="E48" s="23" t="str">
        <f>IF($I$10&gt;99%,("Up"&amp;TEXT($I$10,"0.0%")&amp;"F"),("Upper"&amp;TEXT($I$10,"0%")&amp;"F"))</f>
        <v>Upper95%F</v>
      </c>
      <c r="F48" s="23" t="s">
        <v>145</v>
      </c>
      <c r="G48" s="23" t="str">
        <f>IF($I$10&gt;99%,("Low"&amp;TEXT($I$10,"0.0%")&amp;"M"),("Lower"&amp;TEXT($I$10,"0%")&amp;"M"))</f>
        <v>Lower95%M</v>
      </c>
      <c r="H48" s="23" t="str">
        <f>IF($I$10&gt;99%,("Up"&amp;TEXT($I$10,"0.0%")&amp;"M"),("Upper"&amp;TEXT($I$10,"0%")&amp;"M"))</f>
        <v>Upper95%M</v>
      </c>
      <c r="I48" s="28" t="s">
        <v>146</v>
      </c>
      <c r="J48" s="28" t="s">
        <v>204</v>
      </c>
      <c r="K48" s="28" t="s">
        <v>220</v>
      </c>
      <c r="L48" s="28" t="s">
        <v>221</v>
      </c>
      <c r="M48" s="28" t="s">
        <v>222</v>
      </c>
      <c r="N48" s="28" t="s">
        <v>223</v>
      </c>
      <c r="O48" s="28" t="s">
        <v>224</v>
      </c>
      <c r="P48" s="28" t="s">
        <v>225</v>
      </c>
      <c r="Q48" s="28" t="s">
        <v>226</v>
      </c>
      <c r="R48" s="28" t="s">
        <v>227</v>
      </c>
      <c r="S48" s="28" t="s">
        <v>228</v>
      </c>
      <c r="T48" s="28" t="s">
        <v>229</v>
      </c>
      <c r="U48" s="28" t="s">
        <v>230</v>
      </c>
      <c r="V48" s="28" t="s">
        <v>176</v>
      </c>
    </row>
    <row r="49" spans="9:23" hidden="1" outlineLevel="1" x14ac:dyDescent="0.15">
      <c r="I49" s="34"/>
      <c r="J49" s="34"/>
      <c r="K49" s="34"/>
      <c r="L49" s="34"/>
      <c r="M49" s="34"/>
      <c r="N49" s="34"/>
      <c r="O49" s="34"/>
      <c r="P49" s="34"/>
      <c r="Q49" s="34"/>
      <c r="R49" s="34"/>
      <c r="S49" s="34"/>
      <c r="T49" s="34"/>
      <c r="U49" s="34"/>
      <c r="V49" s="34"/>
      <c r="W49" s="34"/>
    </row>
    <row r="50" spans="9:23" hidden="1" outlineLevel="1" x14ac:dyDescent="0.15">
      <c r="I50" s="34"/>
      <c r="J50" s="34"/>
      <c r="K50" s="34"/>
      <c r="L50" s="34"/>
      <c r="M50" s="34"/>
      <c r="N50" s="34"/>
      <c r="O50" s="34"/>
      <c r="P50" s="34"/>
      <c r="Q50" s="34"/>
      <c r="R50" s="34"/>
      <c r="S50" s="34"/>
      <c r="T50" s="34"/>
      <c r="U50" s="34"/>
      <c r="V50" s="34"/>
      <c r="W50" s="34"/>
    </row>
    <row r="51" spans="9:23" hidden="1" outlineLevel="1" x14ac:dyDescent="0.15">
      <c r="I51" s="34"/>
      <c r="J51" s="34"/>
      <c r="K51" s="34"/>
      <c r="L51" s="34"/>
      <c r="M51" s="34"/>
      <c r="N51" s="34"/>
      <c r="O51" s="34"/>
      <c r="P51" s="34"/>
      <c r="Q51" s="34"/>
      <c r="R51" s="34"/>
      <c r="S51" s="34"/>
      <c r="T51" s="34"/>
      <c r="U51" s="34"/>
      <c r="V51" s="34"/>
      <c r="W51" s="34"/>
    </row>
    <row r="52" spans="9:23" hidden="1" outlineLevel="1" x14ac:dyDescent="0.15">
      <c r="I52" s="34"/>
      <c r="J52" s="34"/>
      <c r="K52" s="34"/>
      <c r="L52" s="34"/>
      <c r="M52" s="34"/>
      <c r="N52" s="34"/>
      <c r="O52" s="34"/>
      <c r="P52" s="34"/>
      <c r="Q52" s="34"/>
      <c r="R52" s="34"/>
      <c r="S52" s="34"/>
      <c r="T52" s="34"/>
      <c r="U52" s="34"/>
      <c r="V52" s="34"/>
      <c r="W52" s="34"/>
    </row>
    <row r="53" spans="9:23" hidden="1" outlineLevel="1" x14ac:dyDescent="0.15">
      <c r="I53" s="34"/>
      <c r="J53" s="34"/>
      <c r="K53" s="34"/>
      <c r="L53" s="34"/>
      <c r="M53" s="34"/>
      <c r="N53" s="34"/>
      <c r="O53" s="34"/>
      <c r="P53" s="34"/>
      <c r="Q53" s="34"/>
      <c r="R53" s="34"/>
      <c r="S53" s="34"/>
      <c r="T53" s="34"/>
      <c r="U53" s="34"/>
      <c r="V53" s="34"/>
      <c r="W53" s="34"/>
    </row>
    <row r="54" spans="9:23" hidden="1" outlineLevel="1" x14ac:dyDescent="0.15"/>
    <row r="55" spans="9:23" hidden="1" outlineLevel="1" x14ac:dyDescent="0.15"/>
    <row r="56" spans="9:23" hidden="1" outlineLevel="1" x14ac:dyDescent="0.15"/>
    <row r="57" spans="9:23" hidden="1" outlineLevel="1" x14ac:dyDescent="0.15"/>
    <row r="58" spans="9:23" hidden="1" outlineLevel="1" x14ac:dyDescent="0.15"/>
    <row r="59" spans="9:23" hidden="1" outlineLevel="1" x14ac:dyDescent="0.15"/>
    <row r="60" spans="9:23" hidden="1" outlineLevel="1" x14ac:dyDescent="0.15"/>
    <row r="61" spans="9:23" hidden="1" outlineLevel="1" x14ac:dyDescent="0.15"/>
    <row r="62" spans="9:23" hidden="1" outlineLevel="1" x14ac:dyDescent="0.15"/>
    <row r="63" spans="9:23" hidden="1" outlineLevel="1" x14ac:dyDescent="0.15"/>
    <row r="64" spans="9:23" hidden="1" outlineLevel="1" x14ac:dyDescent="0.15"/>
    <row r="65" spans="1:3" hidden="1" outlineLevel="1" x14ac:dyDescent="0.15"/>
    <row r="66" spans="1:3" hidden="1" outlineLevel="1" x14ac:dyDescent="0.15"/>
    <row r="67" spans="1:3" hidden="1" outlineLevel="1" x14ac:dyDescent="0.15"/>
    <row r="68" spans="1:3" hidden="1" outlineLevel="1" x14ac:dyDescent="0.15"/>
    <row r="69" spans="1:3" hidden="1" outlineLevel="1" x14ac:dyDescent="0.15"/>
    <row r="70" spans="1:3" hidden="1" outlineLevel="1" x14ac:dyDescent="0.15"/>
    <row r="71" spans="1:3" hidden="1" outlineLevel="1" x14ac:dyDescent="0.15"/>
    <row r="72" spans="1:3" hidden="1" outlineLevel="1" x14ac:dyDescent="0.15"/>
    <row r="73" spans="1:3" hidden="1" outlineLevel="1" x14ac:dyDescent="0.15"/>
    <row r="74" spans="1:3" collapsed="1" x14ac:dyDescent="0.15"/>
    <row r="75" spans="1:3" x14ac:dyDescent="0.15">
      <c r="A75" s="20" t="s">
        <v>147</v>
      </c>
    </row>
    <row r="76" spans="1:3" outlineLevel="1" x14ac:dyDescent="0.15"/>
    <row r="77" spans="1:3" outlineLevel="1" x14ac:dyDescent="0.15"/>
    <row r="78" spans="1:3" outlineLevel="1" x14ac:dyDescent="0.15">
      <c r="C78" s="32" t="b">
        <v>1</v>
      </c>
    </row>
    <row r="79" spans="1:3" outlineLevel="1" x14ac:dyDescent="0.15"/>
    <row r="80" spans="1:3" outlineLevel="1" x14ac:dyDescent="0.15"/>
    <row r="81" outlineLevel="1" x14ac:dyDescent="0.15"/>
    <row r="82" outlineLevel="1" x14ac:dyDescent="0.15"/>
    <row r="83" outlineLevel="1" x14ac:dyDescent="0.15"/>
    <row r="84" outlineLevel="1" x14ac:dyDescent="0.15"/>
    <row r="85" outlineLevel="1" x14ac:dyDescent="0.15"/>
    <row r="86" outlineLevel="1" x14ac:dyDescent="0.15"/>
    <row r="87" outlineLevel="1" x14ac:dyDescent="0.15"/>
    <row r="88" outlineLevel="1" x14ac:dyDescent="0.15"/>
    <row r="89" outlineLevel="1" x14ac:dyDescent="0.15"/>
    <row r="90" outlineLevel="1" x14ac:dyDescent="0.15"/>
    <row r="91" outlineLevel="1" x14ac:dyDescent="0.15"/>
    <row r="92" outlineLevel="1" x14ac:dyDescent="0.15"/>
    <row r="93" outlineLevel="1" x14ac:dyDescent="0.15"/>
    <row r="94" outlineLevel="1" x14ac:dyDescent="0.15"/>
    <row r="95" outlineLevel="1" x14ac:dyDescent="0.15"/>
    <row r="97" spans="1:1" x14ac:dyDescent="0.15">
      <c r="A97" s="20" t="s">
        <v>148</v>
      </c>
    </row>
    <row r="98" spans="1:1" outlineLevel="1" x14ac:dyDescent="0.15"/>
    <row r="99" spans="1:1" outlineLevel="1" x14ac:dyDescent="0.15"/>
    <row r="100" spans="1:1" outlineLevel="1" x14ac:dyDescent="0.15"/>
    <row r="101" spans="1:1" outlineLevel="1" x14ac:dyDescent="0.15"/>
    <row r="102" spans="1:1" outlineLevel="1" x14ac:dyDescent="0.15"/>
    <row r="103" spans="1:1" outlineLevel="1" x14ac:dyDescent="0.15"/>
    <row r="104" spans="1:1" outlineLevel="1" x14ac:dyDescent="0.15"/>
    <row r="105" spans="1:1" outlineLevel="1" x14ac:dyDescent="0.15"/>
    <row r="106" spans="1:1" outlineLevel="1" x14ac:dyDescent="0.15"/>
    <row r="107" spans="1:1" outlineLevel="1" x14ac:dyDescent="0.15"/>
    <row r="108" spans="1:1" outlineLevel="1" x14ac:dyDescent="0.15"/>
    <row r="109" spans="1:1" outlineLevel="1" x14ac:dyDescent="0.15"/>
    <row r="110" spans="1:1" outlineLevel="1" x14ac:dyDescent="0.15"/>
    <row r="111" spans="1:1" outlineLevel="1" x14ac:dyDescent="0.15"/>
    <row r="112" spans="1:1" outlineLevel="1" x14ac:dyDescent="0.15"/>
    <row r="113" spans="1:1" outlineLevel="1" x14ac:dyDescent="0.15"/>
    <row r="114" spans="1:1" outlineLevel="1" x14ac:dyDescent="0.15"/>
    <row r="115" spans="1:1" outlineLevel="1" x14ac:dyDescent="0.15"/>
    <row r="116" spans="1:1" outlineLevel="1" x14ac:dyDescent="0.15"/>
    <row r="117" spans="1:1" outlineLevel="1" x14ac:dyDescent="0.15"/>
    <row r="119" spans="1:1" x14ac:dyDescent="0.15">
      <c r="A119" s="20" t="s">
        <v>149</v>
      </c>
    </row>
    <row r="120" spans="1:1" outlineLevel="1" x14ac:dyDescent="0.15"/>
    <row r="121" spans="1:1" outlineLevel="1" x14ac:dyDescent="0.15"/>
    <row r="122" spans="1:1" outlineLevel="1" x14ac:dyDescent="0.15"/>
    <row r="123" spans="1:1" outlineLevel="1" x14ac:dyDescent="0.15"/>
    <row r="124" spans="1:1" outlineLevel="1" x14ac:dyDescent="0.15"/>
    <row r="125" spans="1:1" outlineLevel="1" x14ac:dyDescent="0.15"/>
    <row r="126" spans="1:1" outlineLevel="1" x14ac:dyDescent="0.15"/>
    <row r="127" spans="1:1" outlineLevel="1" x14ac:dyDescent="0.15"/>
    <row r="128" spans="1:1" outlineLevel="1" x14ac:dyDescent="0.15"/>
    <row r="129" spans="1:1" outlineLevel="1" x14ac:dyDescent="0.15"/>
    <row r="130" spans="1:1" outlineLevel="1" x14ac:dyDescent="0.15"/>
    <row r="131" spans="1:1" outlineLevel="1" x14ac:dyDescent="0.15"/>
    <row r="132" spans="1:1" outlineLevel="1" x14ac:dyDescent="0.15"/>
    <row r="133" spans="1:1" outlineLevel="1" x14ac:dyDescent="0.15"/>
    <row r="134" spans="1:1" outlineLevel="1" x14ac:dyDescent="0.15"/>
    <row r="135" spans="1:1" outlineLevel="1" x14ac:dyDescent="0.15"/>
    <row r="136" spans="1:1" outlineLevel="1" x14ac:dyDescent="0.15"/>
    <row r="137" spans="1:1" outlineLevel="1" x14ac:dyDescent="0.15"/>
    <row r="138" spans="1:1" outlineLevel="1" x14ac:dyDescent="0.15"/>
    <row r="139" spans="1:1" outlineLevel="1" x14ac:dyDescent="0.15"/>
    <row r="141" spans="1:1" x14ac:dyDescent="0.15">
      <c r="A141" s="20" t="s">
        <v>150</v>
      </c>
    </row>
    <row r="142" spans="1:1" outlineLevel="1" x14ac:dyDescent="0.15"/>
    <row r="143" spans="1:1" outlineLevel="1" x14ac:dyDescent="0.15"/>
    <row r="144" spans="1:1" outlineLevel="1" x14ac:dyDescent="0.15"/>
    <row r="145" outlineLevel="1" x14ac:dyDescent="0.15"/>
    <row r="146" outlineLevel="1" x14ac:dyDescent="0.15"/>
    <row r="147" outlineLevel="1" x14ac:dyDescent="0.15"/>
    <row r="148" outlineLevel="1" x14ac:dyDescent="0.15"/>
    <row r="149" outlineLevel="1" x14ac:dyDescent="0.15"/>
    <row r="150" outlineLevel="1" x14ac:dyDescent="0.15"/>
    <row r="151" outlineLevel="1" x14ac:dyDescent="0.15"/>
    <row r="152" outlineLevel="1" x14ac:dyDescent="0.15"/>
    <row r="153" outlineLevel="1" x14ac:dyDescent="0.15"/>
    <row r="154" outlineLevel="1" x14ac:dyDescent="0.15"/>
    <row r="155" outlineLevel="1" x14ac:dyDescent="0.15"/>
    <row r="156" outlineLevel="1" x14ac:dyDescent="0.15"/>
    <row r="157" outlineLevel="1" x14ac:dyDescent="0.15"/>
    <row r="158" outlineLevel="1" x14ac:dyDescent="0.15"/>
    <row r="159" outlineLevel="1" x14ac:dyDescent="0.15"/>
    <row r="160" outlineLevel="1" x14ac:dyDescent="0.15"/>
    <row r="161" spans="1:1" outlineLevel="1" x14ac:dyDescent="0.15"/>
    <row r="163" spans="1:1" x14ac:dyDescent="0.15">
      <c r="A163" s="20" t="s">
        <v>151</v>
      </c>
    </row>
    <row r="164" spans="1:1" outlineLevel="1" x14ac:dyDescent="0.15"/>
    <row r="165" spans="1:1" outlineLevel="1" x14ac:dyDescent="0.15"/>
    <row r="166" spans="1:1" outlineLevel="1" x14ac:dyDescent="0.15"/>
    <row r="167" spans="1:1" outlineLevel="1" x14ac:dyDescent="0.15"/>
    <row r="168" spans="1:1" outlineLevel="1" x14ac:dyDescent="0.15"/>
    <row r="169" spans="1:1" outlineLevel="1" x14ac:dyDescent="0.15"/>
    <row r="170" spans="1:1" outlineLevel="1" x14ac:dyDescent="0.15"/>
    <row r="171" spans="1:1" outlineLevel="1" x14ac:dyDescent="0.15"/>
    <row r="172" spans="1:1" outlineLevel="1" x14ac:dyDescent="0.15"/>
    <row r="173" spans="1:1" outlineLevel="1" x14ac:dyDescent="0.15"/>
    <row r="174" spans="1:1" outlineLevel="1" x14ac:dyDescent="0.15"/>
    <row r="175" spans="1:1" outlineLevel="1" x14ac:dyDescent="0.15"/>
    <row r="176" spans="1:1" outlineLevel="1" x14ac:dyDescent="0.15"/>
    <row r="177" spans="1:6" outlineLevel="1" x14ac:dyDescent="0.15"/>
    <row r="178" spans="1:6" outlineLevel="1" x14ac:dyDescent="0.15"/>
    <row r="179" spans="1:6" outlineLevel="1" x14ac:dyDescent="0.15"/>
    <row r="180" spans="1:6" outlineLevel="1" x14ac:dyDescent="0.15"/>
    <row r="181" spans="1:6" outlineLevel="1" x14ac:dyDescent="0.15"/>
    <row r="182" spans="1:6" outlineLevel="1" x14ac:dyDescent="0.15"/>
    <row r="183" spans="1:6" outlineLevel="1" x14ac:dyDescent="0.15"/>
    <row r="185" spans="1:6" x14ac:dyDescent="0.15">
      <c r="A185" s="20" t="s">
        <v>256</v>
      </c>
    </row>
    <row r="186" spans="1:6" ht="12" hidden="1" outlineLevel="1" thickBot="1" x14ac:dyDescent="0.2">
      <c r="A186" s="23" t="s">
        <v>142</v>
      </c>
      <c r="B186" s="23" t="s">
        <v>153</v>
      </c>
      <c r="C186" s="23" t="s">
        <v>127</v>
      </c>
      <c r="D186" s="23" t="s">
        <v>118</v>
      </c>
      <c r="E186" s="23" t="s">
        <v>154</v>
      </c>
    </row>
    <row r="187" spans="1:6" ht="15" hidden="1" outlineLevel="1" x14ac:dyDescent="0.2">
      <c r="A187" s="36">
        <v>62</v>
      </c>
      <c r="B187" s="37">
        <v>8697</v>
      </c>
      <c r="C187" s="37">
        <v>15580.882985961896</v>
      </c>
      <c r="D187" s="37">
        <f t="shared" ref="D187:D218" si="6">B187 - C187</f>
        <v>-6883.8829859618963</v>
      </c>
      <c r="E187" s="19">
        <f t="shared" ref="E187:E218" si="7">D187 /2055.68008358651</f>
        <v>-3.3487131781476922</v>
      </c>
      <c r="F187"/>
    </row>
    <row r="188" spans="1:6" ht="15" hidden="1" outlineLevel="1" x14ac:dyDescent="0.2">
      <c r="A188" s="26">
        <v>38</v>
      </c>
      <c r="B188" s="25">
        <v>12898</v>
      </c>
      <c r="C188" s="25">
        <v>9265.1024094512868</v>
      </c>
      <c r="D188" s="25">
        <f t="shared" si="6"/>
        <v>3632.8975905487132</v>
      </c>
      <c r="E188" s="18">
        <f t="shared" si="7"/>
        <v>1.767248522547564</v>
      </c>
      <c r="F188"/>
    </row>
    <row r="189" spans="1:6" ht="15" hidden="1" outlineLevel="1" x14ac:dyDescent="0.2">
      <c r="A189" s="26">
        <v>43</v>
      </c>
      <c r="B189" s="25">
        <v>20603</v>
      </c>
      <c r="C189" s="25">
        <v>16993.477551107713</v>
      </c>
      <c r="D189" s="25">
        <f t="shared" si="6"/>
        <v>3609.5224488922868</v>
      </c>
      <c r="E189" s="18">
        <f t="shared" si="7"/>
        <v>1.7558775208809798</v>
      </c>
      <c r="F189"/>
    </row>
    <row r="190" spans="1:6" ht="15" hidden="1" outlineLevel="1" x14ac:dyDescent="0.2">
      <c r="A190" s="26">
        <v>70</v>
      </c>
      <c r="B190" s="25">
        <v>12618</v>
      </c>
      <c r="C190" s="25">
        <v>15931.932054989626</v>
      </c>
      <c r="D190" s="25">
        <f t="shared" si="6"/>
        <v>-3313.9320549896256</v>
      </c>
      <c r="E190" s="18">
        <f t="shared" si="7"/>
        <v>-1.6120854998059155</v>
      </c>
      <c r="F190"/>
    </row>
    <row r="191" spans="1:6" ht="15" hidden="1" outlineLevel="1" x14ac:dyDescent="0.2">
      <c r="A191" s="26">
        <v>33</v>
      </c>
      <c r="B191" s="25">
        <v>7157</v>
      </c>
      <c r="C191" s="25">
        <v>10461.400226040834</v>
      </c>
      <c r="D191" s="25">
        <f t="shared" si="6"/>
        <v>-3304.4002260408342</v>
      </c>
      <c r="E191" s="18">
        <f t="shared" si="7"/>
        <v>-1.6074486747352745</v>
      </c>
      <c r="F191"/>
    </row>
    <row r="192" spans="1:6" ht="15" hidden="1" outlineLevel="1" x14ac:dyDescent="0.2">
      <c r="A192" s="26">
        <v>25</v>
      </c>
      <c r="B192" s="25">
        <v>4681</v>
      </c>
      <c r="C192" s="25">
        <v>7754.9525792589666</v>
      </c>
      <c r="D192" s="25">
        <f t="shared" si="6"/>
        <v>-3073.9525792589666</v>
      </c>
      <c r="E192" s="18">
        <f t="shared" si="7"/>
        <v>-1.4953458000604325</v>
      </c>
      <c r="F192"/>
    </row>
    <row r="193" spans="1:6" ht="15" hidden="1" outlineLevel="1" x14ac:dyDescent="0.2">
      <c r="A193" s="26">
        <v>9</v>
      </c>
      <c r="B193" s="25">
        <v>7103</v>
      </c>
      <c r="C193" s="25">
        <v>4133.4535181571373</v>
      </c>
      <c r="D193" s="25">
        <f t="shared" si="6"/>
        <v>2969.5464818428627</v>
      </c>
      <c r="E193" s="18">
        <f t="shared" si="7"/>
        <v>1.4445567214242527</v>
      </c>
      <c r="F193"/>
    </row>
    <row r="194" spans="1:6" ht="15" hidden="1" outlineLevel="1" x14ac:dyDescent="0.2">
      <c r="A194" s="26">
        <v>47</v>
      </c>
      <c r="B194" s="25">
        <v>7885</v>
      </c>
      <c r="C194" s="25">
        <v>10803.587843160287</v>
      </c>
      <c r="D194" s="25">
        <f t="shared" si="6"/>
        <v>-2918.5878431602869</v>
      </c>
      <c r="E194" s="18">
        <f t="shared" si="7"/>
        <v>-1.4197675340942528</v>
      </c>
      <c r="F194"/>
    </row>
    <row r="195" spans="1:6" ht="15" hidden="1" outlineLevel="1" x14ac:dyDescent="0.2">
      <c r="A195" s="26">
        <v>28</v>
      </c>
      <c r="B195" s="25">
        <v>3691</v>
      </c>
      <c r="C195" s="25">
        <v>6482.7177014081426</v>
      </c>
      <c r="D195" s="25">
        <f t="shared" si="6"/>
        <v>-2791.7177014081426</v>
      </c>
      <c r="E195" s="18">
        <f t="shared" si="7"/>
        <v>-1.358050663475554</v>
      </c>
      <c r="F195"/>
    </row>
    <row r="196" spans="1:6" ht="15" hidden="1" outlineLevel="1" x14ac:dyDescent="0.2">
      <c r="A196" s="26">
        <v>60</v>
      </c>
      <c r="B196" s="25">
        <v>18969</v>
      </c>
      <c r="C196" s="25">
        <v>16233.67337908172</v>
      </c>
      <c r="D196" s="25">
        <f t="shared" si="6"/>
        <v>2735.3266209182802</v>
      </c>
      <c r="E196" s="18">
        <f t="shared" si="7"/>
        <v>1.33061882671257</v>
      </c>
      <c r="F196"/>
    </row>
    <row r="197" spans="1:6" ht="15" hidden="1" outlineLevel="1" x14ac:dyDescent="0.2">
      <c r="A197" s="26">
        <v>51</v>
      </c>
      <c r="B197" s="25">
        <v>15968</v>
      </c>
      <c r="C197" s="25">
        <v>13325.073121841215</v>
      </c>
      <c r="D197" s="25">
        <f t="shared" si="6"/>
        <v>2642.9268781587853</v>
      </c>
      <c r="E197" s="18">
        <f t="shared" si="7"/>
        <v>1.2856703235396996</v>
      </c>
      <c r="F197"/>
    </row>
    <row r="198" spans="1:6" ht="15" hidden="1" outlineLevel="1" x14ac:dyDescent="0.2">
      <c r="A198" s="26">
        <v>26</v>
      </c>
      <c r="B198" s="25">
        <v>3473</v>
      </c>
      <c r="C198" s="25">
        <v>6095.7130381976094</v>
      </c>
      <c r="D198" s="25">
        <f t="shared" si="6"/>
        <v>-2622.7130381976094</v>
      </c>
      <c r="E198" s="18">
        <f t="shared" si="7"/>
        <v>-1.2758371592635205</v>
      </c>
      <c r="F198"/>
    </row>
    <row r="199" spans="1:6" ht="15" hidden="1" outlineLevel="1" x14ac:dyDescent="0.2">
      <c r="A199" s="26">
        <v>27</v>
      </c>
      <c r="B199" s="25">
        <v>4445</v>
      </c>
      <c r="C199" s="25">
        <v>6937.4454404902899</v>
      </c>
      <c r="D199" s="25">
        <f t="shared" si="6"/>
        <v>-2492.4454404902899</v>
      </c>
      <c r="E199" s="18">
        <f t="shared" si="7"/>
        <v>-1.2124675723577389</v>
      </c>
      <c r="F199"/>
    </row>
    <row r="200" spans="1:6" ht="15" hidden="1" outlineLevel="1" x14ac:dyDescent="0.2">
      <c r="A200" s="26">
        <v>18</v>
      </c>
      <c r="B200" s="25">
        <v>10952</v>
      </c>
      <c r="C200" s="25">
        <v>8552.9912183294182</v>
      </c>
      <c r="D200" s="25">
        <f t="shared" si="6"/>
        <v>2399.0087816705818</v>
      </c>
      <c r="E200" s="18">
        <f t="shared" si="7"/>
        <v>1.1670146540920276</v>
      </c>
      <c r="F200"/>
    </row>
    <row r="201" spans="1:6" ht="15" hidden="1" outlineLevel="1" x14ac:dyDescent="0.2">
      <c r="A201" s="26">
        <v>67</v>
      </c>
      <c r="B201" s="25">
        <v>20934</v>
      </c>
      <c r="C201" s="25">
        <v>23298.054422204037</v>
      </c>
      <c r="D201" s="25">
        <f t="shared" si="6"/>
        <v>-2364.0544222040371</v>
      </c>
      <c r="E201" s="18">
        <f t="shared" si="7"/>
        <v>-1.1500108606780446</v>
      </c>
      <c r="F201"/>
    </row>
    <row r="202" spans="1:6" ht="15" hidden="1" outlineLevel="1" x14ac:dyDescent="0.2">
      <c r="A202" s="26">
        <v>77</v>
      </c>
      <c r="B202" s="25">
        <v>23874</v>
      </c>
      <c r="C202" s="25">
        <v>21534.879377858513</v>
      </c>
      <c r="D202" s="25">
        <f t="shared" si="6"/>
        <v>2339.1206221414868</v>
      </c>
      <c r="E202" s="18">
        <f t="shared" si="7"/>
        <v>1.1378816386937323</v>
      </c>
      <c r="F202"/>
    </row>
    <row r="203" spans="1:6" ht="15" hidden="1" outlineLevel="1" x14ac:dyDescent="0.2">
      <c r="A203" s="26">
        <v>58</v>
      </c>
      <c r="B203" s="25">
        <v>15088</v>
      </c>
      <c r="C203" s="25">
        <v>12830.724701644711</v>
      </c>
      <c r="D203" s="25">
        <f t="shared" si="6"/>
        <v>2257.2752983552891</v>
      </c>
      <c r="E203" s="18">
        <f t="shared" si="7"/>
        <v>1.0980674066837575</v>
      </c>
      <c r="F203"/>
    </row>
    <row r="204" spans="1:6" ht="15" hidden="1" outlineLevel="1" x14ac:dyDescent="0.2">
      <c r="A204" s="26">
        <v>7</v>
      </c>
      <c r="B204" s="25">
        <v>5303</v>
      </c>
      <c r="C204" s="25">
        <v>7536.612244463231</v>
      </c>
      <c r="D204" s="25">
        <f t="shared" si="6"/>
        <v>-2233.612244463231</v>
      </c>
      <c r="E204" s="18">
        <f t="shared" si="7"/>
        <v>-1.0865563480900615</v>
      </c>
      <c r="F204"/>
    </row>
    <row r="205" spans="1:6" ht="15" hidden="1" outlineLevel="1" x14ac:dyDescent="0.2">
      <c r="A205" s="26">
        <v>78</v>
      </c>
      <c r="B205" s="25">
        <v>26468</v>
      </c>
      <c r="C205" s="25">
        <v>24319.445083078932</v>
      </c>
      <c r="D205" s="25">
        <f t="shared" si="6"/>
        <v>2148.5549169210681</v>
      </c>
      <c r="E205" s="18">
        <f t="shared" si="7"/>
        <v>1.0451796143165044</v>
      </c>
      <c r="F205"/>
    </row>
    <row r="206" spans="1:6" ht="15" hidden="1" outlineLevel="1" x14ac:dyDescent="0.2">
      <c r="A206" s="26">
        <v>2</v>
      </c>
      <c r="B206" s="25">
        <v>1912</v>
      </c>
      <c r="C206" s="24">
        <v>-182.77702592420246</v>
      </c>
      <c r="D206" s="25">
        <f t="shared" si="6"/>
        <v>2094.7770259242025</v>
      </c>
      <c r="E206" s="18">
        <f t="shared" si="7"/>
        <v>1.0190189819174005</v>
      </c>
      <c r="F206"/>
    </row>
    <row r="207" spans="1:6" ht="15" hidden="1" outlineLevel="1" x14ac:dyDescent="0.2">
      <c r="A207" s="26">
        <v>50</v>
      </c>
      <c r="B207" s="25">
        <v>14442</v>
      </c>
      <c r="C207" s="25">
        <v>12419.866832960415</v>
      </c>
      <c r="D207" s="25">
        <f t="shared" si="6"/>
        <v>2022.1331670395848</v>
      </c>
      <c r="E207" s="18">
        <f t="shared" si="7"/>
        <v>0.98368086706935609</v>
      </c>
      <c r="F207"/>
    </row>
    <row r="208" spans="1:6" ht="15" hidden="1" outlineLevel="1" x14ac:dyDescent="0.2">
      <c r="A208" s="26">
        <v>3</v>
      </c>
      <c r="B208" s="25">
        <v>2674</v>
      </c>
      <c r="C208" s="24">
        <v>653.41124233650044</v>
      </c>
      <c r="D208" s="25">
        <f t="shared" si="6"/>
        <v>2020.5887576634996</v>
      </c>
      <c r="E208" s="18">
        <f t="shared" si="7"/>
        <v>0.98292957829226646</v>
      </c>
      <c r="F208"/>
    </row>
    <row r="209" spans="1:6" ht="15" hidden="1" outlineLevel="1" x14ac:dyDescent="0.2">
      <c r="A209" s="26">
        <v>32</v>
      </c>
      <c r="B209" s="25">
        <v>10826</v>
      </c>
      <c r="C209" s="25">
        <v>12753.891761630632</v>
      </c>
      <c r="D209" s="25">
        <f t="shared" si="6"/>
        <v>-1927.8917616306317</v>
      </c>
      <c r="E209" s="18">
        <f t="shared" si="7"/>
        <v>-0.93783647417893534</v>
      </c>
      <c r="F209"/>
    </row>
    <row r="210" spans="1:6" ht="15" hidden="1" outlineLevel="1" x14ac:dyDescent="0.2">
      <c r="A210" s="26">
        <v>65</v>
      </c>
      <c r="B210" s="25">
        <v>16592</v>
      </c>
      <c r="C210" s="25">
        <v>18427.766744589975</v>
      </c>
      <c r="D210" s="25">
        <f t="shared" si="6"/>
        <v>-1835.7667445899751</v>
      </c>
      <c r="E210" s="18">
        <f t="shared" si="7"/>
        <v>-0.89302161325956131</v>
      </c>
      <c r="F210"/>
    </row>
    <row r="211" spans="1:6" ht="15" hidden="1" outlineLevel="1" x14ac:dyDescent="0.2">
      <c r="A211" s="26">
        <v>72</v>
      </c>
      <c r="B211" s="25">
        <v>21194</v>
      </c>
      <c r="C211" s="25">
        <v>19383.523055437112</v>
      </c>
      <c r="D211" s="25">
        <f t="shared" si="6"/>
        <v>1810.4769445628881</v>
      </c>
      <c r="E211" s="18">
        <f t="shared" si="7"/>
        <v>0.88071921259468533</v>
      </c>
      <c r="F211"/>
    </row>
    <row r="212" spans="1:6" ht="15" hidden="1" outlineLevel="1" x14ac:dyDescent="0.2">
      <c r="A212" s="26">
        <v>63</v>
      </c>
      <c r="B212" s="25">
        <v>14767</v>
      </c>
      <c r="C212" s="25">
        <v>16478.610948594167</v>
      </c>
      <c r="D212" s="25">
        <f t="shared" si="6"/>
        <v>-1711.610948594167</v>
      </c>
      <c r="E212" s="18">
        <f t="shared" si="7"/>
        <v>-0.83262515517879043</v>
      </c>
      <c r="F212"/>
    </row>
    <row r="213" spans="1:6" ht="15" hidden="1" outlineLevel="1" x14ac:dyDescent="0.2">
      <c r="A213" s="26">
        <v>59</v>
      </c>
      <c r="B213" s="25">
        <v>15652</v>
      </c>
      <c r="C213" s="25">
        <v>13954.741050766581</v>
      </c>
      <c r="D213" s="25">
        <f t="shared" si="6"/>
        <v>1697.2589492334191</v>
      </c>
      <c r="E213" s="18">
        <f t="shared" si="7"/>
        <v>0.82564352439132471</v>
      </c>
      <c r="F213"/>
    </row>
    <row r="214" spans="1:6" ht="15" hidden="1" outlineLevel="1" x14ac:dyDescent="0.2">
      <c r="A214" s="26">
        <v>49</v>
      </c>
      <c r="B214" s="25">
        <v>15951</v>
      </c>
      <c r="C214" s="25">
        <v>14289.699850285902</v>
      </c>
      <c r="D214" s="25">
        <f t="shared" si="6"/>
        <v>1661.3001497140976</v>
      </c>
      <c r="E214" s="18">
        <f t="shared" si="7"/>
        <v>0.80815111406618068</v>
      </c>
      <c r="F214"/>
    </row>
    <row r="215" spans="1:6" ht="15" hidden="1" outlineLevel="1" x14ac:dyDescent="0.2">
      <c r="A215" s="26">
        <v>57</v>
      </c>
      <c r="B215" s="25">
        <v>18336</v>
      </c>
      <c r="C215" s="25">
        <v>16739.920341664143</v>
      </c>
      <c r="D215" s="25">
        <f t="shared" si="6"/>
        <v>1596.0796583358569</v>
      </c>
      <c r="E215" s="18">
        <f t="shared" si="7"/>
        <v>0.77642414842644381</v>
      </c>
      <c r="F215"/>
    </row>
    <row r="216" spans="1:6" ht="15" hidden="1" outlineLevel="1" x14ac:dyDescent="0.2">
      <c r="A216" s="26">
        <v>68</v>
      </c>
      <c r="B216" s="25">
        <v>20625</v>
      </c>
      <c r="C216" s="25">
        <v>22210.757068275114</v>
      </c>
      <c r="D216" s="25">
        <f t="shared" si="6"/>
        <v>-1585.7570682751139</v>
      </c>
      <c r="E216" s="18">
        <f t="shared" si="7"/>
        <v>-0.77140265206464931</v>
      </c>
      <c r="F216"/>
    </row>
    <row r="217" spans="1:6" ht="15" hidden="1" outlineLevel="1" x14ac:dyDescent="0.2">
      <c r="A217" s="26">
        <v>42</v>
      </c>
      <c r="B217" s="25">
        <v>13291</v>
      </c>
      <c r="C217" s="25">
        <v>14862.57977643445</v>
      </c>
      <c r="D217" s="25">
        <f t="shared" si="6"/>
        <v>-1571.5797764344497</v>
      </c>
      <c r="E217" s="18">
        <f t="shared" si="7"/>
        <v>-0.76450600897613463</v>
      </c>
      <c r="F217"/>
    </row>
    <row r="218" spans="1:6" ht="15" hidden="1" outlineLevel="1" x14ac:dyDescent="0.2">
      <c r="A218" s="26">
        <v>74</v>
      </c>
      <c r="B218" s="25">
        <v>20106</v>
      </c>
      <c r="C218" s="25">
        <v>18567.095648095808</v>
      </c>
      <c r="D218" s="25">
        <f t="shared" si="6"/>
        <v>1538.9043519041916</v>
      </c>
      <c r="E218" s="18">
        <f t="shared" si="7"/>
        <v>0.74861081945167818</v>
      </c>
      <c r="F218"/>
    </row>
    <row r="219" spans="1:6" ht="15" hidden="1" outlineLevel="1" x14ac:dyDescent="0.2">
      <c r="A219" s="26">
        <v>73</v>
      </c>
      <c r="B219" s="25">
        <v>21992</v>
      </c>
      <c r="C219" s="25">
        <v>20487.606222034326</v>
      </c>
      <c r="D219" s="25">
        <f t="shared" ref="D219:D250" si="8">B219 - C219</f>
        <v>1504.3937779656735</v>
      </c>
      <c r="E219" s="18">
        <f t="shared" ref="E219:E250" si="9">D219 /2055.68008358651</f>
        <v>0.7318229086215513</v>
      </c>
      <c r="F219"/>
    </row>
    <row r="220" spans="1:6" ht="15" hidden="1" outlineLevel="1" x14ac:dyDescent="0.2">
      <c r="A220" s="26">
        <v>52</v>
      </c>
      <c r="B220" s="25">
        <v>14409</v>
      </c>
      <c r="C220" s="25">
        <v>12915.487106650737</v>
      </c>
      <c r="D220" s="25">
        <f t="shared" si="8"/>
        <v>1493.5128933492633</v>
      </c>
      <c r="E220" s="18">
        <f t="shared" si="9"/>
        <v>0.72652982595597104</v>
      </c>
      <c r="F220"/>
    </row>
    <row r="221" spans="1:6" ht="15" hidden="1" outlineLevel="1" x14ac:dyDescent="0.2">
      <c r="A221" s="26">
        <v>8</v>
      </c>
      <c r="B221" s="25">
        <v>7937</v>
      </c>
      <c r="C221" s="25">
        <v>6449.3148905343078</v>
      </c>
      <c r="D221" s="25">
        <f t="shared" si="8"/>
        <v>1487.6851094656922</v>
      </c>
      <c r="E221" s="18">
        <f t="shared" si="9"/>
        <v>0.72369485959612612</v>
      </c>
      <c r="F221"/>
    </row>
    <row r="222" spans="1:6" ht="15" hidden="1" outlineLevel="1" x14ac:dyDescent="0.2">
      <c r="A222" s="26">
        <v>48</v>
      </c>
      <c r="B222" s="25">
        <v>11589</v>
      </c>
      <c r="C222" s="25">
        <v>13060.205602116552</v>
      </c>
      <c r="D222" s="25">
        <f t="shared" si="8"/>
        <v>-1471.2056021165517</v>
      </c>
      <c r="E222" s="18">
        <f t="shared" si="9"/>
        <v>-0.71567828762039876</v>
      </c>
      <c r="F222"/>
    </row>
    <row r="223" spans="1:6" ht="15" hidden="1" outlineLevel="1" x14ac:dyDescent="0.2">
      <c r="A223" s="26">
        <v>21</v>
      </c>
      <c r="B223" s="25">
        <v>5803</v>
      </c>
      <c r="C223" s="25">
        <v>7253.0541459597771</v>
      </c>
      <c r="D223" s="25">
        <f t="shared" si="8"/>
        <v>-1450.0541459597771</v>
      </c>
      <c r="E223" s="18">
        <f t="shared" si="9"/>
        <v>-0.70538901336724158</v>
      </c>
      <c r="F223"/>
    </row>
    <row r="224" spans="1:6" ht="15" hidden="1" outlineLevel="1" x14ac:dyDescent="0.2">
      <c r="A224" s="26">
        <v>12</v>
      </c>
      <c r="B224" s="25">
        <v>2133</v>
      </c>
      <c r="C224" s="25">
        <v>3518.9934764904319</v>
      </c>
      <c r="D224" s="25">
        <f t="shared" si="8"/>
        <v>-1385.9934764904319</v>
      </c>
      <c r="E224" s="18">
        <f t="shared" si="9"/>
        <v>-0.67422625123278557</v>
      </c>
      <c r="F224"/>
    </row>
    <row r="225" spans="1:6" ht="15" hidden="1" outlineLevel="1" x14ac:dyDescent="0.2">
      <c r="A225" s="26">
        <v>22</v>
      </c>
      <c r="B225" s="25">
        <v>4621</v>
      </c>
      <c r="C225" s="25">
        <v>3297.0366353621866</v>
      </c>
      <c r="D225" s="25">
        <f t="shared" si="8"/>
        <v>1323.9633646378134</v>
      </c>
      <c r="E225" s="18">
        <f t="shared" si="9"/>
        <v>0.64405126809805779</v>
      </c>
      <c r="F225"/>
    </row>
    <row r="226" spans="1:6" ht="15" hidden="1" outlineLevel="1" x14ac:dyDescent="0.2">
      <c r="A226" s="26">
        <v>36</v>
      </c>
      <c r="B226" s="25">
        <v>8594</v>
      </c>
      <c r="C226" s="25">
        <v>9916.6253100312861</v>
      </c>
      <c r="D226" s="25">
        <f t="shared" si="8"/>
        <v>-1322.6253100312861</v>
      </c>
      <c r="E226" s="18">
        <f t="shared" si="9"/>
        <v>-0.64340036204647377</v>
      </c>
      <c r="F226"/>
    </row>
    <row r="227" spans="1:6" ht="15" hidden="1" outlineLevel="1" x14ac:dyDescent="0.2">
      <c r="A227" s="26">
        <v>19</v>
      </c>
      <c r="B227" s="25">
        <v>12003</v>
      </c>
      <c r="C227" s="25">
        <v>10688.900680011397</v>
      </c>
      <c r="D227" s="25">
        <f t="shared" si="8"/>
        <v>1314.0993199886034</v>
      </c>
      <c r="E227" s="18">
        <f t="shared" si="9"/>
        <v>0.6392528343690117</v>
      </c>
      <c r="F227"/>
    </row>
    <row r="228" spans="1:6" ht="15" hidden="1" outlineLevel="1" x14ac:dyDescent="0.2">
      <c r="A228" s="26">
        <v>15</v>
      </c>
      <c r="B228" s="25">
        <v>2555</v>
      </c>
      <c r="C228" s="25">
        <v>3771.9170004225234</v>
      </c>
      <c r="D228" s="25">
        <f t="shared" si="8"/>
        <v>-1216.9170004225234</v>
      </c>
      <c r="E228" s="18">
        <f t="shared" si="9"/>
        <v>-0.5919778131524186</v>
      </c>
      <c r="F228"/>
    </row>
    <row r="229" spans="1:6" ht="15" hidden="1" outlineLevel="1" x14ac:dyDescent="0.2">
      <c r="A229" s="26">
        <v>30</v>
      </c>
      <c r="B229" s="25">
        <v>10582</v>
      </c>
      <c r="C229" s="25">
        <v>11705.279653877576</v>
      </c>
      <c r="D229" s="25">
        <f t="shared" si="8"/>
        <v>-1123.2796538775765</v>
      </c>
      <c r="E229" s="18">
        <f t="shared" si="9"/>
        <v>-0.54642726893467275</v>
      </c>
      <c r="F229"/>
    </row>
    <row r="230" spans="1:6" ht="15" hidden="1" outlineLevel="1" x14ac:dyDescent="0.2">
      <c r="A230" s="26">
        <v>39</v>
      </c>
      <c r="B230" s="25">
        <v>10717</v>
      </c>
      <c r="C230" s="25">
        <v>9645.4628397195302</v>
      </c>
      <c r="D230" s="25">
        <f t="shared" si="8"/>
        <v>1071.5371602804698</v>
      </c>
      <c r="E230" s="18">
        <f t="shared" si="9"/>
        <v>0.52125676988171099</v>
      </c>
      <c r="F230"/>
    </row>
    <row r="231" spans="1:6" ht="15" hidden="1" outlineLevel="1" x14ac:dyDescent="0.2">
      <c r="A231" s="26">
        <v>11</v>
      </c>
      <c r="B231" s="25">
        <v>2241</v>
      </c>
      <c r="C231" s="25">
        <v>1186.3625905495028</v>
      </c>
      <c r="D231" s="25">
        <f t="shared" si="8"/>
        <v>1054.6374094504972</v>
      </c>
      <c r="E231" s="18">
        <f t="shared" si="9"/>
        <v>0.51303576751616387</v>
      </c>
      <c r="F231"/>
    </row>
    <row r="232" spans="1:6" ht="15" hidden="1" outlineLevel="1" x14ac:dyDescent="0.2">
      <c r="A232" s="26">
        <v>37</v>
      </c>
      <c r="B232" s="25">
        <v>10096</v>
      </c>
      <c r="C232" s="25">
        <v>11141.009288913778</v>
      </c>
      <c r="D232" s="25">
        <f t="shared" si="8"/>
        <v>-1045.0092889137777</v>
      </c>
      <c r="E232" s="18">
        <f t="shared" si="9"/>
        <v>-0.50835210072696124</v>
      </c>
      <c r="F232"/>
    </row>
    <row r="233" spans="1:6" ht="15" hidden="1" outlineLevel="1" x14ac:dyDescent="0.2">
      <c r="A233" s="26">
        <v>4</v>
      </c>
      <c r="B233" s="25">
        <v>1314</v>
      </c>
      <c r="C233" s="24">
        <v>282.57857142134162</v>
      </c>
      <c r="D233" s="25">
        <f t="shared" si="8"/>
        <v>1031.4214285786584</v>
      </c>
      <c r="E233" s="18">
        <f t="shared" si="9"/>
        <v>0.50174219072996751</v>
      </c>
      <c r="F233"/>
    </row>
    <row r="234" spans="1:6" ht="15" hidden="1" outlineLevel="1" x14ac:dyDescent="0.2">
      <c r="A234" s="26">
        <v>41</v>
      </c>
      <c r="B234" s="25">
        <v>13077</v>
      </c>
      <c r="C234" s="25">
        <v>12058.066275862675</v>
      </c>
      <c r="D234" s="25">
        <f t="shared" si="8"/>
        <v>1018.933724137325</v>
      </c>
      <c r="E234" s="18">
        <f t="shared" si="9"/>
        <v>0.49566745928656791</v>
      </c>
      <c r="F234"/>
    </row>
    <row r="235" spans="1:6" ht="15" hidden="1" outlineLevel="1" x14ac:dyDescent="0.2">
      <c r="A235" s="26">
        <v>40</v>
      </c>
      <c r="B235" s="25">
        <v>10778</v>
      </c>
      <c r="C235" s="25">
        <v>9771.7410297030474</v>
      </c>
      <c r="D235" s="25">
        <f t="shared" si="8"/>
        <v>1006.2589702969526</v>
      </c>
      <c r="E235" s="18">
        <f t="shared" si="9"/>
        <v>0.48950173635060457</v>
      </c>
      <c r="F235"/>
    </row>
    <row r="236" spans="1:6" ht="15" hidden="1" outlineLevel="1" x14ac:dyDescent="0.2">
      <c r="A236" s="26">
        <v>5</v>
      </c>
      <c r="B236" s="25">
        <v>1761</v>
      </c>
      <c r="C236" s="25">
        <v>2698.0224267838821</v>
      </c>
      <c r="D236" s="24">
        <f t="shared" si="8"/>
        <v>-937.02242678388211</v>
      </c>
      <c r="E236" s="18">
        <f t="shared" si="9"/>
        <v>-0.45582113397191404</v>
      </c>
      <c r="F236"/>
    </row>
    <row r="237" spans="1:6" ht="15" hidden="1" outlineLevel="1" x14ac:dyDescent="0.2">
      <c r="A237" s="26">
        <v>6</v>
      </c>
      <c r="B237" s="25">
        <v>4481</v>
      </c>
      <c r="C237" s="25">
        <v>5400.7027827812562</v>
      </c>
      <c r="D237" s="24">
        <f t="shared" si="8"/>
        <v>-919.70278278125625</v>
      </c>
      <c r="E237" s="18">
        <f t="shared" si="9"/>
        <v>-0.44739587162641886</v>
      </c>
      <c r="F237"/>
    </row>
    <row r="238" spans="1:6" ht="15" hidden="1" outlineLevel="1" x14ac:dyDescent="0.2">
      <c r="A238" s="26">
        <v>10</v>
      </c>
      <c r="B238" s="25">
        <v>1259</v>
      </c>
      <c r="C238" s="24">
        <v>345.20743816581671</v>
      </c>
      <c r="D238" s="24">
        <f t="shared" si="8"/>
        <v>913.79256183418329</v>
      </c>
      <c r="E238" s="18">
        <f t="shared" si="9"/>
        <v>0.44452080317862736</v>
      </c>
      <c r="F238"/>
    </row>
    <row r="239" spans="1:6" ht="15" hidden="1" outlineLevel="1" x14ac:dyDescent="0.2">
      <c r="A239" s="26">
        <v>44</v>
      </c>
      <c r="B239" s="25">
        <v>16794</v>
      </c>
      <c r="C239" s="25">
        <v>15906.18019717879</v>
      </c>
      <c r="D239" s="24">
        <f t="shared" si="8"/>
        <v>887.81980282121003</v>
      </c>
      <c r="E239" s="18">
        <f t="shared" si="9"/>
        <v>0.4318861723231982</v>
      </c>
      <c r="F239"/>
    </row>
    <row r="240" spans="1:6" ht="15" hidden="1" outlineLevel="1" x14ac:dyDescent="0.2">
      <c r="A240" s="26">
        <v>29</v>
      </c>
      <c r="B240" s="25">
        <v>8148</v>
      </c>
      <c r="C240" s="25">
        <v>9012.7719338314819</v>
      </c>
      <c r="D240" s="24">
        <f t="shared" si="8"/>
        <v>-864.77193383148187</v>
      </c>
      <c r="E240" s="18">
        <f t="shared" si="9"/>
        <v>-0.42067437474158381</v>
      </c>
      <c r="F240"/>
    </row>
    <row r="241" spans="1:6" ht="15" hidden="1" outlineLevel="1" x14ac:dyDescent="0.2">
      <c r="A241" s="26">
        <v>61</v>
      </c>
      <c r="B241" s="25">
        <v>17864</v>
      </c>
      <c r="C241" s="25">
        <v>17123.252664657939</v>
      </c>
      <c r="D241" s="24">
        <f t="shared" si="8"/>
        <v>740.74733534206098</v>
      </c>
      <c r="E241" s="18">
        <f t="shared" si="9"/>
        <v>0.36034173860832064</v>
      </c>
      <c r="F241"/>
    </row>
    <row r="242" spans="1:6" ht="15" hidden="1" outlineLevel="1" x14ac:dyDescent="0.2">
      <c r="A242" s="26">
        <v>54</v>
      </c>
      <c r="B242" s="25">
        <v>17311</v>
      </c>
      <c r="C242" s="25">
        <v>18009.8565249739</v>
      </c>
      <c r="D242" s="24">
        <f t="shared" si="8"/>
        <v>-698.85652497390038</v>
      </c>
      <c r="E242" s="18">
        <f t="shared" si="9"/>
        <v>-0.33996365998478578</v>
      </c>
      <c r="F242"/>
    </row>
    <row r="243" spans="1:6" ht="15" hidden="1" outlineLevel="1" x14ac:dyDescent="0.2">
      <c r="A243" s="26">
        <v>20</v>
      </c>
      <c r="B243" s="25">
        <v>10299</v>
      </c>
      <c r="C243" s="25">
        <v>9601.6033260824734</v>
      </c>
      <c r="D243" s="24">
        <f t="shared" si="8"/>
        <v>697.39667391752664</v>
      </c>
      <c r="E243" s="18">
        <f t="shared" si="9"/>
        <v>0.33925350519560926</v>
      </c>
      <c r="F243"/>
    </row>
    <row r="244" spans="1:6" ht="15" hidden="1" outlineLevel="1" x14ac:dyDescent="0.2">
      <c r="A244" s="26">
        <v>46</v>
      </c>
      <c r="B244" s="25">
        <v>9107</v>
      </c>
      <c r="C244" s="25">
        <v>9780.2925370724442</v>
      </c>
      <c r="D244" s="24">
        <f t="shared" si="8"/>
        <v>-673.29253707244425</v>
      </c>
      <c r="E244" s="18">
        <f t="shared" si="9"/>
        <v>-0.32752787870462907</v>
      </c>
      <c r="F244"/>
    </row>
    <row r="245" spans="1:6" ht="15" hidden="1" outlineLevel="1" x14ac:dyDescent="0.2">
      <c r="A245" s="26">
        <v>64</v>
      </c>
      <c r="B245" s="25">
        <v>15371</v>
      </c>
      <c r="C245" s="25">
        <v>16030.479213541712</v>
      </c>
      <c r="D245" s="24">
        <f t="shared" si="8"/>
        <v>-659.47921354171194</v>
      </c>
      <c r="E245" s="18">
        <f t="shared" si="9"/>
        <v>-0.32080829055420423</v>
      </c>
      <c r="F245"/>
    </row>
    <row r="246" spans="1:6" ht="15" hidden="1" outlineLevel="1" x14ac:dyDescent="0.2">
      <c r="A246" s="26">
        <v>55</v>
      </c>
      <c r="B246" s="25">
        <v>19612</v>
      </c>
      <c r="C246" s="25">
        <v>20145.765986655879</v>
      </c>
      <c r="D246" s="24">
        <f t="shared" si="8"/>
        <v>-533.76598665587881</v>
      </c>
      <c r="E246" s="18">
        <f t="shared" si="9"/>
        <v>-0.25965420928952443</v>
      </c>
      <c r="F246"/>
    </row>
    <row r="247" spans="1:6" ht="15" hidden="1" outlineLevel="1" x14ac:dyDescent="0.2">
      <c r="A247" s="26">
        <v>34</v>
      </c>
      <c r="B247" s="25">
        <v>6183</v>
      </c>
      <c r="C247" s="25">
        <v>6690.8066327670895</v>
      </c>
      <c r="D247" s="24">
        <f t="shared" si="8"/>
        <v>-507.80663276708947</v>
      </c>
      <c r="E247" s="18">
        <f t="shared" si="9"/>
        <v>-0.24702609945080942</v>
      </c>
      <c r="F247"/>
    </row>
    <row r="248" spans="1:6" ht="15" hidden="1" outlineLevel="1" x14ac:dyDescent="0.2">
      <c r="A248" s="26">
        <v>35</v>
      </c>
      <c r="B248" s="25">
        <v>7969</v>
      </c>
      <c r="C248" s="25">
        <v>7497.1512644989671</v>
      </c>
      <c r="D248" s="24">
        <f t="shared" si="8"/>
        <v>471.84873550103293</v>
      </c>
      <c r="E248" s="18">
        <f t="shared" si="9"/>
        <v>0.2295341280330967</v>
      </c>
      <c r="F248"/>
    </row>
    <row r="249" spans="1:6" ht="15" hidden="1" outlineLevel="1" x14ac:dyDescent="0.2">
      <c r="A249" s="26">
        <v>56</v>
      </c>
      <c r="B249" s="25">
        <v>19504</v>
      </c>
      <c r="C249" s="25">
        <v>19063.252756296464</v>
      </c>
      <c r="D249" s="24">
        <f t="shared" si="8"/>
        <v>440.74724370353579</v>
      </c>
      <c r="E249" s="18">
        <f t="shared" si="9"/>
        <v>0.21440458912973051</v>
      </c>
      <c r="F249"/>
    </row>
    <row r="250" spans="1:6" ht="15" hidden="1" outlineLevel="1" x14ac:dyDescent="0.2">
      <c r="A250" s="26">
        <v>45</v>
      </c>
      <c r="B250" s="25">
        <v>14032</v>
      </c>
      <c r="C250" s="25">
        <v>13594.566366826486</v>
      </c>
      <c r="D250" s="24">
        <f t="shared" si="8"/>
        <v>437.43363317351395</v>
      </c>
      <c r="E250" s="18">
        <f t="shared" si="9"/>
        <v>0.2127926600380011</v>
      </c>
      <c r="F250"/>
    </row>
    <row r="251" spans="1:6" ht="15" hidden="1" outlineLevel="1" x14ac:dyDescent="0.2">
      <c r="A251" s="26">
        <v>24</v>
      </c>
      <c r="B251" s="25">
        <v>6013</v>
      </c>
      <c r="C251" s="25">
        <v>6378.9791768458126</v>
      </c>
      <c r="D251" s="24">
        <f t="shared" ref="D251:D264" si="10">B251 - C251</f>
        <v>-365.97917684581262</v>
      </c>
      <c r="E251" s="18">
        <f t="shared" ref="E251:E264" si="11">D251 /2055.68008358651</f>
        <v>-0.17803313840901497</v>
      </c>
      <c r="F251"/>
    </row>
    <row r="252" spans="1:6" ht="15" hidden="1" outlineLevel="1" x14ac:dyDescent="0.2">
      <c r="A252" s="26">
        <v>75</v>
      </c>
      <c r="B252" s="25">
        <v>19194</v>
      </c>
      <c r="C252" s="25">
        <v>19508.079406599751</v>
      </c>
      <c r="D252" s="24">
        <f t="shared" si="10"/>
        <v>-314.07940659975066</v>
      </c>
      <c r="E252" s="18">
        <f t="shared" si="11"/>
        <v>-0.15278613102666327</v>
      </c>
      <c r="F252"/>
    </row>
    <row r="253" spans="1:6" ht="15" hidden="1" outlineLevel="1" x14ac:dyDescent="0.2">
      <c r="A253" s="26">
        <v>53</v>
      </c>
      <c r="B253" s="25">
        <v>15758</v>
      </c>
      <c r="C253" s="25">
        <v>15465.747599387807</v>
      </c>
      <c r="D253" s="24">
        <f t="shared" si="10"/>
        <v>292.25240061219301</v>
      </c>
      <c r="E253" s="18">
        <f t="shared" si="11"/>
        <v>0.14216823081843805</v>
      </c>
      <c r="F253"/>
    </row>
    <row r="254" spans="1:6" ht="15" hidden="1" outlineLevel="1" x14ac:dyDescent="0.2">
      <c r="A254" s="26">
        <v>69</v>
      </c>
      <c r="B254" s="25">
        <v>19655</v>
      </c>
      <c r="C254" s="25">
        <v>19903.605401349076</v>
      </c>
      <c r="D254" s="24">
        <f t="shared" si="10"/>
        <v>-248.60540134907569</v>
      </c>
      <c r="E254" s="18">
        <f t="shared" si="11"/>
        <v>-0.12093584178494256</v>
      </c>
      <c r="F254"/>
    </row>
    <row r="255" spans="1:6" ht="15" hidden="1" outlineLevel="1" x14ac:dyDescent="0.2">
      <c r="A255" s="26">
        <v>1</v>
      </c>
      <c r="B255" s="25">
        <v>1798</v>
      </c>
      <c r="C255" s="25">
        <v>1562.1788838360626</v>
      </c>
      <c r="D255" s="24">
        <f t="shared" si="10"/>
        <v>235.8211161639374</v>
      </c>
      <c r="E255" s="18">
        <f t="shared" si="11"/>
        <v>0.11471683655780929</v>
      </c>
      <c r="F255"/>
    </row>
    <row r="256" spans="1:6" ht="15" hidden="1" outlineLevel="1" x14ac:dyDescent="0.2">
      <c r="A256" s="26">
        <v>66</v>
      </c>
      <c r="B256" s="25">
        <v>20928</v>
      </c>
      <c r="C256" s="25">
        <v>21162.144960522059</v>
      </c>
      <c r="D256" s="24">
        <f t="shared" si="10"/>
        <v>-234.14496052205868</v>
      </c>
      <c r="E256" s="18">
        <f t="shared" si="11"/>
        <v>-0.11390145888534851</v>
      </c>
      <c r="F256"/>
    </row>
    <row r="257" spans="1:6" ht="15" hidden="1" outlineLevel="1" x14ac:dyDescent="0.2">
      <c r="A257" s="26">
        <v>14</v>
      </c>
      <c r="B257" s="25">
        <v>3096</v>
      </c>
      <c r="C257" s="25">
        <v>2878.1161112616683</v>
      </c>
      <c r="D257" s="24">
        <f t="shared" si="10"/>
        <v>217.88388873833173</v>
      </c>
      <c r="E257" s="18">
        <f t="shared" si="11"/>
        <v>0.10599114642303359</v>
      </c>
      <c r="F257"/>
    </row>
    <row r="258" spans="1:6" ht="15" hidden="1" outlineLevel="1" x14ac:dyDescent="0.2">
      <c r="A258" s="26">
        <v>31</v>
      </c>
      <c r="B258" s="25">
        <v>14049</v>
      </c>
      <c r="C258" s="25">
        <v>13841.189115559555</v>
      </c>
      <c r="D258" s="24">
        <f t="shared" si="10"/>
        <v>207.81088444044508</v>
      </c>
      <c r="E258" s="18">
        <f t="shared" si="11"/>
        <v>0.10109106280675782</v>
      </c>
      <c r="F258"/>
    </row>
    <row r="259" spans="1:6" ht="15" hidden="1" outlineLevel="1" x14ac:dyDescent="0.2">
      <c r="A259" s="26">
        <v>16</v>
      </c>
      <c r="B259" s="25">
        <v>3098</v>
      </c>
      <c r="C259" s="25">
        <v>3278.3293178739696</v>
      </c>
      <c r="D259" s="24">
        <f t="shared" si="10"/>
        <v>-180.32931787396956</v>
      </c>
      <c r="E259" s="18">
        <f t="shared" si="11"/>
        <v>-8.7722461930628839E-2</v>
      </c>
      <c r="F259"/>
    </row>
    <row r="260" spans="1:6" ht="15" hidden="1" outlineLevel="1" x14ac:dyDescent="0.2">
      <c r="A260" s="26">
        <v>23</v>
      </c>
      <c r="B260" s="25">
        <v>4250</v>
      </c>
      <c r="C260" s="25">
        <v>4418.5964699104297</v>
      </c>
      <c r="D260" s="24">
        <f t="shared" si="10"/>
        <v>-168.59646991042973</v>
      </c>
      <c r="E260" s="18">
        <f t="shared" si="11"/>
        <v>-8.2014935717177523E-2</v>
      </c>
      <c r="F260"/>
    </row>
    <row r="261" spans="1:6" ht="15" hidden="1" outlineLevel="1" x14ac:dyDescent="0.2">
      <c r="A261" s="26">
        <v>71</v>
      </c>
      <c r="B261" s="25">
        <v>16980</v>
      </c>
      <c r="C261" s="25">
        <v>17116.560781118362</v>
      </c>
      <c r="D261" s="24">
        <f t="shared" si="10"/>
        <v>-136.56078111836177</v>
      </c>
      <c r="E261" s="18">
        <f t="shared" si="11"/>
        <v>-6.6430950131163652E-2</v>
      </c>
      <c r="F261"/>
    </row>
    <row r="262" spans="1:6" ht="15" hidden="1" outlineLevel="1" x14ac:dyDescent="0.2">
      <c r="A262" s="26">
        <v>76</v>
      </c>
      <c r="B262" s="25">
        <v>19240</v>
      </c>
      <c r="C262" s="25">
        <v>19139.667059402866</v>
      </c>
      <c r="D262" s="24">
        <f t="shared" si="10"/>
        <v>100.33294059713444</v>
      </c>
      <c r="E262" s="18">
        <f t="shared" si="11"/>
        <v>4.8807662922960883E-2</v>
      </c>
      <c r="F262"/>
    </row>
    <row r="263" spans="1:6" ht="15" hidden="1" outlineLevel="1" x14ac:dyDescent="0.2">
      <c r="A263" s="26">
        <v>13</v>
      </c>
      <c r="B263" s="25">
        <v>4595</v>
      </c>
      <c r="C263" s="25">
        <v>4618.3005110163795</v>
      </c>
      <c r="D263" s="24">
        <f t="shared" si="10"/>
        <v>-23.30051101637946</v>
      </c>
      <c r="E263" s="18">
        <f t="shared" si="11"/>
        <v>-1.1334697068099942E-2</v>
      </c>
      <c r="F263"/>
    </row>
    <row r="264" spans="1:6" ht="15" hidden="1" outlineLevel="1" x14ac:dyDescent="0.2">
      <c r="A264" s="26">
        <v>17</v>
      </c>
      <c r="B264" s="25">
        <v>5787</v>
      </c>
      <c r="C264" s="25">
        <v>5799.7456416900095</v>
      </c>
      <c r="D264" s="24">
        <f t="shared" si="10"/>
        <v>-12.745641690009506</v>
      </c>
      <c r="E264" s="18">
        <f t="shared" si="11"/>
        <v>-6.2002068277921931E-3</v>
      </c>
      <c r="F264"/>
    </row>
    <row r="265" spans="1:6" collapsed="1" x14ac:dyDescent="0.15"/>
  </sheetData>
  <sortState xmlns:xlrd2="http://schemas.microsoft.com/office/spreadsheetml/2017/richdata2" ref="A187:F264">
    <sortCondition descending="1" ref="F187"/>
    <sortCondition ref="A1"/>
  </sortState>
  <dataValidations count="1">
    <dataValidation type="decimal" allowBlank="1" showInputMessage="1" showErrorMessage="1" error="Please enter a confidence level between 0 and 1." prompt="Confidence level can be adjusted between 0 and 100% to dynamically change confidence limits on this sheet." sqref="I10" xr:uid="{00000000-0002-0000-0800-000000000000}">
      <formula1>0</formula1>
      <formula2>1</formula2>
    </dataValidation>
  </dataValidations>
  <pageMargins left="0.7" right="0.7" top="0.75" bottom="0.75" header="0.3" footer="0.3"/>
  <pageSetup fitToHeight="0" orientation="portrait" horizontalDpi="0"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BZ265"/>
  <sheetViews>
    <sheetView showGridLines="0" showRowColHeaders="0" workbookViewId="0">
      <selection activeCell="B1" sqref="B1"/>
    </sheetView>
  </sheetViews>
  <sheetFormatPr baseColWidth="10" defaultColWidth="9.1640625" defaultRowHeight="11" outlineLevelRow="1" x14ac:dyDescent="0.15"/>
  <cols>
    <col min="1" max="1" width="21.83203125" style="18" customWidth="1"/>
    <col min="2" max="2" width="9.1640625" style="18"/>
    <col min="3" max="3" width="10.83203125" style="18" bestFit="1" customWidth="1"/>
    <col min="4" max="4" width="9.5" style="18" bestFit="1" customWidth="1"/>
    <col min="5" max="7" width="9.1640625" style="18"/>
    <col min="8" max="8" width="9.33203125" style="18" bestFit="1" customWidth="1"/>
    <col min="9" max="77" width="9.1640625" style="18"/>
    <col min="78" max="78" width="73.5" style="18" bestFit="1" customWidth="1"/>
    <col min="79" max="16384" width="9.1640625" style="18"/>
  </cols>
  <sheetData>
    <row r="1" spans="1:78" ht="15" x14ac:dyDescent="0.2">
      <c r="A1" s="19" t="s">
        <v>94</v>
      </c>
      <c r="B1" s="18" t="s">
        <v>274</v>
      </c>
      <c r="E1"/>
      <c r="U1" s="52"/>
      <c r="Z1" s="35" t="s">
        <v>275</v>
      </c>
      <c r="BZ1"/>
    </row>
    <row r="2" spans="1:78" x14ac:dyDescent="0.15">
      <c r="A2" s="19" t="s">
        <v>97</v>
      </c>
      <c r="C2" s="18" t="s">
        <v>50</v>
      </c>
      <c r="AA2" s="35" t="str">
        <f>"Forecasts and " &amp; TEXT($I$10, "0.0%") &amp; " confidence limits for means and forecasts
Elec CDD model with dummies for _Electric_Natural_Gas    (14 variables, n=78)"</f>
        <v>Forecasts and 95.0% confidence limits for means and forecasts
Elec CDD model with dummies for _Electric_Natural_Gas    (14 variables, n=78)</v>
      </c>
    </row>
    <row r="3" spans="1:78" ht="11.25" hidden="1" customHeight="1" outlineLevel="1" x14ac:dyDescent="0.15">
      <c r="A3" s="19" t="s">
        <v>98</v>
      </c>
      <c r="AA3" s="35" t="str">
        <f>IF($A$49 &lt;&gt; "","Actual and predicted -vs- Observation # with " &amp; TEXT($I$10, "0.0%") &amp; " confidence limits
Elec CDD model with dummies for _Electric_Natural_Gas
(14 variables, n=78)","Actual and predicted -vs- Observation #
Elec CDD model with dummies for _Electric_Natural_Gas
(14 variables, n=78)")</f>
        <v>Actual and predicted -vs- Observation #
Elec CDD model with dummies for _Electric_Natural_Gas
(14 variables, n=78)</v>
      </c>
    </row>
    <row r="4" spans="1:78" hidden="1" outlineLevel="1" x14ac:dyDescent="0.15">
      <c r="A4" s="18" t="s">
        <v>276</v>
      </c>
    </row>
    <row r="5" spans="1:78" hidden="1" outlineLevel="1" x14ac:dyDescent="0.15">
      <c r="A5" s="19" t="s">
        <v>99</v>
      </c>
    </row>
    <row r="6" spans="1:78" hidden="1" outlineLevel="1" x14ac:dyDescent="0.15">
      <c r="A6" s="18" t="s">
        <v>277</v>
      </c>
    </row>
    <row r="7" spans="1:78" collapsed="1" x14ac:dyDescent="0.15"/>
    <row r="8" spans="1:78" x14ac:dyDescent="0.15">
      <c r="A8" s="20" t="s">
        <v>278</v>
      </c>
    </row>
    <row r="9" spans="1:78" ht="12" outlineLevel="1" thickBot="1" x14ac:dyDescent="0.2">
      <c r="A9" s="21"/>
      <c r="B9" s="23" t="s">
        <v>102</v>
      </c>
      <c r="C9" s="23" t="s">
        <v>103</v>
      </c>
      <c r="D9" s="23" t="s">
        <v>104</v>
      </c>
      <c r="E9" s="23" t="s">
        <v>105</v>
      </c>
      <c r="F9" s="23" t="s">
        <v>39</v>
      </c>
      <c r="G9" s="23" t="s">
        <v>106</v>
      </c>
      <c r="H9" s="23" t="str">
        <f>"t("&amp;TEXT((1-I10)/2,"0.00%") &amp; ",63)"</f>
        <v>t(2.50%,63)</v>
      </c>
      <c r="I9" s="23" t="s">
        <v>107</v>
      </c>
    </row>
    <row r="10" spans="1:78" outlineLevel="1" x14ac:dyDescent="0.15">
      <c r="B10" s="24">
        <f xml:space="preserve"> 1 - C33 / C34</f>
        <v>0.92883118432705669</v>
      </c>
      <c r="C10" s="24">
        <f>1-D10^2/E10^2</f>
        <v>0.91301589195529154</v>
      </c>
      <c r="D10" s="25">
        <f xml:space="preserve"> SQRT(D33)</f>
        <v>1955.8913130974365</v>
      </c>
      <c r="E10" s="25">
        <v>6631.6983033719498</v>
      </c>
      <c r="F10" s="26">
        <v>78</v>
      </c>
      <c r="G10" s="26">
        <v>12</v>
      </c>
      <c r="H10" s="18">
        <f>TINV(1 - $I$10, F10 - 14 - 1)</f>
        <v>1.9983405425207412</v>
      </c>
      <c r="I10" s="27">
        <v>0.95</v>
      </c>
    </row>
    <row r="12" spans="1:78" x14ac:dyDescent="0.15">
      <c r="A12" s="20" t="s">
        <v>279</v>
      </c>
    </row>
    <row r="13" spans="1:78" ht="12" outlineLevel="1" thickBot="1" x14ac:dyDescent="0.2">
      <c r="A13" s="28" t="s">
        <v>38</v>
      </c>
      <c r="B13" s="23" t="s">
        <v>109</v>
      </c>
      <c r="C13" s="23" t="s">
        <v>110</v>
      </c>
      <c r="D13" s="23" t="s">
        <v>111</v>
      </c>
      <c r="E13" s="23" t="s">
        <v>112</v>
      </c>
      <c r="F13" s="23" t="str">
        <f>IF($I$10&gt;99%,("Lower"&amp;TEXT($I$10,"0.0%")),("Lower"&amp;TEXT($I$10,"0%")))</f>
        <v>Lower95%</v>
      </c>
      <c r="G13" s="23" t="str">
        <f>IF($I$10&gt;99%,("Upper"&amp;TEXT($I$10,"0.0%")),("Upper"&amp;TEXT($I$10,"0%")))</f>
        <v>Upper95%</v>
      </c>
      <c r="H13" s="23" t="s">
        <v>105</v>
      </c>
      <c r="I13" s="23" t="s">
        <v>113</v>
      </c>
    </row>
    <row r="14" spans="1:78" outlineLevel="1" x14ac:dyDescent="0.15">
      <c r="A14" s="18" t="s">
        <v>114</v>
      </c>
      <c r="B14" s="25">
        <v>-25356.268383817693</v>
      </c>
      <c r="C14" s="25">
        <v>1603.3971328194552</v>
      </c>
      <c r="D14" s="24">
        <f>(B14 - 0) / C14</f>
        <v>-15.814091134883453</v>
      </c>
      <c r="E14" s="24">
        <f>TDIST(ABS(D14),$F$10 - 15,2)</f>
        <v>1.2987069828083605E-23</v>
      </c>
      <c r="F14" s="25">
        <f>B14 - TINV(1 - $I$10, $F$10 - 15) * C14</f>
        <v>-28560.401880092322</v>
      </c>
      <c r="G14" s="25">
        <f>B14 + TINV(1 - $I$10, $F$10 - 15) * C14</f>
        <v>-22152.134887543063</v>
      </c>
    </row>
    <row r="15" spans="1:78" outlineLevel="1" x14ac:dyDescent="0.15">
      <c r="A15" s="18" t="s">
        <v>77</v>
      </c>
      <c r="B15" s="24">
        <v>-56.585993544258592</v>
      </c>
      <c r="C15" s="24">
        <v>38.270772895096648</v>
      </c>
      <c r="D15" s="48">
        <f t="shared" ref="D15:D28" si="0">(B15 - 0) / C15</f>
        <v>-1.4785693954853087</v>
      </c>
      <c r="E15" s="48">
        <f t="shared" ref="E15:E28" si="1">TDIST(ABS(D15),$F$10 - 15,2)</f>
        <v>0.14423813222519452</v>
      </c>
      <c r="F15" s="24">
        <f t="shared" ref="F15:F28" si="2">B15 - TINV(1 - $I$10, $F$10 - 15) * C15</f>
        <v>-133.06403061413411</v>
      </c>
      <c r="G15" s="24">
        <f t="shared" ref="G15:G28" si="3">B15 + TINV(1 - $I$10, $F$10 - 15) * C15</f>
        <v>19.89204352561692</v>
      </c>
      <c r="H15" s="24">
        <v>97.115703518766111</v>
      </c>
      <c r="I15" s="18">
        <f t="shared" ref="I15:I28" si="4">B15*H15/$E$10</f>
        <v>-0.82865479112112927</v>
      </c>
    </row>
    <row r="16" spans="1:78" outlineLevel="1" x14ac:dyDescent="0.15">
      <c r="A16" s="18" t="s">
        <v>273</v>
      </c>
      <c r="B16" s="24">
        <v>0.18833937069614709</v>
      </c>
      <c r="C16" s="24">
        <v>9.1633714878389561E-2</v>
      </c>
      <c r="D16" s="48">
        <f t="shared" si="0"/>
        <v>2.0553501617401317</v>
      </c>
      <c r="E16" s="48">
        <f t="shared" si="1"/>
        <v>4.3996087699905762E-2</v>
      </c>
      <c r="F16" s="46">
        <f t="shared" si="2"/>
        <v>5.2240031928751651E-3</v>
      </c>
      <c r="G16" s="24">
        <f t="shared" si="3"/>
        <v>0.37145473819941899</v>
      </c>
      <c r="H16" s="25">
        <v>24657.215617727932</v>
      </c>
      <c r="I16" s="18">
        <f t="shared" si="4"/>
        <v>0.70026172182785229</v>
      </c>
    </row>
    <row r="17" spans="1:9" outlineLevel="1" x14ac:dyDescent="0.15">
      <c r="A17" s="18" t="s">
        <v>24</v>
      </c>
      <c r="B17" s="24">
        <v>863.02516939574377</v>
      </c>
      <c r="C17" s="25">
        <v>1089.957058503888</v>
      </c>
      <c r="D17" s="24">
        <f t="shared" si="0"/>
        <v>0.79179740400081577</v>
      </c>
      <c r="E17" s="24">
        <f t="shared" si="1"/>
        <v>0.43145005435415762</v>
      </c>
      <c r="F17" s="25">
        <f t="shared" si="2"/>
        <v>-1315.080210219227</v>
      </c>
      <c r="G17" s="25">
        <f t="shared" si="3"/>
        <v>3041.1305490107147</v>
      </c>
      <c r="H17" s="24">
        <v>0.28766401017607807</v>
      </c>
      <c r="I17" s="18">
        <f t="shared" si="4"/>
        <v>3.7435551159653621E-2</v>
      </c>
    </row>
    <row r="18" spans="1:9" outlineLevel="1" x14ac:dyDescent="0.15">
      <c r="A18" s="18" t="s">
        <v>25</v>
      </c>
      <c r="B18" s="25">
        <v>-1160.7693306099104</v>
      </c>
      <c r="C18" s="25">
        <v>1089.3630596444652</v>
      </c>
      <c r="D18" s="24">
        <f t="shared" si="0"/>
        <v>-1.0655486436163439</v>
      </c>
      <c r="E18" s="24">
        <f t="shared" si="1"/>
        <v>0.29069445795515531</v>
      </c>
      <c r="F18" s="25">
        <f t="shared" si="2"/>
        <v>-3337.6876982218855</v>
      </c>
      <c r="G18" s="25">
        <f t="shared" si="3"/>
        <v>1016.1490370020647</v>
      </c>
      <c r="H18" s="24">
        <v>0.28766401017607807</v>
      </c>
      <c r="I18" s="18">
        <f t="shared" si="4"/>
        <v>-5.0350837034137709E-2</v>
      </c>
    </row>
    <row r="19" spans="1:9" outlineLevel="1" x14ac:dyDescent="0.15">
      <c r="A19" s="18" t="s">
        <v>26</v>
      </c>
      <c r="B19" s="24">
        <v>-338.39640809333537</v>
      </c>
      <c r="C19" s="25">
        <v>1100.0641302140216</v>
      </c>
      <c r="D19" s="24">
        <f t="shared" si="0"/>
        <v>-0.30761516424274199</v>
      </c>
      <c r="E19" s="24">
        <f t="shared" si="1"/>
        <v>0.75938984225790573</v>
      </c>
      <c r="F19" s="25">
        <f t="shared" si="2"/>
        <v>-2536.6991588728306</v>
      </c>
      <c r="G19" s="25">
        <f t="shared" si="3"/>
        <v>1859.9063426861596</v>
      </c>
      <c r="H19" s="24">
        <v>0.28766401017607807</v>
      </c>
      <c r="I19" s="18">
        <f t="shared" si="4"/>
        <v>-1.4678663492851261E-2</v>
      </c>
    </row>
    <row r="20" spans="1:9" outlineLevel="1" x14ac:dyDescent="0.15">
      <c r="A20" s="18" t="s">
        <v>27</v>
      </c>
      <c r="B20" s="24">
        <v>68.676196172057985</v>
      </c>
      <c r="C20" s="25">
        <v>1395.0002673112865</v>
      </c>
      <c r="D20" s="24">
        <f t="shared" si="0"/>
        <v>4.9230238718465616E-2</v>
      </c>
      <c r="E20" s="24">
        <f t="shared" si="1"/>
        <v>0.96089155895849299</v>
      </c>
      <c r="F20" s="25">
        <f t="shared" si="2"/>
        <v>-2719.0093948233571</v>
      </c>
      <c r="G20" s="25">
        <f t="shared" si="3"/>
        <v>2856.3617871674733</v>
      </c>
      <c r="H20" s="24">
        <v>0.28766401017607807</v>
      </c>
      <c r="I20" s="18">
        <f t="shared" si="4"/>
        <v>2.9789759863545458E-3</v>
      </c>
    </row>
    <row r="21" spans="1:9" outlineLevel="1" x14ac:dyDescent="0.15">
      <c r="A21" s="18" t="s">
        <v>28</v>
      </c>
      <c r="B21" s="25">
        <v>4723.6841043359454</v>
      </c>
      <c r="C21" s="25">
        <v>3174.3110676867759</v>
      </c>
      <c r="D21" s="24">
        <f t="shared" si="0"/>
        <v>1.4880974181834827</v>
      </c>
      <c r="E21" s="24">
        <f t="shared" si="1"/>
        <v>0.14171385662541305</v>
      </c>
      <c r="F21" s="25">
        <f t="shared" si="2"/>
        <v>-1619.6703967948397</v>
      </c>
      <c r="G21" s="25">
        <f t="shared" si="3"/>
        <v>11067.038605466731</v>
      </c>
      <c r="H21" s="24">
        <v>0.28766401017607807</v>
      </c>
      <c r="I21" s="18">
        <f t="shared" si="4"/>
        <v>0.20489983863822056</v>
      </c>
    </row>
    <row r="22" spans="1:9" outlineLevel="1" x14ac:dyDescent="0.15">
      <c r="A22" s="18" t="s">
        <v>29</v>
      </c>
      <c r="B22" s="25">
        <v>6748.059202221255</v>
      </c>
      <c r="C22" s="25">
        <v>4380.9487735551238</v>
      </c>
      <c r="D22" s="24">
        <f t="shared" si="0"/>
        <v>1.5403191297179286</v>
      </c>
      <c r="E22" s="24">
        <f t="shared" si="1"/>
        <v>0.12849073214484177</v>
      </c>
      <c r="F22" s="25">
        <f t="shared" si="2"/>
        <v>-2006.5683466804676</v>
      </c>
      <c r="G22" s="25">
        <f t="shared" si="3"/>
        <v>15502.686751122978</v>
      </c>
      <c r="H22" s="24">
        <v>0.28766401017607807</v>
      </c>
      <c r="I22" s="18">
        <f t="shared" si="4"/>
        <v>0.29271141149915464</v>
      </c>
    </row>
    <row r="23" spans="1:9" outlineLevel="1" x14ac:dyDescent="0.15">
      <c r="A23" s="18" t="s">
        <v>30</v>
      </c>
      <c r="B23" s="25">
        <v>7052.2051986260067</v>
      </c>
      <c r="C23" s="25">
        <v>4476.2634418074886</v>
      </c>
      <c r="D23" s="24">
        <f t="shared" si="0"/>
        <v>1.5754669693386876</v>
      </c>
      <c r="E23" s="24">
        <f t="shared" si="1"/>
        <v>0.12015749261568766</v>
      </c>
      <c r="F23" s="25">
        <f t="shared" si="2"/>
        <v>-1892.8935161413301</v>
      </c>
      <c r="G23" s="25">
        <f t="shared" si="3"/>
        <v>15997.303913393343</v>
      </c>
      <c r="H23" s="24">
        <v>0.26819409376060449</v>
      </c>
      <c r="I23" s="18">
        <f t="shared" si="4"/>
        <v>0.28519991346675794</v>
      </c>
    </row>
    <row r="24" spans="1:9" outlineLevel="1" x14ac:dyDescent="0.15">
      <c r="A24" s="18" t="s">
        <v>31</v>
      </c>
      <c r="B24" s="25">
        <v>6958.3815789319951</v>
      </c>
      <c r="C24" s="25">
        <v>4446.6227183883911</v>
      </c>
      <c r="D24" s="24">
        <f t="shared" si="0"/>
        <v>1.5648688948033693</v>
      </c>
      <c r="E24" s="24">
        <f t="shared" si="1"/>
        <v>0.1226233049366896</v>
      </c>
      <c r="F24" s="25">
        <f t="shared" si="2"/>
        <v>-1927.4848765173147</v>
      </c>
      <c r="G24" s="25">
        <f t="shared" si="3"/>
        <v>15844.248034381304</v>
      </c>
      <c r="H24" s="24">
        <v>0.26819409376060449</v>
      </c>
      <c r="I24" s="18">
        <f t="shared" si="4"/>
        <v>0.28140557007143485</v>
      </c>
    </row>
    <row r="25" spans="1:9" outlineLevel="1" x14ac:dyDescent="0.15">
      <c r="A25" s="18" t="s">
        <v>32</v>
      </c>
      <c r="B25" s="25">
        <v>5335.1928958009148</v>
      </c>
      <c r="C25" s="25">
        <v>3528.6346052817871</v>
      </c>
      <c r="D25" s="24">
        <f t="shared" si="0"/>
        <v>1.5119709158366827</v>
      </c>
      <c r="E25" s="24">
        <f t="shared" si="1"/>
        <v>0.13554158628354371</v>
      </c>
      <c r="F25" s="25">
        <f t="shared" si="2"/>
        <v>-1716.2206956753535</v>
      </c>
      <c r="G25" s="25">
        <f t="shared" si="3"/>
        <v>12386.606487277182</v>
      </c>
      <c r="H25" s="24">
        <v>0.26819409376060449</v>
      </c>
      <c r="I25" s="18">
        <f t="shared" si="4"/>
        <v>0.21576180915826698</v>
      </c>
    </row>
    <row r="26" spans="1:9" outlineLevel="1" x14ac:dyDescent="0.15">
      <c r="A26" s="18" t="s">
        <v>33</v>
      </c>
      <c r="B26" s="25">
        <v>-1677.6265411021395</v>
      </c>
      <c r="C26" s="25">
        <v>1347.9465622294147</v>
      </c>
      <c r="D26" s="24">
        <f t="shared" si="0"/>
        <v>-1.2445794129460561</v>
      </c>
      <c r="E26" s="24">
        <f t="shared" si="1"/>
        <v>0.21789656883159828</v>
      </c>
      <c r="F26" s="25">
        <f t="shared" si="2"/>
        <v>-4371.282805556636</v>
      </c>
      <c r="G26" s="25">
        <f t="shared" si="3"/>
        <v>1016.029723352357</v>
      </c>
      <c r="H26" s="24">
        <v>0.26819409376060449</v>
      </c>
      <c r="I26" s="18">
        <f t="shared" si="4"/>
        <v>-6.7845295319127363E-2</v>
      </c>
    </row>
    <row r="27" spans="1:9" outlineLevel="1" x14ac:dyDescent="0.15">
      <c r="A27" s="18" t="s">
        <v>34</v>
      </c>
      <c r="B27" s="25">
        <v>-1980.6385926304181</v>
      </c>
      <c r="C27" s="25">
        <v>1129.2834305685753</v>
      </c>
      <c r="D27" s="24">
        <f t="shared" si="0"/>
        <v>-1.7538897136152964</v>
      </c>
      <c r="E27" s="24">
        <f t="shared" si="1"/>
        <v>8.4312741462742549E-2</v>
      </c>
      <c r="F27" s="25">
        <f t="shared" si="2"/>
        <v>-4237.331455932509</v>
      </c>
      <c r="G27" s="24">
        <f t="shared" si="3"/>
        <v>276.05427067167261</v>
      </c>
      <c r="H27" s="24">
        <v>0.26819409376060449</v>
      </c>
      <c r="I27" s="18">
        <f t="shared" si="4"/>
        <v>-8.0099478009683076E-2</v>
      </c>
    </row>
    <row r="28" spans="1:9" outlineLevel="1" x14ac:dyDescent="0.15">
      <c r="A28" s="18" t="s">
        <v>1</v>
      </c>
      <c r="B28" s="24">
        <v>266.86000144841398</v>
      </c>
      <c r="C28" s="24">
        <v>10.063957228999387</v>
      </c>
      <c r="D28" s="24">
        <f t="shared" si="0"/>
        <v>26.516408543495633</v>
      </c>
      <c r="E28" s="24">
        <f t="shared" si="1"/>
        <v>6.9576560969979756E-36</v>
      </c>
      <c r="F28" s="24">
        <f t="shared" si="2"/>
        <v>246.74878769950982</v>
      </c>
      <c r="G28" s="24">
        <f t="shared" si="3"/>
        <v>286.97121519731814</v>
      </c>
      <c r="H28" s="24">
        <v>22.660538387249321</v>
      </c>
      <c r="I28" s="18">
        <f t="shared" si="4"/>
        <v>0.91186164240439638</v>
      </c>
    </row>
    <row r="30" spans="1:9" x14ac:dyDescent="0.15">
      <c r="A30" s="20" t="s">
        <v>280</v>
      </c>
    </row>
    <row r="31" spans="1:9" ht="12" hidden="1" outlineLevel="1" thickBot="1" x14ac:dyDescent="0.2">
      <c r="A31" s="28" t="s">
        <v>116</v>
      </c>
      <c r="B31" s="23" t="s">
        <v>120</v>
      </c>
      <c r="C31" s="23" t="s">
        <v>121</v>
      </c>
      <c r="D31" s="23" t="s">
        <v>122</v>
      </c>
      <c r="E31" s="23" t="s">
        <v>123</v>
      </c>
      <c r="F31" s="23" t="s">
        <v>112</v>
      </c>
    </row>
    <row r="32" spans="1:9" hidden="1" outlineLevel="1" x14ac:dyDescent="0.15">
      <c r="A32" s="18" t="s">
        <v>117</v>
      </c>
      <c r="B32" s="26">
        <v>14</v>
      </c>
      <c r="C32" s="25">
        <f>C34 - C33</f>
        <v>3145408341.589922</v>
      </c>
      <c r="D32" s="25">
        <f>C32/B32</f>
        <v>224672024.39928013</v>
      </c>
      <c r="E32" s="24">
        <f>D32/D33</f>
        <v>58.729940774619294</v>
      </c>
      <c r="F32" s="24">
        <f>FDIST(E32,14,63)</f>
        <v>1.1611409533939401E-30</v>
      </c>
    </row>
    <row r="33" spans="1:22" hidden="1" outlineLevel="1" x14ac:dyDescent="0.15">
      <c r="A33" s="18" t="s">
        <v>118</v>
      </c>
      <c r="B33" s="26">
        <v>63</v>
      </c>
      <c r="C33" s="25">
        <v>241007182.2049509</v>
      </c>
      <c r="D33" s="25">
        <f>C33/B33</f>
        <v>3825510.8286500145</v>
      </c>
    </row>
    <row r="34" spans="1:22" hidden="1" outlineLevel="1" x14ac:dyDescent="0.15">
      <c r="A34" s="18" t="s">
        <v>119</v>
      </c>
      <c r="B34" s="26">
        <f>B32 + B33</f>
        <v>77</v>
      </c>
      <c r="C34" s="25">
        <v>3386415523.7948728</v>
      </c>
    </row>
    <row r="35" spans="1:22" collapsed="1" x14ac:dyDescent="0.15"/>
    <row r="36" spans="1:22" x14ac:dyDescent="0.15">
      <c r="A36" s="20" t="s">
        <v>281</v>
      </c>
    </row>
    <row r="37" spans="1:22" ht="12" outlineLevel="1" thickBot="1" x14ac:dyDescent="0.2">
      <c r="A37" s="23" t="s">
        <v>129</v>
      </c>
      <c r="B37" s="23" t="s">
        <v>130</v>
      </c>
      <c r="C37" s="23" t="s">
        <v>131</v>
      </c>
      <c r="D37" s="23" t="s">
        <v>112</v>
      </c>
      <c r="E37" s="23" t="s">
        <v>133</v>
      </c>
      <c r="F37" s="23" t="s">
        <v>134</v>
      </c>
      <c r="G37" s="28" t="s">
        <v>135</v>
      </c>
    </row>
    <row r="38" spans="1:22" outlineLevel="1" x14ac:dyDescent="0.15">
      <c r="A38" s="26">
        <v>40</v>
      </c>
      <c r="B38" s="26">
        <v>38</v>
      </c>
      <c r="C38" s="18">
        <v>0.41050807361813757</v>
      </c>
      <c r="D38" s="18">
        <v>0.34252270231339871</v>
      </c>
      <c r="E38" s="24">
        <v>-3.5503945193477882</v>
      </c>
      <c r="F38" s="24">
        <v>1.8691209965806546</v>
      </c>
      <c r="G38" s="24">
        <v>1.0563391544283345</v>
      </c>
    </row>
    <row r="39" spans="1:22" outlineLevel="1" x14ac:dyDescent="0.15">
      <c r="A39" s="18" t="s">
        <v>132</v>
      </c>
    </row>
    <row r="41" spans="1:22" x14ac:dyDescent="0.15">
      <c r="A41" s="20" t="s">
        <v>282</v>
      </c>
    </row>
    <row r="42" spans="1:22" ht="12" outlineLevel="1" thickBot="1" x14ac:dyDescent="0.2">
      <c r="A42" s="22" t="s">
        <v>137</v>
      </c>
      <c r="B42" s="31">
        <v>1</v>
      </c>
      <c r="C42" s="31">
        <v>2</v>
      </c>
      <c r="D42" s="31">
        <v>3</v>
      </c>
      <c r="E42" s="31">
        <v>4</v>
      </c>
      <c r="F42" s="31">
        <v>5</v>
      </c>
      <c r="G42" s="31">
        <v>6</v>
      </c>
      <c r="H42" s="31">
        <v>7</v>
      </c>
      <c r="I42" s="31">
        <v>12</v>
      </c>
    </row>
    <row r="43" spans="1:22" outlineLevel="1" x14ac:dyDescent="0.15">
      <c r="A43" s="18" t="s">
        <v>138</v>
      </c>
      <c r="B43" s="24">
        <v>0.46763776581644134</v>
      </c>
      <c r="C43" s="24">
        <v>0.12767067976375313</v>
      </c>
      <c r="D43" s="45">
        <v>5.8120277877387133E-2</v>
      </c>
      <c r="E43" s="45">
        <v>-5.7949882203453131E-2</v>
      </c>
      <c r="F43" s="24">
        <v>0.11945020710884452</v>
      </c>
      <c r="G43" s="24">
        <v>0.10741231803708257</v>
      </c>
      <c r="H43" s="45">
        <v>1.2229835661942216E-2</v>
      </c>
      <c r="I43" s="24">
        <v>-0.21311276795157275</v>
      </c>
    </row>
    <row r="44" spans="1:22" outlineLevel="1" x14ac:dyDescent="0.15">
      <c r="A44" s="18" t="s">
        <v>140</v>
      </c>
    </row>
    <row r="45" spans="1:22" outlineLevel="1" x14ac:dyDescent="0.15">
      <c r="A45" s="32" t="s">
        <v>139</v>
      </c>
      <c r="B45" s="33">
        <f t="shared" ref="B45:I45" si="5" xml:space="preserve"> 1 / SQRT($F$10 - B42)</f>
        <v>0.11396057645963795</v>
      </c>
      <c r="C45" s="33">
        <f t="shared" si="5"/>
        <v>0.11470786693528087</v>
      </c>
      <c r="D45" s="33">
        <f t="shared" si="5"/>
        <v>0.11547005383792514</v>
      </c>
      <c r="E45" s="33">
        <f t="shared" si="5"/>
        <v>0.11624763874381928</v>
      </c>
      <c r="F45" s="33">
        <f t="shared" si="5"/>
        <v>0.11704114719613057</v>
      </c>
      <c r="G45" s="33">
        <f t="shared" si="5"/>
        <v>0.11785113019775793</v>
      </c>
      <c r="H45" s="33">
        <f t="shared" si="5"/>
        <v>0.11867816581938533</v>
      </c>
      <c r="I45" s="33">
        <f t="shared" si="5"/>
        <v>0.12309149097933272</v>
      </c>
    </row>
    <row r="47" spans="1:22" x14ac:dyDescent="0.15">
      <c r="A47" s="20" t="s">
        <v>283</v>
      </c>
    </row>
    <row r="48" spans="1:22" ht="12" hidden="1" outlineLevel="1" thickBot="1" x14ac:dyDescent="0.2">
      <c r="A48" s="23" t="s">
        <v>142</v>
      </c>
      <c r="B48" s="23" t="s">
        <v>143</v>
      </c>
      <c r="C48" s="23" t="s">
        <v>144</v>
      </c>
      <c r="D48" s="23" t="str">
        <f>IF($I$10&gt;99%,("Low"&amp;TEXT($I$10,"0.0%")&amp;"F"),("Lower"&amp;TEXT($I$10,"0%")&amp;"F"))</f>
        <v>Lower95%F</v>
      </c>
      <c r="E48" s="23" t="str">
        <f>IF($I$10&gt;99%,("Up"&amp;TEXT($I$10,"0.0%")&amp;"F"),("Upper"&amp;TEXT($I$10,"0%")&amp;"F"))</f>
        <v>Upper95%F</v>
      </c>
      <c r="F48" s="23" t="s">
        <v>145</v>
      </c>
      <c r="G48" s="23" t="str">
        <f>IF($I$10&gt;99%,("Low"&amp;TEXT($I$10,"0.0%")&amp;"M"),("Lower"&amp;TEXT($I$10,"0%")&amp;"M"))</f>
        <v>Lower95%M</v>
      </c>
      <c r="H48" s="23" t="str">
        <f>IF($I$10&gt;99%,("Up"&amp;TEXT($I$10,"0.0%")&amp;"M"),("Upper"&amp;TEXT($I$10,"0%")&amp;"M"))</f>
        <v>Upper95%M</v>
      </c>
      <c r="I48" s="28" t="s">
        <v>284</v>
      </c>
      <c r="J48" s="28" t="s">
        <v>285</v>
      </c>
      <c r="K48" s="28" t="s">
        <v>220</v>
      </c>
      <c r="L48" s="28" t="s">
        <v>221</v>
      </c>
      <c r="M48" s="28" t="s">
        <v>222</v>
      </c>
      <c r="N48" s="28" t="s">
        <v>223</v>
      </c>
      <c r="O48" s="28" t="s">
        <v>224</v>
      </c>
      <c r="P48" s="28" t="s">
        <v>225</v>
      </c>
      <c r="Q48" s="28" t="s">
        <v>226</v>
      </c>
      <c r="R48" s="28" t="s">
        <v>227</v>
      </c>
      <c r="S48" s="28" t="s">
        <v>228</v>
      </c>
      <c r="T48" s="28" t="s">
        <v>229</v>
      </c>
      <c r="U48" s="28" t="s">
        <v>230</v>
      </c>
      <c r="V48" s="28" t="s">
        <v>176</v>
      </c>
    </row>
    <row r="49" spans="9:23" hidden="1" outlineLevel="1" x14ac:dyDescent="0.15">
      <c r="I49" s="34"/>
      <c r="J49" s="34"/>
      <c r="K49" s="34"/>
      <c r="L49" s="34"/>
      <c r="M49" s="34"/>
      <c r="N49" s="34"/>
      <c r="O49" s="34"/>
      <c r="P49" s="34"/>
      <c r="Q49" s="34"/>
      <c r="R49" s="34"/>
      <c r="S49" s="34"/>
      <c r="T49" s="34"/>
      <c r="U49" s="34"/>
      <c r="V49" s="34"/>
      <c r="W49" s="34"/>
    </row>
    <row r="50" spans="9:23" hidden="1" outlineLevel="1" x14ac:dyDescent="0.15">
      <c r="I50" s="34"/>
      <c r="J50" s="34"/>
      <c r="K50" s="34"/>
      <c r="L50" s="34"/>
      <c r="M50" s="34"/>
      <c r="N50" s="34"/>
      <c r="O50" s="34"/>
      <c r="P50" s="34"/>
      <c r="Q50" s="34"/>
      <c r="R50" s="34"/>
      <c r="S50" s="34"/>
      <c r="T50" s="34"/>
      <c r="U50" s="34"/>
      <c r="V50" s="34"/>
      <c r="W50" s="34"/>
    </row>
    <row r="51" spans="9:23" hidden="1" outlineLevel="1" x14ac:dyDescent="0.15">
      <c r="I51" s="34"/>
      <c r="J51" s="34"/>
      <c r="K51" s="34"/>
      <c r="L51" s="34"/>
      <c r="M51" s="34"/>
      <c r="N51" s="34"/>
      <c r="O51" s="34"/>
      <c r="P51" s="34"/>
      <c r="Q51" s="34"/>
      <c r="R51" s="34"/>
      <c r="S51" s="34"/>
      <c r="T51" s="34"/>
      <c r="U51" s="34"/>
      <c r="V51" s="34"/>
      <c r="W51" s="34"/>
    </row>
    <row r="52" spans="9:23" hidden="1" outlineLevel="1" x14ac:dyDescent="0.15">
      <c r="I52" s="34"/>
      <c r="J52" s="34"/>
      <c r="K52" s="34"/>
      <c r="L52" s="34"/>
      <c r="M52" s="34"/>
      <c r="N52" s="34"/>
      <c r="O52" s="34"/>
      <c r="P52" s="34"/>
      <c r="Q52" s="34"/>
      <c r="R52" s="34"/>
      <c r="S52" s="34"/>
      <c r="T52" s="34"/>
      <c r="U52" s="34"/>
      <c r="V52" s="34"/>
      <c r="W52" s="34"/>
    </row>
    <row r="53" spans="9:23" hidden="1" outlineLevel="1" x14ac:dyDescent="0.15">
      <c r="I53" s="34"/>
      <c r="J53" s="34"/>
      <c r="K53" s="34"/>
      <c r="L53" s="34"/>
      <c r="M53" s="34"/>
      <c r="N53" s="34"/>
      <c r="O53" s="34"/>
      <c r="P53" s="34"/>
      <c r="Q53" s="34"/>
      <c r="R53" s="34"/>
      <c r="S53" s="34"/>
      <c r="T53" s="34"/>
      <c r="U53" s="34"/>
      <c r="V53" s="34"/>
      <c r="W53" s="34"/>
    </row>
    <row r="54" spans="9:23" hidden="1" outlineLevel="1" x14ac:dyDescent="0.15"/>
    <row r="55" spans="9:23" hidden="1" outlineLevel="1" x14ac:dyDescent="0.15"/>
    <row r="56" spans="9:23" hidden="1" outlineLevel="1" x14ac:dyDescent="0.15"/>
    <row r="57" spans="9:23" hidden="1" outlineLevel="1" x14ac:dyDescent="0.15"/>
    <row r="58" spans="9:23" hidden="1" outlineLevel="1" x14ac:dyDescent="0.15"/>
    <row r="59" spans="9:23" hidden="1" outlineLevel="1" x14ac:dyDescent="0.15"/>
    <row r="60" spans="9:23" hidden="1" outlineLevel="1" x14ac:dyDescent="0.15"/>
    <row r="61" spans="9:23" hidden="1" outlineLevel="1" x14ac:dyDescent="0.15"/>
    <row r="62" spans="9:23" hidden="1" outlineLevel="1" x14ac:dyDescent="0.15"/>
    <row r="63" spans="9:23" hidden="1" outlineLevel="1" x14ac:dyDescent="0.15"/>
    <row r="64" spans="9:23" hidden="1" outlineLevel="1" x14ac:dyDescent="0.15"/>
    <row r="65" spans="1:3" hidden="1" outlineLevel="1" x14ac:dyDescent="0.15"/>
    <row r="66" spans="1:3" hidden="1" outlineLevel="1" x14ac:dyDescent="0.15"/>
    <row r="67" spans="1:3" hidden="1" outlineLevel="1" x14ac:dyDescent="0.15"/>
    <row r="68" spans="1:3" hidden="1" outlineLevel="1" x14ac:dyDescent="0.15"/>
    <row r="69" spans="1:3" hidden="1" outlineLevel="1" x14ac:dyDescent="0.15"/>
    <row r="70" spans="1:3" hidden="1" outlineLevel="1" x14ac:dyDescent="0.15"/>
    <row r="71" spans="1:3" hidden="1" outlineLevel="1" x14ac:dyDescent="0.15"/>
    <row r="72" spans="1:3" hidden="1" outlineLevel="1" x14ac:dyDescent="0.15"/>
    <row r="73" spans="1:3" hidden="1" outlineLevel="1" x14ac:dyDescent="0.15"/>
    <row r="74" spans="1:3" collapsed="1" x14ac:dyDescent="0.15"/>
    <row r="75" spans="1:3" x14ac:dyDescent="0.15">
      <c r="A75" s="20" t="s">
        <v>147</v>
      </c>
    </row>
    <row r="76" spans="1:3" outlineLevel="1" x14ac:dyDescent="0.15"/>
    <row r="77" spans="1:3" outlineLevel="1" x14ac:dyDescent="0.15"/>
    <row r="78" spans="1:3" outlineLevel="1" x14ac:dyDescent="0.15">
      <c r="C78" s="32" t="b">
        <v>1</v>
      </c>
    </row>
    <row r="79" spans="1:3" outlineLevel="1" x14ac:dyDescent="0.15"/>
    <row r="80" spans="1:3" outlineLevel="1" x14ac:dyDescent="0.15"/>
    <row r="81" outlineLevel="1" x14ac:dyDescent="0.15"/>
    <row r="82" outlineLevel="1" x14ac:dyDescent="0.15"/>
    <row r="83" outlineLevel="1" x14ac:dyDescent="0.15"/>
    <row r="84" outlineLevel="1" x14ac:dyDescent="0.15"/>
    <row r="85" outlineLevel="1" x14ac:dyDescent="0.15"/>
    <row r="86" outlineLevel="1" x14ac:dyDescent="0.15"/>
    <row r="87" outlineLevel="1" x14ac:dyDescent="0.15"/>
    <row r="88" outlineLevel="1" x14ac:dyDescent="0.15"/>
    <row r="89" outlineLevel="1" x14ac:dyDescent="0.15"/>
    <row r="90" outlineLevel="1" x14ac:dyDescent="0.15"/>
    <row r="91" outlineLevel="1" x14ac:dyDescent="0.15"/>
    <row r="92" outlineLevel="1" x14ac:dyDescent="0.15"/>
    <row r="93" outlineLevel="1" x14ac:dyDescent="0.15"/>
    <row r="94" outlineLevel="1" x14ac:dyDescent="0.15"/>
    <row r="95" outlineLevel="1" x14ac:dyDescent="0.15"/>
    <row r="97" spans="1:1" x14ac:dyDescent="0.15">
      <c r="A97" s="20" t="s">
        <v>148</v>
      </c>
    </row>
    <row r="98" spans="1:1" outlineLevel="1" x14ac:dyDescent="0.15"/>
    <row r="99" spans="1:1" outlineLevel="1" x14ac:dyDescent="0.15"/>
    <row r="100" spans="1:1" outlineLevel="1" x14ac:dyDescent="0.15"/>
    <row r="101" spans="1:1" outlineLevel="1" x14ac:dyDescent="0.15"/>
    <row r="102" spans="1:1" outlineLevel="1" x14ac:dyDescent="0.15"/>
    <row r="103" spans="1:1" outlineLevel="1" x14ac:dyDescent="0.15"/>
    <row r="104" spans="1:1" outlineLevel="1" x14ac:dyDescent="0.15"/>
    <row r="105" spans="1:1" outlineLevel="1" x14ac:dyDescent="0.15"/>
    <row r="106" spans="1:1" outlineLevel="1" x14ac:dyDescent="0.15"/>
    <row r="107" spans="1:1" outlineLevel="1" x14ac:dyDescent="0.15"/>
    <row r="108" spans="1:1" outlineLevel="1" x14ac:dyDescent="0.15"/>
    <row r="109" spans="1:1" outlineLevel="1" x14ac:dyDescent="0.15"/>
    <row r="110" spans="1:1" outlineLevel="1" x14ac:dyDescent="0.15"/>
    <row r="111" spans="1:1" outlineLevel="1" x14ac:dyDescent="0.15"/>
    <row r="112" spans="1:1" outlineLevel="1" x14ac:dyDescent="0.15"/>
    <row r="113" spans="1:1" outlineLevel="1" x14ac:dyDescent="0.15"/>
    <row r="114" spans="1:1" outlineLevel="1" x14ac:dyDescent="0.15"/>
    <row r="115" spans="1:1" outlineLevel="1" x14ac:dyDescent="0.15"/>
    <row r="116" spans="1:1" outlineLevel="1" x14ac:dyDescent="0.15"/>
    <row r="117" spans="1:1" outlineLevel="1" x14ac:dyDescent="0.15"/>
    <row r="119" spans="1:1" x14ac:dyDescent="0.15">
      <c r="A119" s="20" t="s">
        <v>149</v>
      </c>
    </row>
    <row r="120" spans="1:1" outlineLevel="1" x14ac:dyDescent="0.15"/>
    <row r="121" spans="1:1" outlineLevel="1" x14ac:dyDescent="0.15"/>
    <row r="122" spans="1:1" outlineLevel="1" x14ac:dyDescent="0.15"/>
    <row r="123" spans="1:1" outlineLevel="1" x14ac:dyDescent="0.15"/>
    <row r="124" spans="1:1" outlineLevel="1" x14ac:dyDescent="0.15"/>
    <row r="125" spans="1:1" outlineLevel="1" x14ac:dyDescent="0.15"/>
    <row r="126" spans="1:1" outlineLevel="1" x14ac:dyDescent="0.15"/>
    <row r="127" spans="1:1" outlineLevel="1" x14ac:dyDescent="0.15"/>
    <row r="128" spans="1:1" outlineLevel="1" x14ac:dyDescent="0.15"/>
    <row r="129" spans="1:1" outlineLevel="1" x14ac:dyDescent="0.15"/>
    <row r="130" spans="1:1" outlineLevel="1" x14ac:dyDescent="0.15"/>
    <row r="131" spans="1:1" outlineLevel="1" x14ac:dyDescent="0.15"/>
    <row r="132" spans="1:1" outlineLevel="1" x14ac:dyDescent="0.15"/>
    <row r="133" spans="1:1" outlineLevel="1" x14ac:dyDescent="0.15"/>
    <row r="134" spans="1:1" outlineLevel="1" x14ac:dyDescent="0.15"/>
    <row r="135" spans="1:1" outlineLevel="1" x14ac:dyDescent="0.15"/>
    <row r="136" spans="1:1" outlineLevel="1" x14ac:dyDescent="0.15"/>
    <row r="137" spans="1:1" outlineLevel="1" x14ac:dyDescent="0.15"/>
    <row r="138" spans="1:1" outlineLevel="1" x14ac:dyDescent="0.15"/>
    <row r="139" spans="1:1" outlineLevel="1" x14ac:dyDescent="0.15"/>
    <row r="141" spans="1:1" x14ac:dyDescent="0.15">
      <c r="A141" s="20" t="s">
        <v>150</v>
      </c>
    </row>
    <row r="142" spans="1:1" outlineLevel="1" x14ac:dyDescent="0.15"/>
    <row r="143" spans="1:1" outlineLevel="1" x14ac:dyDescent="0.15"/>
    <row r="144" spans="1:1" outlineLevel="1" x14ac:dyDescent="0.15"/>
    <row r="145" outlineLevel="1" x14ac:dyDescent="0.15"/>
    <row r="146" outlineLevel="1" x14ac:dyDescent="0.15"/>
    <row r="147" outlineLevel="1" x14ac:dyDescent="0.15"/>
    <row r="148" outlineLevel="1" x14ac:dyDescent="0.15"/>
    <row r="149" outlineLevel="1" x14ac:dyDescent="0.15"/>
    <row r="150" outlineLevel="1" x14ac:dyDescent="0.15"/>
    <row r="151" outlineLevel="1" x14ac:dyDescent="0.15"/>
    <row r="152" outlineLevel="1" x14ac:dyDescent="0.15"/>
    <row r="153" outlineLevel="1" x14ac:dyDescent="0.15"/>
    <row r="154" outlineLevel="1" x14ac:dyDescent="0.15"/>
    <row r="155" outlineLevel="1" x14ac:dyDescent="0.15"/>
    <row r="156" outlineLevel="1" x14ac:dyDescent="0.15"/>
    <row r="157" outlineLevel="1" x14ac:dyDescent="0.15"/>
    <row r="158" outlineLevel="1" x14ac:dyDescent="0.15"/>
    <row r="159" outlineLevel="1" x14ac:dyDescent="0.15"/>
    <row r="160" outlineLevel="1" x14ac:dyDescent="0.15"/>
    <row r="161" spans="1:1" outlineLevel="1" x14ac:dyDescent="0.15"/>
    <row r="163" spans="1:1" x14ac:dyDescent="0.15">
      <c r="A163" s="20" t="s">
        <v>151</v>
      </c>
    </row>
    <row r="164" spans="1:1" outlineLevel="1" x14ac:dyDescent="0.15"/>
    <row r="165" spans="1:1" outlineLevel="1" x14ac:dyDescent="0.15"/>
    <row r="166" spans="1:1" outlineLevel="1" x14ac:dyDescent="0.15"/>
    <row r="167" spans="1:1" outlineLevel="1" x14ac:dyDescent="0.15"/>
    <row r="168" spans="1:1" outlineLevel="1" x14ac:dyDescent="0.15"/>
    <row r="169" spans="1:1" outlineLevel="1" x14ac:dyDescent="0.15"/>
    <row r="170" spans="1:1" outlineLevel="1" x14ac:dyDescent="0.15"/>
    <row r="171" spans="1:1" outlineLevel="1" x14ac:dyDescent="0.15"/>
    <row r="172" spans="1:1" outlineLevel="1" x14ac:dyDescent="0.15"/>
    <row r="173" spans="1:1" outlineLevel="1" x14ac:dyDescent="0.15"/>
    <row r="174" spans="1:1" outlineLevel="1" x14ac:dyDescent="0.15"/>
    <row r="175" spans="1:1" outlineLevel="1" x14ac:dyDescent="0.15"/>
    <row r="176" spans="1:1" outlineLevel="1" x14ac:dyDescent="0.15"/>
    <row r="177" spans="1:6" outlineLevel="1" x14ac:dyDescent="0.15"/>
    <row r="178" spans="1:6" outlineLevel="1" x14ac:dyDescent="0.15"/>
    <row r="179" spans="1:6" outlineLevel="1" x14ac:dyDescent="0.15"/>
    <row r="180" spans="1:6" outlineLevel="1" x14ac:dyDescent="0.15"/>
    <row r="181" spans="1:6" outlineLevel="1" x14ac:dyDescent="0.15"/>
    <row r="182" spans="1:6" outlineLevel="1" x14ac:dyDescent="0.15"/>
    <row r="183" spans="1:6" outlineLevel="1" x14ac:dyDescent="0.15"/>
    <row r="185" spans="1:6" x14ac:dyDescent="0.15">
      <c r="A185" s="20" t="s">
        <v>286</v>
      </c>
    </row>
    <row r="186" spans="1:6" ht="12" hidden="1" outlineLevel="1" thickBot="1" x14ac:dyDescent="0.2">
      <c r="A186" s="23" t="s">
        <v>142</v>
      </c>
      <c r="B186" s="23" t="s">
        <v>153</v>
      </c>
      <c r="C186" s="23" t="s">
        <v>127</v>
      </c>
      <c r="D186" s="23" t="s">
        <v>118</v>
      </c>
      <c r="E186" s="23" t="s">
        <v>154</v>
      </c>
    </row>
    <row r="187" spans="1:6" ht="15" hidden="1" outlineLevel="1" x14ac:dyDescent="0.2">
      <c r="A187" s="49">
        <v>62</v>
      </c>
      <c r="B187" s="50">
        <v>8697</v>
      </c>
      <c r="C187" s="50">
        <v>15641.185798461087</v>
      </c>
      <c r="D187" s="50">
        <f t="shared" ref="D187:D218" si="6">B187 - C187</f>
        <v>-6944.185798461087</v>
      </c>
      <c r="E187" s="51">
        <f t="shared" ref="E187:E218" si="7">D187 /1955.89131309744</f>
        <v>-3.5503945193477819</v>
      </c>
      <c r="F187"/>
    </row>
    <row r="188" spans="1:6" ht="15" hidden="1" outlineLevel="1" x14ac:dyDescent="0.2">
      <c r="A188" s="26">
        <v>38</v>
      </c>
      <c r="B188" s="25">
        <v>12898</v>
      </c>
      <c r="C188" s="25">
        <v>9242.2024796598744</v>
      </c>
      <c r="D188" s="25">
        <f t="shared" si="6"/>
        <v>3655.7975203401256</v>
      </c>
      <c r="E188" s="18">
        <f t="shared" si="7"/>
        <v>1.8691209965806512</v>
      </c>
      <c r="F188"/>
    </row>
    <row r="189" spans="1:6" ht="15" hidden="1" outlineLevel="1" x14ac:dyDescent="0.2">
      <c r="A189" s="26">
        <v>25</v>
      </c>
      <c r="B189" s="25">
        <v>4681</v>
      </c>
      <c r="C189" s="25">
        <v>7796.8169608361459</v>
      </c>
      <c r="D189" s="25">
        <f t="shared" si="6"/>
        <v>-3115.8169608361459</v>
      </c>
      <c r="E189" s="18">
        <f t="shared" si="7"/>
        <v>-1.5930419752730502</v>
      </c>
      <c r="F189"/>
    </row>
    <row r="190" spans="1:6" ht="15" hidden="1" outlineLevel="1" x14ac:dyDescent="0.2">
      <c r="A190" s="26">
        <v>33</v>
      </c>
      <c r="B190" s="25">
        <v>7157</v>
      </c>
      <c r="C190" s="25">
        <v>10222.950325032562</v>
      </c>
      <c r="D190" s="25">
        <f t="shared" si="6"/>
        <v>-3065.9503250325615</v>
      </c>
      <c r="E190" s="18">
        <f t="shared" si="7"/>
        <v>-1.567546368503054</v>
      </c>
      <c r="F190"/>
    </row>
    <row r="191" spans="1:6" ht="15" hidden="1" outlineLevel="1" x14ac:dyDescent="0.2">
      <c r="A191" s="26">
        <v>70</v>
      </c>
      <c r="B191" s="25">
        <v>12618</v>
      </c>
      <c r="C191" s="25">
        <v>15681.225149318689</v>
      </c>
      <c r="D191" s="25">
        <f t="shared" si="6"/>
        <v>-3063.2251493186886</v>
      </c>
      <c r="E191" s="18">
        <f t="shared" si="7"/>
        <v>-1.5661530519646429</v>
      </c>
      <c r="F191"/>
    </row>
    <row r="192" spans="1:6" ht="15" hidden="1" outlineLevel="1" x14ac:dyDescent="0.2">
      <c r="A192" s="26">
        <v>60</v>
      </c>
      <c r="B192" s="25">
        <v>18969</v>
      </c>
      <c r="C192" s="25">
        <v>15981.096391746305</v>
      </c>
      <c r="D192" s="25">
        <f t="shared" si="6"/>
        <v>2987.903608253695</v>
      </c>
      <c r="E192" s="18">
        <f t="shared" si="7"/>
        <v>1.527642966787307</v>
      </c>
      <c r="F192"/>
    </row>
    <row r="193" spans="1:6" ht="15" hidden="1" outlineLevel="1" x14ac:dyDescent="0.2">
      <c r="A193" s="26">
        <v>9</v>
      </c>
      <c r="B193" s="25">
        <v>7103</v>
      </c>
      <c r="C193" s="25">
        <v>4152.5215662731607</v>
      </c>
      <c r="D193" s="25">
        <f t="shared" si="6"/>
        <v>2950.4784337268393</v>
      </c>
      <c r="E193" s="18">
        <f t="shared" si="7"/>
        <v>1.5085083787474496</v>
      </c>
      <c r="F193"/>
    </row>
    <row r="194" spans="1:6" ht="15" hidden="1" outlineLevel="1" x14ac:dyDescent="0.2">
      <c r="A194" s="26">
        <v>47</v>
      </c>
      <c r="B194" s="25">
        <v>7885</v>
      </c>
      <c r="C194" s="25">
        <v>10824.073230675083</v>
      </c>
      <c r="D194" s="25">
        <f t="shared" si="6"/>
        <v>-2939.0732306750833</v>
      </c>
      <c r="E194" s="18">
        <f t="shared" si="7"/>
        <v>-1.5026771738254878</v>
      </c>
      <c r="F194"/>
    </row>
    <row r="195" spans="1:6" ht="15" hidden="1" outlineLevel="1" x14ac:dyDescent="0.2">
      <c r="A195" s="26">
        <v>58</v>
      </c>
      <c r="B195" s="25">
        <v>15088</v>
      </c>
      <c r="C195" s="25">
        <v>12569.300611130046</v>
      </c>
      <c r="D195" s="25">
        <f t="shared" si="6"/>
        <v>2518.6993888699544</v>
      </c>
      <c r="E195" s="18">
        <f t="shared" si="7"/>
        <v>1.287750179165746</v>
      </c>
      <c r="F195"/>
    </row>
    <row r="196" spans="1:6" ht="15" hidden="1" outlineLevel="1" x14ac:dyDescent="0.2">
      <c r="A196" s="26">
        <v>26</v>
      </c>
      <c r="B196" s="25">
        <v>3473</v>
      </c>
      <c r="C196" s="25">
        <v>5974.1218206207159</v>
      </c>
      <c r="D196" s="25">
        <f t="shared" si="6"/>
        <v>-2501.1218206207159</v>
      </c>
      <c r="E196" s="18">
        <f t="shared" si="7"/>
        <v>-1.2787631929607703</v>
      </c>
      <c r="F196"/>
    </row>
    <row r="197" spans="1:6" ht="15" hidden="1" outlineLevel="1" x14ac:dyDescent="0.2">
      <c r="A197" s="26">
        <v>32</v>
      </c>
      <c r="B197" s="25">
        <v>10826</v>
      </c>
      <c r="C197" s="25">
        <v>13312.947829516266</v>
      </c>
      <c r="D197" s="25">
        <f t="shared" si="6"/>
        <v>-2486.9478295162662</v>
      </c>
      <c r="E197" s="18">
        <f t="shared" si="7"/>
        <v>-1.271516373564654</v>
      </c>
      <c r="F197"/>
    </row>
    <row r="198" spans="1:6" ht="15" hidden="1" outlineLevel="1" x14ac:dyDescent="0.2">
      <c r="A198" s="26">
        <v>51</v>
      </c>
      <c r="B198" s="25">
        <v>15968</v>
      </c>
      <c r="C198" s="25">
        <v>13507.389640148122</v>
      </c>
      <c r="D198" s="25">
        <f t="shared" si="6"/>
        <v>2460.6103598518785</v>
      </c>
      <c r="E198" s="18">
        <f t="shared" si="7"/>
        <v>1.2580506612891194</v>
      </c>
      <c r="F198"/>
    </row>
    <row r="199" spans="1:6" ht="15" hidden="1" outlineLevel="1" x14ac:dyDescent="0.2">
      <c r="A199" s="26">
        <v>27</v>
      </c>
      <c r="B199" s="25">
        <v>4445</v>
      </c>
      <c r="C199" s="25">
        <v>6869.1490293325114</v>
      </c>
      <c r="D199" s="25">
        <f t="shared" si="6"/>
        <v>-2424.1490293325114</v>
      </c>
      <c r="E199" s="18">
        <f t="shared" si="7"/>
        <v>-1.2394088634166063</v>
      </c>
      <c r="F199"/>
    </row>
    <row r="200" spans="1:6" ht="15" hidden="1" outlineLevel="1" x14ac:dyDescent="0.2">
      <c r="A200" s="26">
        <v>77</v>
      </c>
      <c r="B200" s="25">
        <v>23874</v>
      </c>
      <c r="C200" s="25">
        <v>21500.664864727765</v>
      </c>
      <c r="D200" s="25">
        <f t="shared" si="6"/>
        <v>2373.3351352722348</v>
      </c>
      <c r="E200" s="18">
        <f t="shared" si="7"/>
        <v>1.2134289463731558</v>
      </c>
      <c r="F200"/>
    </row>
    <row r="201" spans="1:6" ht="15" hidden="1" outlineLevel="1" x14ac:dyDescent="0.2">
      <c r="A201" s="26">
        <v>3</v>
      </c>
      <c r="B201" s="25">
        <v>2674</v>
      </c>
      <c r="C201" s="24">
        <v>388.11871655227878</v>
      </c>
      <c r="D201" s="25">
        <f t="shared" si="6"/>
        <v>2285.8812834477212</v>
      </c>
      <c r="E201" s="18">
        <f t="shared" si="7"/>
        <v>1.1687159036601549</v>
      </c>
      <c r="F201"/>
    </row>
    <row r="202" spans="1:6" ht="15" hidden="1" outlineLevel="1" x14ac:dyDescent="0.2">
      <c r="A202" s="26">
        <v>2</v>
      </c>
      <c r="B202" s="25">
        <v>1912</v>
      </c>
      <c r="C202" s="24">
        <v>-364.75757248303125</v>
      </c>
      <c r="D202" s="25">
        <f t="shared" si="6"/>
        <v>2276.7575724830313</v>
      </c>
      <c r="E202" s="18">
        <f t="shared" si="7"/>
        <v>1.164051170551728</v>
      </c>
      <c r="F202"/>
    </row>
    <row r="203" spans="1:6" ht="15" hidden="1" outlineLevel="1" x14ac:dyDescent="0.2">
      <c r="A203" s="26">
        <v>28</v>
      </c>
      <c r="B203" s="25">
        <v>3691</v>
      </c>
      <c r="C203" s="25">
        <v>5874.2868556092872</v>
      </c>
      <c r="D203" s="25">
        <f t="shared" si="6"/>
        <v>-2183.2868556092872</v>
      </c>
      <c r="E203" s="18">
        <f t="shared" si="7"/>
        <v>-1.1162618500266934</v>
      </c>
      <c r="F203"/>
    </row>
    <row r="204" spans="1:6" ht="15" hidden="1" outlineLevel="1" x14ac:dyDescent="0.2">
      <c r="A204" s="26">
        <v>50</v>
      </c>
      <c r="B204" s="25">
        <v>14442</v>
      </c>
      <c r="C204" s="25">
        <v>12444.522497040842</v>
      </c>
      <c r="D204" s="25">
        <f t="shared" si="6"/>
        <v>1997.4775029591583</v>
      </c>
      <c r="E204" s="18">
        <f t="shared" si="7"/>
        <v>1.0212620147056437</v>
      </c>
      <c r="F204"/>
    </row>
    <row r="205" spans="1:6" ht="15" hidden="1" outlineLevel="1" x14ac:dyDescent="0.2">
      <c r="A205" s="26">
        <v>65</v>
      </c>
      <c r="B205" s="25">
        <v>16592</v>
      </c>
      <c r="C205" s="25">
        <v>18578.997796364496</v>
      </c>
      <c r="D205" s="25">
        <f t="shared" si="6"/>
        <v>-1986.997796364496</v>
      </c>
      <c r="E205" s="18">
        <f t="shared" si="7"/>
        <v>-1.0159039937744774</v>
      </c>
      <c r="F205"/>
    </row>
    <row r="206" spans="1:6" ht="15" hidden="1" outlineLevel="1" x14ac:dyDescent="0.2">
      <c r="A206" s="26">
        <v>63</v>
      </c>
      <c r="B206" s="25">
        <v>14767</v>
      </c>
      <c r="C206" s="25">
        <v>16736.075438386793</v>
      </c>
      <c r="D206" s="25">
        <f t="shared" si="6"/>
        <v>-1969.0754383867934</v>
      </c>
      <c r="E206" s="18">
        <f t="shared" si="7"/>
        <v>-1.0067407249068838</v>
      </c>
      <c r="F206"/>
    </row>
    <row r="207" spans="1:6" ht="15" hidden="1" outlineLevel="1" x14ac:dyDescent="0.2">
      <c r="A207" s="26">
        <v>43</v>
      </c>
      <c r="B207" s="25">
        <v>20603</v>
      </c>
      <c r="C207" s="25">
        <v>18754.824609017134</v>
      </c>
      <c r="D207" s="25">
        <f t="shared" si="6"/>
        <v>1848.1753909828658</v>
      </c>
      <c r="E207" s="18">
        <f t="shared" si="7"/>
        <v>0.94492745001050682</v>
      </c>
      <c r="F207"/>
    </row>
    <row r="208" spans="1:6" ht="15" hidden="1" outlineLevel="1" x14ac:dyDescent="0.2">
      <c r="A208" s="26">
        <v>49</v>
      </c>
      <c r="B208" s="25">
        <v>15951</v>
      </c>
      <c r="C208" s="25">
        <v>14184.498148078161</v>
      </c>
      <c r="D208" s="25">
        <f t="shared" si="6"/>
        <v>1766.5018519218393</v>
      </c>
      <c r="E208" s="18">
        <f t="shared" si="7"/>
        <v>0.90316974163780361</v>
      </c>
      <c r="F208"/>
    </row>
    <row r="209" spans="1:6" ht="15" hidden="1" outlineLevel="1" x14ac:dyDescent="0.2">
      <c r="A209" s="26">
        <v>72</v>
      </c>
      <c r="B209" s="25">
        <v>21194</v>
      </c>
      <c r="C209" s="25">
        <v>19476.211859515857</v>
      </c>
      <c r="D209" s="25">
        <f t="shared" si="6"/>
        <v>1717.7881404841428</v>
      </c>
      <c r="E209" s="18">
        <f t="shared" si="7"/>
        <v>0.87826359725672798</v>
      </c>
      <c r="F209"/>
    </row>
    <row r="210" spans="1:6" ht="15" hidden="1" outlineLevel="1" x14ac:dyDescent="0.2">
      <c r="A210" s="26">
        <v>59</v>
      </c>
      <c r="B210" s="25">
        <v>15652</v>
      </c>
      <c r="C210" s="25">
        <v>14001.908016802041</v>
      </c>
      <c r="D210" s="25">
        <f t="shared" si="6"/>
        <v>1650.0919831979591</v>
      </c>
      <c r="E210" s="18">
        <f t="shared" si="7"/>
        <v>0.84365218667738606</v>
      </c>
      <c r="F210"/>
    </row>
    <row r="211" spans="1:6" ht="15" hidden="1" outlineLevel="1" x14ac:dyDescent="0.2">
      <c r="A211" s="26">
        <v>39</v>
      </c>
      <c r="B211" s="25">
        <v>10717</v>
      </c>
      <c r="C211" s="25">
        <v>9073.9359837743432</v>
      </c>
      <c r="D211" s="25">
        <f t="shared" si="6"/>
        <v>1643.0640162256568</v>
      </c>
      <c r="E211" s="18">
        <f t="shared" si="7"/>
        <v>0.84005895686689491</v>
      </c>
      <c r="F211"/>
    </row>
    <row r="212" spans="1:6" ht="15" hidden="1" outlineLevel="1" x14ac:dyDescent="0.2">
      <c r="A212" s="26">
        <v>22</v>
      </c>
      <c r="B212" s="25">
        <v>4621</v>
      </c>
      <c r="C212" s="25">
        <v>3136.6763185301861</v>
      </c>
      <c r="D212" s="25">
        <f t="shared" si="6"/>
        <v>1484.3236814698139</v>
      </c>
      <c r="E212" s="18">
        <f t="shared" si="7"/>
        <v>0.75889885676682634</v>
      </c>
      <c r="F212"/>
    </row>
    <row r="213" spans="1:6" ht="15" hidden="1" outlineLevel="1" x14ac:dyDescent="0.2">
      <c r="A213" s="26">
        <v>30</v>
      </c>
      <c r="B213" s="25">
        <v>10582</v>
      </c>
      <c r="C213" s="25">
        <v>12056.3706008146</v>
      </c>
      <c r="D213" s="25">
        <f t="shared" si="6"/>
        <v>-1474.3706008146</v>
      </c>
      <c r="E213" s="18">
        <f t="shared" si="7"/>
        <v>-0.75381008696220375</v>
      </c>
      <c r="F213"/>
    </row>
    <row r="214" spans="1:6" ht="15" hidden="1" outlineLevel="1" x14ac:dyDescent="0.2">
      <c r="A214" s="26">
        <v>48</v>
      </c>
      <c r="B214" s="25">
        <v>11589</v>
      </c>
      <c r="C214" s="25">
        <v>13045.206043896218</v>
      </c>
      <c r="D214" s="25">
        <f t="shared" si="6"/>
        <v>-1456.206043896218</v>
      </c>
      <c r="E214" s="18">
        <f t="shared" si="7"/>
        <v>-0.74452298762455404</v>
      </c>
      <c r="F214"/>
    </row>
    <row r="215" spans="1:6" ht="15" hidden="1" outlineLevel="1" x14ac:dyDescent="0.2">
      <c r="A215" s="26">
        <v>57</v>
      </c>
      <c r="B215" s="25">
        <v>18336</v>
      </c>
      <c r="C215" s="25">
        <v>16909.016291971271</v>
      </c>
      <c r="D215" s="25">
        <f t="shared" si="6"/>
        <v>1426.9837080287289</v>
      </c>
      <c r="E215" s="18">
        <f t="shared" si="7"/>
        <v>0.72958231291946973</v>
      </c>
      <c r="F215"/>
    </row>
    <row r="216" spans="1:6" ht="15" hidden="1" outlineLevel="1" x14ac:dyDescent="0.2">
      <c r="A216" s="26">
        <v>73</v>
      </c>
      <c r="B216" s="25">
        <v>21992</v>
      </c>
      <c r="C216" s="25">
        <v>20606.097030360015</v>
      </c>
      <c r="D216" s="25">
        <f t="shared" si="6"/>
        <v>1385.9029696399848</v>
      </c>
      <c r="E216" s="18">
        <f t="shared" si="7"/>
        <v>0.70857872334695571</v>
      </c>
      <c r="F216"/>
    </row>
    <row r="217" spans="1:6" ht="15" hidden="1" outlineLevel="1" x14ac:dyDescent="0.2">
      <c r="A217" s="26">
        <v>52</v>
      </c>
      <c r="B217" s="25">
        <v>14409</v>
      </c>
      <c r="C217" s="25">
        <v>13034.662933968739</v>
      </c>
      <c r="D217" s="25">
        <f t="shared" si="6"/>
        <v>1374.3370660312612</v>
      </c>
      <c r="E217" s="18">
        <f t="shared" si="7"/>
        <v>0.70266535611060998</v>
      </c>
      <c r="F217"/>
    </row>
    <row r="218" spans="1:6" ht="15" hidden="1" outlineLevel="1" x14ac:dyDescent="0.2">
      <c r="A218" s="26">
        <v>15</v>
      </c>
      <c r="B218" s="25">
        <v>2555</v>
      </c>
      <c r="C218" s="25">
        <v>3926.7953688629241</v>
      </c>
      <c r="D218" s="25">
        <f t="shared" si="6"/>
        <v>-1371.7953688629241</v>
      </c>
      <c r="E218" s="18">
        <f t="shared" si="7"/>
        <v>-0.70136584772212396</v>
      </c>
      <c r="F218"/>
    </row>
    <row r="219" spans="1:6" ht="15" hidden="1" outlineLevel="1" x14ac:dyDescent="0.2">
      <c r="A219" s="26">
        <v>78</v>
      </c>
      <c r="B219" s="25">
        <v>26468</v>
      </c>
      <c r="C219" s="25">
        <v>25105.565224695292</v>
      </c>
      <c r="D219" s="25">
        <f t="shared" ref="D219:D250" si="8">B219 - C219</f>
        <v>1362.4347753047077</v>
      </c>
      <c r="E219" s="18">
        <f t="shared" ref="E219:E250" si="9">D219 /1955.89131309744</f>
        <v>0.69658000226356798</v>
      </c>
      <c r="F219"/>
    </row>
    <row r="220" spans="1:6" ht="15" hidden="1" outlineLevel="1" x14ac:dyDescent="0.2">
      <c r="A220" s="26">
        <v>56</v>
      </c>
      <c r="B220" s="25">
        <v>19504</v>
      </c>
      <c r="C220" s="25">
        <v>18143.213713632442</v>
      </c>
      <c r="D220" s="25">
        <f t="shared" si="8"/>
        <v>1360.7862863675582</v>
      </c>
      <c r="E220" s="18">
        <f t="shared" si="9"/>
        <v>0.69573716967562682</v>
      </c>
      <c r="F220"/>
    </row>
    <row r="221" spans="1:6" ht="15" hidden="1" outlineLevel="1" x14ac:dyDescent="0.2">
      <c r="A221" s="26">
        <v>44</v>
      </c>
      <c r="B221" s="25">
        <v>16794</v>
      </c>
      <c r="C221" s="25">
        <v>15438.00536350971</v>
      </c>
      <c r="D221" s="25">
        <f t="shared" si="8"/>
        <v>1355.9946364902898</v>
      </c>
      <c r="E221" s="18">
        <f t="shared" si="9"/>
        <v>0.6932873147960732</v>
      </c>
      <c r="F221"/>
    </row>
    <row r="222" spans="1:6" ht="15" hidden="1" outlineLevel="1" x14ac:dyDescent="0.2">
      <c r="A222" s="26">
        <v>12</v>
      </c>
      <c r="B222" s="25">
        <v>2133</v>
      </c>
      <c r="C222" s="25">
        <v>3464.6117726110169</v>
      </c>
      <c r="D222" s="25">
        <f t="shared" si="8"/>
        <v>-1331.6117726110169</v>
      </c>
      <c r="E222" s="18">
        <f t="shared" si="9"/>
        <v>-0.68082094526112236</v>
      </c>
      <c r="F222"/>
    </row>
    <row r="223" spans="1:6" ht="15" hidden="1" outlineLevel="1" x14ac:dyDescent="0.2">
      <c r="A223" s="26">
        <v>21</v>
      </c>
      <c r="B223" s="25">
        <v>5803</v>
      </c>
      <c r="C223" s="25">
        <v>7131.6033480704718</v>
      </c>
      <c r="D223" s="25">
        <f t="shared" si="8"/>
        <v>-1328.6033480704718</v>
      </c>
      <c r="E223" s="18">
        <f t="shared" si="9"/>
        <v>-0.67928281043716798</v>
      </c>
      <c r="F223"/>
    </row>
    <row r="224" spans="1:6" ht="15" hidden="1" outlineLevel="1" x14ac:dyDescent="0.2">
      <c r="A224" s="26">
        <v>31</v>
      </c>
      <c r="B224" s="25">
        <v>14049</v>
      </c>
      <c r="C224" s="25">
        <v>15368.584605408501</v>
      </c>
      <c r="D224" s="25">
        <f t="shared" si="8"/>
        <v>-1319.5846054085014</v>
      </c>
      <c r="E224" s="18">
        <f t="shared" si="9"/>
        <v>-0.67467174508728001</v>
      </c>
      <c r="F224"/>
    </row>
    <row r="225" spans="1:6" ht="15" hidden="1" outlineLevel="1" x14ac:dyDescent="0.2">
      <c r="A225" s="26">
        <v>36</v>
      </c>
      <c r="B225" s="25">
        <v>8594</v>
      </c>
      <c r="C225" s="25">
        <v>9857.9421422389314</v>
      </c>
      <c r="D225" s="25">
        <f t="shared" si="8"/>
        <v>-1263.9421422389314</v>
      </c>
      <c r="E225" s="18">
        <f t="shared" si="9"/>
        <v>-0.64622309725242055</v>
      </c>
      <c r="F225"/>
    </row>
    <row r="226" spans="1:6" ht="15" hidden="1" outlineLevel="1" x14ac:dyDescent="0.2">
      <c r="A226" s="26">
        <v>74</v>
      </c>
      <c r="B226" s="25">
        <v>20106</v>
      </c>
      <c r="C226" s="25">
        <v>18849.162531802776</v>
      </c>
      <c r="D226" s="25">
        <f t="shared" si="8"/>
        <v>1256.8374681972236</v>
      </c>
      <c r="E226" s="18">
        <f t="shared" si="9"/>
        <v>0.64259064896956763</v>
      </c>
      <c r="F226"/>
    </row>
    <row r="227" spans="1:6" ht="15" hidden="1" outlineLevel="1" x14ac:dyDescent="0.2">
      <c r="A227" s="26">
        <v>64</v>
      </c>
      <c r="B227" s="25">
        <v>15371</v>
      </c>
      <c r="C227" s="25">
        <v>16600.199615579008</v>
      </c>
      <c r="D227" s="25">
        <f t="shared" si="8"/>
        <v>-1229.1996155790075</v>
      </c>
      <c r="E227" s="18">
        <f t="shared" si="9"/>
        <v>-0.62846008228974137</v>
      </c>
      <c r="F227"/>
    </row>
    <row r="228" spans="1:6" ht="15" hidden="1" outlineLevel="1" x14ac:dyDescent="0.2">
      <c r="A228" s="26">
        <v>41</v>
      </c>
      <c r="B228" s="25">
        <v>13077</v>
      </c>
      <c r="C228" s="25">
        <v>11866.504212114301</v>
      </c>
      <c r="D228" s="25">
        <f t="shared" si="8"/>
        <v>1210.4957878856985</v>
      </c>
      <c r="E228" s="18">
        <f t="shared" si="9"/>
        <v>0.61889726682649937</v>
      </c>
      <c r="F228"/>
    </row>
    <row r="229" spans="1:6" ht="15" hidden="1" outlineLevel="1" x14ac:dyDescent="0.2">
      <c r="A229" s="26">
        <v>8</v>
      </c>
      <c r="B229" s="25">
        <v>7937</v>
      </c>
      <c r="C229" s="25">
        <v>6787.5489669716553</v>
      </c>
      <c r="D229" s="25">
        <f t="shared" si="8"/>
        <v>1149.4510330283447</v>
      </c>
      <c r="E229" s="18">
        <f t="shared" si="9"/>
        <v>0.58768655769937483</v>
      </c>
      <c r="F229"/>
    </row>
    <row r="230" spans="1:6" ht="15" hidden="1" outlineLevel="1" x14ac:dyDescent="0.2">
      <c r="A230" s="26">
        <v>18</v>
      </c>
      <c r="B230" s="25">
        <v>10952</v>
      </c>
      <c r="C230" s="25">
        <v>9824.9515588063477</v>
      </c>
      <c r="D230" s="25">
        <f t="shared" si="8"/>
        <v>1127.0484411936523</v>
      </c>
      <c r="E230" s="18">
        <f t="shared" si="9"/>
        <v>0.57623265344371621</v>
      </c>
      <c r="F230"/>
    </row>
    <row r="231" spans="1:6" ht="15" hidden="1" outlineLevel="1" x14ac:dyDescent="0.2">
      <c r="A231" s="26">
        <v>4</v>
      </c>
      <c r="B231" s="25">
        <v>1314</v>
      </c>
      <c r="C231" s="24">
        <v>188.57980067655808</v>
      </c>
      <c r="D231" s="25">
        <f t="shared" si="8"/>
        <v>1125.4201993234419</v>
      </c>
      <c r="E231" s="18">
        <f t="shared" si="9"/>
        <v>0.57540017269220056</v>
      </c>
      <c r="F231"/>
    </row>
    <row r="232" spans="1:6" ht="15" hidden="1" outlineLevel="1" x14ac:dyDescent="0.2">
      <c r="A232" s="26">
        <v>11</v>
      </c>
      <c r="B232" s="25">
        <v>2241</v>
      </c>
      <c r="C232" s="25">
        <v>1211.4564625714665</v>
      </c>
      <c r="D232" s="25">
        <f t="shared" si="8"/>
        <v>1029.5435374285335</v>
      </c>
      <c r="E232" s="18">
        <f t="shared" si="9"/>
        <v>0.5263807505735586</v>
      </c>
      <c r="F232"/>
    </row>
    <row r="233" spans="1:6" ht="15" hidden="1" outlineLevel="1" x14ac:dyDescent="0.2">
      <c r="A233" s="26">
        <v>34</v>
      </c>
      <c r="B233" s="25">
        <v>6183</v>
      </c>
      <c r="C233" s="25">
        <v>7147.94499558389</v>
      </c>
      <c r="D233" s="24">
        <f t="shared" si="8"/>
        <v>-964.94499558388998</v>
      </c>
      <c r="E233" s="18">
        <f t="shared" si="9"/>
        <v>-0.49335307597218092</v>
      </c>
      <c r="F233"/>
    </row>
    <row r="234" spans="1:6" ht="15" hidden="1" outlineLevel="1" x14ac:dyDescent="0.2">
      <c r="A234" s="26">
        <v>40</v>
      </c>
      <c r="B234" s="25">
        <v>10778</v>
      </c>
      <c r="C234" s="25">
        <v>9856.4641962989808</v>
      </c>
      <c r="D234" s="24">
        <f t="shared" si="8"/>
        <v>921.53580370101918</v>
      </c>
      <c r="E234" s="18">
        <f t="shared" si="9"/>
        <v>0.47115900435266644</v>
      </c>
      <c r="F234"/>
    </row>
    <row r="235" spans="1:6" ht="15" hidden="1" outlineLevel="1" x14ac:dyDescent="0.2">
      <c r="A235" s="26">
        <v>67</v>
      </c>
      <c r="B235" s="25">
        <v>20934</v>
      </c>
      <c r="C235" s="25">
        <v>21838.186591029978</v>
      </c>
      <c r="D235" s="24">
        <f t="shared" si="8"/>
        <v>-904.18659102997844</v>
      </c>
      <c r="E235" s="18">
        <f t="shared" si="9"/>
        <v>-0.4622887708407819</v>
      </c>
      <c r="F235"/>
    </row>
    <row r="236" spans="1:6" ht="15" hidden="1" outlineLevel="1" x14ac:dyDescent="0.2">
      <c r="A236" s="26">
        <v>37</v>
      </c>
      <c r="B236" s="25">
        <v>10096</v>
      </c>
      <c r="C236" s="25">
        <v>10999.136978217113</v>
      </c>
      <c r="D236" s="24">
        <f t="shared" si="8"/>
        <v>-903.13697821711321</v>
      </c>
      <c r="E236" s="18">
        <f t="shared" si="9"/>
        <v>-0.46175212915428504</v>
      </c>
      <c r="F236"/>
    </row>
    <row r="237" spans="1:6" ht="15" hidden="1" outlineLevel="1" x14ac:dyDescent="0.2">
      <c r="A237" s="26">
        <v>29</v>
      </c>
      <c r="B237" s="25">
        <v>8148</v>
      </c>
      <c r="C237" s="25">
        <v>8957.9434717962904</v>
      </c>
      <c r="D237" s="24">
        <f t="shared" si="8"/>
        <v>-809.9434717962904</v>
      </c>
      <c r="E237" s="18">
        <f t="shared" si="9"/>
        <v>-0.41410453964010224</v>
      </c>
      <c r="F237"/>
    </row>
    <row r="238" spans="1:6" ht="15" hidden="1" outlineLevel="1" x14ac:dyDescent="0.2">
      <c r="A238" s="26">
        <v>5</v>
      </c>
      <c r="B238" s="25">
        <v>1761</v>
      </c>
      <c r="C238" s="25">
        <v>2500.7515675468167</v>
      </c>
      <c r="D238" s="24">
        <f t="shared" si="8"/>
        <v>-739.75156754681666</v>
      </c>
      <c r="E238" s="18">
        <f t="shared" si="9"/>
        <v>-0.37821711390256746</v>
      </c>
      <c r="F238"/>
    </row>
    <row r="239" spans="1:6" ht="15" hidden="1" outlineLevel="1" x14ac:dyDescent="0.2">
      <c r="A239" s="26">
        <v>10</v>
      </c>
      <c r="B239" s="25">
        <v>1259</v>
      </c>
      <c r="C239" s="24">
        <v>528.83113252118346</v>
      </c>
      <c r="D239" s="24">
        <f t="shared" si="8"/>
        <v>730.16886747881654</v>
      </c>
      <c r="E239" s="18">
        <f t="shared" si="9"/>
        <v>0.37331771074870584</v>
      </c>
      <c r="F239"/>
    </row>
    <row r="240" spans="1:6" ht="15" hidden="1" outlineLevel="1" x14ac:dyDescent="0.2">
      <c r="A240" s="26">
        <v>68</v>
      </c>
      <c r="B240" s="25">
        <v>20625</v>
      </c>
      <c r="C240" s="25">
        <v>21349.047040176501</v>
      </c>
      <c r="D240" s="24">
        <f t="shared" si="8"/>
        <v>-724.04704017650147</v>
      </c>
      <c r="E240" s="18">
        <f t="shared" si="9"/>
        <v>-0.3701877682711659</v>
      </c>
      <c r="F240"/>
    </row>
    <row r="241" spans="1:6" ht="15" hidden="1" outlineLevel="1" x14ac:dyDescent="0.2">
      <c r="A241" s="26">
        <v>46</v>
      </c>
      <c r="B241" s="25">
        <v>9107</v>
      </c>
      <c r="C241" s="25">
        <v>9812.0217929168321</v>
      </c>
      <c r="D241" s="24">
        <f t="shared" si="8"/>
        <v>-705.02179291683206</v>
      </c>
      <c r="E241" s="18">
        <f t="shared" si="9"/>
        <v>-0.36046061874487645</v>
      </c>
      <c r="F241"/>
    </row>
    <row r="242" spans="1:6" ht="15" hidden="1" outlineLevel="1" x14ac:dyDescent="0.2">
      <c r="A242" s="26">
        <v>42</v>
      </c>
      <c r="B242" s="25">
        <v>13291</v>
      </c>
      <c r="C242" s="25">
        <v>13982.926907469879</v>
      </c>
      <c r="D242" s="24">
        <f t="shared" si="8"/>
        <v>-691.92690746987864</v>
      </c>
      <c r="E242" s="18">
        <f t="shared" si="9"/>
        <v>-0.35376552001456113</v>
      </c>
      <c r="F242"/>
    </row>
    <row r="243" spans="1:6" ht="15" hidden="1" outlineLevel="1" x14ac:dyDescent="0.2">
      <c r="A243" s="26">
        <v>55</v>
      </c>
      <c r="B243" s="25">
        <v>19612</v>
      </c>
      <c r="C243" s="25">
        <v>18933.169788236879</v>
      </c>
      <c r="D243" s="24">
        <f t="shared" si="8"/>
        <v>678.83021176312104</v>
      </c>
      <c r="E243" s="18">
        <f t="shared" si="9"/>
        <v>0.34706949574211982</v>
      </c>
      <c r="F243"/>
    </row>
    <row r="244" spans="1:6" ht="15" hidden="1" outlineLevel="1" x14ac:dyDescent="0.2">
      <c r="A244" s="26">
        <v>20</v>
      </c>
      <c r="B244" s="25">
        <v>10299</v>
      </c>
      <c r="C244" s="25">
        <v>10954.237086193334</v>
      </c>
      <c r="D244" s="24">
        <f t="shared" si="8"/>
        <v>-655.23708619333411</v>
      </c>
      <c r="E244" s="18">
        <f t="shared" si="9"/>
        <v>-0.33500690033520847</v>
      </c>
      <c r="F244"/>
    </row>
    <row r="245" spans="1:6" ht="15" hidden="1" outlineLevel="1" x14ac:dyDescent="0.2">
      <c r="A245" s="26">
        <v>24</v>
      </c>
      <c r="B245" s="25">
        <v>6013</v>
      </c>
      <c r="C245" s="25">
        <v>6666.9317899919843</v>
      </c>
      <c r="D245" s="24">
        <f t="shared" si="8"/>
        <v>-653.93178999198426</v>
      </c>
      <c r="E245" s="18">
        <f t="shared" si="9"/>
        <v>-0.33433953390609811</v>
      </c>
      <c r="F245"/>
    </row>
    <row r="246" spans="1:6" ht="15" hidden="1" outlineLevel="1" x14ac:dyDescent="0.2">
      <c r="A246" s="26">
        <v>35</v>
      </c>
      <c r="B246" s="25">
        <v>7969</v>
      </c>
      <c r="C246" s="25">
        <v>7325.3184564912081</v>
      </c>
      <c r="D246" s="24">
        <f t="shared" si="8"/>
        <v>643.68154350879195</v>
      </c>
      <c r="E246" s="18">
        <f t="shared" si="9"/>
        <v>0.32909883038921428</v>
      </c>
      <c r="F246"/>
    </row>
    <row r="247" spans="1:6" ht="15" hidden="1" outlineLevel="1" x14ac:dyDescent="0.2">
      <c r="A247" s="26">
        <v>75</v>
      </c>
      <c r="B247" s="25">
        <v>19194</v>
      </c>
      <c r="C247" s="25">
        <v>19818.535822942646</v>
      </c>
      <c r="D247" s="24">
        <f t="shared" si="8"/>
        <v>-624.53582294264561</v>
      </c>
      <c r="E247" s="18">
        <f t="shared" si="9"/>
        <v>-0.31931008577036002</v>
      </c>
      <c r="F247"/>
    </row>
    <row r="248" spans="1:6" ht="15" hidden="1" outlineLevel="1" x14ac:dyDescent="0.2">
      <c r="A248" s="26">
        <v>7</v>
      </c>
      <c r="B248" s="25">
        <v>5303</v>
      </c>
      <c r="C248" s="25">
        <v>5840.4837426943086</v>
      </c>
      <c r="D248" s="24">
        <f t="shared" si="8"/>
        <v>-537.4837426943086</v>
      </c>
      <c r="E248" s="18">
        <f t="shared" si="9"/>
        <v>-0.27480245916278678</v>
      </c>
      <c r="F248"/>
    </row>
    <row r="249" spans="1:6" ht="15" hidden="1" outlineLevel="1" x14ac:dyDescent="0.2">
      <c r="A249" s="26">
        <v>61</v>
      </c>
      <c r="B249" s="25">
        <v>17864</v>
      </c>
      <c r="C249" s="25">
        <v>17403.777012979048</v>
      </c>
      <c r="D249" s="24">
        <f t="shared" si="8"/>
        <v>460.22298702095213</v>
      </c>
      <c r="E249" s="18">
        <f t="shared" si="9"/>
        <v>0.23530090038189377</v>
      </c>
      <c r="F249"/>
    </row>
    <row r="250" spans="1:6" ht="15" hidden="1" outlineLevel="1" x14ac:dyDescent="0.2">
      <c r="A250" s="26">
        <v>53</v>
      </c>
      <c r="B250" s="25">
        <v>15758</v>
      </c>
      <c r="C250" s="25">
        <v>16194.22023647535</v>
      </c>
      <c r="D250" s="24">
        <f t="shared" si="8"/>
        <v>-436.22023647535025</v>
      </c>
      <c r="E250" s="18">
        <f t="shared" si="9"/>
        <v>-0.2230288736159535</v>
      </c>
      <c r="F250"/>
    </row>
    <row r="251" spans="1:6" ht="15" hidden="1" outlineLevel="1" x14ac:dyDescent="0.2">
      <c r="A251" s="26">
        <v>1</v>
      </c>
      <c r="B251" s="25">
        <v>1798</v>
      </c>
      <c r="C251" s="25">
        <v>1392.1769260742076</v>
      </c>
      <c r="D251" s="24">
        <f t="shared" ref="D251:D264" si="10">B251 - C251</f>
        <v>405.82307392579241</v>
      </c>
      <c r="E251" s="18">
        <f t="shared" ref="E251:E264" si="11">D251 /1955.89131309744</f>
        <v>0.20748753839655448</v>
      </c>
      <c r="F251"/>
    </row>
    <row r="252" spans="1:6" ht="15" hidden="1" outlineLevel="1" x14ac:dyDescent="0.2">
      <c r="A252" s="26">
        <v>17</v>
      </c>
      <c r="B252" s="25">
        <v>5787</v>
      </c>
      <c r="C252" s="25">
        <v>5397.9178509795893</v>
      </c>
      <c r="D252" s="24">
        <f t="shared" si="10"/>
        <v>389.08214902041072</v>
      </c>
      <c r="E252" s="18">
        <f t="shared" si="11"/>
        <v>0.19892830773108872</v>
      </c>
      <c r="F252"/>
    </row>
    <row r="253" spans="1:6" ht="15" hidden="1" outlineLevel="1" x14ac:dyDescent="0.2">
      <c r="A253" s="26">
        <v>6</v>
      </c>
      <c r="B253" s="25">
        <v>4481</v>
      </c>
      <c r="C253" s="25">
        <v>4854.5058869303975</v>
      </c>
      <c r="D253" s="24">
        <f t="shared" si="10"/>
        <v>-373.50588693039754</v>
      </c>
      <c r="E253" s="18">
        <f t="shared" si="11"/>
        <v>-0.19096454104031801</v>
      </c>
      <c r="F253"/>
    </row>
    <row r="254" spans="1:6" ht="15" hidden="1" outlineLevel="1" x14ac:dyDescent="0.2">
      <c r="A254" s="26">
        <v>45</v>
      </c>
      <c r="B254" s="25">
        <v>14032</v>
      </c>
      <c r="C254" s="25">
        <v>13739.962144671455</v>
      </c>
      <c r="D254" s="24">
        <f t="shared" si="10"/>
        <v>292.03785532854454</v>
      </c>
      <c r="E254" s="18">
        <f t="shared" si="11"/>
        <v>0.14931190366915628</v>
      </c>
      <c r="F254"/>
    </row>
    <row r="255" spans="1:6" ht="15" hidden="1" outlineLevel="1" x14ac:dyDescent="0.2">
      <c r="A255" s="26">
        <v>69</v>
      </c>
      <c r="B255" s="25">
        <v>19655</v>
      </c>
      <c r="C255" s="25">
        <v>19929.946323982749</v>
      </c>
      <c r="D255" s="24">
        <f t="shared" si="10"/>
        <v>-274.94632398274916</v>
      </c>
      <c r="E255" s="18">
        <f t="shared" si="11"/>
        <v>-0.14057341639670737</v>
      </c>
      <c r="F255"/>
    </row>
    <row r="256" spans="1:6" ht="15" hidden="1" outlineLevel="1" x14ac:dyDescent="0.2">
      <c r="A256" s="26">
        <v>14</v>
      </c>
      <c r="B256" s="25">
        <v>3096</v>
      </c>
      <c r="C256" s="25">
        <v>2837.5624448979361</v>
      </c>
      <c r="D256" s="24">
        <f t="shared" si="10"/>
        <v>258.43755510206393</v>
      </c>
      <c r="E256" s="18">
        <f t="shared" si="11"/>
        <v>0.1321328815008592</v>
      </c>
      <c r="F256"/>
    </row>
    <row r="257" spans="1:6" ht="15" hidden="1" outlineLevel="1" x14ac:dyDescent="0.2">
      <c r="A257" s="26">
        <v>19</v>
      </c>
      <c r="B257" s="25">
        <v>12003</v>
      </c>
      <c r="C257" s="25">
        <v>11768.750663615985</v>
      </c>
      <c r="D257" s="24">
        <f t="shared" si="10"/>
        <v>234.2493363840149</v>
      </c>
      <c r="E257" s="18">
        <f t="shared" si="11"/>
        <v>0.11976602933679725</v>
      </c>
      <c r="F257"/>
    </row>
    <row r="258" spans="1:6" ht="15" hidden="1" outlineLevel="1" x14ac:dyDescent="0.2">
      <c r="A258" s="26">
        <v>71</v>
      </c>
      <c r="B258" s="25">
        <v>16980</v>
      </c>
      <c r="C258" s="25">
        <v>17200.467353507567</v>
      </c>
      <c r="D258" s="24">
        <f t="shared" si="10"/>
        <v>-220.46735350756717</v>
      </c>
      <c r="E258" s="18">
        <f t="shared" si="11"/>
        <v>-0.11271963428194016</v>
      </c>
      <c r="F258"/>
    </row>
    <row r="259" spans="1:6" ht="15" hidden="1" outlineLevel="1" x14ac:dyDescent="0.2">
      <c r="A259" s="26">
        <v>23</v>
      </c>
      <c r="B259" s="25">
        <v>4250</v>
      </c>
      <c r="C259" s="25">
        <v>4413.7764799524339</v>
      </c>
      <c r="D259" s="24">
        <f t="shared" si="10"/>
        <v>-163.77647995243387</v>
      </c>
      <c r="E259" s="18">
        <f t="shared" si="11"/>
        <v>-8.3734959532628564E-2</v>
      </c>
      <c r="F259"/>
    </row>
    <row r="260" spans="1:6" ht="15" hidden="1" outlineLevel="1" x14ac:dyDescent="0.2">
      <c r="A260" s="26">
        <v>76</v>
      </c>
      <c r="B260" s="25">
        <v>19240</v>
      </c>
      <c r="C260" s="25">
        <v>19301.256572600727</v>
      </c>
      <c r="D260" s="24">
        <f t="shared" si="10"/>
        <v>-61.25657260072694</v>
      </c>
      <c r="E260" s="18">
        <f t="shared" si="11"/>
        <v>-3.1319006424604542E-2</v>
      </c>
      <c r="F260"/>
    </row>
    <row r="261" spans="1:6" ht="15" hidden="1" outlineLevel="1" x14ac:dyDescent="0.2">
      <c r="A261" s="26">
        <v>66</v>
      </c>
      <c r="B261" s="25">
        <v>20928</v>
      </c>
      <c r="C261" s="25">
        <v>20873.199566840416</v>
      </c>
      <c r="D261" s="24">
        <f t="shared" si="10"/>
        <v>54.800433159583918</v>
      </c>
      <c r="E261" s="18">
        <f t="shared" si="11"/>
        <v>2.8018138223028056E-2</v>
      </c>
      <c r="F261"/>
    </row>
    <row r="262" spans="1:6" ht="15" hidden="1" outlineLevel="1" x14ac:dyDescent="0.2">
      <c r="A262" s="26">
        <v>16</v>
      </c>
      <c r="B262" s="25">
        <v>3098</v>
      </c>
      <c r="C262" s="25">
        <v>3045.550025267461</v>
      </c>
      <c r="D262" s="24">
        <f t="shared" si="10"/>
        <v>52.449974732538976</v>
      </c>
      <c r="E262" s="18">
        <f t="shared" si="11"/>
        <v>2.6816405585173734E-2</v>
      </c>
      <c r="F262"/>
    </row>
    <row r="263" spans="1:6" ht="15" hidden="1" outlineLevel="1" x14ac:dyDescent="0.2">
      <c r="A263" s="26">
        <v>54</v>
      </c>
      <c r="B263" s="25">
        <v>17311</v>
      </c>
      <c r="C263" s="25">
        <v>17315.480254442864</v>
      </c>
      <c r="D263" s="24">
        <f t="shared" si="10"/>
        <v>-4.4802544428639521</v>
      </c>
      <c r="E263" s="18">
        <f t="shared" si="11"/>
        <v>-2.2906459131253128E-3</v>
      </c>
      <c r="F263"/>
    </row>
    <row r="264" spans="1:6" ht="15" hidden="1" outlineLevel="1" x14ac:dyDescent="0.2">
      <c r="A264" s="26">
        <v>13</v>
      </c>
      <c r="B264" s="25">
        <v>4595</v>
      </c>
      <c r="C264" s="25">
        <v>4594.4969434551749</v>
      </c>
      <c r="D264" s="24">
        <f t="shared" si="10"/>
        <v>0.50305654482508544</v>
      </c>
      <c r="E264" s="18">
        <f t="shared" si="11"/>
        <v>2.5720066419663261E-4</v>
      </c>
      <c r="F264"/>
    </row>
    <row r="265" spans="1:6" collapsed="1" x14ac:dyDescent="0.15"/>
  </sheetData>
  <sortState xmlns:xlrd2="http://schemas.microsoft.com/office/spreadsheetml/2017/richdata2" ref="A187:F264">
    <sortCondition descending="1" ref="F187"/>
    <sortCondition ref="A1"/>
  </sortState>
  <dataValidations count="1">
    <dataValidation type="decimal" allowBlank="1" showInputMessage="1" showErrorMessage="1" error="Please enter a confidence level between 0 and 1." prompt="Confidence level can be adjusted between 0 and 100% to dynamically change confidence limits on this sheet." sqref="I10" xr:uid="{00000000-0002-0000-0900-000000000000}">
      <formula1>0</formula1>
      <formula2>1</formula2>
    </dataValidation>
  </dataValidations>
  <pageMargins left="0.7" right="0.7" top="0.75" bottom="0.75" header="0.3" footer="0.3"/>
  <pageSetup fitToHeight="0" orientation="portrait" horizontalDpi="0" verticalDpi="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CG272"/>
  <sheetViews>
    <sheetView showGridLines="0" showRowColHeaders="0" workbookViewId="0">
      <selection activeCell="B1" sqref="B1"/>
    </sheetView>
  </sheetViews>
  <sheetFormatPr baseColWidth="10" defaultColWidth="9.1640625" defaultRowHeight="11" outlineLevelRow="1" x14ac:dyDescent="0.15"/>
  <cols>
    <col min="1" max="1" width="16.5" style="18" customWidth="1"/>
    <col min="2" max="2" width="9.1640625" style="18"/>
    <col min="3" max="3" width="10.83203125" style="18" bestFit="1" customWidth="1"/>
    <col min="4" max="4" width="9.5" style="18" bestFit="1" customWidth="1"/>
    <col min="5" max="7" width="9.1640625" style="18"/>
    <col min="8" max="8" width="9.33203125" style="18" bestFit="1" customWidth="1"/>
    <col min="9" max="77" width="9.1640625" style="18"/>
    <col min="78" max="78" width="68.1640625" style="18" bestFit="1" customWidth="1"/>
    <col min="79" max="16384" width="9.1640625" style="18"/>
  </cols>
  <sheetData>
    <row r="1" spans="1:78" ht="15" x14ac:dyDescent="0.2">
      <c r="A1" s="19" t="s">
        <v>94</v>
      </c>
      <c r="B1" s="18" t="s">
        <v>302</v>
      </c>
      <c r="E1"/>
      <c r="U1" s="52"/>
      <c r="Z1" s="35" t="s">
        <v>303</v>
      </c>
      <c r="BZ1"/>
    </row>
    <row r="2" spans="1:78" x14ac:dyDescent="0.15">
      <c r="A2" s="19" t="s">
        <v>97</v>
      </c>
      <c r="C2" s="18" t="s">
        <v>50</v>
      </c>
      <c r="AA2" s="35" t="str">
        <f>"Forecasts and " &amp; TEXT($I$10, "0.0%") &amp; " confidence limits for means and forecasts
Elec dummy only model for _Electric_Natural_Gas    (12 variables, n=78)"</f>
        <v>Forecasts and 95.0% confidence limits for means and forecasts
Elec dummy only model for _Electric_Natural_Gas    (12 variables, n=78)</v>
      </c>
    </row>
    <row r="3" spans="1:78" ht="11.25" hidden="1" customHeight="1" outlineLevel="1" x14ac:dyDescent="0.15">
      <c r="A3" s="19" t="s">
        <v>98</v>
      </c>
      <c r="AA3" s="35" t="str">
        <f>IF($A$47 &lt;&gt; "","Actual and predicted -vs- Observation # with " &amp; TEXT($I$10, "0.0%") &amp; " confidence limits
Elec dummy only model for _Electric_Natural_Gas    (12 variables, n=78)","Actual and predicted -vs- Observation #
Elec dummy only model for _Electric_Natural_Gas    (12 variables, n=78)")</f>
        <v>Actual and predicted -vs- Observation # with 95.0% confidence limits
Elec dummy only model for _Electric_Natural_Gas    (12 variables, n=78)</v>
      </c>
    </row>
    <row r="4" spans="1:78" hidden="1" outlineLevel="1" x14ac:dyDescent="0.15">
      <c r="A4" s="18" t="s">
        <v>304</v>
      </c>
    </row>
    <row r="5" spans="1:78" hidden="1" outlineLevel="1" x14ac:dyDescent="0.15">
      <c r="A5" s="19" t="s">
        <v>99</v>
      </c>
    </row>
    <row r="6" spans="1:78" hidden="1" outlineLevel="1" x14ac:dyDescent="0.15">
      <c r="A6" s="18" t="s">
        <v>305</v>
      </c>
    </row>
    <row r="7" spans="1:78" collapsed="1" x14ac:dyDescent="0.15"/>
    <row r="8" spans="1:78" x14ac:dyDescent="0.15">
      <c r="A8" s="20" t="s">
        <v>306</v>
      </c>
    </row>
    <row r="9" spans="1:78" ht="12" outlineLevel="1" thickBot="1" x14ac:dyDescent="0.2">
      <c r="A9" s="21"/>
      <c r="B9" s="23" t="s">
        <v>102</v>
      </c>
      <c r="C9" s="23" t="s">
        <v>103</v>
      </c>
      <c r="D9" s="23" t="s">
        <v>104</v>
      </c>
      <c r="E9" s="23" t="s">
        <v>105</v>
      </c>
      <c r="F9" s="23" t="s">
        <v>39</v>
      </c>
      <c r="G9" s="23" t="s">
        <v>106</v>
      </c>
      <c r="H9" s="23" t="str">
        <f>"t("&amp;TEXT((1-I10)/2,"0.00%") &amp; ",65)"</f>
        <v>t(2.50%,65)</v>
      </c>
      <c r="I9" s="23" t="s">
        <v>107</v>
      </c>
    </row>
    <row r="10" spans="1:78" outlineLevel="1" x14ac:dyDescent="0.15">
      <c r="B10" s="24">
        <f xml:space="preserve"> 1 - C31 / C32</f>
        <v>0.92121213982804329</v>
      </c>
      <c r="C10" s="24">
        <f>1-D10^2/E10^2</f>
        <v>0.90666668871937439</v>
      </c>
      <c r="D10" s="25">
        <f xml:space="preserve"> SQRT(D31)</f>
        <v>2026.0170580681156</v>
      </c>
      <c r="E10" s="25">
        <v>6631.6983033719498</v>
      </c>
      <c r="F10" s="26">
        <v>78</v>
      </c>
      <c r="G10" s="26">
        <v>12</v>
      </c>
      <c r="H10" s="18">
        <f>TINV(1 - $I$10, F10 - 12 - 1)</f>
        <v>1.9971379083920051</v>
      </c>
      <c r="I10" s="27">
        <v>0.95</v>
      </c>
    </row>
    <row r="12" spans="1:78" x14ac:dyDescent="0.15">
      <c r="A12" s="20" t="s">
        <v>307</v>
      </c>
    </row>
    <row r="13" spans="1:78" ht="12" outlineLevel="1" thickBot="1" x14ac:dyDescent="0.2">
      <c r="A13" s="28" t="s">
        <v>38</v>
      </c>
      <c r="B13" s="23" t="s">
        <v>109</v>
      </c>
      <c r="C13" s="23" t="s">
        <v>110</v>
      </c>
      <c r="D13" s="23" t="s">
        <v>111</v>
      </c>
      <c r="E13" s="23" t="s">
        <v>112</v>
      </c>
      <c r="F13" s="23" t="str">
        <f>IF($I$10&gt;99%,("Lower"&amp;TEXT($I$10,"0.0%")),("Lower"&amp;TEXT($I$10,"0%")))</f>
        <v>Lower95%</v>
      </c>
      <c r="G13" s="23" t="str">
        <f>IF($I$10&gt;99%,("Upper"&amp;TEXT($I$10,"0.0%")),("Upper"&amp;TEXT($I$10,"0%")))</f>
        <v>Upper95%</v>
      </c>
      <c r="H13" s="23" t="s">
        <v>105</v>
      </c>
      <c r="I13" s="23" t="s">
        <v>113</v>
      </c>
    </row>
    <row r="14" spans="1:78" outlineLevel="1" x14ac:dyDescent="0.15">
      <c r="A14" s="18" t="s">
        <v>114</v>
      </c>
      <c r="B14" s="25">
        <v>-24889.366300366353</v>
      </c>
      <c r="C14" s="25">
        <v>1634.8073393068544</v>
      </c>
      <c r="D14" s="24">
        <f>(B14 - 0) / C14</f>
        <v>-15.22464800709743</v>
      </c>
      <c r="E14" s="24">
        <f>TDIST(ABS(D14),$F$10 - 13,2)</f>
        <v>4.0811082908384785E-23</v>
      </c>
      <c r="F14" s="25">
        <f>B14 - TINV(1 - $I$10, $F$10 - 13) * C14</f>
        <v>-28154.302010613545</v>
      </c>
      <c r="G14" s="25">
        <f>B14 + TINV(1 - $I$10, $F$10 - 13) * C14</f>
        <v>-21624.430590119162</v>
      </c>
    </row>
    <row r="15" spans="1:78" outlineLevel="1" x14ac:dyDescent="0.15">
      <c r="A15" s="18" t="s">
        <v>24</v>
      </c>
      <c r="B15" s="24">
        <v>896.76862026863921</v>
      </c>
      <c r="C15" s="25">
        <v>1128.3291676179599</v>
      </c>
      <c r="D15" s="24">
        <f t="shared" ref="D15:D26" si="0">(B15 - 0) / C15</f>
        <v>0.79477571439709105</v>
      </c>
      <c r="E15" s="24">
        <f t="shared" ref="E15:E26" si="1">TDIST(ABS(D15),$F$10 - 13,2)</f>
        <v>0.42963645364294667</v>
      </c>
      <c r="F15" s="25">
        <f t="shared" ref="F15:F26" si="2">B15 - TINV(1 - $I$10, $F$10 - 13) * C15</f>
        <v>-1356.6603335255854</v>
      </c>
      <c r="G15" s="25">
        <f t="shared" ref="G15:G26" si="3">B15 + TINV(1 - $I$10, $F$10 - 13) * C15</f>
        <v>3150.1975740628636</v>
      </c>
      <c r="H15" s="24">
        <v>0.28766401017607807</v>
      </c>
      <c r="I15" s="18">
        <f t="shared" ref="I15:I26" si="4">B15*H15/$E$10</f>
        <v>3.8899245065985438E-2</v>
      </c>
    </row>
    <row r="16" spans="1:78" outlineLevel="1" x14ac:dyDescent="0.15">
      <c r="A16" s="18" t="s">
        <v>25</v>
      </c>
      <c r="B16" s="25">
        <v>-1131.0231990231973</v>
      </c>
      <c r="C16" s="25">
        <v>1127.912664824672</v>
      </c>
      <c r="D16" s="24">
        <f t="shared" si="0"/>
        <v>-1.0027577792993474</v>
      </c>
      <c r="E16" s="24">
        <f t="shared" si="1"/>
        <v>0.31969620316146752</v>
      </c>
      <c r="F16" s="25">
        <f t="shared" si="2"/>
        <v>-3383.6203392999955</v>
      </c>
      <c r="G16" s="25">
        <f t="shared" si="3"/>
        <v>1121.5739412536009</v>
      </c>
      <c r="H16" s="24">
        <v>0.28766401017607807</v>
      </c>
      <c r="I16" s="18">
        <f t="shared" si="4"/>
        <v>-4.9060535348503374E-2</v>
      </c>
    </row>
    <row r="17" spans="1:9" outlineLevel="1" x14ac:dyDescent="0.15">
      <c r="A17" s="18" t="s">
        <v>26</v>
      </c>
      <c r="B17" s="24">
        <v>-580.38644688644695</v>
      </c>
      <c r="C17" s="25">
        <v>1127.5886118452665</v>
      </c>
      <c r="D17" s="24">
        <f t="shared" si="0"/>
        <v>-0.51471471136681768</v>
      </c>
      <c r="E17" s="24">
        <f t="shared" si="1"/>
        <v>0.60849825167894345</v>
      </c>
      <c r="F17" s="25">
        <f t="shared" si="2"/>
        <v>-2832.3364086737474</v>
      </c>
      <c r="G17" s="25">
        <f t="shared" si="3"/>
        <v>1671.5635149008533</v>
      </c>
      <c r="H17" s="24">
        <v>0.28766401017607807</v>
      </c>
      <c r="I17" s="18">
        <f t="shared" si="4"/>
        <v>-2.5175495796952971E-2</v>
      </c>
    </row>
    <row r="18" spans="1:9" outlineLevel="1" x14ac:dyDescent="0.15">
      <c r="A18" s="18" t="s">
        <v>27</v>
      </c>
      <c r="B18" s="25">
        <v>-1189.035409035396</v>
      </c>
      <c r="C18" s="25">
        <v>1127.3570884024127</v>
      </c>
      <c r="D18" s="24">
        <f t="shared" si="0"/>
        <v>-1.0547105449262648</v>
      </c>
      <c r="E18" s="24">
        <f t="shared" si="1"/>
        <v>0.29546243765960561</v>
      </c>
      <c r="F18" s="25">
        <f t="shared" si="2"/>
        <v>-3440.5229865782912</v>
      </c>
      <c r="G18" s="25">
        <f t="shared" si="3"/>
        <v>1062.4521685074994</v>
      </c>
      <c r="H18" s="24">
        <v>0.28766401017607807</v>
      </c>
      <c r="I18" s="18">
        <f t="shared" si="4"/>
        <v>-5.1576938267918565E-2</v>
      </c>
    </row>
    <row r="19" spans="1:9" outlineLevel="1" x14ac:dyDescent="0.15">
      <c r="A19" s="18" t="s">
        <v>28</v>
      </c>
      <c r="B19" s="24">
        <v>990.17277167277996</v>
      </c>
      <c r="C19" s="25">
        <v>1127.2181515110478</v>
      </c>
      <c r="D19" s="24">
        <f t="shared" si="0"/>
        <v>0.87842159953283483</v>
      </c>
      <c r="E19" s="24">
        <f t="shared" si="1"/>
        <v>0.38295060533725767</v>
      </c>
      <c r="F19" s="25">
        <f t="shared" si="2"/>
        <v>-1261.0373297374963</v>
      </c>
      <c r="G19" s="25">
        <f t="shared" si="3"/>
        <v>3241.3828730830564</v>
      </c>
      <c r="H19" s="24">
        <v>0.28766401017607807</v>
      </c>
      <c r="I19" s="18">
        <f t="shared" si="4"/>
        <v>4.2950848672009989E-2</v>
      </c>
    </row>
    <row r="20" spans="1:9" outlineLevel="1" x14ac:dyDescent="0.15">
      <c r="A20" s="18" t="s">
        <v>29</v>
      </c>
      <c r="B20" s="25">
        <v>3443.6666666666524</v>
      </c>
      <c r="C20" s="25">
        <v>1127.1718354082439</v>
      </c>
      <c r="D20" s="24">
        <f t="shared" si="0"/>
        <v>3.0551390289302347</v>
      </c>
      <c r="E20" s="24">
        <f t="shared" si="1"/>
        <v>3.2605998562130973E-3</v>
      </c>
      <c r="F20" s="25">
        <f t="shared" si="2"/>
        <v>1192.5490649010549</v>
      </c>
      <c r="G20" s="25">
        <f t="shared" si="3"/>
        <v>5694.7842684322495</v>
      </c>
      <c r="H20" s="24">
        <v>0.28766401017607807</v>
      </c>
      <c r="I20" s="18">
        <f t="shared" si="4"/>
        <v>0.14937636148787514</v>
      </c>
    </row>
    <row r="21" spans="1:9" outlineLevel="1" x14ac:dyDescent="0.15">
      <c r="A21" s="18" t="s">
        <v>30</v>
      </c>
      <c r="B21" s="25">
        <v>5317.3876678876823</v>
      </c>
      <c r="C21" s="25">
        <v>1170.8367679374337</v>
      </c>
      <c r="D21" s="24">
        <f t="shared" si="0"/>
        <v>4.5415277462245092</v>
      </c>
      <c r="E21" s="24">
        <f t="shared" si="1"/>
        <v>2.4802714598477323E-5</v>
      </c>
      <c r="F21" s="25">
        <f t="shared" si="2"/>
        <v>2979.0651741006604</v>
      </c>
      <c r="G21" s="25">
        <f t="shared" si="3"/>
        <v>7655.7101616747041</v>
      </c>
      <c r="H21" s="24">
        <v>0.26819409376060449</v>
      </c>
      <c r="I21" s="18">
        <f t="shared" si="4"/>
        <v>0.21504174368695891</v>
      </c>
    </row>
    <row r="22" spans="1:9" outlineLevel="1" x14ac:dyDescent="0.15">
      <c r="A22" s="18" t="s">
        <v>31</v>
      </c>
      <c r="B22" s="25">
        <v>3967.8101343101489</v>
      </c>
      <c r="C22" s="25">
        <v>1170.4353916934631</v>
      </c>
      <c r="D22" s="24">
        <f t="shared" si="0"/>
        <v>3.3900291827037625</v>
      </c>
      <c r="E22" s="24">
        <f t="shared" si="1"/>
        <v>1.1923256924989147E-3</v>
      </c>
      <c r="F22" s="25">
        <f t="shared" si="2"/>
        <v>1630.2892442354887</v>
      </c>
      <c r="G22" s="25">
        <f t="shared" si="3"/>
        <v>6305.3310243848091</v>
      </c>
      <c r="H22" s="24">
        <v>0.26819409376060449</v>
      </c>
      <c r="I22" s="18">
        <f t="shared" si="4"/>
        <v>0.16046315657097657</v>
      </c>
    </row>
    <row r="23" spans="1:9" outlineLevel="1" x14ac:dyDescent="0.15">
      <c r="A23" s="18" t="s">
        <v>32</v>
      </c>
      <c r="B23" s="25">
        <v>1388.2326007326119</v>
      </c>
      <c r="C23" s="25">
        <v>1170.1231149840057</v>
      </c>
      <c r="D23" s="24">
        <f t="shared" si="0"/>
        <v>1.1863987498029962</v>
      </c>
      <c r="E23" s="24">
        <f t="shared" si="1"/>
        <v>0.23978327707092056</v>
      </c>
      <c r="F23" s="24">
        <f t="shared" si="2"/>
        <v>-948.66462968768292</v>
      </c>
      <c r="G23" s="25">
        <f t="shared" si="3"/>
        <v>3725.1298311529067</v>
      </c>
      <c r="H23" s="24">
        <v>0.26819409376060449</v>
      </c>
      <c r="I23" s="18">
        <f t="shared" si="4"/>
        <v>5.6141845911944224E-2</v>
      </c>
    </row>
    <row r="24" spans="1:9" outlineLevel="1" x14ac:dyDescent="0.15">
      <c r="A24" s="18" t="s">
        <v>33</v>
      </c>
      <c r="B24" s="25">
        <v>-2743.1782661782449</v>
      </c>
      <c r="C24" s="25">
        <v>1169.9000091580062</v>
      </c>
      <c r="D24" s="24">
        <f t="shared" si="0"/>
        <v>-2.3447972003629176</v>
      </c>
      <c r="E24" s="24">
        <f t="shared" si="1"/>
        <v>2.2102340732973669E-2</v>
      </c>
      <c r="F24" s="25">
        <f t="shared" si="2"/>
        <v>-5079.6299234958533</v>
      </c>
      <c r="G24" s="24">
        <f t="shared" si="3"/>
        <v>-406.72660886063659</v>
      </c>
      <c r="H24" s="24">
        <v>0.26819409376060449</v>
      </c>
      <c r="I24" s="18">
        <f t="shared" si="4"/>
        <v>-0.11093752692992456</v>
      </c>
    </row>
    <row r="25" spans="1:9" outlineLevel="1" x14ac:dyDescent="0.15">
      <c r="A25" s="18" t="s">
        <v>34</v>
      </c>
      <c r="B25" s="25">
        <v>-1989.4224664224676</v>
      </c>
      <c r="C25" s="25">
        <v>1169.7661252373148</v>
      </c>
      <c r="D25" s="24">
        <f t="shared" si="0"/>
        <v>-1.7007010405766931</v>
      </c>
      <c r="E25" s="24">
        <f t="shared" si="1"/>
        <v>9.377924554031522E-2</v>
      </c>
      <c r="F25" s="25">
        <f t="shared" si="2"/>
        <v>-4325.6067390867393</v>
      </c>
      <c r="G25" s="24">
        <f t="shared" si="3"/>
        <v>346.7618062418037</v>
      </c>
      <c r="H25" s="24">
        <v>0.26819409376060449</v>
      </c>
      <c r="I25" s="18">
        <f t="shared" si="4"/>
        <v>-8.0454708746004175E-2</v>
      </c>
    </row>
    <row r="26" spans="1:9" outlineLevel="1" x14ac:dyDescent="0.15">
      <c r="A26" s="18" t="s">
        <v>1</v>
      </c>
      <c r="B26" s="24">
        <v>263.0775335775333</v>
      </c>
      <c r="C26" s="24">
        <v>10.218344209995594</v>
      </c>
      <c r="D26" s="24">
        <f t="shared" si="0"/>
        <v>25.745612808794462</v>
      </c>
      <c r="E26" s="24">
        <f t="shared" si="1"/>
        <v>8.2618332373301354E-36</v>
      </c>
      <c r="F26" s="24">
        <f t="shared" si="2"/>
        <v>242.67009099475314</v>
      </c>
      <c r="G26" s="24">
        <f t="shared" si="3"/>
        <v>283.48497616031347</v>
      </c>
      <c r="H26" s="24">
        <v>22.660538387249321</v>
      </c>
      <c r="I26" s="18">
        <f t="shared" si="4"/>
        <v>0.8989369352682095</v>
      </c>
    </row>
    <row r="28" spans="1:9" x14ac:dyDescent="0.15">
      <c r="A28" s="20" t="s">
        <v>308</v>
      </c>
    </row>
    <row r="29" spans="1:9" ht="12" hidden="1" outlineLevel="1" thickBot="1" x14ac:dyDescent="0.2">
      <c r="A29" s="28" t="s">
        <v>116</v>
      </c>
      <c r="B29" s="23" t="s">
        <v>120</v>
      </c>
      <c r="C29" s="23" t="s">
        <v>121</v>
      </c>
      <c r="D29" s="23" t="s">
        <v>122</v>
      </c>
      <c r="E29" s="23" t="s">
        <v>123</v>
      </c>
      <c r="F29" s="23" t="s">
        <v>112</v>
      </c>
    </row>
    <row r="30" spans="1:9" hidden="1" outlineLevel="1" x14ac:dyDescent="0.15">
      <c r="A30" s="18" t="s">
        <v>117</v>
      </c>
      <c r="B30" s="26">
        <v>12</v>
      </c>
      <c r="C30" s="25">
        <f>C32 - C31</f>
        <v>3119607091.0219789</v>
      </c>
      <c r="D30" s="25">
        <f>C30/B30</f>
        <v>259967257.5851649</v>
      </c>
      <c r="E30" s="24">
        <f>D30/D31</f>
        <v>63.333349577519215</v>
      </c>
      <c r="F30" s="24">
        <f>FDIST(E30,12,65)</f>
        <v>4.290661345380651E-31</v>
      </c>
    </row>
    <row r="31" spans="1:9" hidden="1" outlineLevel="1" x14ac:dyDescent="0.15">
      <c r="A31" s="18" t="s">
        <v>118</v>
      </c>
      <c r="B31" s="26">
        <v>65</v>
      </c>
      <c r="C31" s="25">
        <v>266808432.77289382</v>
      </c>
      <c r="D31" s="25">
        <f>C31/B31</f>
        <v>4104745.1195829818</v>
      </c>
    </row>
    <row r="32" spans="1:9" hidden="1" outlineLevel="1" x14ac:dyDescent="0.15">
      <c r="A32" s="18" t="s">
        <v>119</v>
      </c>
      <c r="B32" s="26">
        <f>B30 + B31</f>
        <v>77</v>
      </c>
      <c r="C32" s="25">
        <v>3386415523.7948728</v>
      </c>
    </row>
    <row r="33" spans="1:85" collapsed="1" x14ac:dyDescent="0.15"/>
    <row r="34" spans="1:85" x14ac:dyDescent="0.15">
      <c r="A34" s="20" t="s">
        <v>309</v>
      </c>
    </row>
    <row r="35" spans="1:85" ht="12" outlineLevel="1" thickBot="1" x14ac:dyDescent="0.2">
      <c r="A35" s="23" t="s">
        <v>129</v>
      </c>
      <c r="B35" s="23" t="s">
        <v>130</v>
      </c>
      <c r="C35" s="23" t="s">
        <v>131</v>
      </c>
      <c r="D35" s="23" t="s">
        <v>112</v>
      </c>
      <c r="E35" s="23" t="s">
        <v>133</v>
      </c>
      <c r="F35" s="23" t="s">
        <v>134</v>
      </c>
      <c r="G35" s="28" t="s">
        <v>135</v>
      </c>
    </row>
    <row r="36" spans="1:85" outlineLevel="1" x14ac:dyDescent="0.15">
      <c r="A36" s="26">
        <v>39</v>
      </c>
      <c r="B36" s="26">
        <v>39</v>
      </c>
      <c r="C36" s="18">
        <v>0.22778957247797241</v>
      </c>
      <c r="D36" s="18">
        <v>0.8135488033822087</v>
      </c>
      <c r="E36" s="24">
        <v>-3.3804556474916172</v>
      </c>
      <c r="F36" s="24">
        <v>1.8094615666739537</v>
      </c>
      <c r="G36" s="24">
        <v>1.2111668078490911</v>
      </c>
    </row>
    <row r="37" spans="1:85" outlineLevel="1" x14ac:dyDescent="0.15">
      <c r="A37" s="18" t="s">
        <v>132</v>
      </c>
    </row>
    <row r="39" spans="1:85" x14ac:dyDescent="0.15">
      <c r="A39" s="20" t="s">
        <v>310</v>
      </c>
    </row>
    <row r="40" spans="1:85" ht="12" outlineLevel="1" thickBot="1" x14ac:dyDescent="0.2">
      <c r="A40" s="22" t="s">
        <v>137</v>
      </c>
      <c r="B40" s="31">
        <v>1</v>
      </c>
      <c r="C40" s="31">
        <v>2</v>
      </c>
      <c r="D40" s="31">
        <v>3</v>
      </c>
      <c r="E40" s="31">
        <v>4</v>
      </c>
      <c r="F40" s="31">
        <v>5</v>
      </c>
      <c r="G40" s="31">
        <v>6</v>
      </c>
      <c r="H40" s="31">
        <v>7</v>
      </c>
      <c r="I40" s="31">
        <v>12</v>
      </c>
    </row>
    <row r="41" spans="1:85" outlineLevel="1" x14ac:dyDescent="0.15">
      <c r="A41" s="18" t="s">
        <v>138</v>
      </c>
      <c r="B41" s="24">
        <v>0.38571004463967473</v>
      </c>
      <c r="C41" s="45">
        <v>8.7161516200794889E-2</v>
      </c>
      <c r="D41" s="45">
        <v>1.2294400551490553E-2</v>
      </c>
      <c r="E41" s="24">
        <v>-0.11954470866965214</v>
      </c>
      <c r="F41" s="45">
        <v>7.825697691692686E-2</v>
      </c>
      <c r="G41" s="45">
        <v>6.7226942159261671E-2</v>
      </c>
      <c r="H41" s="45">
        <v>2.6404848398966282E-2</v>
      </c>
      <c r="I41" s="24">
        <v>-0.18926576927829372</v>
      </c>
    </row>
    <row r="42" spans="1:85" outlineLevel="1" x14ac:dyDescent="0.15">
      <c r="A42" s="18" t="s">
        <v>140</v>
      </c>
    </row>
    <row r="43" spans="1:85" outlineLevel="1" x14ac:dyDescent="0.15">
      <c r="A43" s="32" t="s">
        <v>139</v>
      </c>
      <c r="B43" s="33">
        <f t="shared" ref="B43:I43" si="5" xml:space="preserve"> 1 / SQRT($F$10 - B40)</f>
        <v>0.11396057645963795</v>
      </c>
      <c r="C43" s="33">
        <f t="shared" si="5"/>
        <v>0.11470786693528087</v>
      </c>
      <c r="D43" s="33">
        <f t="shared" si="5"/>
        <v>0.11547005383792514</v>
      </c>
      <c r="E43" s="33">
        <f t="shared" si="5"/>
        <v>0.11624763874381928</v>
      </c>
      <c r="F43" s="33">
        <f t="shared" si="5"/>
        <v>0.11704114719613057</v>
      </c>
      <c r="G43" s="33">
        <f t="shared" si="5"/>
        <v>0.11785113019775793</v>
      </c>
      <c r="H43" s="33">
        <f t="shared" si="5"/>
        <v>0.11867816581938533</v>
      </c>
      <c r="I43" s="33">
        <f t="shared" si="5"/>
        <v>0.12309149097933272</v>
      </c>
    </row>
    <row r="45" spans="1:85" x14ac:dyDescent="0.15">
      <c r="A45" s="20" t="s">
        <v>311</v>
      </c>
    </row>
    <row r="46" spans="1:85" ht="12" outlineLevel="1" thickBot="1" x14ac:dyDescent="0.2">
      <c r="A46" s="23" t="s">
        <v>142</v>
      </c>
      <c r="B46" s="23" t="s">
        <v>143</v>
      </c>
      <c r="C46" s="23" t="s">
        <v>144</v>
      </c>
      <c r="D46" s="23" t="str">
        <f>IF($I$10&gt;99%,("Low"&amp;TEXT($I$10,"0.0%")&amp;"F"),("Lower"&amp;TEXT($I$10,"0%")&amp;"F"))</f>
        <v>Lower95%F</v>
      </c>
      <c r="E46" s="23" t="str">
        <f>IF($I$10&gt;99%,("Up"&amp;TEXT($I$10,"0.0%")&amp;"F"),("Upper"&amp;TEXT($I$10,"0%")&amp;"F"))</f>
        <v>Upper95%F</v>
      </c>
      <c r="F46" s="23" t="s">
        <v>145</v>
      </c>
      <c r="G46" s="23" t="str">
        <f>IF($I$10&gt;99%,("Low"&amp;TEXT($I$10,"0.0%")&amp;"M"),("Lower"&amp;TEXT($I$10,"0%")&amp;"M"))</f>
        <v>Lower95%M</v>
      </c>
      <c r="H46" s="23" t="str">
        <f>IF($I$10&gt;99%,("Up"&amp;TEXT($I$10,"0.0%")&amp;"M"),("Upper"&amp;TEXT($I$10,"0%")&amp;"M"))</f>
        <v>Upper95%M</v>
      </c>
      <c r="I46" s="28" t="s">
        <v>220</v>
      </c>
      <c r="J46" s="28" t="s">
        <v>221</v>
      </c>
      <c r="K46" s="28" t="s">
        <v>222</v>
      </c>
      <c r="L46" s="28" t="s">
        <v>223</v>
      </c>
      <c r="M46" s="28" t="s">
        <v>224</v>
      </c>
      <c r="N46" s="28" t="s">
        <v>225</v>
      </c>
      <c r="O46" s="28" t="s">
        <v>226</v>
      </c>
      <c r="P46" s="28" t="s">
        <v>227</v>
      </c>
      <c r="Q46" s="28" t="s">
        <v>228</v>
      </c>
      <c r="R46" s="28" t="s">
        <v>229</v>
      </c>
      <c r="S46" s="28" t="s">
        <v>230</v>
      </c>
      <c r="T46" s="28" t="s">
        <v>176</v>
      </c>
    </row>
    <row r="47" spans="1:85" outlineLevel="1" x14ac:dyDescent="0.15">
      <c r="A47" s="26">
        <v>79</v>
      </c>
      <c r="B47" s="25">
        <v>26466.589743589659</v>
      </c>
      <c r="C47" s="25">
        <v>2230.0351089583937</v>
      </c>
      <c r="D47" s="25">
        <f t="shared" ref="D47:D58" si="6" xml:space="preserve"> B47 - $H$10 * C47</f>
        <v>22012.902090443757</v>
      </c>
      <c r="E47" s="25">
        <f t="shared" ref="E47:E58" si="7" xml:space="preserve"> B47 + $H$10 * C47</f>
        <v>30920.277396735561</v>
      </c>
      <c r="F47" s="24">
        <v>931.83231732114336</v>
      </c>
      <c r="G47" s="25">
        <f t="shared" ref="G47:G58" si="8" xml:space="preserve"> B47 - $H$10 * F47</f>
        <v>24605.592098402834</v>
      </c>
      <c r="H47" s="25">
        <f t="shared" ref="H47:H58" si="9" xml:space="preserve"> B47 + $H$10 * F47</f>
        <v>28327.587388776483</v>
      </c>
      <c r="I47" s="34">
        <v>0</v>
      </c>
      <c r="J47" s="34">
        <v>0</v>
      </c>
      <c r="K47" s="34">
        <v>0</v>
      </c>
      <c r="L47" s="34">
        <v>0</v>
      </c>
      <c r="M47" s="34">
        <v>0</v>
      </c>
      <c r="N47" s="34">
        <v>0</v>
      </c>
      <c r="O47" s="34">
        <v>1</v>
      </c>
      <c r="P47" s="34">
        <v>0</v>
      </c>
      <c r="Q47" s="34">
        <v>0</v>
      </c>
      <c r="R47" s="34">
        <v>0</v>
      </c>
      <c r="S47" s="34">
        <v>0</v>
      </c>
      <c r="T47" s="34">
        <v>175</v>
      </c>
      <c r="U47" s="34"/>
      <c r="CG47" s="18">
        <f xml:space="preserve"> $C$47 * $H$10</f>
        <v>4453.6876531459038</v>
      </c>
    </row>
    <row r="48" spans="1:85" outlineLevel="1" x14ac:dyDescent="0.15">
      <c r="A48" s="26">
        <v>80</v>
      </c>
      <c r="B48" s="25">
        <v>25380.089743589655</v>
      </c>
      <c r="C48" s="25">
        <v>2230.0351089583937</v>
      </c>
      <c r="D48" s="25">
        <f t="shared" si="6"/>
        <v>20926.402090443749</v>
      </c>
      <c r="E48" s="25">
        <f t="shared" si="7"/>
        <v>29833.777396735561</v>
      </c>
      <c r="F48" s="24">
        <v>931.83231732114325</v>
      </c>
      <c r="G48" s="25">
        <f t="shared" si="8"/>
        <v>23519.092098402831</v>
      </c>
      <c r="H48" s="25">
        <f t="shared" si="9"/>
        <v>27241.087388776479</v>
      </c>
      <c r="I48" s="34">
        <v>0</v>
      </c>
      <c r="J48" s="34">
        <v>0</v>
      </c>
      <c r="K48" s="34">
        <v>0</v>
      </c>
      <c r="L48" s="34">
        <v>0</v>
      </c>
      <c r="M48" s="34">
        <v>0</v>
      </c>
      <c r="N48" s="34">
        <v>0</v>
      </c>
      <c r="O48" s="34">
        <v>0</v>
      </c>
      <c r="P48" s="34">
        <v>1</v>
      </c>
      <c r="Q48" s="34">
        <v>0</v>
      </c>
      <c r="R48" s="34">
        <v>0</v>
      </c>
      <c r="S48" s="34">
        <v>0</v>
      </c>
      <c r="T48" s="34">
        <v>176</v>
      </c>
      <c r="U48" s="34"/>
      <c r="CG48" s="18">
        <f xml:space="preserve"> $C$48 * $H$10</f>
        <v>4453.6876531459038</v>
      </c>
    </row>
    <row r="49" spans="1:85" outlineLevel="1" x14ac:dyDescent="0.15">
      <c r="A49" s="26">
        <v>81</v>
      </c>
      <c r="B49" s="25">
        <v>23063.589743589651</v>
      </c>
      <c r="C49" s="25">
        <v>2230.0351089583937</v>
      </c>
      <c r="D49" s="25">
        <f t="shared" si="6"/>
        <v>18609.902090443749</v>
      </c>
      <c r="E49" s="25">
        <f t="shared" si="7"/>
        <v>27517.277396735553</v>
      </c>
      <c r="F49" s="24">
        <v>931.83231732114325</v>
      </c>
      <c r="G49" s="25">
        <f t="shared" si="8"/>
        <v>21202.592098402827</v>
      </c>
      <c r="H49" s="25">
        <f t="shared" si="9"/>
        <v>24924.587388776476</v>
      </c>
      <c r="I49" s="34">
        <v>0</v>
      </c>
      <c r="J49" s="34">
        <v>0</v>
      </c>
      <c r="K49" s="34">
        <v>0</v>
      </c>
      <c r="L49" s="34">
        <v>0</v>
      </c>
      <c r="M49" s="34">
        <v>0</v>
      </c>
      <c r="N49" s="34">
        <v>0</v>
      </c>
      <c r="O49" s="34">
        <v>0</v>
      </c>
      <c r="P49" s="34">
        <v>0</v>
      </c>
      <c r="Q49" s="34">
        <v>1</v>
      </c>
      <c r="R49" s="34">
        <v>0</v>
      </c>
      <c r="S49" s="34">
        <v>0</v>
      </c>
      <c r="T49" s="34">
        <v>177</v>
      </c>
      <c r="U49" s="34"/>
      <c r="CG49" s="18">
        <f xml:space="preserve"> $C$49 * $H$10</f>
        <v>4453.6876531459038</v>
      </c>
    </row>
    <row r="50" spans="1:85" outlineLevel="1" x14ac:dyDescent="0.15">
      <c r="A50" s="26">
        <v>82</v>
      </c>
      <c r="B50" s="25">
        <v>19195.25641025633</v>
      </c>
      <c r="C50" s="25">
        <v>2230.0351089583937</v>
      </c>
      <c r="D50" s="25">
        <f t="shared" si="6"/>
        <v>14741.568757110426</v>
      </c>
      <c r="E50" s="25">
        <f t="shared" si="7"/>
        <v>23648.944063402232</v>
      </c>
      <c r="F50" s="24">
        <v>931.83231732114325</v>
      </c>
      <c r="G50" s="25">
        <f t="shared" si="8"/>
        <v>17334.258765069506</v>
      </c>
      <c r="H50" s="25">
        <f t="shared" si="9"/>
        <v>21056.254055443154</v>
      </c>
      <c r="I50" s="34">
        <v>0</v>
      </c>
      <c r="J50" s="34">
        <v>0</v>
      </c>
      <c r="K50" s="34">
        <v>0</v>
      </c>
      <c r="L50" s="34">
        <v>0</v>
      </c>
      <c r="M50" s="34">
        <v>0</v>
      </c>
      <c r="N50" s="34">
        <v>0</v>
      </c>
      <c r="O50" s="34">
        <v>0</v>
      </c>
      <c r="P50" s="34">
        <v>0</v>
      </c>
      <c r="Q50" s="34">
        <v>0</v>
      </c>
      <c r="R50" s="34">
        <v>1</v>
      </c>
      <c r="S50" s="34">
        <v>0</v>
      </c>
      <c r="T50" s="34">
        <v>178</v>
      </c>
      <c r="U50" s="34"/>
      <c r="CG50" s="18">
        <f xml:space="preserve"> $C$50 * $H$10</f>
        <v>4453.6876531459038</v>
      </c>
    </row>
    <row r="51" spans="1:85" outlineLevel="1" x14ac:dyDescent="0.15">
      <c r="A51" s="26">
        <v>83</v>
      </c>
      <c r="B51" s="25">
        <v>20212.08974358964</v>
      </c>
      <c r="C51" s="25">
        <v>2230.0351089583937</v>
      </c>
      <c r="D51" s="25">
        <f t="shared" si="6"/>
        <v>15758.402090443737</v>
      </c>
      <c r="E51" s="25">
        <f t="shared" si="7"/>
        <v>24665.777396735546</v>
      </c>
      <c r="F51" s="24">
        <v>931.83231732114336</v>
      </c>
      <c r="G51" s="25">
        <f t="shared" si="8"/>
        <v>18351.092098402816</v>
      </c>
      <c r="H51" s="25">
        <f t="shared" si="9"/>
        <v>22073.087388776465</v>
      </c>
      <c r="I51" s="34">
        <v>0</v>
      </c>
      <c r="J51" s="34">
        <v>0</v>
      </c>
      <c r="K51" s="34">
        <v>0</v>
      </c>
      <c r="L51" s="34">
        <v>0</v>
      </c>
      <c r="M51" s="34">
        <v>0</v>
      </c>
      <c r="N51" s="34">
        <v>0</v>
      </c>
      <c r="O51" s="34">
        <v>0</v>
      </c>
      <c r="P51" s="34">
        <v>0</v>
      </c>
      <c r="Q51" s="34">
        <v>0</v>
      </c>
      <c r="R51" s="34">
        <v>0</v>
      </c>
      <c r="S51" s="34">
        <v>1</v>
      </c>
      <c r="T51" s="34">
        <v>179</v>
      </c>
      <c r="U51" s="34"/>
      <c r="CG51" s="18">
        <f xml:space="preserve"> $C$51 * $H$10</f>
        <v>4453.6876531459038</v>
      </c>
    </row>
    <row r="52" spans="1:85" outlineLevel="1" x14ac:dyDescent="0.15">
      <c r="A52" s="26">
        <v>84</v>
      </c>
      <c r="B52" s="25">
        <v>22464.58974358964</v>
      </c>
      <c r="C52" s="25">
        <v>2230.0351089583937</v>
      </c>
      <c r="D52" s="25">
        <f t="shared" si="6"/>
        <v>18010.902090443735</v>
      </c>
      <c r="E52" s="25">
        <f t="shared" si="7"/>
        <v>26918.277396735546</v>
      </c>
      <c r="F52" s="24">
        <v>931.83231732114348</v>
      </c>
      <c r="G52" s="25">
        <f t="shared" si="8"/>
        <v>20603.592098402816</v>
      </c>
      <c r="H52" s="25">
        <f t="shared" si="9"/>
        <v>24325.587388776465</v>
      </c>
      <c r="I52" s="34">
        <v>0</v>
      </c>
      <c r="J52" s="34">
        <v>0</v>
      </c>
      <c r="K52" s="34">
        <v>0</v>
      </c>
      <c r="L52" s="34">
        <v>0</v>
      </c>
      <c r="M52" s="34">
        <v>0</v>
      </c>
      <c r="N52" s="34">
        <v>0</v>
      </c>
      <c r="O52" s="34">
        <v>0</v>
      </c>
      <c r="P52" s="34">
        <v>0</v>
      </c>
      <c r="Q52" s="34">
        <v>0</v>
      </c>
      <c r="R52" s="34">
        <v>0</v>
      </c>
      <c r="S52" s="34">
        <v>0</v>
      </c>
      <c r="T52" s="34">
        <v>180</v>
      </c>
      <c r="U52" s="34"/>
      <c r="CG52" s="18">
        <f xml:space="preserve"> $C$52 * $H$10</f>
        <v>4453.6876531459038</v>
      </c>
    </row>
    <row r="53" spans="1:85" outlineLevel="1" x14ac:dyDescent="0.15">
      <c r="A53" s="26">
        <v>85</v>
      </c>
      <c r="B53" s="25">
        <v>23624.435897435811</v>
      </c>
      <c r="C53" s="25">
        <v>2220.7450150935992</v>
      </c>
      <c r="D53" s="25">
        <f t="shared" si="6"/>
        <v>19189.301842919809</v>
      </c>
      <c r="E53" s="25">
        <f t="shared" si="7"/>
        <v>28059.569951951813</v>
      </c>
      <c r="F53" s="24">
        <v>909.37522644950457</v>
      </c>
      <c r="G53" s="25">
        <f t="shared" si="8"/>
        <v>21808.288159740943</v>
      </c>
      <c r="H53" s="25">
        <f t="shared" si="9"/>
        <v>25440.583635130679</v>
      </c>
      <c r="I53" s="34">
        <v>1</v>
      </c>
      <c r="J53" s="34">
        <v>0</v>
      </c>
      <c r="K53" s="34">
        <v>0</v>
      </c>
      <c r="L53" s="34">
        <v>0</v>
      </c>
      <c r="M53" s="34">
        <v>0</v>
      </c>
      <c r="N53" s="34">
        <v>0</v>
      </c>
      <c r="O53" s="34">
        <v>0</v>
      </c>
      <c r="P53" s="34">
        <v>0</v>
      </c>
      <c r="Q53" s="34">
        <v>0</v>
      </c>
      <c r="R53" s="34">
        <v>0</v>
      </c>
      <c r="S53" s="34">
        <v>0</v>
      </c>
      <c r="T53" s="34">
        <v>181</v>
      </c>
      <c r="U53" s="34"/>
      <c r="CG53" s="18">
        <f xml:space="preserve"> $C$53 * $H$10</f>
        <v>4435.1340545160028</v>
      </c>
    </row>
    <row r="54" spans="1:85" outlineLevel="1" x14ac:dyDescent="0.15">
      <c r="A54" s="26">
        <v>86</v>
      </c>
      <c r="B54" s="25">
        <v>21859.72161172151</v>
      </c>
      <c r="C54" s="25">
        <v>2220.7450150935992</v>
      </c>
      <c r="D54" s="25">
        <f t="shared" si="6"/>
        <v>17424.587557205508</v>
      </c>
      <c r="E54" s="25">
        <f t="shared" si="7"/>
        <v>26294.855666237512</v>
      </c>
      <c r="F54" s="24">
        <v>909.37522644950468</v>
      </c>
      <c r="G54" s="25">
        <f t="shared" si="8"/>
        <v>20043.573874026639</v>
      </c>
      <c r="H54" s="25">
        <f t="shared" si="9"/>
        <v>23675.869349416382</v>
      </c>
      <c r="I54" s="34">
        <v>0</v>
      </c>
      <c r="J54" s="34">
        <v>1</v>
      </c>
      <c r="K54" s="34">
        <v>0</v>
      </c>
      <c r="L54" s="34">
        <v>0</v>
      </c>
      <c r="M54" s="34">
        <v>0</v>
      </c>
      <c r="N54" s="34">
        <v>0</v>
      </c>
      <c r="O54" s="34">
        <v>0</v>
      </c>
      <c r="P54" s="34">
        <v>0</v>
      </c>
      <c r="Q54" s="34">
        <v>0</v>
      </c>
      <c r="R54" s="34">
        <v>0</v>
      </c>
      <c r="S54" s="34">
        <v>0</v>
      </c>
      <c r="T54" s="34">
        <v>182</v>
      </c>
      <c r="U54" s="34"/>
      <c r="CG54" s="18">
        <f xml:space="preserve"> $C$54 * $H$10</f>
        <v>4435.1340545160028</v>
      </c>
    </row>
    <row r="55" spans="1:85" outlineLevel="1" x14ac:dyDescent="0.15">
      <c r="A55" s="26">
        <v>87</v>
      </c>
      <c r="B55" s="25">
        <v>22673.435897435793</v>
      </c>
      <c r="C55" s="25">
        <v>2220.7450150935992</v>
      </c>
      <c r="D55" s="25">
        <f t="shared" si="6"/>
        <v>18238.301842919791</v>
      </c>
      <c r="E55" s="25">
        <f t="shared" si="7"/>
        <v>27108.569951951795</v>
      </c>
      <c r="F55" s="24">
        <v>909.37522644950445</v>
      </c>
      <c r="G55" s="25">
        <f t="shared" si="8"/>
        <v>20857.288159740925</v>
      </c>
      <c r="H55" s="25">
        <f t="shared" si="9"/>
        <v>24489.583635130661</v>
      </c>
      <c r="I55" s="34">
        <v>0</v>
      </c>
      <c r="J55" s="34">
        <v>0</v>
      </c>
      <c r="K55" s="34">
        <v>1</v>
      </c>
      <c r="L55" s="34">
        <v>0</v>
      </c>
      <c r="M55" s="34">
        <v>0</v>
      </c>
      <c r="N55" s="34">
        <v>0</v>
      </c>
      <c r="O55" s="34">
        <v>0</v>
      </c>
      <c r="P55" s="34">
        <v>0</v>
      </c>
      <c r="Q55" s="34">
        <v>0</v>
      </c>
      <c r="R55" s="34">
        <v>0</v>
      </c>
      <c r="S55" s="34">
        <v>0</v>
      </c>
      <c r="T55" s="34">
        <v>183</v>
      </c>
      <c r="U55" s="34"/>
      <c r="CG55" s="18">
        <f xml:space="preserve"> $C$55 * $H$10</f>
        <v>4435.1340545160028</v>
      </c>
    </row>
    <row r="56" spans="1:85" outlineLevel="1" x14ac:dyDescent="0.15">
      <c r="A56" s="26">
        <v>88</v>
      </c>
      <c r="B56" s="25">
        <v>22327.864468864376</v>
      </c>
      <c r="C56" s="25">
        <v>2220.7450150935992</v>
      </c>
      <c r="D56" s="25">
        <f t="shared" si="6"/>
        <v>17892.730414348374</v>
      </c>
      <c r="E56" s="25">
        <f t="shared" si="7"/>
        <v>26762.998523380378</v>
      </c>
      <c r="F56" s="24">
        <v>909.37522644950445</v>
      </c>
      <c r="G56" s="25">
        <f t="shared" si="8"/>
        <v>20511.716731169508</v>
      </c>
      <c r="H56" s="25">
        <f t="shared" si="9"/>
        <v>24144.012206559244</v>
      </c>
      <c r="I56" s="34">
        <v>0</v>
      </c>
      <c r="J56" s="34">
        <v>0</v>
      </c>
      <c r="K56" s="34">
        <v>0</v>
      </c>
      <c r="L56" s="34">
        <v>1</v>
      </c>
      <c r="M56" s="34">
        <v>0</v>
      </c>
      <c r="N56" s="34">
        <v>0</v>
      </c>
      <c r="O56" s="34">
        <v>0</v>
      </c>
      <c r="P56" s="34">
        <v>0</v>
      </c>
      <c r="Q56" s="34">
        <v>0</v>
      </c>
      <c r="R56" s="34">
        <v>0</v>
      </c>
      <c r="S56" s="34">
        <v>0</v>
      </c>
      <c r="T56" s="34">
        <v>184</v>
      </c>
      <c r="U56" s="34"/>
      <c r="CG56" s="18">
        <f xml:space="preserve"> $C$56 * $H$10</f>
        <v>4435.1340545160028</v>
      </c>
    </row>
    <row r="57" spans="1:85" outlineLevel="1" x14ac:dyDescent="0.15">
      <c r="A57" s="26">
        <v>89</v>
      </c>
      <c r="B57" s="25">
        <v>24770.150183150086</v>
      </c>
      <c r="C57" s="25">
        <v>2220.7450150935992</v>
      </c>
      <c r="D57" s="25">
        <f t="shared" si="6"/>
        <v>20335.016128634084</v>
      </c>
      <c r="E57" s="25">
        <f t="shared" si="7"/>
        <v>29205.284237666088</v>
      </c>
      <c r="F57" s="24">
        <v>909.37522644950457</v>
      </c>
      <c r="G57" s="25">
        <f t="shared" si="8"/>
        <v>22954.002445455219</v>
      </c>
      <c r="H57" s="25">
        <f t="shared" si="9"/>
        <v>26586.297920844954</v>
      </c>
      <c r="I57" s="34">
        <v>0</v>
      </c>
      <c r="J57" s="34">
        <v>0</v>
      </c>
      <c r="K57" s="34">
        <v>0</v>
      </c>
      <c r="L57" s="34">
        <v>0</v>
      </c>
      <c r="M57" s="34">
        <v>1</v>
      </c>
      <c r="N57" s="34">
        <v>0</v>
      </c>
      <c r="O57" s="34">
        <v>0</v>
      </c>
      <c r="P57" s="34">
        <v>0</v>
      </c>
      <c r="Q57" s="34">
        <v>0</v>
      </c>
      <c r="R57" s="34">
        <v>0</v>
      </c>
      <c r="S57" s="34">
        <v>0</v>
      </c>
      <c r="T57" s="34">
        <v>185</v>
      </c>
      <c r="U57" s="34"/>
      <c r="CG57" s="18">
        <f xml:space="preserve"> $C$57 * $H$10</f>
        <v>4435.1340545160028</v>
      </c>
    </row>
    <row r="58" spans="1:85" outlineLevel="1" x14ac:dyDescent="0.15">
      <c r="A58" s="26">
        <v>90</v>
      </c>
      <c r="B58" s="25">
        <v>27486.721611721496</v>
      </c>
      <c r="C58" s="25">
        <v>2220.7450150935992</v>
      </c>
      <c r="D58" s="25">
        <f t="shared" si="6"/>
        <v>23051.587557205494</v>
      </c>
      <c r="E58" s="25">
        <f t="shared" si="7"/>
        <v>31921.855666237498</v>
      </c>
      <c r="F58" s="24">
        <v>909.37522644950445</v>
      </c>
      <c r="G58" s="25">
        <f t="shared" si="8"/>
        <v>25670.573874026628</v>
      </c>
      <c r="H58" s="25">
        <f t="shared" si="9"/>
        <v>29302.869349416364</v>
      </c>
      <c r="I58" s="34">
        <v>0</v>
      </c>
      <c r="J58" s="34">
        <v>0</v>
      </c>
      <c r="K58" s="34">
        <v>0</v>
      </c>
      <c r="L58" s="34">
        <v>0</v>
      </c>
      <c r="M58" s="34">
        <v>0</v>
      </c>
      <c r="N58" s="34">
        <v>1</v>
      </c>
      <c r="O58" s="34">
        <v>0</v>
      </c>
      <c r="P58" s="34">
        <v>0</v>
      </c>
      <c r="Q58" s="34">
        <v>0</v>
      </c>
      <c r="R58" s="34">
        <v>0</v>
      </c>
      <c r="S58" s="34">
        <v>0</v>
      </c>
      <c r="T58" s="34">
        <v>186</v>
      </c>
      <c r="U58" s="34"/>
      <c r="CG58" s="18">
        <f xml:space="preserve"> $C$58 * $H$10</f>
        <v>4435.1340545160028</v>
      </c>
    </row>
    <row r="59" spans="1:85" outlineLevel="1" x14ac:dyDescent="0.15">
      <c r="I59" s="34"/>
      <c r="J59" s="34"/>
      <c r="K59" s="34"/>
      <c r="L59" s="34"/>
      <c r="M59" s="34"/>
      <c r="N59" s="34"/>
      <c r="O59" s="34"/>
      <c r="P59" s="34"/>
      <c r="Q59" s="34"/>
      <c r="R59" s="34"/>
      <c r="S59" s="34"/>
      <c r="T59" s="34"/>
      <c r="U59" s="34"/>
    </row>
    <row r="60" spans="1:85" outlineLevel="1" x14ac:dyDescent="0.15"/>
    <row r="61" spans="1:85" outlineLevel="1" x14ac:dyDescent="0.15"/>
    <row r="62" spans="1:85" outlineLevel="1" x14ac:dyDescent="0.15"/>
    <row r="63" spans="1:85" outlineLevel="1" x14ac:dyDescent="0.15"/>
    <row r="64" spans="1:85" outlineLevel="1" x14ac:dyDescent="0.15"/>
    <row r="65" outlineLevel="1" x14ac:dyDescent="0.15"/>
    <row r="66" outlineLevel="1" x14ac:dyDescent="0.15"/>
    <row r="67" outlineLevel="1" x14ac:dyDescent="0.15"/>
    <row r="68" outlineLevel="1" x14ac:dyDescent="0.15"/>
    <row r="69" outlineLevel="1" x14ac:dyDescent="0.15"/>
    <row r="70" outlineLevel="1" x14ac:dyDescent="0.15"/>
    <row r="71" outlineLevel="1" x14ac:dyDescent="0.15"/>
    <row r="72" outlineLevel="1" x14ac:dyDescent="0.15"/>
    <row r="73" outlineLevel="1" x14ac:dyDescent="0.15"/>
    <row r="74" outlineLevel="1" x14ac:dyDescent="0.15"/>
    <row r="75" outlineLevel="1" x14ac:dyDescent="0.15"/>
    <row r="76" outlineLevel="1" x14ac:dyDescent="0.15"/>
    <row r="77" outlineLevel="1" x14ac:dyDescent="0.15"/>
    <row r="78" outlineLevel="1" x14ac:dyDescent="0.15"/>
    <row r="79" outlineLevel="1" x14ac:dyDescent="0.15"/>
    <row r="80" outlineLevel="1" x14ac:dyDescent="0.15"/>
    <row r="82" spans="1:3" x14ac:dyDescent="0.15">
      <c r="A82" s="20" t="s">
        <v>147</v>
      </c>
    </row>
    <row r="83" spans="1:3" outlineLevel="1" x14ac:dyDescent="0.15"/>
    <row r="84" spans="1:3" outlineLevel="1" x14ac:dyDescent="0.15"/>
    <row r="85" spans="1:3" outlineLevel="1" x14ac:dyDescent="0.15">
      <c r="C85" s="32" t="b">
        <v>1</v>
      </c>
    </row>
    <row r="86" spans="1:3" outlineLevel="1" x14ac:dyDescent="0.15"/>
    <row r="87" spans="1:3" outlineLevel="1" x14ac:dyDescent="0.15"/>
    <row r="88" spans="1:3" outlineLevel="1" x14ac:dyDescent="0.15"/>
    <row r="89" spans="1:3" outlineLevel="1" x14ac:dyDescent="0.15"/>
    <row r="90" spans="1:3" outlineLevel="1" x14ac:dyDescent="0.15"/>
    <row r="91" spans="1:3" outlineLevel="1" x14ac:dyDescent="0.15"/>
    <row r="92" spans="1:3" outlineLevel="1" x14ac:dyDescent="0.15"/>
    <row r="93" spans="1:3" outlineLevel="1" x14ac:dyDescent="0.15"/>
    <row r="94" spans="1:3" outlineLevel="1" x14ac:dyDescent="0.15"/>
    <row r="95" spans="1:3" outlineLevel="1" x14ac:dyDescent="0.15"/>
    <row r="96" spans="1:3" outlineLevel="1" x14ac:dyDescent="0.15"/>
    <row r="97" spans="1:1" outlineLevel="1" x14ac:dyDescent="0.15"/>
    <row r="98" spans="1:1" outlineLevel="1" x14ac:dyDescent="0.15"/>
    <row r="99" spans="1:1" outlineLevel="1" x14ac:dyDescent="0.15"/>
    <row r="100" spans="1:1" outlineLevel="1" x14ac:dyDescent="0.15"/>
    <row r="101" spans="1:1" outlineLevel="1" x14ac:dyDescent="0.15"/>
    <row r="102" spans="1:1" outlineLevel="1" x14ac:dyDescent="0.15"/>
    <row r="104" spans="1:1" x14ac:dyDescent="0.15">
      <c r="A104" s="20" t="s">
        <v>148</v>
      </c>
    </row>
    <row r="105" spans="1:1" outlineLevel="1" x14ac:dyDescent="0.15"/>
    <row r="106" spans="1:1" outlineLevel="1" x14ac:dyDescent="0.15"/>
    <row r="107" spans="1:1" outlineLevel="1" x14ac:dyDescent="0.15"/>
    <row r="108" spans="1:1" outlineLevel="1" x14ac:dyDescent="0.15"/>
    <row r="109" spans="1:1" outlineLevel="1" x14ac:dyDescent="0.15"/>
    <row r="110" spans="1:1" outlineLevel="1" x14ac:dyDescent="0.15"/>
    <row r="111" spans="1:1" outlineLevel="1" x14ac:dyDescent="0.15"/>
    <row r="112" spans="1:1" outlineLevel="1" x14ac:dyDescent="0.15"/>
    <row r="113" spans="1:1" outlineLevel="1" x14ac:dyDescent="0.15"/>
    <row r="114" spans="1:1" outlineLevel="1" x14ac:dyDescent="0.15"/>
    <row r="115" spans="1:1" outlineLevel="1" x14ac:dyDescent="0.15"/>
    <row r="116" spans="1:1" outlineLevel="1" x14ac:dyDescent="0.15"/>
    <row r="117" spans="1:1" outlineLevel="1" x14ac:dyDescent="0.15"/>
    <row r="118" spans="1:1" outlineLevel="1" x14ac:dyDescent="0.15"/>
    <row r="119" spans="1:1" outlineLevel="1" x14ac:dyDescent="0.15"/>
    <row r="120" spans="1:1" outlineLevel="1" x14ac:dyDescent="0.15"/>
    <row r="121" spans="1:1" outlineLevel="1" x14ac:dyDescent="0.15"/>
    <row r="122" spans="1:1" outlineLevel="1" x14ac:dyDescent="0.15"/>
    <row r="123" spans="1:1" outlineLevel="1" x14ac:dyDescent="0.15"/>
    <row r="124" spans="1:1" outlineLevel="1" x14ac:dyDescent="0.15"/>
    <row r="126" spans="1:1" x14ac:dyDescent="0.15">
      <c r="A126" s="20" t="s">
        <v>149</v>
      </c>
    </row>
    <row r="127" spans="1:1" outlineLevel="1" x14ac:dyDescent="0.15"/>
    <row r="128" spans="1:1" outlineLevel="1" x14ac:dyDescent="0.15"/>
    <row r="129" outlineLevel="1" x14ac:dyDescent="0.15"/>
    <row r="130" outlineLevel="1" x14ac:dyDescent="0.15"/>
    <row r="131" outlineLevel="1" x14ac:dyDescent="0.15"/>
    <row r="132" outlineLevel="1" x14ac:dyDescent="0.15"/>
    <row r="133" outlineLevel="1" x14ac:dyDescent="0.15"/>
    <row r="134" outlineLevel="1" x14ac:dyDescent="0.15"/>
    <row r="135" outlineLevel="1" x14ac:dyDescent="0.15"/>
    <row r="136" outlineLevel="1" x14ac:dyDescent="0.15"/>
    <row r="137" outlineLevel="1" x14ac:dyDescent="0.15"/>
    <row r="138" outlineLevel="1" x14ac:dyDescent="0.15"/>
    <row r="139" outlineLevel="1" x14ac:dyDescent="0.15"/>
    <row r="140" outlineLevel="1" x14ac:dyDescent="0.15"/>
    <row r="141" outlineLevel="1" x14ac:dyDescent="0.15"/>
    <row r="142" outlineLevel="1" x14ac:dyDescent="0.15"/>
    <row r="143" outlineLevel="1" x14ac:dyDescent="0.15"/>
    <row r="144" outlineLevel="1" x14ac:dyDescent="0.15"/>
    <row r="145" spans="1:1" outlineLevel="1" x14ac:dyDescent="0.15"/>
    <row r="146" spans="1:1" outlineLevel="1" x14ac:dyDescent="0.15"/>
    <row r="148" spans="1:1" x14ac:dyDescent="0.15">
      <c r="A148" s="20" t="s">
        <v>150</v>
      </c>
    </row>
    <row r="149" spans="1:1" outlineLevel="1" x14ac:dyDescent="0.15"/>
    <row r="150" spans="1:1" outlineLevel="1" x14ac:dyDescent="0.15"/>
    <row r="151" spans="1:1" outlineLevel="1" x14ac:dyDescent="0.15"/>
    <row r="152" spans="1:1" outlineLevel="1" x14ac:dyDescent="0.15"/>
    <row r="153" spans="1:1" outlineLevel="1" x14ac:dyDescent="0.15"/>
    <row r="154" spans="1:1" outlineLevel="1" x14ac:dyDescent="0.15"/>
    <row r="155" spans="1:1" outlineLevel="1" x14ac:dyDescent="0.15"/>
    <row r="156" spans="1:1" outlineLevel="1" x14ac:dyDescent="0.15"/>
    <row r="157" spans="1:1" outlineLevel="1" x14ac:dyDescent="0.15"/>
    <row r="158" spans="1:1" outlineLevel="1" x14ac:dyDescent="0.15"/>
    <row r="159" spans="1:1" outlineLevel="1" x14ac:dyDescent="0.15"/>
    <row r="160" spans="1:1" outlineLevel="1" x14ac:dyDescent="0.15"/>
    <row r="161" spans="1:1" outlineLevel="1" x14ac:dyDescent="0.15"/>
    <row r="162" spans="1:1" outlineLevel="1" x14ac:dyDescent="0.15"/>
    <row r="163" spans="1:1" outlineLevel="1" x14ac:dyDescent="0.15"/>
    <row r="164" spans="1:1" outlineLevel="1" x14ac:dyDescent="0.15"/>
    <row r="165" spans="1:1" outlineLevel="1" x14ac:dyDescent="0.15"/>
    <row r="166" spans="1:1" outlineLevel="1" x14ac:dyDescent="0.15"/>
    <row r="167" spans="1:1" outlineLevel="1" x14ac:dyDescent="0.15"/>
    <row r="168" spans="1:1" outlineLevel="1" x14ac:dyDescent="0.15"/>
    <row r="170" spans="1:1" x14ac:dyDescent="0.15">
      <c r="A170" s="20" t="s">
        <v>151</v>
      </c>
    </row>
    <row r="171" spans="1:1" outlineLevel="1" x14ac:dyDescent="0.15"/>
    <row r="172" spans="1:1" outlineLevel="1" x14ac:dyDescent="0.15"/>
    <row r="173" spans="1:1" outlineLevel="1" x14ac:dyDescent="0.15"/>
    <row r="174" spans="1:1" outlineLevel="1" x14ac:dyDescent="0.15"/>
    <row r="175" spans="1:1" outlineLevel="1" x14ac:dyDescent="0.15"/>
    <row r="176" spans="1:1" outlineLevel="1" x14ac:dyDescent="0.15"/>
    <row r="177" spans="1:1" outlineLevel="1" x14ac:dyDescent="0.15"/>
    <row r="178" spans="1:1" outlineLevel="1" x14ac:dyDescent="0.15"/>
    <row r="179" spans="1:1" outlineLevel="1" x14ac:dyDescent="0.15"/>
    <row r="180" spans="1:1" outlineLevel="1" x14ac:dyDescent="0.15"/>
    <row r="181" spans="1:1" outlineLevel="1" x14ac:dyDescent="0.15"/>
    <row r="182" spans="1:1" outlineLevel="1" x14ac:dyDescent="0.15"/>
    <row r="183" spans="1:1" outlineLevel="1" x14ac:dyDescent="0.15"/>
    <row r="184" spans="1:1" outlineLevel="1" x14ac:dyDescent="0.15"/>
    <row r="185" spans="1:1" outlineLevel="1" x14ac:dyDescent="0.15"/>
    <row r="186" spans="1:1" outlineLevel="1" x14ac:dyDescent="0.15"/>
    <row r="187" spans="1:1" outlineLevel="1" x14ac:dyDescent="0.15"/>
    <row r="188" spans="1:1" outlineLevel="1" x14ac:dyDescent="0.15"/>
    <row r="189" spans="1:1" outlineLevel="1" x14ac:dyDescent="0.15"/>
    <row r="190" spans="1:1" outlineLevel="1" x14ac:dyDescent="0.15"/>
    <row r="192" spans="1:1" x14ac:dyDescent="0.15">
      <c r="A192" s="20" t="s">
        <v>312</v>
      </c>
    </row>
    <row r="193" spans="1:6" ht="12" hidden="1" outlineLevel="1" thickBot="1" x14ac:dyDescent="0.2">
      <c r="A193" s="23" t="s">
        <v>142</v>
      </c>
      <c r="B193" s="23" t="s">
        <v>153</v>
      </c>
      <c r="C193" s="23" t="s">
        <v>127</v>
      </c>
      <c r="D193" s="23" t="s">
        <v>118</v>
      </c>
      <c r="E193" s="23" t="s">
        <v>154</v>
      </c>
    </row>
    <row r="194" spans="1:6" ht="15" hidden="1" outlineLevel="1" x14ac:dyDescent="0.2">
      <c r="A194" s="36">
        <v>62</v>
      </c>
      <c r="B194" s="37">
        <v>8697</v>
      </c>
      <c r="C194" s="37">
        <v>15545.860805860713</v>
      </c>
      <c r="D194" s="37">
        <f t="shared" ref="D194:D225" si="10">B194 - C194</f>
        <v>-6848.8608058607133</v>
      </c>
      <c r="E194" s="19">
        <f t="shared" ref="E194:E225" si="11">D194 /2026.01705806812</f>
        <v>-3.3804556474916101</v>
      </c>
      <c r="F194"/>
    </row>
    <row r="195" spans="1:6" ht="15" hidden="1" outlineLevel="1" x14ac:dyDescent="0.2">
      <c r="A195" s="26">
        <v>38</v>
      </c>
      <c r="B195" s="25">
        <v>12898</v>
      </c>
      <c r="C195" s="25">
        <v>9231.9999999999127</v>
      </c>
      <c r="D195" s="25">
        <f t="shared" si="10"/>
        <v>3666.0000000000873</v>
      </c>
      <c r="E195" s="18">
        <f t="shared" si="11"/>
        <v>1.80946156667395</v>
      </c>
      <c r="F195"/>
    </row>
    <row r="196" spans="1:6" ht="15" hidden="1" outlineLevel="1" x14ac:dyDescent="0.2">
      <c r="A196" s="26">
        <v>43</v>
      </c>
      <c r="B196" s="25">
        <v>20603</v>
      </c>
      <c r="C196" s="25">
        <v>16995.798534798458</v>
      </c>
      <c r="D196" s="25">
        <f t="shared" si="10"/>
        <v>3607.2014652015423</v>
      </c>
      <c r="E196" s="18">
        <f t="shared" si="11"/>
        <v>1.7804398293867962</v>
      </c>
      <c r="F196"/>
    </row>
    <row r="197" spans="1:6" ht="15" hidden="1" outlineLevel="1" x14ac:dyDescent="0.2">
      <c r="A197" s="26">
        <v>70</v>
      </c>
      <c r="B197" s="25">
        <v>12618</v>
      </c>
      <c r="C197" s="25">
        <v>16038.32600732593</v>
      </c>
      <c r="D197" s="25">
        <f t="shared" si="10"/>
        <v>-3420.3260073259298</v>
      </c>
      <c r="E197" s="18">
        <f t="shared" si="11"/>
        <v>-1.6882019792011691</v>
      </c>
      <c r="F197"/>
    </row>
    <row r="198" spans="1:6" ht="15" hidden="1" outlineLevel="1" x14ac:dyDescent="0.2">
      <c r="A198" s="26">
        <v>33</v>
      </c>
      <c r="B198" s="25">
        <v>7157</v>
      </c>
      <c r="C198" s="25">
        <v>10435.868131868054</v>
      </c>
      <c r="D198" s="25">
        <f t="shared" si="10"/>
        <v>-3278.8681318680538</v>
      </c>
      <c r="E198" s="18">
        <f t="shared" si="11"/>
        <v>-1.618381305730255</v>
      </c>
      <c r="F198"/>
    </row>
    <row r="199" spans="1:6" ht="15" hidden="1" outlineLevel="1" x14ac:dyDescent="0.2">
      <c r="A199" s="26">
        <v>25</v>
      </c>
      <c r="B199" s="25">
        <v>4681</v>
      </c>
      <c r="C199" s="25">
        <v>7839.7838827838132</v>
      </c>
      <c r="D199" s="25">
        <f t="shared" si="10"/>
        <v>-3158.7838827838132</v>
      </c>
      <c r="E199" s="18">
        <f t="shared" si="11"/>
        <v>-1.5591102109455224</v>
      </c>
      <c r="F199"/>
    </row>
    <row r="200" spans="1:6" ht="15" hidden="1" outlineLevel="1" x14ac:dyDescent="0.2">
      <c r="A200" s="26">
        <v>9</v>
      </c>
      <c r="B200" s="25">
        <v>7103</v>
      </c>
      <c r="C200" s="25">
        <v>4122.0073260072568</v>
      </c>
      <c r="D200" s="25">
        <f t="shared" si="10"/>
        <v>2980.9926739927432</v>
      </c>
      <c r="E200" s="18">
        <f t="shared" si="11"/>
        <v>1.4713561576994949</v>
      </c>
      <c r="F200"/>
    </row>
    <row r="201" spans="1:6" ht="15" hidden="1" outlineLevel="1" x14ac:dyDescent="0.2">
      <c r="A201" s="26">
        <v>47</v>
      </c>
      <c r="B201" s="25">
        <v>7885</v>
      </c>
      <c r="C201" s="25">
        <v>10741.298534798443</v>
      </c>
      <c r="D201" s="25">
        <f t="shared" si="10"/>
        <v>-2856.2985347984431</v>
      </c>
      <c r="E201" s="18">
        <f t="shared" si="11"/>
        <v>-1.409809716766169</v>
      </c>
      <c r="F201"/>
    </row>
    <row r="202" spans="1:6" ht="15" hidden="1" outlineLevel="1" x14ac:dyDescent="0.2">
      <c r="A202" s="26">
        <v>28</v>
      </c>
      <c r="B202" s="25">
        <v>3691</v>
      </c>
      <c r="C202" s="25">
        <v>6543.2124542123784</v>
      </c>
      <c r="D202" s="25">
        <f t="shared" si="10"/>
        <v>-2852.2124542123784</v>
      </c>
      <c r="E202" s="18">
        <f t="shared" si="11"/>
        <v>-1.4077929121347406</v>
      </c>
      <c r="F202"/>
    </row>
    <row r="203" spans="1:6" ht="15" hidden="1" outlineLevel="1" x14ac:dyDescent="0.2">
      <c r="A203" s="26">
        <v>60</v>
      </c>
      <c r="B203" s="25">
        <v>18969</v>
      </c>
      <c r="C203" s="25">
        <v>16150.72893772884</v>
      </c>
      <c r="D203" s="25">
        <f t="shared" si="10"/>
        <v>2818.2710622711602</v>
      </c>
      <c r="E203" s="18">
        <f t="shared" si="11"/>
        <v>1.3910401450215246</v>
      </c>
      <c r="F203"/>
    </row>
    <row r="204" spans="1:6" ht="15" hidden="1" outlineLevel="1" x14ac:dyDescent="0.2">
      <c r="A204" s="26">
        <v>51</v>
      </c>
      <c r="B204" s="25">
        <v>15968</v>
      </c>
      <c r="C204" s="25">
        <v>13202.644688644592</v>
      </c>
      <c r="D204" s="25">
        <f t="shared" si="10"/>
        <v>2765.355311355408</v>
      </c>
      <c r="E204" s="18">
        <f t="shared" si="11"/>
        <v>1.3649220278491998</v>
      </c>
      <c r="F204"/>
    </row>
    <row r="205" spans="1:6" ht="15" hidden="1" outlineLevel="1" x14ac:dyDescent="0.2">
      <c r="A205" s="26">
        <v>26</v>
      </c>
      <c r="B205" s="25">
        <v>3473</v>
      </c>
      <c r="C205" s="25">
        <v>6075.0695970695124</v>
      </c>
      <c r="D205" s="25">
        <f t="shared" si="10"/>
        <v>-2602.0695970695124</v>
      </c>
      <c r="E205" s="18">
        <f t="shared" si="11"/>
        <v>-1.2843275858450467</v>
      </c>
      <c r="F205"/>
    </row>
    <row r="206" spans="1:6" ht="15" hidden="1" outlineLevel="1" x14ac:dyDescent="0.2">
      <c r="A206" s="26">
        <v>27</v>
      </c>
      <c r="B206" s="25">
        <v>4445</v>
      </c>
      <c r="C206" s="25">
        <v>6888.783882783795</v>
      </c>
      <c r="D206" s="25">
        <f t="shared" si="10"/>
        <v>-2443.783882783795</v>
      </c>
      <c r="E206" s="18">
        <f t="shared" si="11"/>
        <v>-1.2062010401403189</v>
      </c>
      <c r="F206"/>
    </row>
    <row r="207" spans="1:6" ht="15" hidden="1" outlineLevel="1" x14ac:dyDescent="0.2">
      <c r="A207" s="26">
        <v>18</v>
      </c>
      <c r="B207" s="25">
        <v>10952</v>
      </c>
      <c r="C207" s="25">
        <v>8545.1391941390975</v>
      </c>
      <c r="D207" s="25">
        <f t="shared" si="10"/>
        <v>2406.8608058609025</v>
      </c>
      <c r="E207" s="18">
        <f t="shared" si="11"/>
        <v>1.1879765751606903</v>
      </c>
      <c r="F207"/>
    </row>
    <row r="208" spans="1:6" ht="15" hidden="1" outlineLevel="1" x14ac:dyDescent="0.2">
      <c r="A208" s="26">
        <v>67</v>
      </c>
      <c r="B208" s="25">
        <v>20934</v>
      </c>
      <c r="C208" s="25">
        <v>23309.659340659258</v>
      </c>
      <c r="D208" s="25">
        <f t="shared" si="10"/>
        <v>-2375.6593406592583</v>
      </c>
      <c r="E208" s="18">
        <f t="shared" si="11"/>
        <v>-1.1725761790596843</v>
      </c>
      <c r="F208"/>
    </row>
    <row r="209" spans="1:6" ht="15" hidden="1" outlineLevel="1" x14ac:dyDescent="0.2">
      <c r="A209" s="26">
        <v>77</v>
      </c>
      <c r="B209" s="25">
        <v>23874</v>
      </c>
      <c r="C209" s="25">
        <v>21613.219780219682</v>
      </c>
      <c r="D209" s="25">
        <f t="shared" si="10"/>
        <v>2260.7802197803176</v>
      </c>
      <c r="E209" s="18">
        <f t="shared" si="11"/>
        <v>1.1158742276020384</v>
      </c>
      <c r="F209"/>
    </row>
    <row r="210" spans="1:6" ht="15" hidden="1" outlineLevel="1" x14ac:dyDescent="0.2">
      <c r="A210" s="26">
        <v>7</v>
      </c>
      <c r="B210" s="25">
        <v>5303</v>
      </c>
      <c r="C210" s="25">
        <v>7525.0073260072604</v>
      </c>
      <c r="D210" s="25">
        <f t="shared" si="10"/>
        <v>-2222.0073260072604</v>
      </c>
      <c r="E210" s="18">
        <f t="shared" si="11"/>
        <v>-1.0967367313906153</v>
      </c>
      <c r="F210"/>
    </row>
    <row r="211" spans="1:6" ht="15" hidden="1" outlineLevel="1" x14ac:dyDescent="0.2">
      <c r="A211" s="26">
        <v>58</v>
      </c>
      <c r="B211" s="25">
        <v>15088</v>
      </c>
      <c r="C211" s="25">
        <v>12881.395604395533</v>
      </c>
      <c r="D211" s="25">
        <f t="shared" si="10"/>
        <v>2206.6043956044668</v>
      </c>
      <c r="E211" s="18">
        <f t="shared" si="11"/>
        <v>1.0891341644026153</v>
      </c>
      <c r="F211"/>
    </row>
    <row r="212" spans="1:6" ht="15" hidden="1" outlineLevel="1" x14ac:dyDescent="0.2">
      <c r="A212" s="26">
        <v>2</v>
      </c>
      <c r="B212" s="25">
        <v>1912</v>
      </c>
      <c r="C212" s="24">
        <v>-238.79120879128823</v>
      </c>
      <c r="D212" s="25">
        <f t="shared" si="10"/>
        <v>2150.7912087912882</v>
      </c>
      <c r="E212" s="18">
        <f t="shared" si="11"/>
        <v>1.0615859329645254</v>
      </c>
      <c r="F212"/>
    </row>
    <row r="213" spans="1:6" ht="15" hidden="1" outlineLevel="1" x14ac:dyDescent="0.2">
      <c r="A213" s="26">
        <v>78</v>
      </c>
      <c r="B213" s="25">
        <v>26468</v>
      </c>
      <c r="C213" s="25">
        <v>24329.791208791088</v>
      </c>
      <c r="D213" s="25">
        <f t="shared" si="10"/>
        <v>2138.2087912089119</v>
      </c>
      <c r="E213" s="18">
        <f t="shared" si="11"/>
        <v>1.0553755126068736</v>
      </c>
      <c r="F213"/>
    </row>
    <row r="214" spans="1:6" ht="15" hidden="1" outlineLevel="1" x14ac:dyDescent="0.2">
      <c r="A214" s="26">
        <v>3</v>
      </c>
      <c r="B214" s="25">
        <v>2674</v>
      </c>
      <c r="C214" s="24">
        <v>574.92307692299437</v>
      </c>
      <c r="D214" s="25">
        <f t="shared" si="10"/>
        <v>2099.0769230770056</v>
      </c>
      <c r="E214" s="18">
        <f t="shared" si="11"/>
        <v>1.0360608340970983</v>
      </c>
      <c r="F214"/>
    </row>
    <row r="215" spans="1:6" ht="15" hidden="1" outlineLevel="1" x14ac:dyDescent="0.2">
      <c r="A215" s="26">
        <v>50</v>
      </c>
      <c r="B215" s="25">
        <v>14442</v>
      </c>
      <c r="C215" s="25">
        <v>12388.930402930309</v>
      </c>
      <c r="D215" s="25">
        <f t="shared" si="10"/>
        <v>2053.0695970696906</v>
      </c>
      <c r="E215" s="18">
        <f t="shared" si="11"/>
        <v>1.0133525721779293</v>
      </c>
      <c r="F215"/>
    </row>
    <row r="216" spans="1:6" ht="15" hidden="1" outlineLevel="1" x14ac:dyDescent="0.2">
      <c r="A216" s="26">
        <v>32</v>
      </c>
      <c r="B216" s="25">
        <v>10826</v>
      </c>
      <c r="C216" s="25">
        <v>12752.368131868061</v>
      </c>
      <c r="D216" s="25">
        <f t="shared" si="10"/>
        <v>-1926.368131868061</v>
      </c>
      <c r="E216" s="18">
        <f t="shared" si="11"/>
        <v>-0.95081535675959328</v>
      </c>
      <c r="F216"/>
    </row>
    <row r="217" spans="1:6" ht="15" hidden="1" outlineLevel="1" x14ac:dyDescent="0.2">
      <c r="A217" s="26">
        <v>72</v>
      </c>
      <c r="B217" s="25">
        <v>21194</v>
      </c>
      <c r="C217" s="25">
        <v>19307.659340659244</v>
      </c>
      <c r="D217" s="25">
        <f t="shared" si="10"/>
        <v>1886.3406593407562</v>
      </c>
      <c r="E217" s="18">
        <f t="shared" si="11"/>
        <v>0.93105862649520332</v>
      </c>
      <c r="F217"/>
    </row>
    <row r="218" spans="1:6" ht="15" hidden="1" outlineLevel="1" x14ac:dyDescent="0.2">
      <c r="A218" s="26">
        <v>65</v>
      </c>
      <c r="B218" s="25">
        <v>16592</v>
      </c>
      <c r="C218" s="25">
        <v>18456.289377289286</v>
      </c>
      <c r="D218" s="25">
        <f t="shared" si="10"/>
        <v>-1864.2893772892858</v>
      </c>
      <c r="E218" s="18">
        <f t="shared" si="11"/>
        <v>-0.92017457102111111</v>
      </c>
      <c r="F218"/>
    </row>
    <row r="219" spans="1:6" ht="15" hidden="1" outlineLevel="1" x14ac:dyDescent="0.2">
      <c r="A219" s="26">
        <v>49</v>
      </c>
      <c r="B219" s="25">
        <v>15951</v>
      </c>
      <c r="C219" s="25">
        <v>14153.644688644614</v>
      </c>
      <c r="D219" s="25">
        <f t="shared" si="10"/>
        <v>1797.3553113553862</v>
      </c>
      <c r="E219" s="18">
        <f t="shared" si="11"/>
        <v>0.8871373042975409</v>
      </c>
      <c r="F219"/>
    </row>
    <row r="220" spans="1:6" ht="15" hidden="1" outlineLevel="1" x14ac:dyDescent="0.2">
      <c r="A220" s="26">
        <v>59</v>
      </c>
      <c r="B220" s="25">
        <v>15652</v>
      </c>
      <c r="C220" s="25">
        <v>13898.22893772884</v>
      </c>
      <c r="D220" s="25">
        <f t="shared" si="10"/>
        <v>1753.7710622711602</v>
      </c>
      <c r="E220" s="18">
        <f t="shared" si="11"/>
        <v>0.86562502289267196</v>
      </c>
      <c r="F220"/>
    </row>
    <row r="221" spans="1:6" ht="15" hidden="1" outlineLevel="1" x14ac:dyDescent="0.2">
      <c r="A221" s="26">
        <v>68</v>
      </c>
      <c r="B221" s="25">
        <v>20625</v>
      </c>
      <c r="C221" s="25">
        <v>22223.159340659258</v>
      </c>
      <c r="D221" s="25">
        <f t="shared" si="10"/>
        <v>-1598.1593406592583</v>
      </c>
      <c r="E221" s="18">
        <f t="shared" si="11"/>
        <v>-0.78881830451277679</v>
      </c>
      <c r="F221"/>
    </row>
    <row r="222" spans="1:6" ht="15" hidden="1" outlineLevel="1" x14ac:dyDescent="0.2">
      <c r="A222" s="26">
        <v>63</v>
      </c>
      <c r="B222" s="25">
        <v>14767</v>
      </c>
      <c r="C222" s="25">
        <v>16359.575091574996</v>
      </c>
      <c r="D222" s="25">
        <f t="shared" si="10"/>
        <v>-1592.5750915749959</v>
      </c>
      <c r="E222" s="18">
        <f t="shared" si="11"/>
        <v>-0.78606203498285132</v>
      </c>
      <c r="F222"/>
    </row>
    <row r="223" spans="1:6" ht="15" hidden="1" outlineLevel="1" x14ac:dyDescent="0.2">
      <c r="A223" s="26">
        <v>57</v>
      </c>
      <c r="B223" s="25">
        <v>18336</v>
      </c>
      <c r="C223" s="25">
        <v>16749.728937728854</v>
      </c>
      <c r="D223" s="25">
        <f t="shared" si="10"/>
        <v>1586.2710622711456</v>
      </c>
      <c r="E223" s="18">
        <f t="shared" si="11"/>
        <v>0.78295049686487439</v>
      </c>
      <c r="F223"/>
    </row>
    <row r="224" spans="1:6" ht="15" hidden="1" outlineLevel="1" x14ac:dyDescent="0.2">
      <c r="A224" s="26">
        <v>42</v>
      </c>
      <c r="B224" s="25">
        <v>13291</v>
      </c>
      <c r="C224" s="25">
        <v>14858.999999999891</v>
      </c>
      <c r="D224" s="25">
        <f t="shared" si="10"/>
        <v>-1567.9999999998909</v>
      </c>
      <c r="E224" s="18">
        <f t="shared" si="11"/>
        <v>-0.77393227947203724</v>
      </c>
      <c r="F224"/>
    </row>
    <row r="225" spans="1:6" ht="15" hidden="1" outlineLevel="1" x14ac:dyDescent="0.2">
      <c r="A225" s="26">
        <v>52</v>
      </c>
      <c r="B225" s="25">
        <v>14409</v>
      </c>
      <c r="C225" s="25">
        <v>12857.073260073179</v>
      </c>
      <c r="D225" s="25">
        <f t="shared" si="10"/>
        <v>1551.926739926821</v>
      </c>
      <c r="E225" s="18">
        <f t="shared" si="11"/>
        <v>0.76599885166151516</v>
      </c>
      <c r="F225"/>
    </row>
    <row r="226" spans="1:6" ht="15" hidden="1" outlineLevel="1" x14ac:dyDescent="0.2">
      <c r="A226" s="26">
        <v>73</v>
      </c>
      <c r="B226" s="25">
        <v>21992</v>
      </c>
      <c r="C226" s="25">
        <v>20467.505494505414</v>
      </c>
      <c r="D226" s="25">
        <f t="shared" ref="D226:D257" si="12">B226 - C226</f>
        <v>1524.4945054945856</v>
      </c>
      <c r="E226" s="18">
        <f t="shared" ref="E226:E257" si="13">D226 /2026.01705806812</f>
        <v>0.75245886969394316</v>
      </c>
      <c r="F226"/>
    </row>
    <row r="227" spans="1:6" ht="15" hidden="1" outlineLevel="1" x14ac:dyDescent="0.2">
      <c r="A227" s="26">
        <v>8</v>
      </c>
      <c r="B227" s="25">
        <v>7937</v>
      </c>
      <c r="C227" s="25">
        <v>6438.5073260072568</v>
      </c>
      <c r="D227" s="25">
        <f t="shared" si="12"/>
        <v>1498.4926739927432</v>
      </c>
      <c r="E227" s="18">
        <f t="shared" si="13"/>
        <v>0.73962490494606681</v>
      </c>
      <c r="F227"/>
    </row>
    <row r="228" spans="1:6" ht="15" hidden="1" outlineLevel="1" x14ac:dyDescent="0.2">
      <c r="A228" s="26">
        <v>21</v>
      </c>
      <c r="B228" s="25">
        <v>5803</v>
      </c>
      <c r="C228" s="25">
        <v>7278.9377289376534</v>
      </c>
      <c r="D228" s="25">
        <f t="shared" si="12"/>
        <v>-1475.9377289376534</v>
      </c>
      <c r="E228" s="18">
        <f t="shared" si="13"/>
        <v>-0.72849225185942568</v>
      </c>
      <c r="F228"/>
    </row>
    <row r="229" spans="1:6" ht="15" hidden="1" outlineLevel="1" x14ac:dyDescent="0.2">
      <c r="A229" s="26">
        <v>48</v>
      </c>
      <c r="B229" s="25">
        <v>11589</v>
      </c>
      <c r="C229" s="25">
        <v>12993.798534798443</v>
      </c>
      <c r="D229" s="25">
        <f t="shared" si="12"/>
        <v>-1404.7985347984431</v>
      </c>
      <c r="E229" s="18">
        <f t="shared" si="13"/>
        <v>-0.6933794210686306</v>
      </c>
      <c r="F229"/>
    </row>
    <row r="230" spans="1:6" ht="15" hidden="1" outlineLevel="1" x14ac:dyDescent="0.2">
      <c r="A230" s="26">
        <v>74</v>
      </c>
      <c r="B230" s="25">
        <v>20106</v>
      </c>
      <c r="C230" s="25">
        <v>18702.79120879111</v>
      </c>
      <c r="D230" s="25">
        <f t="shared" si="12"/>
        <v>1403.20879120889</v>
      </c>
      <c r="E230" s="18">
        <f t="shared" si="13"/>
        <v>0.69259475660432002</v>
      </c>
      <c r="F230"/>
    </row>
    <row r="231" spans="1:6" ht="15" hidden="1" outlineLevel="1" x14ac:dyDescent="0.2">
      <c r="A231" s="26">
        <v>12</v>
      </c>
      <c r="B231" s="25">
        <v>2133</v>
      </c>
      <c r="C231" s="25">
        <v>3523.0073260072422</v>
      </c>
      <c r="D231" s="25">
        <f t="shared" si="12"/>
        <v>-1390.0073260072422</v>
      </c>
      <c r="E231" s="18">
        <f t="shared" si="13"/>
        <v>-0.68607878718092541</v>
      </c>
      <c r="F231"/>
    </row>
    <row r="232" spans="1:6" ht="15" hidden="1" outlineLevel="1" x14ac:dyDescent="0.2">
      <c r="A232" s="26">
        <v>19</v>
      </c>
      <c r="B232" s="25">
        <v>12003</v>
      </c>
      <c r="C232" s="25">
        <v>10681.937728937657</v>
      </c>
      <c r="D232" s="25">
        <f t="shared" si="12"/>
        <v>1321.0622710623429</v>
      </c>
      <c r="E232" s="18">
        <f t="shared" si="13"/>
        <v>0.65204893798970442</v>
      </c>
      <c r="F232"/>
    </row>
    <row r="233" spans="1:6" ht="15" hidden="1" outlineLevel="1" x14ac:dyDescent="0.2">
      <c r="A233" s="26">
        <v>36</v>
      </c>
      <c r="B233" s="25">
        <v>8594</v>
      </c>
      <c r="C233" s="25">
        <v>9836.8681318680392</v>
      </c>
      <c r="D233" s="25">
        <f t="shared" si="12"/>
        <v>-1242.8681318680392</v>
      </c>
      <c r="E233" s="18">
        <f t="shared" si="13"/>
        <v>-0.6134539326402112</v>
      </c>
      <c r="F233"/>
    </row>
    <row r="234" spans="1:6" ht="15" hidden="1" outlineLevel="1" x14ac:dyDescent="0.2">
      <c r="A234" s="26">
        <v>22</v>
      </c>
      <c r="B234" s="25">
        <v>4621</v>
      </c>
      <c r="C234" s="25">
        <v>3410.6043956043322</v>
      </c>
      <c r="D234" s="25">
        <f t="shared" si="12"/>
        <v>1210.3956043956678</v>
      </c>
      <c r="E234" s="18">
        <f t="shared" si="13"/>
        <v>0.59742616656437408</v>
      </c>
      <c r="F234"/>
    </row>
    <row r="235" spans="1:6" ht="15" hidden="1" outlineLevel="1" x14ac:dyDescent="0.2">
      <c r="A235" s="26">
        <v>15</v>
      </c>
      <c r="B235" s="25">
        <v>2555</v>
      </c>
      <c r="C235" s="25">
        <v>3731.8534798533947</v>
      </c>
      <c r="D235" s="25">
        <f t="shared" si="12"/>
        <v>-1176.8534798533947</v>
      </c>
      <c r="E235" s="18">
        <f t="shared" si="13"/>
        <v>-0.58087046955841859</v>
      </c>
      <c r="F235"/>
    </row>
    <row r="236" spans="1:6" ht="15" hidden="1" outlineLevel="1" x14ac:dyDescent="0.2">
      <c r="A236" s="26">
        <v>30</v>
      </c>
      <c r="B236" s="25">
        <v>10582</v>
      </c>
      <c r="C236" s="25">
        <v>11702.069597069494</v>
      </c>
      <c r="D236" s="25">
        <f t="shared" si="12"/>
        <v>-1120.0695970694942</v>
      </c>
      <c r="E236" s="18">
        <f t="shared" si="13"/>
        <v>-0.55284312272154357</v>
      </c>
      <c r="F236"/>
    </row>
    <row r="237" spans="1:6" ht="15" hidden="1" outlineLevel="1" x14ac:dyDescent="0.2">
      <c r="A237" s="26">
        <v>4</v>
      </c>
      <c r="B237" s="25">
        <v>1314</v>
      </c>
      <c r="C237" s="24">
        <v>229.35164835157775</v>
      </c>
      <c r="D237" s="25">
        <f t="shared" si="12"/>
        <v>1084.6483516484222</v>
      </c>
      <c r="E237" s="18">
        <f t="shared" si="13"/>
        <v>0.53535993062302911</v>
      </c>
      <c r="F237"/>
    </row>
    <row r="238" spans="1:6" ht="15" hidden="1" outlineLevel="1" x14ac:dyDescent="0.2">
      <c r="A238" s="26">
        <v>40</v>
      </c>
      <c r="B238" s="25">
        <v>10778</v>
      </c>
      <c r="C238" s="25">
        <v>9700.1428571427823</v>
      </c>
      <c r="D238" s="25">
        <f t="shared" si="12"/>
        <v>1077.8571428572177</v>
      </c>
      <c r="E238" s="18">
        <f t="shared" si="13"/>
        <v>0.53200793081426134</v>
      </c>
      <c r="F238"/>
    </row>
    <row r="239" spans="1:6" ht="15" hidden="1" outlineLevel="1" x14ac:dyDescent="0.2">
      <c r="A239" s="26">
        <v>10</v>
      </c>
      <c r="B239" s="25">
        <v>1259</v>
      </c>
      <c r="C239" s="24">
        <v>253.67399267393193</v>
      </c>
      <c r="D239" s="25">
        <f t="shared" si="12"/>
        <v>1005.3260073260681</v>
      </c>
      <c r="E239" s="18">
        <f t="shared" si="13"/>
        <v>0.49620806662145411</v>
      </c>
      <c r="F239"/>
    </row>
    <row r="240" spans="1:6" ht="15" hidden="1" outlineLevel="1" x14ac:dyDescent="0.2">
      <c r="A240" s="26">
        <v>11</v>
      </c>
      <c r="B240" s="25">
        <v>2241</v>
      </c>
      <c r="C240" s="25">
        <v>1270.5073260072422</v>
      </c>
      <c r="D240" s="24">
        <f t="shared" si="12"/>
        <v>970.49267399275777</v>
      </c>
      <c r="E240" s="18">
        <f t="shared" si="13"/>
        <v>0.47901505573608416</v>
      </c>
      <c r="F240"/>
    </row>
    <row r="241" spans="1:6" ht="15" hidden="1" outlineLevel="1" x14ac:dyDescent="0.2">
      <c r="A241" s="26">
        <v>41</v>
      </c>
      <c r="B241" s="25">
        <v>13077</v>
      </c>
      <c r="C241" s="25">
        <v>12142.428571428485</v>
      </c>
      <c r="D241" s="24">
        <f t="shared" si="12"/>
        <v>934.57142857151484</v>
      </c>
      <c r="E241" s="18">
        <f t="shared" si="13"/>
        <v>0.4612850740075517</v>
      </c>
      <c r="F241"/>
    </row>
    <row r="242" spans="1:6" ht="15" hidden="1" outlineLevel="1" x14ac:dyDescent="0.2">
      <c r="A242" s="26">
        <v>5</v>
      </c>
      <c r="B242" s="25">
        <v>1761</v>
      </c>
      <c r="C242" s="25">
        <v>2671.6373626372915</v>
      </c>
      <c r="D242" s="24">
        <f t="shared" si="12"/>
        <v>-910.63736263729152</v>
      </c>
      <c r="E242" s="18">
        <f t="shared" si="13"/>
        <v>-0.44947171545812009</v>
      </c>
      <c r="F242"/>
    </row>
    <row r="243" spans="1:6" ht="15" hidden="1" outlineLevel="1" x14ac:dyDescent="0.2">
      <c r="A243" s="26">
        <v>6</v>
      </c>
      <c r="B243" s="25">
        <v>4481</v>
      </c>
      <c r="C243" s="25">
        <v>5388.2087912086972</v>
      </c>
      <c r="D243" s="24">
        <f t="shared" si="12"/>
        <v>-907.20879120869722</v>
      </c>
      <c r="E243" s="18">
        <f t="shared" si="13"/>
        <v>-0.44777944370999195</v>
      </c>
      <c r="F243"/>
    </row>
    <row r="244" spans="1:6" ht="15" hidden="1" outlineLevel="1" x14ac:dyDescent="0.2">
      <c r="A244" s="26">
        <v>37</v>
      </c>
      <c r="B244" s="25">
        <v>10096</v>
      </c>
      <c r="C244" s="25">
        <v>10996.714285714217</v>
      </c>
      <c r="D244" s="24">
        <f t="shared" si="12"/>
        <v>-900.71428571421711</v>
      </c>
      <c r="E244" s="18">
        <f t="shared" si="13"/>
        <v>-0.44457389049482166</v>
      </c>
      <c r="F244"/>
    </row>
    <row r="245" spans="1:6" ht="15" hidden="1" outlineLevel="1" x14ac:dyDescent="0.2">
      <c r="A245" s="26">
        <v>44</v>
      </c>
      <c r="B245" s="25">
        <v>16794</v>
      </c>
      <c r="C245" s="25">
        <v>15909.298534798458</v>
      </c>
      <c r="D245" s="24">
        <f t="shared" si="12"/>
        <v>884.70146520154231</v>
      </c>
      <c r="E245" s="18">
        <f t="shared" si="13"/>
        <v>0.43667029439778604</v>
      </c>
      <c r="F245"/>
    </row>
    <row r="246" spans="1:6" ht="15" hidden="1" outlineLevel="1" x14ac:dyDescent="0.2">
      <c r="A246" s="26">
        <v>29</v>
      </c>
      <c r="B246" s="25">
        <v>8148</v>
      </c>
      <c r="C246" s="25">
        <v>8985.4981684980885</v>
      </c>
      <c r="D246" s="24">
        <f t="shared" si="12"/>
        <v>-837.49816849808849</v>
      </c>
      <c r="E246" s="18">
        <f t="shared" si="13"/>
        <v>-0.41337172614759377</v>
      </c>
      <c r="F246"/>
    </row>
    <row r="247" spans="1:6" ht="15" hidden="1" outlineLevel="1" x14ac:dyDescent="0.2">
      <c r="A247" s="26">
        <v>54</v>
      </c>
      <c r="B247" s="25">
        <v>17311</v>
      </c>
      <c r="C247" s="25">
        <v>18015.930402930295</v>
      </c>
      <c r="D247" s="24">
        <f t="shared" si="12"/>
        <v>-704.9304029302948</v>
      </c>
      <c r="E247" s="18">
        <f t="shared" si="13"/>
        <v>-0.34793902653636649</v>
      </c>
      <c r="F247"/>
    </row>
    <row r="248" spans="1:6" ht="15" hidden="1" outlineLevel="1" x14ac:dyDescent="0.2">
      <c r="A248" s="26">
        <v>20</v>
      </c>
      <c r="B248" s="25">
        <v>10299</v>
      </c>
      <c r="C248" s="25">
        <v>9595.4377289376571</v>
      </c>
      <c r="D248" s="24">
        <f t="shared" si="12"/>
        <v>703.56227106234292</v>
      </c>
      <c r="E248" s="18">
        <f t="shared" si="13"/>
        <v>0.3472637450215818</v>
      </c>
      <c r="F248"/>
    </row>
    <row r="249" spans="1:6" ht="15" hidden="1" outlineLevel="1" x14ac:dyDescent="0.2">
      <c r="A249" s="26">
        <v>39</v>
      </c>
      <c r="B249" s="25">
        <v>10717</v>
      </c>
      <c r="C249" s="25">
        <v>10045.714285714195</v>
      </c>
      <c r="D249" s="24">
        <f t="shared" si="12"/>
        <v>671.28571428580472</v>
      </c>
      <c r="E249" s="18">
        <f t="shared" si="13"/>
        <v>0.3313327060167498</v>
      </c>
      <c r="F249"/>
    </row>
    <row r="250" spans="1:6" ht="15" hidden="1" outlineLevel="1" x14ac:dyDescent="0.2">
      <c r="A250" s="26">
        <v>24</v>
      </c>
      <c r="B250" s="25">
        <v>6013</v>
      </c>
      <c r="C250" s="25">
        <v>6679.9377289376425</v>
      </c>
      <c r="D250" s="24">
        <f t="shared" si="12"/>
        <v>-666.93772893764253</v>
      </c>
      <c r="E250" s="18">
        <f t="shared" si="13"/>
        <v>-0.32918663062668962</v>
      </c>
      <c r="F250"/>
    </row>
    <row r="251" spans="1:6" ht="15" hidden="1" outlineLevel="1" x14ac:dyDescent="0.2">
      <c r="A251" s="26">
        <v>64</v>
      </c>
      <c r="B251" s="25">
        <v>15371</v>
      </c>
      <c r="C251" s="25">
        <v>16014.003663003583</v>
      </c>
      <c r="D251" s="24">
        <f t="shared" si="12"/>
        <v>-643.00366300358291</v>
      </c>
      <c r="E251" s="18">
        <f t="shared" si="13"/>
        <v>-0.31737327207733879</v>
      </c>
      <c r="F251"/>
    </row>
    <row r="252" spans="1:6" ht="15" hidden="1" outlineLevel="1" x14ac:dyDescent="0.2">
      <c r="A252" s="26">
        <v>46</v>
      </c>
      <c r="B252" s="25">
        <v>9107</v>
      </c>
      <c r="C252" s="25">
        <v>9724.4652014651365</v>
      </c>
      <c r="D252" s="24">
        <f t="shared" si="12"/>
        <v>-617.46520146513649</v>
      </c>
      <c r="E252" s="18">
        <f t="shared" si="13"/>
        <v>-0.30476801713304019</v>
      </c>
      <c r="F252"/>
    </row>
    <row r="253" spans="1:6" ht="15" hidden="1" outlineLevel="1" x14ac:dyDescent="0.2">
      <c r="A253" s="26">
        <v>61</v>
      </c>
      <c r="B253" s="25">
        <v>17864</v>
      </c>
      <c r="C253" s="25">
        <v>17310.57509157501</v>
      </c>
      <c r="D253" s="24">
        <f t="shared" si="12"/>
        <v>553.42490842498955</v>
      </c>
      <c r="E253" s="18">
        <f t="shared" si="13"/>
        <v>0.27315905669259277</v>
      </c>
      <c r="F253"/>
    </row>
    <row r="254" spans="1:6" ht="15" hidden="1" outlineLevel="1" x14ac:dyDescent="0.2">
      <c r="A254" s="26">
        <v>55</v>
      </c>
      <c r="B254" s="25">
        <v>19612</v>
      </c>
      <c r="C254" s="25">
        <v>20152.728937728862</v>
      </c>
      <c r="D254" s="24">
        <f t="shared" si="12"/>
        <v>-540.72893772886164</v>
      </c>
      <c r="E254" s="18">
        <f t="shared" si="13"/>
        <v>-0.26689258887309969</v>
      </c>
      <c r="F254"/>
    </row>
    <row r="255" spans="1:6" ht="15" hidden="1" outlineLevel="1" x14ac:dyDescent="0.2">
      <c r="A255" s="26">
        <v>53</v>
      </c>
      <c r="B255" s="25">
        <v>15758</v>
      </c>
      <c r="C255" s="25">
        <v>15299.358974358882</v>
      </c>
      <c r="D255" s="24">
        <f t="shared" si="12"/>
        <v>458.64102564111818</v>
      </c>
      <c r="E255" s="18">
        <f t="shared" si="13"/>
        <v>0.22637569798077065</v>
      </c>
      <c r="F255"/>
    </row>
    <row r="256" spans="1:6" ht="15" hidden="1" outlineLevel="1" x14ac:dyDescent="0.2">
      <c r="A256" s="26">
        <v>45</v>
      </c>
      <c r="B256" s="25">
        <v>14032</v>
      </c>
      <c r="C256" s="25">
        <v>13592.798534798458</v>
      </c>
      <c r="D256" s="24">
        <f t="shared" si="12"/>
        <v>439.20146520154231</v>
      </c>
      <c r="E256" s="18">
        <f t="shared" si="13"/>
        <v>0.21678073412685711</v>
      </c>
      <c r="F256"/>
    </row>
    <row r="257" spans="1:6" ht="15" hidden="1" outlineLevel="1" x14ac:dyDescent="0.2">
      <c r="A257" s="26">
        <v>56</v>
      </c>
      <c r="B257" s="25">
        <v>19504</v>
      </c>
      <c r="C257" s="25">
        <v>19066.228937728862</v>
      </c>
      <c r="D257" s="24">
        <f t="shared" si="12"/>
        <v>437.77106227113836</v>
      </c>
      <c r="E257" s="18">
        <f t="shared" si="13"/>
        <v>0.21607471690715616</v>
      </c>
      <c r="F257"/>
    </row>
    <row r="258" spans="1:6" ht="15" hidden="1" outlineLevel="1" x14ac:dyDescent="0.2">
      <c r="A258" s="26">
        <v>35</v>
      </c>
      <c r="B258" s="25">
        <v>7969</v>
      </c>
      <c r="C258" s="25">
        <v>7584.3681318680392</v>
      </c>
      <c r="D258" s="24">
        <f t="shared" ref="D258:D271" si="14">B258 - C258</f>
        <v>384.6318681319608</v>
      </c>
      <c r="E258" s="18">
        <f t="shared" ref="E258:E271" si="15">D258 /2026.01705806812</f>
        <v>0.18984631279399056</v>
      </c>
      <c r="F258"/>
    </row>
    <row r="259" spans="1:6" ht="15" hidden="1" outlineLevel="1" x14ac:dyDescent="0.2">
      <c r="A259" s="26">
        <v>34</v>
      </c>
      <c r="B259" s="25">
        <v>6183</v>
      </c>
      <c r="C259" s="25">
        <v>6567.5347985347289</v>
      </c>
      <c r="D259" s="24">
        <f t="shared" si="14"/>
        <v>-384.53479853472891</v>
      </c>
      <c r="E259" s="18">
        <f t="shared" si="15"/>
        <v>-0.18979840125403319</v>
      </c>
      <c r="F259"/>
    </row>
    <row r="260" spans="1:6" ht="15" hidden="1" outlineLevel="1" x14ac:dyDescent="0.2">
      <c r="A260" s="26">
        <v>75</v>
      </c>
      <c r="B260" s="25">
        <v>19194</v>
      </c>
      <c r="C260" s="25">
        <v>19516.505494505393</v>
      </c>
      <c r="D260" s="24">
        <f t="shared" si="14"/>
        <v>-322.50549450539256</v>
      </c>
      <c r="E260" s="18">
        <f t="shared" si="15"/>
        <v>-0.15918202328114311</v>
      </c>
      <c r="F260"/>
    </row>
    <row r="261" spans="1:6" ht="15" hidden="1" outlineLevel="1" x14ac:dyDescent="0.2">
      <c r="A261" s="26">
        <v>16</v>
      </c>
      <c r="B261" s="25">
        <v>3098</v>
      </c>
      <c r="C261" s="25">
        <v>3386.2820512819781</v>
      </c>
      <c r="D261" s="24">
        <f t="shared" si="14"/>
        <v>-288.28205128197806</v>
      </c>
      <c r="E261" s="18">
        <f t="shared" si="15"/>
        <v>-0.14229004150481603</v>
      </c>
      <c r="F261"/>
    </row>
    <row r="262" spans="1:6" ht="15" hidden="1" outlineLevel="1" x14ac:dyDescent="0.2">
      <c r="A262" s="26">
        <v>1</v>
      </c>
      <c r="B262" s="25">
        <v>1798</v>
      </c>
      <c r="C262" s="25">
        <v>1525.9230769230162</v>
      </c>
      <c r="D262" s="24">
        <f t="shared" si="14"/>
        <v>272.0769230769838</v>
      </c>
      <c r="E262" s="18">
        <f t="shared" si="15"/>
        <v>0.13429152631933855</v>
      </c>
      <c r="F262"/>
    </row>
    <row r="263" spans="1:6" ht="15" hidden="1" outlineLevel="1" x14ac:dyDescent="0.2">
      <c r="A263" s="26">
        <v>69</v>
      </c>
      <c r="B263" s="25">
        <v>19655</v>
      </c>
      <c r="C263" s="25">
        <v>19906.659340659251</v>
      </c>
      <c r="D263" s="24">
        <f t="shared" si="14"/>
        <v>-251.65934065925103</v>
      </c>
      <c r="E263" s="18">
        <f t="shared" si="15"/>
        <v>-0.12421383110131227</v>
      </c>
      <c r="F263"/>
    </row>
    <row r="264" spans="1:6" ht="15" hidden="1" outlineLevel="1" x14ac:dyDescent="0.2">
      <c r="A264" s="26">
        <v>66</v>
      </c>
      <c r="B264" s="25">
        <v>20928</v>
      </c>
      <c r="C264" s="25">
        <v>21172.860805860691</v>
      </c>
      <c r="D264" s="24">
        <f t="shared" si="14"/>
        <v>-244.86080586069147</v>
      </c>
      <c r="E264" s="18">
        <f t="shared" si="15"/>
        <v>-0.12085821532725645</v>
      </c>
      <c r="F264"/>
    </row>
    <row r="265" spans="1:6" ht="15" hidden="1" outlineLevel="1" x14ac:dyDescent="0.2">
      <c r="A265" s="26">
        <v>31</v>
      </c>
      <c r="B265" s="25">
        <v>14049</v>
      </c>
      <c r="C265" s="25">
        <v>13838.868131868061</v>
      </c>
      <c r="D265" s="24">
        <f t="shared" si="14"/>
        <v>210.13186813193897</v>
      </c>
      <c r="E265" s="18">
        <f t="shared" si="15"/>
        <v>0.1037167319471176</v>
      </c>
      <c r="F265"/>
    </row>
    <row r="266" spans="1:6" ht="15" hidden="1" outlineLevel="1" x14ac:dyDescent="0.2">
      <c r="A266" s="26">
        <v>14</v>
      </c>
      <c r="B266" s="25">
        <v>3096</v>
      </c>
      <c r="C266" s="25">
        <v>2918.1391941391121</v>
      </c>
      <c r="D266" s="24">
        <f t="shared" si="14"/>
        <v>177.86080586088792</v>
      </c>
      <c r="E266" s="18">
        <f t="shared" si="15"/>
        <v>8.7788404916237281E-2</v>
      </c>
      <c r="F266"/>
    </row>
    <row r="267" spans="1:6" ht="15" hidden="1" outlineLevel="1" x14ac:dyDescent="0.2">
      <c r="A267" s="26">
        <v>23</v>
      </c>
      <c r="B267" s="25">
        <v>4250</v>
      </c>
      <c r="C267" s="25">
        <v>4427.4377289376425</v>
      </c>
      <c r="D267" s="24">
        <f t="shared" si="14"/>
        <v>-177.43772893764253</v>
      </c>
      <c r="E267" s="18">
        <f t="shared" si="15"/>
        <v>-8.7579582921594831E-2</v>
      </c>
      <c r="F267"/>
    </row>
    <row r="268" spans="1:6" ht="15" hidden="1" outlineLevel="1" x14ac:dyDescent="0.2">
      <c r="A268" s="26">
        <v>13</v>
      </c>
      <c r="B268" s="25">
        <v>4595</v>
      </c>
      <c r="C268" s="25">
        <v>4682.8534798534165</v>
      </c>
      <c r="D268" s="24">
        <f t="shared" si="14"/>
        <v>-87.853479853416502</v>
      </c>
      <c r="E268" s="18">
        <f t="shared" si="15"/>
        <v>-4.3362655562825293E-2</v>
      </c>
      <c r="F268"/>
    </row>
    <row r="269" spans="1:6" ht="15" hidden="1" outlineLevel="1" x14ac:dyDescent="0.2">
      <c r="A269" s="26">
        <v>71</v>
      </c>
      <c r="B269" s="25">
        <v>16980</v>
      </c>
      <c r="C269" s="25">
        <v>17055.159340659244</v>
      </c>
      <c r="D269" s="24">
        <f t="shared" si="14"/>
        <v>-75.159340659243753</v>
      </c>
      <c r="E269" s="18">
        <f t="shared" si="15"/>
        <v>-3.7097091734711693E-2</v>
      </c>
      <c r="F269"/>
    </row>
    <row r="270" spans="1:6" ht="15" hidden="1" outlineLevel="1" x14ac:dyDescent="0.2">
      <c r="A270" s="26">
        <v>76</v>
      </c>
      <c r="B270" s="25">
        <v>19240</v>
      </c>
      <c r="C270" s="25">
        <v>19170.93406593398</v>
      </c>
      <c r="D270" s="24">
        <f t="shared" si="14"/>
        <v>69.065934066020418</v>
      </c>
      <c r="E270" s="18">
        <f t="shared" si="15"/>
        <v>3.4089512618357354E-2</v>
      </c>
      <c r="F270"/>
    </row>
    <row r="271" spans="1:6" ht="15" hidden="1" outlineLevel="1" x14ac:dyDescent="0.2">
      <c r="A271" s="26">
        <v>17</v>
      </c>
      <c r="B271" s="25">
        <v>5787</v>
      </c>
      <c r="C271" s="25">
        <v>5828.5677655676882</v>
      </c>
      <c r="D271" s="24">
        <f t="shared" si="14"/>
        <v>-41.567765567688184</v>
      </c>
      <c r="E271" s="18">
        <f t="shared" si="15"/>
        <v>-2.0516986963241338E-2</v>
      </c>
      <c r="F271"/>
    </row>
    <row r="272" spans="1:6" collapsed="1" x14ac:dyDescent="0.15"/>
  </sheetData>
  <sortState xmlns:xlrd2="http://schemas.microsoft.com/office/spreadsheetml/2017/richdata2" ref="A194:F271">
    <sortCondition descending="1" ref="F194"/>
    <sortCondition ref="A1"/>
  </sortState>
  <dataValidations count="1">
    <dataValidation type="decimal" allowBlank="1" showInputMessage="1" showErrorMessage="1" error="Please enter a confidence level between 0 and 1." prompt="Confidence level can be adjusted between 0 and 100% to dynamically change confidence limits on this sheet." sqref="I10" xr:uid="{00000000-0002-0000-0A00-000000000000}">
      <formula1>0</formula1>
      <formula2>1</formula2>
    </dataValidation>
  </dataValidations>
  <pageMargins left="0.7" right="0.7" top="0.75" bottom="0.75" header="0.3" footer="0.3"/>
  <pageSetup fitToHeight="0" orientation="portrait" horizontalDpi="0" verticalDpi="0" r:id="rId1"/>
  <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70"/>
  <sheetViews>
    <sheetView showGridLines="0" showRowColHeaders="0" workbookViewId="0">
      <pane xSplit="1" topLeftCell="B1" activePane="topRight" state="frozenSplit"/>
      <selection pane="topRight"/>
    </sheetView>
  </sheetViews>
  <sheetFormatPr baseColWidth="10" defaultColWidth="9.1640625" defaultRowHeight="11" x14ac:dyDescent="0.15"/>
  <cols>
    <col min="1" max="1" width="38.83203125" style="38" bestFit="1" customWidth="1"/>
    <col min="2" max="6" width="21.33203125" style="38" customWidth="1"/>
    <col min="7" max="16384" width="9.1640625" style="38"/>
  </cols>
  <sheetData>
    <row r="1" spans="1:6" x14ac:dyDescent="0.15">
      <c r="A1" s="39" t="s">
        <v>155</v>
      </c>
    </row>
    <row r="3" spans="1:6" x14ac:dyDescent="0.15">
      <c r="A3" s="41" t="s">
        <v>156</v>
      </c>
    </row>
    <row r="4" spans="1:6" x14ac:dyDescent="0.15">
      <c r="A4" s="40" t="s">
        <v>157</v>
      </c>
      <c r="B4" s="38" t="s">
        <v>95</v>
      </c>
      <c r="C4" s="38" t="s">
        <v>166</v>
      </c>
      <c r="D4" s="38" t="s">
        <v>181</v>
      </c>
      <c r="E4" s="38" t="s">
        <v>194</v>
      </c>
      <c r="F4" s="38" t="s">
        <v>210</v>
      </c>
    </row>
    <row r="5" spans="1:6" x14ac:dyDescent="0.15">
      <c r="A5" s="40" t="s">
        <v>158</v>
      </c>
      <c r="B5" s="43">
        <v>42279.40902777778</v>
      </c>
      <c r="C5" s="43">
        <v>42279.414583333331</v>
      </c>
      <c r="D5" s="43">
        <v>42279.418055555558</v>
      </c>
      <c r="E5" s="43">
        <v>42279.42291666667</v>
      </c>
      <c r="F5" s="43">
        <v>42279.427083333336</v>
      </c>
    </row>
    <row r="6" spans="1:6" x14ac:dyDescent="0.15">
      <c r="A6" s="42" t="s">
        <v>159</v>
      </c>
    </row>
    <row r="7" spans="1:6" x14ac:dyDescent="0.15">
      <c r="A7" s="40" t="s">
        <v>160</v>
      </c>
      <c r="B7" s="38">
        <v>0.90746651469155826</v>
      </c>
      <c r="C7" s="38">
        <v>0.94626519172333134</v>
      </c>
      <c r="D7" s="38">
        <v>0.97387650526161884</v>
      </c>
      <c r="E7" s="38">
        <v>0.9870560778862626</v>
      </c>
      <c r="F7" s="38">
        <v>0.9919170602486681</v>
      </c>
    </row>
    <row r="8" spans="1:6" x14ac:dyDescent="0.15">
      <c r="A8" s="40" t="s">
        <v>161</v>
      </c>
      <c r="B8" s="38">
        <v>0.90692538319852645</v>
      </c>
      <c r="C8" s="38">
        <v>0.94563301750831175</v>
      </c>
      <c r="D8" s="38">
        <v>0.97317046486328418</v>
      </c>
      <c r="E8" s="38">
        <v>0.98652413588158849</v>
      </c>
      <c r="F8" s="38">
        <v>0.99009188030481898</v>
      </c>
    </row>
    <row r="9" spans="1:6" x14ac:dyDescent="0.15">
      <c r="A9" s="40" t="s">
        <v>162</v>
      </c>
      <c r="B9" s="38">
        <v>698.54064670497417</v>
      </c>
      <c r="C9" s="38">
        <v>533.88002004261693</v>
      </c>
      <c r="D9" s="38">
        <v>420.11874207147218</v>
      </c>
      <c r="E9" s="38">
        <v>297.74453169755236</v>
      </c>
      <c r="F9" s="38">
        <v>255.30604899121755</v>
      </c>
    </row>
    <row r="10" spans="1:6" x14ac:dyDescent="0.15">
      <c r="A10" s="40" t="s">
        <v>39</v>
      </c>
      <c r="B10" s="44">
        <v>173</v>
      </c>
      <c r="C10" s="44">
        <v>173</v>
      </c>
      <c r="D10" s="44">
        <v>77</v>
      </c>
      <c r="E10" s="44">
        <v>77</v>
      </c>
      <c r="F10" s="44">
        <v>77</v>
      </c>
    </row>
    <row r="11" spans="1:6" x14ac:dyDescent="0.15">
      <c r="A11" s="42" t="s">
        <v>163</v>
      </c>
    </row>
    <row r="12" spans="1:6" x14ac:dyDescent="0.15">
      <c r="A12" s="40" t="s">
        <v>114</v>
      </c>
      <c r="B12" s="38" t="s">
        <v>164</v>
      </c>
      <c r="C12" s="38" t="s">
        <v>178</v>
      </c>
      <c r="D12" s="38" t="s">
        <v>191</v>
      </c>
      <c r="E12" s="38" t="s">
        <v>206</v>
      </c>
      <c r="F12" s="38" t="s">
        <v>232</v>
      </c>
    </row>
    <row r="13" spans="1:6" x14ac:dyDescent="0.15">
      <c r="A13" s="40" t="s">
        <v>50</v>
      </c>
    </row>
    <row r="14" spans="1:6" x14ac:dyDescent="0.15">
      <c r="A14" s="40" t="s">
        <v>51</v>
      </c>
    </row>
    <row r="15" spans="1:6" x14ac:dyDescent="0.15">
      <c r="A15" s="40" t="s">
        <v>52</v>
      </c>
    </row>
    <row r="16" spans="1:6" x14ac:dyDescent="0.15">
      <c r="A16" s="40" t="s">
        <v>48</v>
      </c>
    </row>
    <row r="17" spans="1:6" x14ac:dyDescent="0.15">
      <c r="A17" s="40" t="s">
        <v>77</v>
      </c>
    </row>
    <row r="18" spans="1:6" x14ac:dyDescent="0.15">
      <c r="A18" s="40" t="s">
        <v>78</v>
      </c>
      <c r="B18" s="38" t="s">
        <v>165</v>
      </c>
      <c r="C18" s="38" t="s">
        <v>179</v>
      </c>
      <c r="D18" s="38" t="s">
        <v>192</v>
      </c>
      <c r="E18" s="38" t="s">
        <v>207</v>
      </c>
      <c r="F18" s="38" t="s">
        <v>233</v>
      </c>
    </row>
    <row r="19" spans="1:6" x14ac:dyDescent="0.15">
      <c r="A19" s="40" t="s">
        <v>36</v>
      </c>
      <c r="E19" s="38" t="s">
        <v>208</v>
      </c>
      <c r="F19" s="38" t="s">
        <v>234</v>
      </c>
    </row>
    <row r="20" spans="1:6" x14ac:dyDescent="0.15">
      <c r="A20" s="40" t="s">
        <v>79</v>
      </c>
    </row>
    <row r="21" spans="1:6" x14ac:dyDescent="0.15">
      <c r="A21" s="40" t="s">
        <v>80</v>
      </c>
    </row>
    <row r="22" spans="1:6" x14ac:dyDescent="0.15">
      <c r="A22" s="40" t="s">
        <v>81</v>
      </c>
    </row>
    <row r="23" spans="1:6" x14ac:dyDescent="0.15">
      <c r="A23" s="40" t="s">
        <v>24</v>
      </c>
      <c r="F23" s="38" t="s">
        <v>235</v>
      </c>
    </row>
    <row r="24" spans="1:6" x14ac:dyDescent="0.15">
      <c r="A24" s="40" t="s">
        <v>25</v>
      </c>
      <c r="F24" s="38" t="s">
        <v>236</v>
      </c>
    </row>
    <row r="25" spans="1:6" x14ac:dyDescent="0.15">
      <c r="A25" s="40" t="s">
        <v>26</v>
      </c>
      <c r="F25" s="38" t="s">
        <v>237</v>
      </c>
    </row>
    <row r="26" spans="1:6" x14ac:dyDescent="0.15">
      <c r="A26" s="40" t="s">
        <v>27</v>
      </c>
      <c r="F26" s="38" t="s">
        <v>238</v>
      </c>
    </row>
    <row r="27" spans="1:6" x14ac:dyDescent="0.15">
      <c r="A27" s="40" t="s">
        <v>28</v>
      </c>
      <c r="F27" s="38" t="s">
        <v>239</v>
      </c>
    </row>
    <row r="28" spans="1:6" x14ac:dyDescent="0.15">
      <c r="A28" s="40" t="s">
        <v>29</v>
      </c>
      <c r="F28" s="38" t="s">
        <v>240</v>
      </c>
    </row>
    <row r="29" spans="1:6" x14ac:dyDescent="0.15">
      <c r="A29" s="40" t="s">
        <v>30</v>
      </c>
      <c r="F29" s="38" t="s">
        <v>241</v>
      </c>
    </row>
    <row r="30" spans="1:6" x14ac:dyDescent="0.15">
      <c r="A30" s="40" t="s">
        <v>31</v>
      </c>
      <c r="F30" s="38" t="s">
        <v>242</v>
      </c>
    </row>
    <row r="31" spans="1:6" x14ac:dyDescent="0.15">
      <c r="A31" s="40" t="s">
        <v>32</v>
      </c>
      <c r="F31" s="38" t="s">
        <v>243</v>
      </c>
    </row>
    <row r="32" spans="1:6" x14ac:dyDescent="0.15">
      <c r="A32" s="40" t="s">
        <v>33</v>
      </c>
      <c r="F32" s="38" t="s">
        <v>244</v>
      </c>
    </row>
    <row r="33" spans="1:6" x14ac:dyDescent="0.15">
      <c r="A33" s="40" t="s">
        <v>34</v>
      </c>
      <c r="F33" s="38" t="s">
        <v>245</v>
      </c>
    </row>
    <row r="34" spans="1:6" x14ac:dyDescent="0.15">
      <c r="A34" s="40" t="s">
        <v>35</v>
      </c>
    </row>
    <row r="35" spans="1:6" x14ac:dyDescent="0.15">
      <c r="A35" s="40" t="s">
        <v>1</v>
      </c>
      <c r="C35" s="38" t="s">
        <v>180</v>
      </c>
      <c r="D35" s="38" t="s">
        <v>193</v>
      </c>
      <c r="E35" s="38" t="s">
        <v>209</v>
      </c>
      <c r="F35" s="38" t="s">
        <v>246</v>
      </c>
    </row>
    <row r="37" spans="1:6" x14ac:dyDescent="0.15">
      <c r="A37" s="41" t="s">
        <v>257</v>
      </c>
    </row>
    <row r="38" spans="1:6" x14ac:dyDescent="0.15">
      <c r="A38" s="40" t="s">
        <v>157</v>
      </c>
      <c r="B38" s="38" t="s">
        <v>247</v>
      </c>
      <c r="C38" s="38" t="s">
        <v>274</v>
      </c>
      <c r="D38" s="38" t="s">
        <v>302</v>
      </c>
    </row>
    <row r="39" spans="1:6" x14ac:dyDescent="0.15">
      <c r="A39" s="40" t="s">
        <v>158</v>
      </c>
      <c r="B39" s="43">
        <v>42279.429861111108</v>
      </c>
      <c r="C39" s="43">
        <v>42279.435416666667</v>
      </c>
      <c r="D39" s="43">
        <v>42279.440972222219</v>
      </c>
    </row>
    <row r="40" spans="1:6" x14ac:dyDescent="0.15">
      <c r="A40" s="42" t="s">
        <v>159</v>
      </c>
    </row>
    <row r="41" spans="1:6" x14ac:dyDescent="0.15">
      <c r="A41" s="40" t="s">
        <v>160</v>
      </c>
      <c r="B41" s="38">
        <v>0.92138392459201868</v>
      </c>
      <c r="C41" s="38">
        <v>0.92883118432705669</v>
      </c>
      <c r="D41" s="38">
        <v>0.92121213982804329</v>
      </c>
    </row>
    <row r="42" spans="1:6" x14ac:dyDescent="0.15">
      <c r="A42" s="40" t="s">
        <v>161</v>
      </c>
      <c r="B42" s="38">
        <v>0.90391368561246732</v>
      </c>
      <c r="C42" s="38">
        <v>0.91301589195529154</v>
      </c>
      <c r="D42" s="38">
        <v>0.90666668871937439</v>
      </c>
    </row>
    <row r="43" spans="1:6" x14ac:dyDescent="0.15">
      <c r="A43" s="40" t="s">
        <v>162</v>
      </c>
      <c r="B43" s="38">
        <v>2055.6800835865065</v>
      </c>
      <c r="C43" s="38">
        <v>1955.8913130974365</v>
      </c>
      <c r="D43" s="38">
        <v>2026.0170580681156</v>
      </c>
    </row>
    <row r="44" spans="1:6" x14ac:dyDescent="0.15">
      <c r="A44" s="40" t="s">
        <v>39</v>
      </c>
      <c r="B44" s="44">
        <v>78</v>
      </c>
      <c r="C44" s="44">
        <v>78</v>
      </c>
      <c r="D44" s="44">
        <v>78</v>
      </c>
    </row>
    <row r="45" spans="1:6" x14ac:dyDescent="0.15">
      <c r="A45" s="42" t="s">
        <v>163</v>
      </c>
    </row>
    <row r="46" spans="1:6" x14ac:dyDescent="0.15">
      <c r="A46" s="40" t="s">
        <v>114</v>
      </c>
      <c r="B46" s="38" t="s">
        <v>258</v>
      </c>
      <c r="C46" s="38" t="s">
        <v>287</v>
      </c>
      <c r="D46" s="38" t="s">
        <v>313</v>
      </c>
    </row>
    <row r="47" spans="1:6" x14ac:dyDescent="0.15">
      <c r="A47" s="40" t="s">
        <v>49</v>
      </c>
    </row>
    <row r="48" spans="1:6" x14ac:dyDescent="0.15">
      <c r="A48" s="40" t="s">
        <v>51</v>
      </c>
    </row>
    <row r="49" spans="1:4" x14ac:dyDescent="0.15">
      <c r="A49" s="40" t="s">
        <v>52</v>
      </c>
    </row>
    <row r="50" spans="1:4" x14ac:dyDescent="0.15">
      <c r="A50" s="40" t="s">
        <v>48</v>
      </c>
    </row>
    <row r="51" spans="1:4" x14ac:dyDescent="0.15">
      <c r="A51" s="40" t="s">
        <v>77</v>
      </c>
      <c r="C51" s="38" t="s">
        <v>288</v>
      </c>
    </row>
    <row r="52" spans="1:4" x14ac:dyDescent="0.15">
      <c r="A52" s="40" t="s">
        <v>78</v>
      </c>
      <c r="B52" s="38" t="s">
        <v>259</v>
      </c>
    </row>
    <row r="53" spans="1:4" x14ac:dyDescent="0.15">
      <c r="A53" s="40" t="s">
        <v>36</v>
      </c>
      <c r="B53" s="38" t="s">
        <v>260</v>
      </c>
    </row>
    <row r="54" spans="1:4" x14ac:dyDescent="0.15">
      <c r="A54" s="40" t="s">
        <v>79</v>
      </c>
    </row>
    <row r="55" spans="1:4" x14ac:dyDescent="0.15">
      <c r="A55" s="40" t="s">
        <v>80</v>
      </c>
    </row>
    <row r="56" spans="1:4" x14ac:dyDescent="0.15">
      <c r="A56" s="40" t="s">
        <v>81</v>
      </c>
    </row>
    <row r="57" spans="1:4" x14ac:dyDescent="0.15">
      <c r="A57" s="40" t="s">
        <v>24</v>
      </c>
      <c r="B57" s="38" t="s">
        <v>261</v>
      </c>
      <c r="C57" s="38" t="s">
        <v>290</v>
      </c>
      <c r="D57" s="38" t="s">
        <v>314</v>
      </c>
    </row>
    <row r="58" spans="1:4" x14ac:dyDescent="0.15">
      <c r="A58" s="40" t="s">
        <v>25</v>
      </c>
      <c r="B58" s="38" t="s">
        <v>262</v>
      </c>
      <c r="C58" s="38" t="s">
        <v>291</v>
      </c>
      <c r="D58" s="38" t="s">
        <v>315</v>
      </c>
    </row>
    <row r="59" spans="1:4" x14ac:dyDescent="0.15">
      <c r="A59" s="40" t="s">
        <v>26</v>
      </c>
      <c r="B59" s="38" t="s">
        <v>263</v>
      </c>
      <c r="C59" s="38" t="s">
        <v>292</v>
      </c>
      <c r="D59" s="38" t="s">
        <v>316</v>
      </c>
    </row>
    <row r="60" spans="1:4" x14ac:dyDescent="0.15">
      <c r="A60" s="40" t="s">
        <v>27</v>
      </c>
      <c r="B60" s="38" t="s">
        <v>264</v>
      </c>
      <c r="C60" s="38" t="s">
        <v>293</v>
      </c>
      <c r="D60" s="38" t="s">
        <v>317</v>
      </c>
    </row>
    <row r="61" spans="1:4" x14ac:dyDescent="0.15">
      <c r="A61" s="40" t="s">
        <v>28</v>
      </c>
      <c r="B61" s="38" t="s">
        <v>265</v>
      </c>
      <c r="C61" s="38" t="s">
        <v>294</v>
      </c>
      <c r="D61" s="38" t="s">
        <v>318</v>
      </c>
    </row>
    <row r="62" spans="1:4" x14ac:dyDescent="0.15">
      <c r="A62" s="40" t="s">
        <v>29</v>
      </c>
      <c r="B62" s="38" t="s">
        <v>266</v>
      </c>
      <c r="C62" s="38" t="s">
        <v>295</v>
      </c>
      <c r="D62" s="38" t="s">
        <v>319</v>
      </c>
    </row>
    <row r="63" spans="1:4" x14ac:dyDescent="0.15">
      <c r="A63" s="40" t="s">
        <v>30</v>
      </c>
      <c r="B63" s="38" t="s">
        <v>267</v>
      </c>
      <c r="C63" s="38" t="s">
        <v>296</v>
      </c>
      <c r="D63" s="38" t="s">
        <v>320</v>
      </c>
    </row>
    <row r="64" spans="1:4" x14ac:dyDescent="0.15">
      <c r="A64" s="40" t="s">
        <v>31</v>
      </c>
      <c r="B64" s="38" t="s">
        <v>268</v>
      </c>
      <c r="C64" s="38" t="s">
        <v>297</v>
      </c>
      <c r="D64" s="38" t="s">
        <v>321</v>
      </c>
    </row>
    <row r="65" spans="1:4" x14ac:dyDescent="0.15">
      <c r="A65" s="40" t="s">
        <v>32</v>
      </c>
      <c r="B65" s="38" t="s">
        <v>269</v>
      </c>
      <c r="C65" s="38" t="s">
        <v>298</v>
      </c>
      <c r="D65" s="38" t="s">
        <v>322</v>
      </c>
    </row>
    <row r="66" spans="1:4" x14ac:dyDescent="0.15">
      <c r="A66" s="40" t="s">
        <v>33</v>
      </c>
      <c r="B66" s="38" t="s">
        <v>270</v>
      </c>
      <c r="C66" s="38" t="s">
        <v>299</v>
      </c>
      <c r="D66" s="38" t="s">
        <v>323</v>
      </c>
    </row>
    <row r="67" spans="1:4" x14ac:dyDescent="0.15">
      <c r="A67" s="40" t="s">
        <v>34</v>
      </c>
      <c r="B67" s="38" t="s">
        <v>271</v>
      </c>
      <c r="C67" s="38" t="s">
        <v>300</v>
      </c>
      <c r="D67" s="38" t="s">
        <v>324</v>
      </c>
    </row>
    <row r="68" spans="1:4" x14ac:dyDescent="0.15">
      <c r="A68" s="40" t="s">
        <v>35</v>
      </c>
    </row>
    <row r="69" spans="1:4" x14ac:dyDescent="0.15">
      <c r="A69" s="40" t="s">
        <v>1</v>
      </c>
      <c r="B69" s="38" t="s">
        <v>272</v>
      </c>
      <c r="C69" s="38" t="s">
        <v>301</v>
      </c>
      <c r="D69" s="38" t="s">
        <v>325</v>
      </c>
    </row>
    <row r="70" spans="1:4" x14ac:dyDescent="0.15">
      <c r="A70" s="40" t="s">
        <v>273</v>
      </c>
      <c r="C70" s="38" t="s">
        <v>289</v>
      </c>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28E2DF-D81C-C242-8FFB-A810E8A0FA9B}">
  <dimension ref="A1:I9"/>
  <sheetViews>
    <sheetView tabSelected="1" workbookViewId="0">
      <selection activeCell="F25" sqref="F25"/>
    </sheetView>
  </sheetViews>
  <sheetFormatPr baseColWidth="10" defaultRowHeight="15" x14ac:dyDescent="0.2"/>
  <cols>
    <col min="1" max="1" width="24.33203125" customWidth="1"/>
    <col min="2" max="2" width="27.6640625" customWidth="1"/>
    <col min="3" max="3" width="21.33203125" customWidth="1"/>
  </cols>
  <sheetData>
    <row r="1" spans="1:9" x14ac:dyDescent="0.2">
      <c r="A1" s="56"/>
      <c r="B1" s="56" t="s">
        <v>326</v>
      </c>
      <c r="C1" s="56" t="s">
        <v>7</v>
      </c>
      <c r="D1" s="56" t="s">
        <v>273</v>
      </c>
      <c r="E1" s="56" t="s">
        <v>8</v>
      </c>
      <c r="F1" s="56" t="s">
        <v>36</v>
      </c>
      <c r="G1" s="56" t="s">
        <v>9</v>
      </c>
      <c r="H1" s="56" t="s">
        <v>10</v>
      </c>
      <c r="I1" s="56" t="s">
        <v>11</v>
      </c>
    </row>
    <row r="2" spans="1:9" x14ac:dyDescent="0.2">
      <c r="A2" s="54" t="s">
        <v>326</v>
      </c>
      <c r="B2" s="54">
        <v>1</v>
      </c>
      <c r="C2" s="54"/>
      <c r="D2" s="54"/>
      <c r="E2" s="54"/>
      <c r="F2" s="54"/>
      <c r="G2" s="54"/>
      <c r="H2" s="54"/>
      <c r="I2" s="54"/>
    </row>
    <row r="3" spans="1:9" x14ac:dyDescent="0.2">
      <c r="A3" s="54" t="s">
        <v>7</v>
      </c>
      <c r="B3" s="54">
        <v>-0.40620446099824686</v>
      </c>
      <c r="C3" s="54">
        <v>1</v>
      </c>
      <c r="D3" s="54"/>
      <c r="E3" s="54"/>
      <c r="F3" s="54"/>
      <c r="G3" s="54"/>
      <c r="H3" s="54"/>
      <c r="I3" s="54"/>
    </row>
    <row r="4" spans="1:9" x14ac:dyDescent="0.2">
      <c r="A4" s="54" t="s">
        <v>273</v>
      </c>
      <c r="B4" s="54">
        <v>-0.31238860829257442</v>
      </c>
      <c r="C4" s="54">
        <v>0.96171950106860937</v>
      </c>
      <c r="D4" s="54">
        <v>1</v>
      </c>
      <c r="E4" s="54"/>
      <c r="F4" s="54"/>
      <c r="G4" s="54"/>
      <c r="H4" s="54"/>
      <c r="I4" s="54"/>
    </row>
    <row r="5" spans="1:9" x14ac:dyDescent="0.2">
      <c r="A5" s="54" t="s">
        <v>8</v>
      </c>
      <c r="B5" s="54">
        <v>0.68860752028951755</v>
      </c>
      <c r="C5" s="54">
        <v>-0.74543782585112228</v>
      </c>
      <c r="D5" s="54">
        <v>-0.6024949784432887</v>
      </c>
      <c r="E5" s="54">
        <v>1</v>
      </c>
      <c r="F5" s="54"/>
      <c r="G5" s="54"/>
      <c r="H5" s="54"/>
      <c r="I5" s="54"/>
    </row>
    <row r="6" spans="1:9" x14ac:dyDescent="0.2">
      <c r="A6" s="54" t="s">
        <v>36</v>
      </c>
      <c r="B6" s="54">
        <v>0.6979950798841783</v>
      </c>
      <c r="C6" s="54">
        <v>-0.58391515196274724</v>
      </c>
      <c r="D6" s="54">
        <v>-0.45825818091921078</v>
      </c>
      <c r="E6" s="54">
        <v>0.95735659307129695</v>
      </c>
      <c r="F6" s="54">
        <v>1</v>
      </c>
      <c r="G6" s="54"/>
      <c r="H6" s="54"/>
      <c r="I6" s="54"/>
    </row>
    <row r="7" spans="1:9" x14ac:dyDescent="0.2">
      <c r="A7" s="54" t="s">
        <v>9</v>
      </c>
      <c r="B7" s="54">
        <v>-0.63512735687860822</v>
      </c>
      <c r="C7" s="54">
        <v>0.87567762169017427</v>
      </c>
      <c r="D7" s="54">
        <v>0.76573180433042176</v>
      </c>
      <c r="E7" s="54">
        <v>-0.96996462694622598</v>
      </c>
      <c r="F7" s="54">
        <v>-0.88609298080702004</v>
      </c>
      <c r="G7" s="54">
        <v>1</v>
      </c>
      <c r="H7" s="54"/>
      <c r="I7" s="54"/>
    </row>
    <row r="8" spans="1:9" x14ac:dyDescent="0.2">
      <c r="A8" s="54" t="s">
        <v>10</v>
      </c>
      <c r="B8" s="54">
        <v>-0.60568321972310413</v>
      </c>
      <c r="C8" s="54">
        <v>0.90156378356845723</v>
      </c>
      <c r="D8" s="54">
        <v>0.78718380339060823</v>
      </c>
      <c r="E8" s="54">
        <v>-0.95527394140559241</v>
      </c>
      <c r="F8" s="54">
        <v>-0.85395277075607756</v>
      </c>
      <c r="G8" s="54">
        <v>0.98804234766829879</v>
      </c>
      <c r="H8" s="54">
        <v>1</v>
      </c>
      <c r="I8" s="54"/>
    </row>
    <row r="9" spans="1:9" ht="16" thickBot="1" x14ac:dyDescent="0.25">
      <c r="A9" s="55" t="s">
        <v>11</v>
      </c>
      <c r="B9" s="55">
        <v>-0.62191452918660872</v>
      </c>
      <c r="C9" s="55">
        <v>0.89155535444708656</v>
      </c>
      <c r="D9" s="55">
        <v>0.77923197236573594</v>
      </c>
      <c r="E9" s="55">
        <v>-0.96533644186479461</v>
      </c>
      <c r="F9" s="55">
        <v>-0.8724189462556311</v>
      </c>
      <c r="G9" s="55">
        <v>0.99695445588367027</v>
      </c>
      <c r="H9" s="55">
        <v>0.99705186634015575</v>
      </c>
      <c r="I9" s="55">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1"/>
  <sheetViews>
    <sheetView topLeftCell="K57" zoomScale="131" workbookViewId="0">
      <selection activeCell="G4" sqref="G4"/>
    </sheetView>
  </sheetViews>
  <sheetFormatPr baseColWidth="10" defaultColWidth="8.83203125" defaultRowHeight="15" x14ac:dyDescent="0.2"/>
  <cols>
    <col min="1" max="1" width="9.6640625" bestFit="1" customWidth="1"/>
    <col min="2" max="2" width="23" bestFit="1" customWidth="1"/>
    <col min="3" max="3" width="23.5" bestFit="1" customWidth="1"/>
    <col min="4" max="4" width="21.5" bestFit="1" customWidth="1"/>
    <col min="5" max="5" width="19.33203125" bestFit="1" customWidth="1"/>
    <col min="6" max="6" width="20.6640625" bestFit="1" customWidth="1"/>
    <col min="7" max="7" width="19.5" bestFit="1" customWidth="1"/>
    <col min="8" max="8" width="27.33203125" bestFit="1" customWidth="1"/>
    <col min="9" max="9" width="19.5" bestFit="1" customWidth="1"/>
    <col min="10" max="10" width="27.5" bestFit="1" customWidth="1"/>
    <col min="11" max="11" width="21" bestFit="1" customWidth="1"/>
    <col min="12" max="12" width="20.33203125" bestFit="1" customWidth="1"/>
    <col min="13" max="13" width="11.5" bestFit="1" customWidth="1"/>
    <col min="16" max="16" width="15.33203125" customWidth="1"/>
  </cols>
  <sheetData>
    <row r="1" spans="1:27" x14ac:dyDescent="0.2">
      <c r="A1" t="s">
        <v>0</v>
      </c>
      <c r="B1" t="s">
        <v>3</v>
      </c>
      <c r="C1" t="s">
        <v>4</v>
      </c>
      <c r="D1" t="s">
        <v>5</v>
      </c>
      <c r="E1" t="s">
        <v>6</v>
      </c>
      <c r="F1" t="s">
        <v>326</v>
      </c>
      <c r="G1" t="s">
        <v>7</v>
      </c>
      <c r="H1" t="s">
        <v>273</v>
      </c>
      <c r="I1" t="s">
        <v>8</v>
      </c>
      <c r="J1" t="s">
        <v>36</v>
      </c>
      <c r="K1" t="s">
        <v>9</v>
      </c>
      <c r="L1" t="s">
        <v>10</v>
      </c>
      <c r="M1" t="s">
        <v>11</v>
      </c>
      <c r="N1" t="s">
        <v>1</v>
      </c>
      <c r="O1" s="3" t="s">
        <v>2</v>
      </c>
      <c r="P1" s="3" t="s">
        <v>24</v>
      </c>
      <c r="Q1" s="3" t="s">
        <v>25</v>
      </c>
      <c r="R1" s="3" t="s">
        <v>26</v>
      </c>
      <c r="S1" s="3" t="s">
        <v>27</v>
      </c>
      <c r="T1" s="3" t="s">
        <v>28</v>
      </c>
      <c r="U1" s="3" t="s">
        <v>29</v>
      </c>
      <c r="V1" s="3" t="s">
        <v>30</v>
      </c>
      <c r="W1" s="3" t="s">
        <v>31</v>
      </c>
      <c r="X1" s="3" t="s">
        <v>32</v>
      </c>
      <c r="Y1" s="3" t="s">
        <v>33</v>
      </c>
      <c r="Z1" s="3" t="s">
        <v>34</v>
      </c>
      <c r="AA1" s="3" t="s">
        <v>35</v>
      </c>
    </row>
    <row r="2" spans="1:27" x14ac:dyDescent="0.2">
      <c r="A2" s="2">
        <v>39814</v>
      </c>
      <c r="B2">
        <v>14881</v>
      </c>
      <c r="C2">
        <v>8960</v>
      </c>
      <c r="D2">
        <v>7722</v>
      </c>
      <c r="E2">
        <v>1798</v>
      </c>
      <c r="F2">
        <v>33360</v>
      </c>
      <c r="G2" s="1">
        <v>0</v>
      </c>
      <c r="H2" s="1">
        <v>0</v>
      </c>
      <c r="I2" s="1">
        <v>442.9</v>
      </c>
      <c r="J2" s="1">
        <v>196160.40999999997</v>
      </c>
      <c r="K2" s="1">
        <v>9.1999999999999993</v>
      </c>
      <c r="L2" s="1">
        <v>-1.2</v>
      </c>
      <c r="M2" s="1">
        <v>4.0333333333333332</v>
      </c>
      <c r="N2">
        <v>97</v>
      </c>
      <c r="O2" s="3" t="s">
        <v>12</v>
      </c>
      <c r="P2" s="3">
        <f t="shared" ref="P2:P34" si="0">IF(TEXT(O2,"0") = "_01", 1, 0)</f>
        <v>1</v>
      </c>
      <c r="Q2" s="3">
        <f t="shared" ref="Q2:Q34" si="1">IF(TEXT(O2,"0") = "_02", 1, 0)</f>
        <v>0</v>
      </c>
      <c r="R2" s="3">
        <f t="shared" ref="R2:R34" si="2">IF(TEXT(O2,"0") = "_03", 1, 0)</f>
        <v>0</v>
      </c>
      <c r="S2" s="3">
        <f t="shared" ref="S2:S34" si="3">IF(TEXT(O2,"0") = "_04", 1, 0)</f>
        <v>0</v>
      </c>
      <c r="T2" s="3">
        <f t="shared" ref="T2:T34" si="4">IF(TEXT(O2,"0") = "_05", 1, 0)</f>
        <v>0</v>
      </c>
      <c r="U2" s="3">
        <f t="shared" ref="U2:U34" si="5">IF(TEXT(O2,"0") = "_06", 1, 0)</f>
        <v>0</v>
      </c>
      <c r="V2" s="3">
        <f t="shared" ref="V2:V34" si="6">IF(TEXT(O2,"0") = "_07", 1, 0)</f>
        <v>0</v>
      </c>
      <c r="W2" s="3">
        <f t="shared" ref="W2:W34" si="7">IF(TEXT(O2,"0") = "_08", 1, 0)</f>
        <v>0</v>
      </c>
      <c r="X2" s="3">
        <f t="shared" ref="X2:X34" si="8">IF(TEXT(O2,"0") = "_09", 1, 0)</f>
        <v>0</v>
      </c>
      <c r="Y2" s="3">
        <f t="shared" ref="Y2:Y34" si="9">IF(TEXT(O2,"0") = "_10", 1, 0)</f>
        <v>0</v>
      </c>
      <c r="Z2" s="3">
        <f t="shared" ref="Z2:Z34" si="10">IF(TEXT(O2,"0") = "_11", 1, 0)</f>
        <v>0</v>
      </c>
      <c r="AA2" s="3">
        <f t="shared" ref="AA2:AA34" si="11">IF(TEXT(O2,"0") = "_12", 1, 0)</f>
        <v>0</v>
      </c>
    </row>
    <row r="3" spans="1:27" x14ac:dyDescent="0.2">
      <c r="A3" s="2">
        <v>39845</v>
      </c>
      <c r="B3">
        <v>10616</v>
      </c>
      <c r="C3">
        <v>6565</v>
      </c>
      <c r="D3">
        <v>7121</v>
      </c>
      <c r="E3">
        <v>1912</v>
      </c>
      <c r="F3">
        <v>26215</v>
      </c>
      <c r="G3" s="1">
        <v>0</v>
      </c>
      <c r="H3" s="1">
        <v>0</v>
      </c>
      <c r="I3" s="1">
        <v>317.2</v>
      </c>
      <c r="J3" s="1">
        <v>100615.84</v>
      </c>
      <c r="K3" s="1">
        <v>13.366666666666665</v>
      </c>
      <c r="L3" s="1">
        <v>0.6</v>
      </c>
      <c r="M3" s="1">
        <v>6.9666666666666668</v>
      </c>
      <c r="N3">
        <v>98</v>
      </c>
      <c r="O3" s="3" t="s">
        <v>13</v>
      </c>
      <c r="P3" s="3">
        <f t="shared" si="0"/>
        <v>0</v>
      </c>
      <c r="Q3" s="3">
        <f t="shared" si="1"/>
        <v>1</v>
      </c>
      <c r="R3" s="3">
        <f t="shared" si="2"/>
        <v>0</v>
      </c>
      <c r="S3" s="3">
        <f t="shared" si="3"/>
        <v>0</v>
      </c>
      <c r="T3" s="3">
        <f t="shared" si="4"/>
        <v>0</v>
      </c>
      <c r="U3" s="3">
        <f t="shared" si="5"/>
        <v>0</v>
      </c>
      <c r="V3" s="3">
        <f t="shared" si="6"/>
        <v>0</v>
      </c>
      <c r="W3" s="3">
        <f t="shared" si="7"/>
        <v>0</v>
      </c>
      <c r="X3" s="3">
        <f t="shared" si="8"/>
        <v>0</v>
      </c>
      <c r="Y3" s="3">
        <f t="shared" si="9"/>
        <v>0</v>
      </c>
      <c r="Z3" s="3">
        <f t="shared" si="10"/>
        <v>0</v>
      </c>
      <c r="AA3" s="3">
        <f t="shared" si="11"/>
        <v>0</v>
      </c>
    </row>
    <row r="4" spans="1:27" x14ac:dyDescent="0.2">
      <c r="A4" s="2">
        <v>39873</v>
      </c>
      <c r="B4">
        <v>8259</v>
      </c>
      <c r="C4">
        <v>5670</v>
      </c>
      <c r="D4">
        <v>7493</v>
      </c>
      <c r="E4">
        <v>2674</v>
      </c>
      <c r="F4">
        <v>24096</v>
      </c>
      <c r="G4" s="1">
        <v>6.0666666666666664</v>
      </c>
      <c r="H4" s="1">
        <v>36.804444444444442</v>
      </c>
      <c r="I4" s="1">
        <v>253.06666666666666</v>
      </c>
      <c r="J4" s="1">
        <v>64042.737777777773</v>
      </c>
      <c r="K4" s="1">
        <v>15.833333333333334</v>
      </c>
      <c r="L4" s="1">
        <v>4.8333333333333339</v>
      </c>
      <c r="M4" s="1">
        <v>10.333333333333332</v>
      </c>
      <c r="N4">
        <v>99</v>
      </c>
      <c r="O4" s="3" t="s">
        <v>14</v>
      </c>
      <c r="P4" s="3">
        <f t="shared" si="0"/>
        <v>0</v>
      </c>
      <c r="Q4" s="3">
        <f t="shared" si="1"/>
        <v>0</v>
      </c>
      <c r="R4" s="3">
        <f t="shared" si="2"/>
        <v>1</v>
      </c>
      <c r="S4" s="3">
        <f t="shared" si="3"/>
        <v>0</v>
      </c>
      <c r="T4" s="3">
        <f t="shared" si="4"/>
        <v>0</v>
      </c>
      <c r="U4" s="3">
        <f t="shared" si="5"/>
        <v>0</v>
      </c>
      <c r="V4" s="3">
        <f t="shared" si="6"/>
        <v>0</v>
      </c>
      <c r="W4" s="3">
        <f t="shared" si="7"/>
        <v>0</v>
      </c>
      <c r="X4" s="3">
        <f t="shared" si="8"/>
        <v>0</v>
      </c>
      <c r="Y4" s="3">
        <f t="shared" si="9"/>
        <v>0</v>
      </c>
      <c r="Z4" s="3">
        <f t="shared" si="10"/>
        <v>0</v>
      </c>
      <c r="AA4" s="3">
        <f t="shared" si="11"/>
        <v>0</v>
      </c>
    </row>
    <row r="5" spans="1:27" x14ac:dyDescent="0.2">
      <c r="A5" s="2">
        <v>39904</v>
      </c>
      <c r="B5">
        <v>3243</v>
      </c>
      <c r="C5">
        <v>3161</v>
      </c>
      <c r="D5">
        <v>6412</v>
      </c>
      <c r="E5">
        <v>1314</v>
      </c>
      <c r="F5">
        <v>14130</v>
      </c>
      <c r="G5" s="1">
        <v>23.166666666666664</v>
      </c>
      <c r="H5" s="1">
        <v>536.69444444444434</v>
      </c>
      <c r="I5" s="1">
        <v>95.833333333333343</v>
      </c>
      <c r="J5" s="1">
        <v>9184.0277777777792</v>
      </c>
      <c r="K5" s="1">
        <v>22.633333333333333</v>
      </c>
      <c r="L5" s="1">
        <v>9.1333333333333329</v>
      </c>
      <c r="M5" s="1">
        <v>15.9</v>
      </c>
      <c r="N5">
        <v>100</v>
      </c>
      <c r="O5" s="3" t="s">
        <v>15</v>
      </c>
      <c r="P5" s="3">
        <f t="shared" si="0"/>
        <v>0</v>
      </c>
      <c r="Q5" s="3">
        <f t="shared" si="1"/>
        <v>0</v>
      </c>
      <c r="R5" s="3">
        <f t="shared" si="2"/>
        <v>0</v>
      </c>
      <c r="S5" s="3">
        <f t="shared" si="3"/>
        <v>1</v>
      </c>
      <c r="T5" s="3">
        <f t="shared" si="4"/>
        <v>0</v>
      </c>
      <c r="U5" s="3">
        <f t="shared" si="5"/>
        <v>0</v>
      </c>
      <c r="V5" s="3">
        <f t="shared" si="6"/>
        <v>0</v>
      </c>
      <c r="W5" s="3">
        <f t="shared" si="7"/>
        <v>0</v>
      </c>
      <c r="X5" s="3">
        <f t="shared" si="8"/>
        <v>0</v>
      </c>
      <c r="Y5" s="3">
        <f t="shared" si="9"/>
        <v>0</v>
      </c>
      <c r="Z5" s="3">
        <f t="shared" si="10"/>
        <v>0</v>
      </c>
      <c r="AA5" s="3">
        <f t="shared" si="11"/>
        <v>0</v>
      </c>
    </row>
    <row r="6" spans="1:27" x14ac:dyDescent="0.2">
      <c r="A6" s="2">
        <v>39934</v>
      </c>
      <c r="B6">
        <v>1315</v>
      </c>
      <c r="C6">
        <v>2464</v>
      </c>
      <c r="D6">
        <v>6215</v>
      </c>
      <c r="E6">
        <v>1761</v>
      </c>
      <c r="F6">
        <v>11754</v>
      </c>
      <c r="G6" s="1">
        <v>102.4</v>
      </c>
      <c r="H6" s="1">
        <v>10485.760000000002</v>
      </c>
      <c r="I6" s="1">
        <v>22.666666666666664</v>
      </c>
      <c r="J6" s="1">
        <v>513.77777777777771</v>
      </c>
      <c r="K6" s="1">
        <v>26.3</v>
      </c>
      <c r="L6" s="1">
        <v>15.466666666666665</v>
      </c>
      <c r="M6" s="1">
        <v>20.866666666666667</v>
      </c>
      <c r="N6">
        <v>101</v>
      </c>
      <c r="O6" s="3" t="s">
        <v>16</v>
      </c>
      <c r="P6" s="3">
        <f t="shared" si="0"/>
        <v>0</v>
      </c>
      <c r="Q6" s="3">
        <f t="shared" si="1"/>
        <v>0</v>
      </c>
      <c r="R6" s="3">
        <f t="shared" si="2"/>
        <v>0</v>
      </c>
      <c r="S6" s="3">
        <f t="shared" si="3"/>
        <v>0</v>
      </c>
      <c r="T6" s="3">
        <f t="shared" si="4"/>
        <v>1</v>
      </c>
      <c r="U6" s="3">
        <f t="shared" si="5"/>
        <v>0</v>
      </c>
      <c r="V6" s="3">
        <f t="shared" si="6"/>
        <v>0</v>
      </c>
      <c r="W6" s="3">
        <f t="shared" si="7"/>
        <v>0</v>
      </c>
      <c r="X6" s="3">
        <f t="shared" si="8"/>
        <v>0</v>
      </c>
      <c r="Y6" s="3">
        <f t="shared" si="9"/>
        <v>0</v>
      </c>
      <c r="Z6" s="3">
        <f t="shared" si="10"/>
        <v>0</v>
      </c>
      <c r="AA6" s="3">
        <f t="shared" si="11"/>
        <v>0</v>
      </c>
    </row>
    <row r="7" spans="1:27" x14ac:dyDescent="0.2">
      <c r="A7" s="2">
        <v>39965</v>
      </c>
      <c r="B7">
        <v>754</v>
      </c>
      <c r="C7">
        <v>1853</v>
      </c>
      <c r="D7">
        <v>6053</v>
      </c>
      <c r="E7">
        <v>4481</v>
      </c>
      <c r="F7">
        <v>13141</v>
      </c>
      <c r="G7" s="1">
        <v>201.4</v>
      </c>
      <c r="H7" s="1">
        <v>40561.96</v>
      </c>
      <c r="I7" s="1">
        <v>0</v>
      </c>
      <c r="J7" s="1">
        <v>0</v>
      </c>
      <c r="K7" s="1">
        <v>30.7</v>
      </c>
      <c r="L7" s="1">
        <v>19.366666666666667</v>
      </c>
      <c r="M7" s="1">
        <v>25</v>
      </c>
      <c r="N7">
        <v>102</v>
      </c>
      <c r="O7" s="3" t="s">
        <v>17</v>
      </c>
      <c r="P7" s="3">
        <f t="shared" si="0"/>
        <v>0</v>
      </c>
      <c r="Q7" s="3">
        <f t="shared" si="1"/>
        <v>0</v>
      </c>
      <c r="R7" s="3">
        <f t="shared" si="2"/>
        <v>0</v>
      </c>
      <c r="S7" s="3">
        <f t="shared" si="3"/>
        <v>0</v>
      </c>
      <c r="T7" s="3">
        <f t="shared" si="4"/>
        <v>0</v>
      </c>
      <c r="U7" s="3">
        <f t="shared" si="5"/>
        <v>1</v>
      </c>
      <c r="V7" s="3">
        <f t="shared" si="6"/>
        <v>0</v>
      </c>
      <c r="W7" s="3">
        <f t="shared" si="7"/>
        <v>0</v>
      </c>
      <c r="X7" s="3">
        <f t="shared" si="8"/>
        <v>0</v>
      </c>
      <c r="Y7" s="3">
        <f t="shared" si="9"/>
        <v>0</v>
      </c>
      <c r="Z7" s="3">
        <f t="shared" si="10"/>
        <v>0</v>
      </c>
      <c r="AA7" s="3">
        <f t="shared" si="11"/>
        <v>0</v>
      </c>
    </row>
    <row r="8" spans="1:27" x14ac:dyDescent="0.2">
      <c r="A8" s="2">
        <v>39995</v>
      </c>
      <c r="B8">
        <v>962</v>
      </c>
      <c r="C8">
        <v>1983</v>
      </c>
      <c r="D8">
        <v>6052</v>
      </c>
      <c r="E8">
        <v>5303</v>
      </c>
      <c r="F8">
        <v>14301</v>
      </c>
      <c r="G8" s="1">
        <v>219.66666666666666</v>
      </c>
      <c r="H8" s="1">
        <v>48253.444444444438</v>
      </c>
      <c r="I8" s="1">
        <v>0</v>
      </c>
      <c r="J8" s="1">
        <v>0</v>
      </c>
      <c r="K8" s="1">
        <v>31.1</v>
      </c>
      <c r="L8" s="1">
        <v>19.7</v>
      </c>
      <c r="M8" s="1">
        <v>25.4</v>
      </c>
      <c r="N8">
        <v>103</v>
      </c>
      <c r="O8" s="3" t="s">
        <v>18</v>
      </c>
      <c r="P8" s="3">
        <f t="shared" si="0"/>
        <v>0</v>
      </c>
      <c r="Q8" s="3">
        <f t="shared" si="1"/>
        <v>0</v>
      </c>
      <c r="R8" s="3">
        <f t="shared" si="2"/>
        <v>0</v>
      </c>
      <c r="S8" s="3">
        <f t="shared" si="3"/>
        <v>0</v>
      </c>
      <c r="T8" s="3">
        <f t="shared" si="4"/>
        <v>0</v>
      </c>
      <c r="U8" s="3">
        <f t="shared" si="5"/>
        <v>0</v>
      </c>
      <c r="V8" s="3">
        <f t="shared" si="6"/>
        <v>1</v>
      </c>
      <c r="W8" s="3">
        <f t="shared" si="7"/>
        <v>0</v>
      </c>
      <c r="X8" s="3">
        <f t="shared" si="8"/>
        <v>0</v>
      </c>
      <c r="Y8" s="3">
        <f t="shared" si="9"/>
        <v>0</v>
      </c>
      <c r="Z8" s="3">
        <f t="shared" si="10"/>
        <v>0</v>
      </c>
      <c r="AA8" s="3">
        <f t="shared" si="11"/>
        <v>0</v>
      </c>
    </row>
    <row r="9" spans="1:27" x14ac:dyDescent="0.2">
      <c r="A9" s="2">
        <v>40026</v>
      </c>
      <c r="B9">
        <v>947</v>
      </c>
      <c r="C9">
        <v>2064</v>
      </c>
      <c r="D9">
        <v>6300</v>
      </c>
      <c r="E9">
        <v>7937</v>
      </c>
      <c r="F9">
        <v>17248</v>
      </c>
      <c r="G9" s="1">
        <v>244.73333333333335</v>
      </c>
      <c r="H9" s="1">
        <v>59894.404444444452</v>
      </c>
      <c r="I9" s="1">
        <v>0</v>
      </c>
      <c r="J9" s="1">
        <v>0</v>
      </c>
      <c r="K9" s="1">
        <v>31.533333333333331</v>
      </c>
      <c r="L9" s="1">
        <v>20.866666666666667</v>
      </c>
      <c r="M9" s="1">
        <v>26.2</v>
      </c>
      <c r="N9">
        <v>104</v>
      </c>
      <c r="O9" s="3" t="s">
        <v>19</v>
      </c>
      <c r="P9" s="3">
        <f t="shared" si="0"/>
        <v>0</v>
      </c>
      <c r="Q9" s="3">
        <f t="shared" si="1"/>
        <v>0</v>
      </c>
      <c r="R9" s="3">
        <f t="shared" si="2"/>
        <v>0</v>
      </c>
      <c r="S9" s="3">
        <f t="shared" si="3"/>
        <v>0</v>
      </c>
      <c r="T9" s="3">
        <f t="shared" si="4"/>
        <v>0</v>
      </c>
      <c r="U9" s="3">
        <f t="shared" si="5"/>
        <v>0</v>
      </c>
      <c r="V9" s="3">
        <f t="shared" si="6"/>
        <v>0</v>
      </c>
      <c r="W9" s="3">
        <f t="shared" si="7"/>
        <v>1</v>
      </c>
      <c r="X9" s="3">
        <f t="shared" si="8"/>
        <v>0</v>
      </c>
      <c r="Y9" s="3">
        <f t="shared" si="9"/>
        <v>0</v>
      </c>
      <c r="Z9" s="3">
        <f t="shared" si="10"/>
        <v>0</v>
      </c>
      <c r="AA9" s="3">
        <f t="shared" si="11"/>
        <v>0</v>
      </c>
    </row>
    <row r="10" spans="1:27" x14ac:dyDescent="0.2">
      <c r="A10" s="2">
        <v>40057</v>
      </c>
      <c r="B10">
        <v>1128</v>
      </c>
      <c r="C10">
        <v>2450</v>
      </c>
      <c r="D10">
        <v>6337</v>
      </c>
      <c r="E10">
        <v>7103</v>
      </c>
      <c r="F10">
        <v>17018</v>
      </c>
      <c r="G10" s="1">
        <v>103.93333333333332</v>
      </c>
      <c r="H10" s="1">
        <v>10802.137777777776</v>
      </c>
      <c r="I10" s="1">
        <v>6.2333333333333334</v>
      </c>
      <c r="J10" s="1">
        <v>38.854444444444447</v>
      </c>
      <c r="K10" s="1">
        <v>26.9</v>
      </c>
      <c r="L10" s="1">
        <v>16.233333333333334</v>
      </c>
      <c r="M10" s="1">
        <v>21.566666666666666</v>
      </c>
      <c r="N10">
        <v>105</v>
      </c>
      <c r="O10" s="3" t="s">
        <v>20</v>
      </c>
      <c r="P10" s="3">
        <f t="shared" si="0"/>
        <v>0</v>
      </c>
      <c r="Q10" s="3">
        <f t="shared" si="1"/>
        <v>0</v>
      </c>
      <c r="R10" s="3">
        <f t="shared" si="2"/>
        <v>0</v>
      </c>
      <c r="S10" s="3">
        <f t="shared" si="3"/>
        <v>0</v>
      </c>
      <c r="T10" s="3">
        <f t="shared" si="4"/>
        <v>0</v>
      </c>
      <c r="U10" s="3">
        <f t="shared" si="5"/>
        <v>0</v>
      </c>
      <c r="V10" s="3">
        <f t="shared" si="6"/>
        <v>0</v>
      </c>
      <c r="W10" s="3">
        <f t="shared" si="7"/>
        <v>0</v>
      </c>
      <c r="X10" s="3">
        <f t="shared" si="8"/>
        <v>1</v>
      </c>
      <c r="Y10" s="3">
        <f t="shared" si="9"/>
        <v>0</v>
      </c>
      <c r="Z10" s="3">
        <f t="shared" si="10"/>
        <v>0</v>
      </c>
      <c r="AA10" s="3">
        <f t="shared" si="11"/>
        <v>0</v>
      </c>
    </row>
    <row r="11" spans="1:27" x14ac:dyDescent="0.2">
      <c r="A11" s="2">
        <v>40087</v>
      </c>
      <c r="B11">
        <v>2760</v>
      </c>
      <c r="C11">
        <v>3598</v>
      </c>
      <c r="D11">
        <v>7166</v>
      </c>
      <c r="E11">
        <v>1259</v>
      </c>
      <c r="F11">
        <v>14783</v>
      </c>
      <c r="G11" s="1">
        <v>13.4</v>
      </c>
      <c r="H11" s="1">
        <v>179.56</v>
      </c>
      <c r="I11" s="1">
        <v>109.43333333333332</v>
      </c>
      <c r="J11" s="1">
        <v>11975.654444444443</v>
      </c>
      <c r="K11" s="1">
        <v>20.533333333333335</v>
      </c>
      <c r="L11" s="1">
        <v>9.8666666666666671</v>
      </c>
      <c r="M11" s="1">
        <v>15.2</v>
      </c>
      <c r="N11">
        <v>106</v>
      </c>
      <c r="O11" s="3" t="s">
        <v>21</v>
      </c>
      <c r="P11" s="3">
        <f t="shared" si="0"/>
        <v>0</v>
      </c>
      <c r="Q11" s="3">
        <f t="shared" si="1"/>
        <v>0</v>
      </c>
      <c r="R11" s="3">
        <f t="shared" si="2"/>
        <v>0</v>
      </c>
      <c r="S11" s="3">
        <f t="shared" si="3"/>
        <v>0</v>
      </c>
      <c r="T11" s="3">
        <f t="shared" si="4"/>
        <v>0</v>
      </c>
      <c r="U11" s="3">
        <f t="shared" si="5"/>
        <v>0</v>
      </c>
      <c r="V11" s="3">
        <f t="shared" si="6"/>
        <v>0</v>
      </c>
      <c r="W11" s="3">
        <f t="shared" si="7"/>
        <v>0</v>
      </c>
      <c r="X11" s="3">
        <f t="shared" si="8"/>
        <v>0</v>
      </c>
      <c r="Y11" s="3">
        <f t="shared" si="9"/>
        <v>1</v>
      </c>
      <c r="Z11" s="3">
        <f t="shared" si="10"/>
        <v>0</v>
      </c>
      <c r="AA11" s="3">
        <f t="shared" si="11"/>
        <v>0</v>
      </c>
    </row>
    <row r="12" spans="1:27" x14ac:dyDescent="0.2">
      <c r="A12" s="2">
        <v>40118</v>
      </c>
      <c r="B12">
        <v>6420</v>
      </c>
      <c r="C12">
        <v>4375</v>
      </c>
      <c r="D12">
        <v>7215</v>
      </c>
      <c r="E12">
        <v>2241</v>
      </c>
      <c r="F12">
        <v>20251</v>
      </c>
      <c r="G12" s="1">
        <v>0.1</v>
      </c>
      <c r="H12" s="1">
        <v>1.0000000000000002E-2</v>
      </c>
      <c r="I12" s="1">
        <v>201.56666666666666</v>
      </c>
      <c r="J12" s="1">
        <v>40629.121111111112</v>
      </c>
      <c r="K12" s="1">
        <v>17.233333333333334</v>
      </c>
      <c r="L12" s="1">
        <v>6</v>
      </c>
      <c r="M12" s="1">
        <v>11.6</v>
      </c>
      <c r="N12">
        <v>107</v>
      </c>
      <c r="O12" s="3" t="s">
        <v>22</v>
      </c>
      <c r="P12" s="3">
        <f t="shared" si="0"/>
        <v>0</v>
      </c>
      <c r="Q12" s="3">
        <f t="shared" si="1"/>
        <v>0</v>
      </c>
      <c r="R12" s="3">
        <f t="shared" si="2"/>
        <v>0</v>
      </c>
      <c r="S12" s="3">
        <f t="shared" si="3"/>
        <v>0</v>
      </c>
      <c r="T12" s="3">
        <f t="shared" si="4"/>
        <v>0</v>
      </c>
      <c r="U12" s="3">
        <f t="shared" si="5"/>
        <v>0</v>
      </c>
      <c r="V12" s="3">
        <f t="shared" si="6"/>
        <v>0</v>
      </c>
      <c r="W12" s="3">
        <f t="shared" si="7"/>
        <v>0</v>
      </c>
      <c r="X12" s="3">
        <f t="shared" si="8"/>
        <v>0</v>
      </c>
      <c r="Y12" s="3">
        <f t="shared" si="9"/>
        <v>0</v>
      </c>
      <c r="Z12" s="3">
        <f t="shared" si="10"/>
        <v>1</v>
      </c>
      <c r="AA12" s="3">
        <f t="shared" si="11"/>
        <v>0</v>
      </c>
    </row>
    <row r="13" spans="1:27" x14ac:dyDescent="0.2">
      <c r="A13" s="2">
        <v>40148</v>
      </c>
      <c r="B13">
        <v>14358</v>
      </c>
      <c r="C13">
        <v>8161</v>
      </c>
      <c r="D13">
        <v>8166</v>
      </c>
      <c r="E13">
        <v>2133</v>
      </c>
      <c r="F13">
        <v>32818</v>
      </c>
      <c r="G13" s="1">
        <v>0</v>
      </c>
      <c r="H13" s="1">
        <v>0</v>
      </c>
      <c r="I13" s="1">
        <v>433.06666666666672</v>
      </c>
      <c r="J13" s="1">
        <v>187546.73777777783</v>
      </c>
      <c r="K13" s="1">
        <v>9.4333333333333336</v>
      </c>
      <c r="L13" s="1">
        <v>-0.76666666666666672</v>
      </c>
      <c r="M13" s="1">
        <v>4.3333333333333339</v>
      </c>
      <c r="N13">
        <v>108</v>
      </c>
      <c r="O13" s="3" t="s">
        <v>23</v>
      </c>
      <c r="P13" s="3">
        <f t="shared" si="0"/>
        <v>0</v>
      </c>
      <c r="Q13" s="3">
        <f t="shared" si="1"/>
        <v>0</v>
      </c>
      <c r="R13" s="3">
        <f t="shared" si="2"/>
        <v>0</v>
      </c>
      <c r="S13" s="3">
        <f t="shared" si="3"/>
        <v>0</v>
      </c>
      <c r="T13" s="3">
        <f t="shared" si="4"/>
        <v>0</v>
      </c>
      <c r="U13" s="3">
        <f t="shared" si="5"/>
        <v>0</v>
      </c>
      <c r="V13" s="3">
        <f t="shared" si="6"/>
        <v>0</v>
      </c>
      <c r="W13" s="3">
        <f t="shared" si="7"/>
        <v>0</v>
      </c>
      <c r="X13" s="3">
        <f t="shared" si="8"/>
        <v>0</v>
      </c>
      <c r="Y13" s="3">
        <f t="shared" si="9"/>
        <v>0</v>
      </c>
      <c r="Z13" s="3">
        <f t="shared" si="10"/>
        <v>0</v>
      </c>
      <c r="AA13" s="3">
        <f t="shared" si="11"/>
        <v>1</v>
      </c>
    </row>
    <row r="14" spans="1:27" x14ac:dyDescent="0.2">
      <c r="A14" s="2">
        <v>40179</v>
      </c>
      <c r="B14">
        <v>17239</v>
      </c>
      <c r="C14">
        <v>9701</v>
      </c>
      <c r="D14">
        <v>8409</v>
      </c>
      <c r="E14">
        <v>4595</v>
      </c>
      <c r="F14">
        <v>39947</v>
      </c>
      <c r="G14" s="1">
        <v>0</v>
      </c>
      <c r="H14" s="1">
        <v>0</v>
      </c>
      <c r="I14" s="1">
        <v>479.0333333333333</v>
      </c>
      <c r="J14" s="1">
        <v>229472.93444444443</v>
      </c>
      <c r="K14" s="1">
        <v>8.7666666666666675</v>
      </c>
      <c r="L14" s="1">
        <v>-3.0666666666666669</v>
      </c>
      <c r="M14" s="1">
        <v>2.833333333333333</v>
      </c>
      <c r="N14">
        <v>109</v>
      </c>
      <c r="O14" s="3" t="s">
        <v>12</v>
      </c>
      <c r="P14" s="3">
        <f t="shared" si="0"/>
        <v>1</v>
      </c>
      <c r="Q14" s="3">
        <f t="shared" si="1"/>
        <v>0</v>
      </c>
      <c r="R14" s="3">
        <f t="shared" si="2"/>
        <v>0</v>
      </c>
      <c r="S14" s="3">
        <f t="shared" si="3"/>
        <v>0</v>
      </c>
      <c r="T14" s="3">
        <f t="shared" si="4"/>
        <v>0</v>
      </c>
      <c r="U14" s="3">
        <f t="shared" si="5"/>
        <v>0</v>
      </c>
      <c r="V14" s="3">
        <f t="shared" si="6"/>
        <v>0</v>
      </c>
      <c r="W14" s="3">
        <f t="shared" si="7"/>
        <v>0</v>
      </c>
      <c r="X14" s="3">
        <f t="shared" si="8"/>
        <v>0</v>
      </c>
      <c r="Y14" s="3">
        <f t="shared" si="9"/>
        <v>0</v>
      </c>
      <c r="Z14" s="3">
        <f t="shared" si="10"/>
        <v>0</v>
      </c>
      <c r="AA14" s="3">
        <f t="shared" si="11"/>
        <v>0</v>
      </c>
    </row>
    <row r="15" spans="1:27" x14ac:dyDescent="0.2">
      <c r="A15" s="2">
        <v>40210</v>
      </c>
      <c r="B15">
        <v>14708</v>
      </c>
      <c r="C15">
        <v>8911</v>
      </c>
      <c r="D15">
        <v>8600</v>
      </c>
      <c r="E15">
        <v>3096</v>
      </c>
      <c r="F15">
        <v>35317</v>
      </c>
      <c r="G15" s="1">
        <v>0</v>
      </c>
      <c r="H15" s="1">
        <v>0</v>
      </c>
      <c r="I15" s="1">
        <v>427.16666666666669</v>
      </c>
      <c r="J15" s="1">
        <v>182471.36111111112</v>
      </c>
      <c r="K15" s="1">
        <v>7.9666666666666668</v>
      </c>
      <c r="L15" s="1">
        <v>-1.8333333333333333</v>
      </c>
      <c r="M15" s="1">
        <v>3.0333333333333332</v>
      </c>
      <c r="N15">
        <v>110</v>
      </c>
      <c r="O15" s="3" t="s">
        <v>13</v>
      </c>
      <c r="P15" s="3">
        <f t="shared" si="0"/>
        <v>0</v>
      </c>
      <c r="Q15" s="3">
        <f t="shared" si="1"/>
        <v>1</v>
      </c>
      <c r="R15" s="3">
        <f t="shared" si="2"/>
        <v>0</v>
      </c>
      <c r="S15" s="3">
        <f t="shared" si="3"/>
        <v>0</v>
      </c>
      <c r="T15" s="3">
        <f t="shared" si="4"/>
        <v>0</v>
      </c>
      <c r="U15" s="3">
        <f t="shared" si="5"/>
        <v>0</v>
      </c>
      <c r="V15" s="3">
        <f t="shared" si="6"/>
        <v>0</v>
      </c>
      <c r="W15" s="3">
        <f t="shared" si="7"/>
        <v>0</v>
      </c>
      <c r="X15" s="3">
        <f t="shared" si="8"/>
        <v>0</v>
      </c>
      <c r="Y15" s="3">
        <f t="shared" si="9"/>
        <v>0</v>
      </c>
      <c r="Z15" s="3">
        <f t="shared" si="10"/>
        <v>0</v>
      </c>
      <c r="AA15" s="3">
        <f t="shared" si="11"/>
        <v>0</v>
      </c>
    </row>
    <row r="16" spans="1:27" x14ac:dyDescent="0.2">
      <c r="A16" s="2">
        <v>40238</v>
      </c>
      <c r="B16">
        <v>7595</v>
      </c>
      <c r="C16">
        <v>5153</v>
      </c>
      <c r="D16">
        <v>8362</v>
      </c>
      <c r="E16">
        <v>2555</v>
      </c>
      <c r="F16">
        <v>23668</v>
      </c>
      <c r="G16" s="1">
        <v>0</v>
      </c>
      <c r="H16" s="1">
        <v>0</v>
      </c>
      <c r="I16" s="1">
        <v>234.46666666666664</v>
      </c>
      <c r="J16" s="1">
        <v>54974.617777777763</v>
      </c>
      <c r="K16" s="1">
        <v>17.399999999999999</v>
      </c>
      <c r="L16" s="1">
        <v>4.0999999999999996</v>
      </c>
      <c r="M16" s="1">
        <v>10.733333333333333</v>
      </c>
      <c r="N16">
        <v>111</v>
      </c>
      <c r="O16" s="3" t="s">
        <v>14</v>
      </c>
      <c r="P16" s="3">
        <f t="shared" si="0"/>
        <v>0</v>
      </c>
      <c r="Q16" s="3">
        <f t="shared" si="1"/>
        <v>0</v>
      </c>
      <c r="R16" s="3">
        <f t="shared" si="2"/>
        <v>1</v>
      </c>
      <c r="S16" s="3">
        <f t="shared" si="3"/>
        <v>0</v>
      </c>
      <c r="T16" s="3">
        <f t="shared" si="4"/>
        <v>0</v>
      </c>
      <c r="U16" s="3">
        <f t="shared" si="5"/>
        <v>0</v>
      </c>
      <c r="V16" s="3">
        <f t="shared" si="6"/>
        <v>0</v>
      </c>
      <c r="W16" s="3">
        <f t="shared" si="7"/>
        <v>0</v>
      </c>
      <c r="X16" s="3">
        <f t="shared" si="8"/>
        <v>0</v>
      </c>
      <c r="Y16" s="3">
        <f t="shared" si="9"/>
        <v>0</v>
      </c>
      <c r="Z16" s="3">
        <f t="shared" si="10"/>
        <v>0</v>
      </c>
      <c r="AA16" s="3">
        <f t="shared" si="11"/>
        <v>0</v>
      </c>
    </row>
    <row r="17" spans="1:27" x14ac:dyDescent="0.2">
      <c r="A17" s="2">
        <v>40269</v>
      </c>
      <c r="B17">
        <v>1937</v>
      </c>
      <c r="C17">
        <v>2691</v>
      </c>
      <c r="D17">
        <v>6938</v>
      </c>
      <c r="E17">
        <v>3098</v>
      </c>
      <c r="F17">
        <v>14667</v>
      </c>
      <c r="G17" s="1">
        <v>30.6</v>
      </c>
      <c r="H17" s="1">
        <v>936.36000000000013</v>
      </c>
      <c r="I17" s="1">
        <v>65.599999999999994</v>
      </c>
      <c r="J17" s="1">
        <v>4303.3599999999997</v>
      </c>
      <c r="K17" s="1">
        <v>24.566666666666666</v>
      </c>
      <c r="L17" s="1">
        <v>9.6999999999999993</v>
      </c>
      <c r="M17" s="1">
        <v>17.133333333333333</v>
      </c>
      <c r="N17">
        <v>112</v>
      </c>
      <c r="O17" s="3" t="s">
        <v>15</v>
      </c>
      <c r="P17" s="3">
        <f t="shared" si="0"/>
        <v>0</v>
      </c>
      <c r="Q17" s="3">
        <f t="shared" si="1"/>
        <v>0</v>
      </c>
      <c r="R17" s="3">
        <f t="shared" si="2"/>
        <v>0</v>
      </c>
      <c r="S17" s="3">
        <f t="shared" si="3"/>
        <v>1</v>
      </c>
      <c r="T17" s="3">
        <f t="shared" si="4"/>
        <v>0</v>
      </c>
      <c r="U17" s="3">
        <f t="shared" si="5"/>
        <v>0</v>
      </c>
      <c r="V17" s="3">
        <f t="shared" si="6"/>
        <v>0</v>
      </c>
      <c r="W17" s="3">
        <f t="shared" si="7"/>
        <v>0</v>
      </c>
      <c r="X17" s="3">
        <f t="shared" si="8"/>
        <v>0</v>
      </c>
      <c r="Y17" s="3">
        <f t="shared" si="9"/>
        <v>0</v>
      </c>
      <c r="Z17" s="3">
        <f t="shared" si="10"/>
        <v>0</v>
      </c>
      <c r="AA17" s="3">
        <f t="shared" si="11"/>
        <v>0</v>
      </c>
    </row>
    <row r="18" spans="1:27" x14ac:dyDescent="0.2">
      <c r="A18" s="2">
        <v>40299</v>
      </c>
      <c r="B18">
        <v>1252</v>
      </c>
      <c r="C18">
        <v>2389</v>
      </c>
      <c r="D18">
        <v>6905</v>
      </c>
      <c r="E18">
        <v>5787</v>
      </c>
      <c r="F18">
        <v>16336</v>
      </c>
      <c r="G18" s="1">
        <v>124.4</v>
      </c>
      <c r="H18" s="1">
        <v>15475.36</v>
      </c>
      <c r="I18" s="1">
        <v>14.833333333333334</v>
      </c>
      <c r="J18" s="1">
        <v>220.0277777777778</v>
      </c>
      <c r="K18" s="1">
        <v>27.366666666666667</v>
      </c>
      <c r="L18" s="1">
        <v>16.333333333333336</v>
      </c>
      <c r="M18" s="1">
        <v>21.833333333333336</v>
      </c>
      <c r="N18">
        <v>113</v>
      </c>
      <c r="O18" s="3" t="s">
        <v>16</v>
      </c>
      <c r="P18" s="3">
        <f t="shared" si="0"/>
        <v>0</v>
      </c>
      <c r="Q18" s="3">
        <f t="shared" si="1"/>
        <v>0</v>
      </c>
      <c r="R18" s="3">
        <f t="shared" si="2"/>
        <v>0</v>
      </c>
      <c r="S18" s="3">
        <f t="shared" si="3"/>
        <v>0</v>
      </c>
      <c r="T18" s="3">
        <f t="shared" si="4"/>
        <v>1</v>
      </c>
      <c r="U18" s="3">
        <f t="shared" si="5"/>
        <v>0</v>
      </c>
      <c r="V18" s="3">
        <f t="shared" si="6"/>
        <v>0</v>
      </c>
      <c r="W18" s="3">
        <f t="shared" si="7"/>
        <v>0</v>
      </c>
      <c r="X18" s="3">
        <f t="shared" si="8"/>
        <v>0</v>
      </c>
      <c r="Y18" s="3">
        <f t="shared" si="9"/>
        <v>0</v>
      </c>
      <c r="Z18" s="3">
        <f t="shared" si="10"/>
        <v>0</v>
      </c>
      <c r="AA18" s="3">
        <f t="shared" si="11"/>
        <v>0</v>
      </c>
    </row>
    <row r="19" spans="1:27" x14ac:dyDescent="0.2">
      <c r="A19" s="2">
        <v>40330</v>
      </c>
      <c r="B19">
        <v>942</v>
      </c>
      <c r="C19">
        <v>1977</v>
      </c>
      <c r="D19">
        <v>6890</v>
      </c>
      <c r="E19">
        <v>10952</v>
      </c>
      <c r="F19">
        <v>20764</v>
      </c>
      <c r="G19" s="1">
        <v>259.8</v>
      </c>
      <c r="H19" s="1">
        <v>67496.040000000008</v>
      </c>
      <c r="I19" s="1">
        <v>0</v>
      </c>
      <c r="J19" s="1">
        <v>0</v>
      </c>
      <c r="K19" s="1">
        <v>32.700000000000003</v>
      </c>
      <c r="L19" s="1">
        <v>21.2</v>
      </c>
      <c r="M19" s="1">
        <v>26.966666666666669</v>
      </c>
      <c r="N19">
        <v>114</v>
      </c>
      <c r="O19" s="3" t="s">
        <v>17</v>
      </c>
      <c r="P19" s="3">
        <f t="shared" si="0"/>
        <v>0</v>
      </c>
      <c r="Q19" s="3">
        <f t="shared" si="1"/>
        <v>0</v>
      </c>
      <c r="R19" s="3">
        <f t="shared" si="2"/>
        <v>0</v>
      </c>
      <c r="S19" s="3">
        <f t="shared" si="3"/>
        <v>0</v>
      </c>
      <c r="T19" s="3">
        <f t="shared" si="4"/>
        <v>0</v>
      </c>
      <c r="U19" s="3">
        <f t="shared" si="5"/>
        <v>1</v>
      </c>
      <c r="V19" s="3">
        <f t="shared" si="6"/>
        <v>0</v>
      </c>
      <c r="W19" s="3">
        <f t="shared" si="7"/>
        <v>0</v>
      </c>
      <c r="X19" s="3">
        <f t="shared" si="8"/>
        <v>0</v>
      </c>
      <c r="Y19" s="3">
        <f t="shared" si="9"/>
        <v>0</v>
      </c>
      <c r="Z19" s="3">
        <f t="shared" si="10"/>
        <v>0</v>
      </c>
      <c r="AA19" s="3">
        <f t="shared" si="11"/>
        <v>0</v>
      </c>
    </row>
    <row r="20" spans="1:27" x14ac:dyDescent="0.2">
      <c r="A20" s="2">
        <v>40360</v>
      </c>
      <c r="B20">
        <v>883</v>
      </c>
      <c r="C20">
        <v>1926</v>
      </c>
      <c r="D20">
        <v>6773</v>
      </c>
      <c r="E20">
        <v>12003</v>
      </c>
      <c r="F20">
        <v>21588</v>
      </c>
      <c r="G20" s="1">
        <v>289.13333333333333</v>
      </c>
      <c r="H20" s="1">
        <v>83598.084444444437</v>
      </c>
      <c r="I20" s="1">
        <v>0</v>
      </c>
      <c r="J20" s="1">
        <v>0</v>
      </c>
      <c r="K20" s="1">
        <v>33.5</v>
      </c>
      <c r="L20" s="1">
        <v>21.733333333333334</v>
      </c>
      <c r="M20" s="1">
        <v>27.633333333333333</v>
      </c>
      <c r="N20">
        <v>115</v>
      </c>
      <c r="O20" s="3" t="s">
        <v>18</v>
      </c>
      <c r="P20" s="3">
        <f t="shared" si="0"/>
        <v>0</v>
      </c>
      <c r="Q20" s="3">
        <f t="shared" si="1"/>
        <v>0</v>
      </c>
      <c r="R20" s="3">
        <f t="shared" si="2"/>
        <v>0</v>
      </c>
      <c r="S20" s="3">
        <f t="shared" si="3"/>
        <v>0</v>
      </c>
      <c r="T20" s="3">
        <f t="shared" si="4"/>
        <v>0</v>
      </c>
      <c r="U20" s="3">
        <f t="shared" si="5"/>
        <v>0</v>
      </c>
      <c r="V20" s="3">
        <f t="shared" si="6"/>
        <v>1</v>
      </c>
      <c r="W20" s="3">
        <f t="shared" si="7"/>
        <v>0</v>
      </c>
      <c r="X20" s="3">
        <f t="shared" si="8"/>
        <v>0</v>
      </c>
      <c r="Y20" s="3">
        <f t="shared" si="9"/>
        <v>0</v>
      </c>
      <c r="Z20" s="3">
        <f t="shared" si="10"/>
        <v>0</v>
      </c>
      <c r="AA20" s="3">
        <f t="shared" si="11"/>
        <v>0</v>
      </c>
    </row>
    <row r="21" spans="1:27" x14ac:dyDescent="0.2">
      <c r="A21" s="2">
        <v>40391</v>
      </c>
      <c r="B21">
        <v>904</v>
      </c>
      <c r="C21">
        <v>2092</v>
      </c>
      <c r="D21">
        <v>7105</v>
      </c>
      <c r="E21">
        <v>10299</v>
      </c>
      <c r="F21">
        <v>20403</v>
      </c>
      <c r="G21" s="1">
        <v>268.76666666666665</v>
      </c>
      <c r="H21" s="1">
        <v>72235.521111111098</v>
      </c>
      <c r="I21" s="1">
        <v>0</v>
      </c>
      <c r="J21" s="1">
        <v>0</v>
      </c>
      <c r="K21" s="1">
        <v>32.266666666666666</v>
      </c>
      <c r="L21" s="1">
        <v>21.666666666666664</v>
      </c>
      <c r="M21" s="1">
        <v>27</v>
      </c>
      <c r="N21">
        <v>116</v>
      </c>
      <c r="O21" s="3" t="s">
        <v>19</v>
      </c>
      <c r="P21" s="3">
        <f t="shared" si="0"/>
        <v>0</v>
      </c>
      <c r="Q21" s="3">
        <f t="shared" si="1"/>
        <v>0</v>
      </c>
      <c r="R21" s="3">
        <f t="shared" si="2"/>
        <v>0</v>
      </c>
      <c r="S21" s="3">
        <f t="shared" si="3"/>
        <v>0</v>
      </c>
      <c r="T21" s="3">
        <f t="shared" si="4"/>
        <v>0</v>
      </c>
      <c r="U21" s="3">
        <f t="shared" si="5"/>
        <v>0</v>
      </c>
      <c r="V21" s="3">
        <f t="shared" si="6"/>
        <v>0</v>
      </c>
      <c r="W21" s="3">
        <f t="shared" si="7"/>
        <v>1</v>
      </c>
      <c r="X21" s="3">
        <f t="shared" si="8"/>
        <v>0</v>
      </c>
      <c r="Y21" s="3">
        <f t="shared" si="9"/>
        <v>0</v>
      </c>
      <c r="Z21" s="3">
        <f t="shared" si="10"/>
        <v>0</v>
      </c>
      <c r="AA21" s="3">
        <f t="shared" si="11"/>
        <v>0</v>
      </c>
    </row>
    <row r="22" spans="1:27" x14ac:dyDescent="0.2">
      <c r="A22" s="2">
        <v>40422</v>
      </c>
      <c r="B22">
        <v>1011</v>
      </c>
      <c r="C22">
        <v>2433</v>
      </c>
      <c r="D22">
        <v>7014</v>
      </c>
      <c r="E22">
        <v>5803</v>
      </c>
      <c r="F22">
        <v>16263</v>
      </c>
      <c r="G22" s="1">
        <v>181.16666666666669</v>
      </c>
      <c r="H22" s="1">
        <v>32821.361111111117</v>
      </c>
      <c r="I22" s="1">
        <v>1.4</v>
      </c>
      <c r="J22" s="1">
        <v>1.9599999999999997</v>
      </c>
      <c r="K22" s="1">
        <v>30.93333333333333</v>
      </c>
      <c r="L22" s="1">
        <v>17.666666666666664</v>
      </c>
      <c r="M22" s="1">
        <v>24.3</v>
      </c>
      <c r="N22">
        <v>117</v>
      </c>
      <c r="O22" s="3" t="s">
        <v>20</v>
      </c>
      <c r="P22" s="3">
        <f t="shared" si="0"/>
        <v>0</v>
      </c>
      <c r="Q22" s="3">
        <f t="shared" si="1"/>
        <v>0</v>
      </c>
      <c r="R22" s="3">
        <f t="shared" si="2"/>
        <v>0</v>
      </c>
      <c r="S22" s="3">
        <f t="shared" si="3"/>
        <v>0</v>
      </c>
      <c r="T22" s="3">
        <f t="shared" si="4"/>
        <v>0</v>
      </c>
      <c r="U22" s="3">
        <f t="shared" si="5"/>
        <v>0</v>
      </c>
      <c r="V22" s="3">
        <f t="shared" si="6"/>
        <v>0</v>
      </c>
      <c r="W22" s="3">
        <f t="shared" si="7"/>
        <v>0</v>
      </c>
      <c r="X22" s="3">
        <f t="shared" si="8"/>
        <v>1</v>
      </c>
      <c r="Y22" s="3">
        <f t="shared" si="9"/>
        <v>0</v>
      </c>
      <c r="Z22" s="3">
        <f t="shared" si="10"/>
        <v>0</v>
      </c>
      <c r="AA22" s="3">
        <f t="shared" si="11"/>
        <v>0</v>
      </c>
    </row>
    <row r="23" spans="1:27" x14ac:dyDescent="0.2">
      <c r="A23" s="2">
        <v>40452</v>
      </c>
      <c r="B23">
        <v>1873</v>
      </c>
      <c r="C23">
        <v>3117</v>
      </c>
      <c r="D23">
        <v>7762</v>
      </c>
      <c r="E23">
        <v>4621</v>
      </c>
      <c r="F23">
        <v>17376</v>
      </c>
      <c r="G23" s="1">
        <v>25.466666666666665</v>
      </c>
      <c r="H23" s="1">
        <v>648.55111111111103</v>
      </c>
      <c r="I23" s="1">
        <v>69.333333333333343</v>
      </c>
      <c r="J23" s="1">
        <v>4807.1111111111122</v>
      </c>
      <c r="K23" s="1">
        <v>24.133333333333333</v>
      </c>
      <c r="L23" s="1">
        <v>9.6</v>
      </c>
      <c r="M23" s="1">
        <v>16.866666666666667</v>
      </c>
      <c r="N23">
        <v>118</v>
      </c>
      <c r="O23" s="3" t="s">
        <v>21</v>
      </c>
      <c r="P23" s="3">
        <f t="shared" si="0"/>
        <v>0</v>
      </c>
      <c r="Q23" s="3">
        <f t="shared" si="1"/>
        <v>0</v>
      </c>
      <c r="R23" s="3">
        <f t="shared" si="2"/>
        <v>0</v>
      </c>
      <c r="S23" s="3">
        <f t="shared" si="3"/>
        <v>0</v>
      </c>
      <c r="T23" s="3">
        <f t="shared" si="4"/>
        <v>0</v>
      </c>
      <c r="U23" s="3">
        <f t="shared" si="5"/>
        <v>0</v>
      </c>
      <c r="V23" s="3">
        <f t="shared" si="6"/>
        <v>0</v>
      </c>
      <c r="W23" s="3">
        <f t="shared" si="7"/>
        <v>0</v>
      </c>
      <c r="X23" s="3">
        <f t="shared" si="8"/>
        <v>0</v>
      </c>
      <c r="Y23" s="3">
        <f t="shared" si="9"/>
        <v>1</v>
      </c>
      <c r="Z23" s="3">
        <f t="shared" si="10"/>
        <v>0</v>
      </c>
      <c r="AA23" s="3">
        <f t="shared" si="11"/>
        <v>0</v>
      </c>
    </row>
    <row r="24" spans="1:27" x14ac:dyDescent="0.2">
      <c r="A24" s="2">
        <v>40483</v>
      </c>
      <c r="B24">
        <v>7010</v>
      </c>
      <c r="C24">
        <v>5190</v>
      </c>
      <c r="D24">
        <v>8395</v>
      </c>
      <c r="E24">
        <v>4250</v>
      </c>
      <c r="F24">
        <v>24848</v>
      </c>
      <c r="G24" s="1">
        <v>0.1</v>
      </c>
      <c r="H24" s="1">
        <v>1.0000000000000002E-2</v>
      </c>
      <c r="I24" s="1">
        <v>235.83333333333334</v>
      </c>
      <c r="J24" s="1">
        <v>55617.361111111117</v>
      </c>
      <c r="K24" s="1">
        <v>17.233333333333334</v>
      </c>
      <c r="L24" s="1">
        <v>3.6666666666666665</v>
      </c>
      <c r="M24" s="1">
        <v>10.433333333333334</v>
      </c>
      <c r="N24">
        <v>119</v>
      </c>
      <c r="O24" s="3" t="s">
        <v>22</v>
      </c>
      <c r="P24" s="3">
        <f t="shared" si="0"/>
        <v>0</v>
      </c>
      <c r="Q24" s="3">
        <f t="shared" si="1"/>
        <v>0</v>
      </c>
      <c r="R24" s="3">
        <f t="shared" si="2"/>
        <v>0</v>
      </c>
      <c r="S24" s="3">
        <f t="shared" si="3"/>
        <v>0</v>
      </c>
      <c r="T24" s="3">
        <f t="shared" si="4"/>
        <v>0</v>
      </c>
      <c r="U24" s="3">
        <f t="shared" si="5"/>
        <v>0</v>
      </c>
      <c r="V24" s="3">
        <f t="shared" si="6"/>
        <v>0</v>
      </c>
      <c r="W24" s="3">
        <f t="shared" si="7"/>
        <v>0</v>
      </c>
      <c r="X24" s="3">
        <f t="shared" si="8"/>
        <v>0</v>
      </c>
      <c r="Y24" s="3">
        <f t="shared" si="9"/>
        <v>0</v>
      </c>
      <c r="Z24" s="3">
        <f t="shared" si="10"/>
        <v>1</v>
      </c>
      <c r="AA24" s="3">
        <f t="shared" si="11"/>
        <v>0</v>
      </c>
    </row>
    <row r="25" spans="1:27" x14ac:dyDescent="0.2">
      <c r="A25" s="2">
        <v>40513</v>
      </c>
      <c r="B25">
        <v>19166</v>
      </c>
      <c r="C25">
        <v>10645</v>
      </c>
      <c r="D25">
        <v>9166</v>
      </c>
      <c r="E25">
        <v>6013</v>
      </c>
      <c r="F25">
        <v>44993</v>
      </c>
      <c r="G25" s="1">
        <v>0</v>
      </c>
      <c r="H25" s="1">
        <v>0</v>
      </c>
      <c r="I25" s="1">
        <v>528.33333333333326</v>
      </c>
      <c r="J25" s="1">
        <v>279136.11111111101</v>
      </c>
      <c r="K25" s="1">
        <v>6.4</v>
      </c>
      <c r="L25" s="1">
        <v>-3.9</v>
      </c>
      <c r="M25" s="1">
        <v>1.2333333333333334</v>
      </c>
      <c r="N25">
        <v>120</v>
      </c>
      <c r="O25" s="3" t="s">
        <v>23</v>
      </c>
      <c r="P25" s="3">
        <f t="shared" si="0"/>
        <v>0</v>
      </c>
      <c r="Q25" s="3">
        <f t="shared" si="1"/>
        <v>0</v>
      </c>
      <c r="R25" s="3">
        <f t="shared" si="2"/>
        <v>0</v>
      </c>
      <c r="S25" s="3">
        <f t="shared" si="3"/>
        <v>0</v>
      </c>
      <c r="T25" s="3">
        <f t="shared" si="4"/>
        <v>0</v>
      </c>
      <c r="U25" s="3">
        <f t="shared" si="5"/>
        <v>0</v>
      </c>
      <c r="V25" s="3">
        <f t="shared" si="6"/>
        <v>0</v>
      </c>
      <c r="W25" s="3">
        <f t="shared" si="7"/>
        <v>0</v>
      </c>
      <c r="X25" s="3">
        <f t="shared" si="8"/>
        <v>0</v>
      </c>
      <c r="Y25" s="3">
        <f t="shared" si="9"/>
        <v>0</v>
      </c>
      <c r="Z25" s="3">
        <f t="shared" si="10"/>
        <v>0</v>
      </c>
      <c r="AA25" s="3">
        <f t="shared" si="11"/>
        <v>1</v>
      </c>
    </row>
    <row r="26" spans="1:27" x14ac:dyDescent="0.2">
      <c r="A26" s="2">
        <v>40544</v>
      </c>
      <c r="B26">
        <v>17009</v>
      </c>
      <c r="C26">
        <v>9522</v>
      </c>
      <c r="D26">
        <v>10100</v>
      </c>
      <c r="E26">
        <v>4681</v>
      </c>
      <c r="F26">
        <v>41316</v>
      </c>
      <c r="G26" s="1">
        <v>0</v>
      </c>
      <c r="H26" s="1">
        <v>0</v>
      </c>
      <c r="I26" s="1">
        <v>484.1</v>
      </c>
      <c r="J26" s="1">
        <v>234352.81000000003</v>
      </c>
      <c r="K26" s="1">
        <v>8.2333333333333325</v>
      </c>
      <c r="L26" s="1">
        <v>-2.8666666666666667</v>
      </c>
      <c r="M26" s="1">
        <v>2.7</v>
      </c>
      <c r="N26">
        <v>121</v>
      </c>
      <c r="O26" s="3" t="s">
        <v>12</v>
      </c>
      <c r="P26" s="3">
        <f t="shared" si="0"/>
        <v>1</v>
      </c>
      <c r="Q26" s="3">
        <f t="shared" si="1"/>
        <v>0</v>
      </c>
      <c r="R26" s="3">
        <f t="shared" si="2"/>
        <v>0</v>
      </c>
      <c r="S26" s="3">
        <f t="shared" si="3"/>
        <v>0</v>
      </c>
      <c r="T26" s="3">
        <f t="shared" si="4"/>
        <v>0</v>
      </c>
      <c r="U26" s="3">
        <f t="shared" si="5"/>
        <v>0</v>
      </c>
      <c r="V26" s="3">
        <f t="shared" si="6"/>
        <v>0</v>
      </c>
      <c r="W26" s="3">
        <f t="shared" si="7"/>
        <v>0</v>
      </c>
      <c r="X26" s="3">
        <f t="shared" si="8"/>
        <v>0</v>
      </c>
      <c r="Y26" s="3">
        <f t="shared" si="9"/>
        <v>0</v>
      </c>
      <c r="Z26" s="3">
        <f t="shared" si="10"/>
        <v>0</v>
      </c>
      <c r="AA26" s="3">
        <f t="shared" si="11"/>
        <v>0</v>
      </c>
    </row>
    <row r="27" spans="1:27" x14ac:dyDescent="0.2">
      <c r="A27" s="2">
        <v>40575</v>
      </c>
      <c r="B27">
        <v>9734</v>
      </c>
      <c r="C27">
        <v>6169</v>
      </c>
      <c r="D27">
        <v>8880</v>
      </c>
      <c r="E27">
        <v>3473</v>
      </c>
      <c r="F27">
        <v>28258</v>
      </c>
      <c r="G27" s="1">
        <v>1.1666666666666665</v>
      </c>
      <c r="H27" s="1">
        <v>1.3611111111111107</v>
      </c>
      <c r="I27" s="1">
        <v>279.46666666666664</v>
      </c>
      <c r="J27" s="1">
        <v>78101.617777777763</v>
      </c>
      <c r="K27" s="1">
        <v>15.166666666666666</v>
      </c>
      <c r="L27" s="1">
        <v>1.5666666666666667</v>
      </c>
      <c r="M27" s="1">
        <v>8.3666666666666671</v>
      </c>
      <c r="N27">
        <v>122</v>
      </c>
      <c r="O27" s="3" t="s">
        <v>13</v>
      </c>
      <c r="P27" s="3">
        <f t="shared" si="0"/>
        <v>0</v>
      </c>
      <c r="Q27" s="3">
        <f t="shared" si="1"/>
        <v>1</v>
      </c>
      <c r="R27" s="3">
        <f t="shared" si="2"/>
        <v>0</v>
      </c>
      <c r="S27" s="3">
        <f t="shared" si="3"/>
        <v>0</v>
      </c>
      <c r="T27" s="3">
        <f t="shared" si="4"/>
        <v>0</v>
      </c>
      <c r="U27" s="3">
        <f t="shared" si="5"/>
        <v>0</v>
      </c>
      <c r="V27" s="3">
        <f t="shared" si="6"/>
        <v>0</v>
      </c>
      <c r="W27" s="3">
        <f t="shared" si="7"/>
        <v>0</v>
      </c>
      <c r="X27" s="3">
        <f t="shared" si="8"/>
        <v>0</v>
      </c>
      <c r="Y27" s="3">
        <f t="shared" si="9"/>
        <v>0</v>
      </c>
      <c r="Z27" s="3">
        <f t="shared" si="10"/>
        <v>0</v>
      </c>
      <c r="AA27" s="3">
        <f t="shared" si="11"/>
        <v>0</v>
      </c>
    </row>
    <row r="28" spans="1:27" x14ac:dyDescent="0.2">
      <c r="A28" s="2">
        <v>40603</v>
      </c>
      <c r="B28">
        <v>7399</v>
      </c>
      <c r="C28">
        <v>5460</v>
      </c>
      <c r="D28">
        <v>9149</v>
      </c>
      <c r="E28">
        <v>4445</v>
      </c>
      <c r="F28">
        <v>26456</v>
      </c>
      <c r="G28" s="1">
        <v>4.6666666666666661</v>
      </c>
      <c r="H28" s="1">
        <v>21.777777777777771</v>
      </c>
      <c r="I28" s="1">
        <v>241.3</v>
      </c>
      <c r="J28" s="1">
        <v>58225.69</v>
      </c>
      <c r="K28" s="1">
        <v>16.600000000000001</v>
      </c>
      <c r="L28" s="1">
        <v>4.7333333333333334</v>
      </c>
      <c r="M28" s="1">
        <v>10.666666666666668</v>
      </c>
      <c r="N28">
        <v>123</v>
      </c>
      <c r="O28" s="3" t="s">
        <v>14</v>
      </c>
      <c r="P28" s="3">
        <f t="shared" si="0"/>
        <v>0</v>
      </c>
      <c r="Q28" s="3">
        <f t="shared" si="1"/>
        <v>0</v>
      </c>
      <c r="R28" s="3">
        <f t="shared" si="2"/>
        <v>1</v>
      </c>
      <c r="S28" s="3">
        <f t="shared" si="3"/>
        <v>0</v>
      </c>
      <c r="T28" s="3">
        <f t="shared" si="4"/>
        <v>0</v>
      </c>
      <c r="U28" s="3">
        <f t="shared" si="5"/>
        <v>0</v>
      </c>
      <c r="V28" s="3">
        <f t="shared" si="6"/>
        <v>0</v>
      </c>
      <c r="W28" s="3">
        <f t="shared" si="7"/>
        <v>0</v>
      </c>
      <c r="X28" s="3">
        <f t="shared" si="8"/>
        <v>0</v>
      </c>
      <c r="Y28" s="3">
        <f t="shared" si="9"/>
        <v>0</v>
      </c>
      <c r="Z28" s="3">
        <f t="shared" si="10"/>
        <v>0</v>
      </c>
      <c r="AA28" s="3">
        <f t="shared" si="11"/>
        <v>0</v>
      </c>
    </row>
    <row r="29" spans="1:27" x14ac:dyDescent="0.2">
      <c r="A29" s="2">
        <v>40634</v>
      </c>
      <c r="B29">
        <v>2890</v>
      </c>
      <c r="C29">
        <v>2761</v>
      </c>
      <c r="D29">
        <v>7820</v>
      </c>
      <c r="E29">
        <v>3691</v>
      </c>
      <c r="F29">
        <v>17165</v>
      </c>
      <c r="G29" s="1">
        <v>39.200000000000003</v>
      </c>
      <c r="H29" s="1">
        <v>1536.6400000000003</v>
      </c>
      <c r="I29" s="1">
        <v>75.266666666666666</v>
      </c>
      <c r="J29" s="1">
        <v>5665.0711111111113</v>
      </c>
      <c r="K29" s="1">
        <v>24</v>
      </c>
      <c r="L29" s="1">
        <v>10.233333333333333</v>
      </c>
      <c r="M29" s="1">
        <v>17.100000000000001</v>
      </c>
      <c r="N29">
        <v>124</v>
      </c>
      <c r="O29" s="3" t="s">
        <v>15</v>
      </c>
      <c r="P29" s="3">
        <f t="shared" si="0"/>
        <v>0</v>
      </c>
      <c r="Q29" s="3">
        <f t="shared" si="1"/>
        <v>0</v>
      </c>
      <c r="R29" s="3">
        <f t="shared" si="2"/>
        <v>0</v>
      </c>
      <c r="S29" s="3">
        <f t="shared" si="3"/>
        <v>1</v>
      </c>
      <c r="T29" s="3">
        <f t="shared" si="4"/>
        <v>0</v>
      </c>
      <c r="U29" s="3">
        <f t="shared" si="5"/>
        <v>0</v>
      </c>
      <c r="V29" s="3">
        <f t="shared" si="6"/>
        <v>0</v>
      </c>
      <c r="W29" s="3">
        <f t="shared" si="7"/>
        <v>0</v>
      </c>
      <c r="X29" s="3">
        <f t="shared" si="8"/>
        <v>0</v>
      </c>
      <c r="Y29" s="3">
        <f t="shared" si="9"/>
        <v>0</v>
      </c>
      <c r="Z29" s="3">
        <f t="shared" si="10"/>
        <v>0</v>
      </c>
      <c r="AA29" s="3">
        <f t="shared" si="11"/>
        <v>0</v>
      </c>
    </row>
    <row r="30" spans="1:27" x14ac:dyDescent="0.2">
      <c r="A30" s="2">
        <v>40664</v>
      </c>
      <c r="B30">
        <v>1348</v>
      </c>
      <c r="C30">
        <v>2568</v>
      </c>
      <c r="D30">
        <v>7768</v>
      </c>
      <c r="E30">
        <v>8148</v>
      </c>
      <c r="F30">
        <v>19834</v>
      </c>
      <c r="G30" s="1">
        <v>99.566666666666663</v>
      </c>
      <c r="H30" s="1">
        <v>9913.5211111111112</v>
      </c>
      <c r="I30" s="1">
        <v>24.266666666666666</v>
      </c>
      <c r="J30" s="1">
        <v>588.87111111111108</v>
      </c>
      <c r="K30" s="1">
        <v>26.8</v>
      </c>
      <c r="L30" s="1">
        <v>14.666666666666666</v>
      </c>
      <c r="M30" s="1">
        <v>20.7</v>
      </c>
      <c r="N30">
        <v>125</v>
      </c>
      <c r="O30" s="3" t="s">
        <v>16</v>
      </c>
      <c r="P30" s="3">
        <f t="shared" si="0"/>
        <v>0</v>
      </c>
      <c r="Q30" s="3">
        <f t="shared" si="1"/>
        <v>0</v>
      </c>
      <c r="R30" s="3">
        <f t="shared" si="2"/>
        <v>0</v>
      </c>
      <c r="S30" s="3">
        <f t="shared" si="3"/>
        <v>0</v>
      </c>
      <c r="T30" s="3">
        <f t="shared" si="4"/>
        <v>1</v>
      </c>
      <c r="U30" s="3">
        <f t="shared" si="5"/>
        <v>0</v>
      </c>
      <c r="V30" s="3">
        <f t="shared" si="6"/>
        <v>0</v>
      </c>
      <c r="W30" s="3">
        <f t="shared" si="7"/>
        <v>0</v>
      </c>
      <c r="X30" s="3">
        <f t="shared" si="8"/>
        <v>0</v>
      </c>
      <c r="Y30" s="3">
        <f t="shared" si="9"/>
        <v>0</v>
      </c>
      <c r="Z30" s="3">
        <f t="shared" si="10"/>
        <v>0</v>
      </c>
      <c r="AA30" s="3">
        <f t="shared" si="11"/>
        <v>0</v>
      </c>
    </row>
    <row r="31" spans="1:27" x14ac:dyDescent="0.2">
      <c r="A31" s="2">
        <v>40695</v>
      </c>
      <c r="B31">
        <v>962</v>
      </c>
      <c r="C31">
        <v>2133</v>
      </c>
      <c r="D31">
        <v>7322</v>
      </c>
      <c r="E31">
        <v>10582</v>
      </c>
      <c r="F31">
        <v>21001</v>
      </c>
      <c r="G31" s="1">
        <v>233</v>
      </c>
      <c r="H31" s="1">
        <v>54289</v>
      </c>
      <c r="I31" s="1">
        <v>0</v>
      </c>
      <c r="J31" s="1">
        <v>0</v>
      </c>
      <c r="K31" s="1">
        <v>32.533333333333331</v>
      </c>
      <c r="L31" s="1">
        <v>19.600000000000001</v>
      </c>
      <c r="M31" s="1">
        <v>26.06666666666667</v>
      </c>
      <c r="N31">
        <v>126</v>
      </c>
      <c r="O31" s="3" t="s">
        <v>17</v>
      </c>
      <c r="P31" s="3">
        <f t="shared" si="0"/>
        <v>0</v>
      </c>
      <c r="Q31" s="3">
        <f t="shared" si="1"/>
        <v>0</v>
      </c>
      <c r="R31" s="3">
        <f t="shared" si="2"/>
        <v>0</v>
      </c>
      <c r="S31" s="3">
        <f t="shared" si="3"/>
        <v>0</v>
      </c>
      <c r="T31" s="3">
        <f t="shared" si="4"/>
        <v>0</v>
      </c>
      <c r="U31" s="3">
        <f t="shared" si="5"/>
        <v>1</v>
      </c>
      <c r="V31" s="3">
        <f t="shared" si="6"/>
        <v>0</v>
      </c>
      <c r="W31" s="3">
        <f t="shared" si="7"/>
        <v>0</v>
      </c>
      <c r="X31" s="3">
        <f t="shared" si="8"/>
        <v>0</v>
      </c>
      <c r="Y31" s="3">
        <f t="shared" si="9"/>
        <v>0</v>
      </c>
      <c r="Z31" s="3">
        <f t="shared" si="10"/>
        <v>0</v>
      </c>
      <c r="AA31" s="3">
        <f t="shared" si="11"/>
        <v>0</v>
      </c>
    </row>
    <row r="32" spans="1:27" x14ac:dyDescent="0.2">
      <c r="A32" s="2">
        <v>40725</v>
      </c>
      <c r="B32">
        <v>889</v>
      </c>
      <c r="C32">
        <v>1980</v>
      </c>
      <c r="D32">
        <v>7247</v>
      </c>
      <c r="E32">
        <v>14049</v>
      </c>
      <c r="F32">
        <v>24168</v>
      </c>
      <c r="G32" s="1">
        <v>296.53333333333336</v>
      </c>
      <c r="H32" s="1">
        <v>87932.017777777786</v>
      </c>
      <c r="I32" s="1">
        <v>0</v>
      </c>
      <c r="J32" s="1">
        <v>0</v>
      </c>
      <c r="K32" s="1">
        <v>33.9</v>
      </c>
      <c r="L32" s="1">
        <v>21.833333333333336</v>
      </c>
      <c r="M32" s="1">
        <v>27.866666666666667</v>
      </c>
      <c r="N32">
        <v>127</v>
      </c>
      <c r="O32" s="3" t="s">
        <v>18</v>
      </c>
      <c r="P32" s="3">
        <f t="shared" si="0"/>
        <v>0</v>
      </c>
      <c r="Q32" s="3">
        <f t="shared" si="1"/>
        <v>0</v>
      </c>
      <c r="R32" s="3">
        <f t="shared" si="2"/>
        <v>0</v>
      </c>
      <c r="S32" s="3">
        <f t="shared" si="3"/>
        <v>0</v>
      </c>
      <c r="T32" s="3">
        <f t="shared" si="4"/>
        <v>0</v>
      </c>
      <c r="U32" s="3">
        <f t="shared" si="5"/>
        <v>0</v>
      </c>
      <c r="V32" s="3">
        <f t="shared" si="6"/>
        <v>1</v>
      </c>
      <c r="W32" s="3">
        <f t="shared" si="7"/>
        <v>0</v>
      </c>
      <c r="X32" s="3">
        <f t="shared" si="8"/>
        <v>0</v>
      </c>
      <c r="Y32" s="3">
        <f t="shared" si="9"/>
        <v>0</v>
      </c>
      <c r="Z32" s="3">
        <f t="shared" si="10"/>
        <v>0</v>
      </c>
      <c r="AA32" s="3">
        <f t="shared" si="11"/>
        <v>0</v>
      </c>
    </row>
    <row r="33" spans="1:27" x14ac:dyDescent="0.2">
      <c r="A33" s="2">
        <v>40756</v>
      </c>
      <c r="B33">
        <v>1066</v>
      </c>
      <c r="C33">
        <v>2465</v>
      </c>
      <c r="D33">
        <v>7646</v>
      </c>
      <c r="E33">
        <v>10826</v>
      </c>
      <c r="F33">
        <v>22004</v>
      </c>
      <c r="G33" s="1">
        <v>248.06666666666666</v>
      </c>
      <c r="H33" s="1">
        <v>61537.071111111109</v>
      </c>
      <c r="I33" s="1">
        <v>0</v>
      </c>
      <c r="J33" s="1">
        <v>0</v>
      </c>
      <c r="K33" s="1">
        <v>32.1</v>
      </c>
      <c r="L33" s="1">
        <v>20.533333333333335</v>
      </c>
      <c r="M33" s="1">
        <v>26.3</v>
      </c>
      <c r="N33">
        <v>128</v>
      </c>
      <c r="O33" s="3" t="s">
        <v>19</v>
      </c>
      <c r="P33" s="3">
        <f t="shared" si="0"/>
        <v>0</v>
      </c>
      <c r="Q33" s="3">
        <f t="shared" si="1"/>
        <v>0</v>
      </c>
      <c r="R33" s="3">
        <f t="shared" si="2"/>
        <v>0</v>
      </c>
      <c r="S33" s="3">
        <f t="shared" si="3"/>
        <v>0</v>
      </c>
      <c r="T33" s="3">
        <f t="shared" si="4"/>
        <v>0</v>
      </c>
      <c r="U33" s="3">
        <f t="shared" si="5"/>
        <v>0</v>
      </c>
      <c r="V33" s="3">
        <f t="shared" si="6"/>
        <v>0</v>
      </c>
      <c r="W33" s="3">
        <f t="shared" si="7"/>
        <v>1</v>
      </c>
      <c r="X33" s="3">
        <f t="shared" si="8"/>
        <v>0</v>
      </c>
      <c r="Y33" s="3">
        <f t="shared" si="9"/>
        <v>0</v>
      </c>
      <c r="Z33" s="3">
        <f t="shared" si="10"/>
        <v>0</v>
      </c>
      <c r="AA33" s="3">
        <f t="shared" si="11"/>
        <v>0</v>
      </c>
    </row>
    <row r="34" spans="1:27" x14ac:dyDescent="0.2">
      <c r="A34" s="2">
        <v>40787</v>
      </c>
      <c r="B34">
        <v>1048</v>
      </c>
      <c r="C34">
        <v>2382</v>
      </c>
      <c r="D34">
        <v>7506</v>
      </c>
      <c r="E34">
        <v>7157</v>
      </c>
      <c r="F34">
        <v>18096</v>
      </c>
      <c r="G34" s="1">
        <v>131.03333333333333</v>
      </c>
      <c r="H34" s="1">
        <v>17169.734444444442</v>
      </c>
      <c r="I34" s="1">
        <v>9.7333333333333325</v>
      </c>
      <c r="J34" s="1">
        <v>94.737777777777765</v>
      </c>
      <c r="K34" s="1">
        <v>27.466666666666669</v>
      </c>
      <c r="L34" s="1">
        <v>17.233333333333334</v>
      </c>
      <c r="M34" s="1">
        <v>22.333333333333336</v>
      </c>
      <c r="N34">
        <v>129</v>
      </c>
      <c r="O34" s="3" t="s">
        <v>20</v>
      </c>
      <c r="P34" s="3">
        <f t="shared" si="0"/>
        <v>0</v>
      </c>
      <c r="Q34" s="3">
        <f t="shared" si="1"/>
        <v>0</v>
      </c>
      <c r="R34" s="3">
        <f t="shared" si="2"/>
        <v>0</v>
      </c>
      <c r="S34" s="3">
        <f t="shared" si="3"/>
        <v>0</v>
      </c>
      <c r="T34" s="3">
        <f t="shared" si="4"/>
        <v>0</v>
      </c>
      <c r="U34" s="3">
        <f t="shared" si="5"/>
        <v>0</v>
      </c>
      <c r="V34" s="3">
        <f t="shared" si="6"/>
        <v>0</v>
      </c>
      <c r="W34" s="3">
        <f t="shared" si="7"/>
        <v>0</v>
      </c>
      <c r="X34" s="3">
        <f t="shared" si="8"/>
        <v>1</v>
      </c>
      <c r="Y34" s="3">
        <f t="shared" si="9"/>
        <v>0</v>
      </c>
      <c r="Z34" s="3">
        <f t="shared" si="10"/>
        <v>0</v>
      </c>
      <c r="AA34" s="3">
        <f t="shared" si="11"/>
        <v>0</v>
      </c>
    </row>
    <row r="35" spans="1:27" x14ac:dyDescent="0.2">
      <c r="A35" s="2">
        <v>40817</v>
      </c>
      <c r="B35">
        <v>2812</v>
      </c>
      <c r="C35">
        <v>3931</v>
      </c>
      <c r="D35">
        <v>8383</v>
      </c>
      <c r="E35">
        <v>6183</v>
      </c>
      <c r="F35">
        <v>21311</v>
      </c>
      <c r="G35" s="1">
        <v>9.3000000000000007</v>
      </c>
      <c r="H35" s="1">
        <v>86.490000000000009</v>
      </c>
      <c r="I35" s="1">
        <v>118.56666666666668</v>
      </c>
      <c r="J35" s="1">
        <v>14058.054444444448</v>
      </c>
      <c r="K35" s="1">
        <v>21.266666666666666</v>
      </c>
      <c r="L35" s="1">
        <v>8.2666666666666675</v>
      </c>
      <c r="M35" s="1">
        <v>14.766666666666666</v>
      </c>
      <c r="N35">
        <v>130</v>
      </c>
      <c r="O35" s="3" t="s">
        <v>21</v>
      </c>
      <c r="P35" s="3">
        <f t="shared" ref="P35:P91" si="12">IF(TEXT(O35,"0") = "_01", 1, 0)</f>
        <v>0</v>
      </c>
      <c r="Q35" s="3">
        <f t="shared" ref="Q35:Q91" si="13">IF(TEXT(O35,"0") = "_02", 1, 0)</f>
        <v>0</v>
      </c>
      <c r="R35" s="3">
        <f t="shared" ref="R35:R91" si="14">IF(TEXT(O35,"0") = "_03", 1, 0)</f>
        <v>0</v>
      </c>
      <c r="S35" s="3">
        <f t="shared" ref="S35:S91" si="15">IF(TEXT(O35,"0") = "_04", 1, 0)</f>
        <v>0</v>
      </c>
      <c r="T35" s="3">
        <f t="shared" ref="T35:T91" si="16">IF(TEXT(O35,"0") = "_05", 1, 0)</f>
        <v>0</v>
      </c>
      <c r="U35" s="3">
        <f t="shared" ref="U35:U91" si="17">IF(TEXT(O35,"0") = "_06", 1, 0)</f>
        <v>0</v>
      </c>
      <c r="V35" s="3">
        <f t="shared" ref="V35:V91" si="18">IF(TEXT(O35,"0") = "_07", 1, 0)</f>
        <v>0</v>
      </c>
      <c r="W35" s="3">
        <f t="shared" ref="W35:W91" si="19">IF(TEXT(O35,"0") = "_08", 1, 0)</f>
        <v>0</v>
      </c>
      <c r="X35" s="3">
        <f t="shared" ref="X35:X91" si="20">IF(TEXT(O35,"0") = "_09", 1, 0)</f>
        <v>0</v>
      </c>
      <c r="Y35" s="3">
        <f t="shared" ref="Y35:Y91" si="21">IF(TEXT(O35,"0") = "_10", 1, 0)</f>
        <v>1</v>
      </c>
      <c r="Z35" s="3">
        <f t="shared" ref="Z35:Z91" si="22">IF(TEXT(O35,"0") = "_11", 1, 0)</f>
        <v>0</v>
      </c>
      <c r="AA35" s="3">
        <f t="shared" ref="AA35:AA91" si="23">IF(TEXT(O35,"0") = "_12", 1, 0)</f>
        <v>0</v>
      </c>
    </row>
    <row r="36" spans="1:27" x14ac:dyDescent="0.2">
      <c r="A36" s="2">
        <v>40848</v>
      </c>
      <c r="B36">
        <v>6982</v>
      </c>
      <c r="C36">
        <v>4446</v>
      </c>
      <c r="D36">
        <v>8531</v>
      </c>
      <c r="E36">
        <v>7969</v>
      </c>
      <c r="F36">
        <v>27931</v>
      </c>
      <c r="G36" s="1">
        <v>5.3333333333333339</v>
      </c>
      <c r="H36" s="1">
        <v>28.44444444444445</v>
      </c>
      <c r="I36" s="1">
        <v>203.9</v>
      </c>
      <c r="J36" s="1">
        <v>41575.21</v>
      </c>
      <c r="K36" s="1">
        <v>18.433333333333334</v>
      </c>
      <c r="L36" s="1">
        <v>4.9000000000000004</v>
      </c>
      <c r="M36" s="1">
        <v>11.7</v>
      </c>
      <c r="N36">
        <v>131</v>
      </c>
      <c r="O36" s="3" t="s">
        <v>22</v>
      </c>
      <c r="P36" s="3">
        <f t="shared" si="12"/>
        <v>0</v>
      </c>
      <c r="Q36" s="3">
        <f t="shared" si="13"/>
        <v>0</v>
      </c>
      <c r="R36" s="3">
        <f t="shared" si="14"/>
        <v>0</v>
      </c>
      <c r="S36" s="3">
        <f t="shared" si="15"/>
        <v>0</v>
      </c>
      <c r="T36" s="3">
        <f t="shared" si="16"/>
        <v>0</v>
      </c>
      <c r="U36" s="3">
        <f t="shared" si="17"/>
        <v>0</v>
      </c>
      <c r="V36" s="3">
        <f t="shared" si="18"/>
        <v>0</v>
      </c>
      <c r="W36" s="3">
        <f t="shared" si="19"/>
        <v>0</v>
      </c>
      <c r="X36" s="3">
        <f t="shared" si="20"/>
        <v>0</v>
      </c>
      <c r="Y36" s="3">
        <f t="shared" si="21"/>
        <v>0</v>
      </c>
      <c r="Z36" s="3">
        <f t="shared" si="22"/>
        <v>1</v>
      </c>
      <c r="AA36" s="3">
        <f t="shared" si="23"/>
        <v>0</v>
      </c>
    </row>
    <row r="37" spans="1:27" x14ac:dyDescent="0.2">
      <c r="A37" s="2">
        <v>40878</v>
      </c>
      <c r="B37">
        <v>9506</v>
      </c>
      <c r="C37">
        <v>6081</v>
      </c>
      <c r="D37">
        <v>8758</v>
      </c>
      <c r="E37">
        <v>8594</v>
      </c>
      <c r="F37">
        <v>32941</v>
      </c>
      <c r="G37" s="1">
        <v>0.2</v>
      </c>
      <c r="H37" s="1">
        <v>4.0000000000000008E-2</v>
      </c>
      <c r="I37" s="1">
        <v>297.03333333333336</v>
      </c>
      <c r="J37" s="1">
        <v>88228.801111111126</v>
      </c>
      <c r="K37" s="1">
        <v>14.6</v>
      </c>
      <c r="L37" s="1">
        <v>2.8666666666666667</v>
      </c>
      <c r="M37" s="1">
        <v>8.7333333333333325</v>
      </c>
      <c r="N37">
        <v>132</v>
      </c>
      <c r="O37" s="3" t="s">
        <v>23</v>
      </c>
      <c r="P37" s="3">
        <f t="shared" si="12"/>
        <v>0</v>
      </c>
      <c r="Q37" s="3">
        <f t="shared" si="13"/>
        <v>0</v>
      </c>
      <c r="R37" s="3">
        <f t="shared" si="14"/>
        <v>0</v>
      </c>
      <c r="S37" s="3">
        <f t="shared" si="15"/>
        <v>0</v>
      </c>
      <c r="T37" s="3">
        <f t="shared" si="16"/>
        <v>0</v>
      </c>
      <c r="U37" s="3">
        <f t="shared" si="17"/>
        <v>0</v>
      </c>
      <c r="V37" s="3">
        <f t="shared" si="18"/>
        <v>0</v>
      </c>
      <c r="W37" s="3">
        <f t="shared" si="19"/>
        <v>0</v>
      </c>
      <c r="X37" s="3">
        <f t="shared" si="20"/>
        <v>0</v>
      </c>
      <c r="Y37" s="3">
        <f t="shared" si="21"/>
        <v>0</v>
      </c>
      <c r="Z37" s="3">
        <f t="shared" si="22"/>
        <v>0</v>
      </c>
      <c r="AA37" s="3">
        <f t="shared" si="23"/>
        <v>1</v>
      </c>
    </row>
    <row r="38" spans="1:27" x14ac:dyDescent="0.2">
      <c r="A38" s="2">
        <v>40909</v>
      </c>
      <c r="B38">
        <v>13091</v>
      </c>
      <c r="C38">
        <v>8072</v>
      </c>
      <c r="D38">
        <v>9703</v>
      </c>
      <c r="E38">
        <v>10096</v>
      </c>
      <c r="F38">
        <v>40964</v>
      </c>
      <c r="G38" s="1">
        <v>0</v>
      </c>
      <c r="H38" s="1">
        <v>0</v>
      </c>
      <c r="I38" s="1">
        <v>354.13333333333333</v>
      </c>
      <c r="J38" s="1">
        <v>125410.41777777777</v>
      </c>
      <c r="K38" s="1">
        <v>12.866666666666665</v>
      </c>
      <c r="L38" s="1">
        <v>0.9</v>
      </c>
      <c r="M38" s="1">
        <v>6.8666666666666671</v>
      </c>
      <c r="N38">
        <v>133</v>
      </c>
      <c r="O38" s="3" t="s">
        <v>12</v>
      </c>
      <c r="P38" s="3">
        <f t="shared" si="12"/>
        <v>1</v>
      </c>
      <c r="Q38" s="3">
        <f t="shared" si="13"/>
        <v>0</v>
      </c>
      <c r="R38" s="3">
        <f t="shared" si="14"/>
        <v>0</v>
      </c>
      <c r="S38" s="3">
        <f t="shared" si="15"/>
        <v>0</v>
      </c>
      <c r="T38" s="3">
        <f t="shared" si="16"/>
        <v>0</v>
      </c>
      <c r="U38" s="3">
        <f t="shared" si="17"/>
        <v>0</v>
      </c>
      <c r="V38" s="3">
        <f t="shared" si="18"/>
        <v>0</v>
      </c>
      <c r="W38" s="3">
        <f t="shared" si="19"/>
        <v>0</v>
      </c>
      <c r="X38" s="3">
        <f t="shared" si="20"/>
        <v>0</v>
      </c>
      <c r="Y38" s="3">
        <f t="shared" si="21"/>
        <v>0</v>
      </c>
      <c r="Z38" s="3">
        <f t="shared" si="22"/>
        <v>0</v>
      </c>
      <c r="AA38" s="3">
        <f t="shared" si="23"/>
        <v>0</v>
      </c>
    </row>
    <row r="39" spans="1:27" x14ac:dyDescent="0.2">
      <c r="A39" s="2">
        <v>40940</v>
      </c>
      <c r="B39">
        <v>10105</v>
      </c>
      <c r="C39">
        <v>6583</v>
      </c>
      <c r="D39">
        <v>9092</v>
      </c>
      <c r="E39">
        <v>12898</v>
      </c>
      <c r="F39">
        <v>38680</v>
      </c>
      <c r="G39" s="1">
        <v>0</v>
      </c>
      <c r="H39" s="1">
        <v>0</v>
      </c>
      <c r="I39" s="1">
        <v>298.89999999999998</v>
      </c>
      <c r="J39" s="1">
        <v>89341.209999999992</v>
      </c>
      <c r="K39" s="1">
        <v>14.233333333333334</v>
      </c>
      <c r="L39" s="1">
        <v>1.8</v>
      </c>
      <c r="M39" s="1">
        <v>8</v>
      </c>
      <c r="N39">
        <v>134</v>
      </c>
      <c r="O39" s="3" t="s">
        <v>13</v>
      </c>
      <c r="P39" s="3">
        <f t="shared" si="12"/>
        <v>0</v>
      </c>
      <c r="Q39" s="3">
        <f t="shared" si="13"/>
        <v>1</v>
      </c>
      <c r="R39" s="3">
        <f t="shared" si="14"/>
        <v>0</v>
      </c>
      <c r="S39" s="3">
        <f t="shared" si="15"/>
        <v>0</v>
      </c>
      <c r="T39" s="3">
        <f t="shared" si="16"/>
        <v>0</v>
      </c>
      <c r="U39" s="3">
        <f t="shared" si="17"/>
        <v>0</v>
      </c>
      <c r="V39" s="3">
        <f t="shared" si="18"/>
        <v>0</v>
      </c>
      <c r="W39" s="3">
        <f t="shared" si="19"/>
        <v>0</v>
      </c>
      <c r="X39" s="3">
        <f t="shared" si="20"/>
        <v>0</v>
      </c>
      <c r="Y39" s="3">
        <f t="shared" si="21"/>
        <v>0</v>
      </c>
      <c r="Z39" s="3">
        <f t="shared" si="22"/>
        <v>0</v>
      </c>
      <c r="AA39" s="3">
        <f t="shared" si="23"/>
        <v>0</v>
      </c>
    </row>
    <row r="40" spans="1:27" x14ac:dyDescent="0.2">
      <c r="A40" s="2">
        <v>40969</v>
      </c>
      <c r="B40">
        <v>4113</v>
      </c>
      <c r="C40">
        <v>3545</v>
      </c>
      <c r="D40">
        <v>8638</v>
      </c>
      <c r="E40">
        <v>10717</v>
      </c>
      <c r="F40">
        <v>27015</v>
      </c>
      <c r="G40" s="1">
        <v>24.166666666666664</v>
      </c>
      <c r="H40" s="1">
        <v>584.02777777777771</v>
      </c>
      <c r="I40" s="1">
        <v>105.36666666666667</v>
      </c>
      <c r="J40" s="1">
        <v>11102.134444444446</v>
      </c>
      <c r="K40" s="1">
        <v>22</v>
      </c>
      <c r="L40" s="1">
        <v>9.3666666666666671</v>
      </c>
      <c r="M40" s="1">
        <v>15.666666666666666</v>
      </c>
      <c r="N40">
        <v>135</v>
      </c>
      <c r="O40" s="3" t="s">
        <v>14</v>
      </c>
      <c r="P40" s="3">
        <f t="shared" si="12"/>
        <v>0</v>
      </c>
      <c r="Q40" s="3">
        <f t="shared" si="13"/>
        <v>0</v>
      </c>
      <c r="R40" s="3">
        <f t="shared" si="14"/>
        <v>1</v>
      </c>
      <c r="S40" s="3">
        <f t="shared" si="15"/>
        <v>0</v>
      </c>
      <c r="T40" s="3">
        <f t="shared" si="16"/>
        <v>0</v>
      </c>
      <c r="U40" s="3">
        <f t="shared" si="17"/>
        <v>0</v>
      </c>
      <c r="V40" s="3">
        <f t="shared" si="18"/>
        <v>0</v>
      </c>
      <c r="W40" s="3">
        <f t="shared" si="19"/>
        <v>0</v>
      </c>
      <c r="X40" s="3">
        <f t="shared" si="20"/>
        <v>0</v>
      </c>
      <c r="Y40" s="3">
        <f t="shared" si="21"/>
        <v>0</v>
      </c>
      <c r="Z40" s="3">
        <f t="shared" si="22"/>
        <v>0</v>
      </c>
      <c r="AA40" s="3">
        <f t="shared" si="23"/>
        <v>0</v>
      </c>
    </row>
    <row r="41" spans="1:27" x14ac:dyDescent="0.2">
      <c r="A41" s="2">
        <v>41000</v>
      </c>
      <c r="B41">
        <v>2349</v>
      </c>
      <c r="C41">
        <v>3370</v>
      </c>
      <c r="D41">
        <v>8003</v>
      </c>
      <c r="E41">
        <v>10778</v>
      </c>
      <c r="F41">
        <v>24502</v>
      </c>
      <c r="G41" s="1">
        <v>21.9</v>
      </c>
      <c r="H41" s="1">
        <v>479.60999999999996</v>
      </c>
      <c r="I41" s="1">
        <v>102.56666666666668</v>
      </c>
      <c r="J41" s="1">
        <v>10519.921111111113</v>
      </c>
      <c r="K41" s="1">
        <v>22.1</v>
      </c>
      <c r="L41" s="1">
        <v>9.1333333333333329</v>
      </c>
      <c r="M41" s="1">
        <v>15.6</v>
      </c>
      <c r="N41">
        <v>136</v>
      </c>
      <c r="O41" s="3" t="s">
        <v>15</v>
      </c>
      <c r="P41" s="3">
        <f t="shared" si="12"/>
        <v>0</v>
      </c>
      <c r="Q41" s="3">
        <f t="shared" si="13"/>
        <v>0</v>
      </c>
      <c r="R41" s="3">
        <f t="shared" si="14"/>
        <v>0</v>
      </c>
      <c r="S41" s="3">
        <f t="shared" si="15"/>
        <v>1</v>
      </c>
      <c r="T41" s="3">
        <f t="shared" si="16"/>
        <v>0</v>
      </c>
      <c r="U41" s="3">
        <f t="shared" si="17"/>
        <v>0</v>
      </c>
      <c r="V41" s="3">
        <f t="shared" si="18"/>
        <v>0</v>
      </c>
      <c r="W41" s="3">
        <f t="shared" si="19"/>
        <v>0</v>
      </c>
      <c r="X41" s="3">
        <f t="shared" si="20"/>
        <v>0</v>
      </c>
      <c r="Y41" s="3">
        <f t="shared" si="21"/>
        <v>0</v>
      </c>
      <c r="Z41" s="3">
        <f t="shared" si="22"/>
        <v>0</v>
      </c>
      <c r="AA41" s="3">
        <f t="shared" si="23"/>
        <v>0</v>
      </c>
    </row>
    <row r="42" spans="1:27" x14ac:dyDescent="0.2">
      <c r="A42" s="2">
        <v>41030</v>
      </c>
      <c r="B42">
        <v>1452</v>
      </c>
      <c r="C42">
        <v>2205</v>
      </c>
      <c r="D42">
        <v>8008</v>
      </c>
      <c r="E42">
        <v>13077</v>
      </c>
      <c r="F42">
        <v>24744</v>
      </c>
      <c r="G42" s="1">
        <v>118.5</v>
      </c>
      <c r="H42" s="1">
        <v>14042.25</v>
      </c>
      <c r="I42" s="1">
        <v>7.833333333333333</v>
      </c>
      <c r="J42" s="1">
        <v>61.361111111111107</v>
      </c>
      <c r="K42" s="1">
        <v>27.6</v>
      </c>
      <c r="L42" s="1">
        <v>16.133333333333333</v>
      </c>
      <c r="M42" s="1">
        <v>21.833333333333336</v>
      </c>
      <c r="N42">
        <v>137</v>
      </c>
      <c r="O42" s="3" t="s">
        <v>16</v>
      </c>
      <c r="P42" s="3">
        <f t="shared" si="12"/>
        <v>0</v>
      </c>
      <c r="Q42" s="3">
        <f t="shared" si="13"/>
        <v>0</v>
      </c>
      <c r="R42" s="3">
        <f t="shared" si="14"/>
        <v>0</v>
      </c>
      <c r="S42" s="3">
        <f t="shared" si="15"/>
        <v>0</v>
      </c>
      <c r="T42" s="3">
        <f t="shared" si="16"/>
        <v>1</v>
      </c>
      <c r="U42" s="3">
        <f t="shared" si="17"/>
        <v>0</v>
      </c>
      <c r="V42" s="3">
        <f t="shared" si="18"/>
        <v>0</v>
      </c>
      <c r="W42" s="3">
        <f t="shared" si="19"/>
        <v>0</v>
      </c>
      <c r="X42" s="3">
        <f t="shared" si="20"/>
        <v>0</v>
      </c>
      <c r="Y42" s="3">
        <f t="shared" si="21"/>
        <v>0</v>
      </c>
      <c r="Z42" s="3">
        <f t="shared" si="22"/>
        <v>0</v>
      </c>
      <c r="AA42" s="3">
        <f t="shared" si="23"/>
        <v>0</v>
      </c>
    </row>
    <row r="43" spans="1:27" x14ac:dyDescent="0.2">
      <c r="A43" s="2">
        <v>41061</v>
      </c>
      <c r="B43">
        <v>1135</v>
      </c>
      <c r="C43">
        <v>2433</v>
      </c>
      <c r="D43">
        <v>7571</v>
      </c>
      <c r="E43">
        <v>13291</v>
      </c>
      <c r="F43">
        <v>24432</v>
      </c>
      <c r="G43" s="1">
        <v>159.06666666666666</v>
      </c>
      <c r="H43" s="1">
        <v>25302.204444444444</v>
      </c>
      <c r="I43" s="1">
        <v>0.73333333333333328</v>
      </c>
      <c r="J43" s="1">
        <v>0.53777777777777769</v>
      </c>
      <c r="K43" s="1">
        <v>30.033333333333331</v>
      </c>
      <c r="L43" s="1">
        <v>17.133333333333333</v>
      </c>
      <c r="M43" s="1">
        <v>23.566666666666666</v>
      </c>
      <c r="N43">
        <v>138</v>
      </c>
      <c r="O43" s="3" t="s">
        <v>17</v>
      </c>
      <c r="P43" s="3">
        <f t="shared" si="12"/>
        <v>0</v>
      </c>
      <c r="Q43" s="3">
        <f t="shared" si="13"/>
        <v>0</v>
      </c>
      <c r="R43" s="3">
        <f t="shared" si="14"/>
        <v>0</v>
      </c>
      <c r="S43" s="3">
        <f t="shared" si="15"/>
        <v>0</v>
      </c>
      <c r="T43" s="3">
        <f t="shared" si="16"/>
        <v>0</v>
      </c>
      <c r="U43" s="3">
        <f t="shared" si="17"/>
        <v>1</v>
      </c>
      <c r="V43" s="3">
        <f t="shared" si="18"/>
        <v>0</v>
      </c>
      <c r="W43" s="3">
        <f t="shared" si="19"/>
        <v>0</v>
      </c>
      <c r="X43" s="3">
        <f t="shared" si="20"/>
        <v>0</v>
      </c>
      <c r="Y43" s="3">
        <f t="shared" si="21"/>
        <v>0</v>
      </c>
      <c r="Z43" s="3">
        <f t="shared" si="22"/>
        <v>0</v>
      </c>
      <c r="AA43" s="3">
        <f t="shared" si="23"/>
        <v>0</v>
      </c>
    </row>
    <row r="44" spans="1:27" x14ac:dyDescent="0.2">
      <c r="A44" s="2">
        <v>41091</v>
      </c>
      <c r="B44">
        <v>901</v>
      </c>
      <c r="C44">
        <v>1976</v>
      </c>
      <c r="D44">
        <v>7495</v>
      </c>
      <c r="E44">
        <v>20603</v>
      </c>
      <c r="F44">
        <v>30979</v>
      </c>
      <c r="G44" s="1">
        <v>299.83333333333337</v>
      </c>
      <c r="H44" s="1">
        <v>89900.027777777796</v>
      </c>
      <c r="I44" s="1">
        <v>0</v>
      </c>
      <c r="J44" s="1">
        <v>0</v>
      </c>
      <c r="K44" s="1">
        <v>33.966666666666669</v>
      </c>
      <c r="L44" s="1">
        <v>21.933333333333334</v>
      </c>
      <c r="M44" s="1">
        <v>27.966666666666669</v>
      </c>
      <c r="N44">
        <v>139</v>
      </c>
      <c r="O44" s="3" t="s">
        <v>18</v>
      </c>
      <c r="P44" s="3">
        <f t="shared" si="12"/>
        <v>0</v>
      </c>
      <c r="Q44" s="3">
        <f t="shared" si="13"/>
        <v>0</v>
      </c>
      <c r="R44" s="3">
        <f t="shared" si="14"/>
        <v>0</v>
      </c>
      <c r="S44" s="3">
        <f t="shared" si="15"/>
        <v>0</v>
      </c>
      <c r="T44" s="3">
        <f t="shared" si="16"/>
        <v>0</v>
      </c>
      <c r="U44" s="3">
        <f t="shared" si="17"/>
        <v>0</v>
      </c>
      <c r="V44" s="3">
        <f t="shared" si="18"/>
        <v>1</v>
      </c>
      <c r="W44" s="3">
        <f t="shared" si="19"/>
        <v>0</v>
      </c>
      <c r="X44" s="3">
        <f t="shared" si="20"/>
        <v>0</v>
      </c>
      <c r="Y44" s="3">
        <f t="shared" si="21"/>
        <v>0</v>
      </c>
      <c r="Z44" s="3">
        <f t="shared" si="22"/>
        <v>0</v>
      </c>
      <c r="AA44" s="3">
        <f t="shared" si="23"/>
        <v>0</v>
      </c>
    </row>
    <row r="45" spans="1:27" x14ac:dyDescent="0.2">
      <c r="A45" s="2">
        <v>41122</v>
      </c>
      <c r="B45">
        <v>1135</v>
      </c>
      <c r="C45">
        <v>2673</v>
      </c>
      <c r="D45">
        <v>7996</v>
      </c>
      <c r="E45">
        <v>16794</v>
      </c>
      <c r="F45">
        <v>28599</v>
      </c>
      <c r="G45" s="1">
        <v>212.3</v>
      </c>
      <c r="H45" s="1">
        <v>45071.290000000008</v>
      </c>
      <c r="I45" s="1">
        <v>0</v>
      </c>
      <c r="J45" s="1">
        <v>0</v>
      </c>
      <c r="K45" s="1">
        <v>30.3</v>
      </c>
      <c r="L45" s="1">
        <v>19.966666666666665</v>
      </c>
      <c r="M45" s="1">
        <v>25.133333333333333</v>
      </c>
      <c r="N45">
        <v>140</v>
      </c>
      <c r="O45" s="3" t="s">
        <v>19</v>
      </c>
      <c r="P45" s="3">
        <f t="shared" si="12"/>
        <v>0</v>
      </c>
      <c r="Q45" s="3">
        <f t="shared" si="13"/>
        <v>0</v>
      </c>
      <c r="R45" s="3">
        <f t="shared" si="14"/>
        <v>0</v>
      </c>
      <c r="S45" s="3">
        <f t="shared" si="15"/>
        <v>0</v>
      </c>
      <c r="T45" s="3">
        <f t="shared" si="16"/>
        <v>0</v>
      </c>
      <c r="U45" s="3">
        <f t="shared" si="17"/>
        <v>0</v>
      </c>
      <c r="V45" s="3">
        <f t="shared" si="18"/>
        <v>0</v>
      </c>
      <c r="W45" s="3">
        <f t="shared" si="19"/>
        <v>1</v>
      </c>
      <c r="X45" s="3">
        <f t="shared" si="20"/>
        <v>0</v>
      </c>
      <c r="Y45" s="3">
        <f t="shared" si="21"/>
        <v>0</v>
      </c>
      <c r="Z45" s="3">
        <f t="shared" si="22"/>
        <v>0</v>
      </c>
      <c r="AA45" s="3">
        <f t="shared" si="23"/>
        <v>0</v>
      </c>
    </row>
    <row r="46" spans="1:27" x14ac:dyDescent="0.2">
      <c r="A46" s="2">
        <v>41153</v>
      </c>
      <c r="B46">
        <v>1015</v>
      </c>
      <c r="C46">
        <v>2529</v>
      </c>
      <c r="D46">
        <v>7827</v>
      </c>
      <c r="E46">
        <v>14032</v>
      </c>
      <c r="F46">
        <v>25404</v>
      </c>
      <c r="G46" s="1">
        <v>105.06666666666668</v>
      </c>
      <c r="H46" s="1">
        <v>11039.004444444447</v>
      </c>
      <c r="I46" s="1">
        <v>6.8666666666666671</v>
      </c>
      <c r="J46" s="1">
        <v>47.151111111111121</v>
      </c>
      <c r="K46" s="1">
        <v>27.06666666666667</v>
      </c>
      <c r="L46" s="1">
        <v>16.066666666666666</v>
      </c>
      <c r="M46" s="1">
        <v>21.566666666666666</v>
      </c>
      <c r="N46">
        <v>141</v>
      </c>
      <c r="O46" s="3" t="s">
        <v>20</v>
      </c>
      <c r="P46" s="3">
        <f t="shared" si="12"/>
        <v>0</v>
      </c>
      <c r="Q46" s="3">
        <f t="shared" si="13"/>
        <v>0</v>
      </c>
      <c r="R46" s="3">
        <f t="shared" si="14"/>
        <v>0</v>
      </c>
      <c r="S46" s="3">
        <f t="shared" si="15"/>
        <v>0</v>
      </c>
      <c r="T46" s="3">
        <f t="shared" si="16"/>
        <v>0</v>
      </c>
      <c r="U46" s="3">
        <f t="shared" si="17"/>
        <v>0</v>
      </c>
      <c r="V46" s="3">
        <f t="shared" si="18"/>
        <v>0</v>
      </c>
      <c r="W46" s="3">
        <f t="shared" si="19"/>
        <v>0</v>
      </c>
      <c r="X46" s="3">
        <f t="shared" si="20"/>
        <v>1</v>
      </c>
      <c r="Y46" s="3">
        <f t="shared" si="21"/>
        <v>0</v>
      </c>
      <c r="Z46" s="3">
        <f t="shared" si="22"/>
        <v>0</v>
      </c>
      <c r="AA46" s="3">
        <f t="shared" si="23"/>
        <v>0</v>
      </c>
    </row>
    <row r="47" spans="1:27" x14ac:dyDescent="0.2">
      <c r="A47" s="2">
        <v>41183</v>
      </c>
      <c r="B47">
        <v>2706</v>
      </c>
      <c r="C47">
        <v>4003</v>
      </c>
      <c r="D47">
        <v>9030</v>
      </c>
      <c r="E47">
        <v>9107</v>
      </c>
      <c r="F47">
        <v>24849</v>
      </c>
      <c r="G47" s="1">
        <v>19.833333333333336</v>
      </c>
      <c r="H47" s="1">
        <v>393.3611111111112</v>
      </c>
      <c r="I47" s="1">
        <v>104.73333333333332</v>
      </c>
      <c r="J47" s="1">
        <v>10969.071111111109</v>
      </c>
      <c r="K47" s="1">
        <v>21.366666666666667</v>
      </c>
      <c r="L47" s="1">
        <v>9.7333333333333325</v>
      </c>
      <c r="M47" s="1">
        <v>15.533333333333335</v>
      </c>
      <c r="N47">
        <v>142</v>
      </c>
      <c r="O47" s="3" t="s">
        <v>21</v>
      </c>
      <c r="P47" s="3">
        <f t="shared" si="12"/>
        <v>0</v>
      </c>
      <c r="Q47" s="3">
        <f t="shared" si="13"/>
        <v>0</v>
      </c>
      <c r="R47" s="3">
        <f t="shared" si="14"/>
        <v>0</v>
      </c>
      <c r="S47" s="3">
        <f t="shared" si="15"/>
        <v>0</v>
      </c>
      <c r="T47" s="3">
        <f t="shared" si="16"/>
        <v>0</v>
      </c>
      <c r="U47" s="3">
        <f t="shared" si="17"/>
        <v>0</v>
      </c>
      <c r="V47" s="3">
        <f t="shared" si="18"/>
        <v>0</v>
      </c>
      <c r="W47" s="3">
        <f t="shared" si="19"/>
        <v>0</v>
      </c>
      <c r="X47" s="3">
        <f t="shared" si="20"/>
        <v>0</v>
      </c>
      <c r="Y47" s="3">
        <f t="shared" si="21"/>
        <v>1</v>
      </c>
      <c r="Z47" s="3">
        <f t="shared" si="22"/>
        <v>0</v>
      </c>
      <c r="AA47" s="3">
        <f t="shared" si="23"/>
        <v>0</v>
      </c>
    </row>
    <row r="48" spans="1:27" x14ac:dyDescent="0.2">
      <c r="A48" s="2">
        <v>41214</v>
      </c>
      <c r="B48">
        <v>9189</v>
      </c>
      <c r="C48">
        <v>5686</v>
      </c>
      <c r="D48">
        <v>9415</v>
      </c>
      <c r="E48">
        <v>7885</v>
      </c>
      <c r="F48">
        <v>32177</v>
      </c>
      <c r="G48" s="1">
        <v>0</v>
      </c>
      <c r="H48" s="1">
        <v>0</v>
      </c>
      <c r="I48" s="1">
        <v>294.16666666666663</v>
      </c>
      <c r="J48" s="1">
        <v>86534.027777777752</v>
      </c>
      <c r="K48" s="1">
        <v>15.3</v>
      </c>
      <c r="L48" s="1">
        <v>1.7</v>
      </c>
      <c r="M48" s="1">
        <v>8.5</v>
      </c>
      <c r="N48">
        <v>143</v>
      </c>
      <c r="O48" s="3" t="s">
        <v>22</v>
      </c>
      <c r="P48" s="3">
        <f t="shared" si="12"/>
        <v>0</v>
      </c>
      <c r="Q48" s="3">
        <f t="shared" si="13"/>
        <v>0</v>
      </c>
      <c r="R48" s="3">
        <f t="shared" si="14"/>
        <v>0</v>
      </c>
      <c r="S48" s="3">
        <f t="shared" si="15"/>
        <v>0</v>
      </c>
      <c r="T48" s="3">
        <f t="shared" si="16"/>
        <v>0</v>
      </c>
      <c r="U48" s="3">
        <f t="shared" si="17"/>
        <v>0</v>
      </c>
      <c r="V48" s="3">
        <f t="shared" si="18"/>
        <v>0</v>
      </c>
      <c r="W48" s="3">
        <f t="shared" si="19"/>
        <v>0</v>
      </c>
      <c r="X48" s="3">
        <f t="shared" si="20"/>
        <v>0</v>
      </c>
      <c r="Y48" s="3">
        <f t="shared" si="21"/>
        <v>0</v>
      </c>
      <c r="Z48" s="3">
        <f t="shared" si="22"/>
        <v>1</v>
      </c>
      <c r="AA48" s="3">
        <f t="shared" si="23"/>
        <v>0</v>
      </c>
    </row>
    <row r="49" spans="1:27" x14ac:dyDescent="0.2">
      <c r="A49" s="2">
        <v>41244</v>
      </c>
      <c r="B49">
        <v>9321</v>
      </c>
      <c r="C49">
        <v>5878</v>
      </c>
      <c r="D49">
        <v>9373</v>
      </c>
      <c r="E49">
        <v>11589</v>
      </c>
      <c r="F49">
        <v>36164</v>
      </c>
      <c r="G49" s="1">
        <v>0.46666666666666667</v>
      </c>
      <c r="H49" s="1">
        <v>0.21777777777777779</v>
      </c>
      <c r="I49" s="1">
        <v>286.5</v>
      </c>
      <c r="J49" s="1">
        <v>82082.25</v>
      </c>
      <c r="K49" s="1">
        <v>14.233333333333334</v>
      </c>
      <c r="L49" s="1">
        <v>3.9</v>
      </c>
      <c r="M49" s="1">
        <v>9.0666666666666664</v>
      </c>
      <c r="N49">
        <v>144</v>
      </c>
      <c r="O49" s="3" t="s">
        <v>23</v>
      </c>
      <c r="P49" s="3">
        <f t="shared" si="12"/>
        <v>0</v>
      </c>
      <c r="Q49" s="3">
        <f t="shared" si="13"/>
        <v>0</v>
      </c>
      <c r="R49" s="3">
        <f t="shared" si="14"/>
        <v>0</v>
      </c>
      <c r="S49" s="3">
        <f t="shared" si="15"/>
        <v>0</v>
      </c>
      <c r="T49" s="3">
        <f t="shared" si="16"/>
        <v>0</v>
      </c>
      <c r="U49" s="3">
        <f t="shared" si="17"/>
        <v>0</v>
      </c>
      <c r="V49" s="3">
        <f t="shared" si="18"/>
        <v>0</v>
      </c>
      <c r="W49" s="3">
        <f t="shared" si="19"/>
        <v>0</v>
      </c>
      <c r="X49" s="3">
        <f t="shared" si="20"/>
        <v>0</v>
      </c>
      <c r="Y49" s="3">
        <f t="shared" si="21"/>
        <v>0</v>
      </c>
      <c r="Z49" s="3">
        <f t="shared" si="22"/>
        <v>0</v>
      </c>
      <c r="AA49" s="3">
        <f t="shared" si="23"/>
        <v>1</v>
      </c>
    </row>
    <row r="50" spans="1:27" x14ac:dyDescent="0.2">
      <c r="A50" s="2">
        <v>41275</v>
      </c>
      <c r="B50">
        <v>12218</v>
      </c>
      <c r="C50">
        <v>6935</v>
      </c>
      <c r="D50">
        <v>10322</v>
      </c>
      <c r="E50">
        <v>15951</v>
      </c>
      <c r="F50">
        <v>45430</v>
      </c>
      <c r="G50" s="1">
        <v>0.3</v>
      </c>
      <c r="H50" s="1">
        <v>0.09</v>
      </c>
      <c r="I50" s="1">
        <v>360.93333333333334</v>
      </c>
      <c r="J50" s="1">
        <v>130272.87111111112</v>
      </c>
      <c r="K50" s="1">
        <v>11.966666666666667</v>
      </c>
      <c r="L50" s="1">
        <v>1.3666666666666667</v>
      </c>
      <c r="M50" s="1">
        <v>6.7</v>
      </c>
      <c r="N50">
        <v>145</v>
      </c>
      <c r="O50" s="3" t="s">
        <v>12</v>
      </c>
      <c r="P50" s="3">
        <f t="shared" si="12"/>
        <v>1</v>
      </c>
      <c r="Q50" s="3">
        <f t="shared" si="13"/>
        <v>0</v>
      </c>
      <c r="R50" s="3">
        <f t="shared" si="14"/>
        <v>0</v>
      </c>
      <c r="S50" s="3">
        <f t="shared" si="15"/>
        <v>0</v>
      </c>
      <c r="T50" s="3">
        <f t="shared" si="16"/>
        <v>0</v>
      </c>
      <c r="U50" s="3">
        <f t="shared" si="17"/>
        <v>0</v>
      </c>
      <c r="V50" s="3">
        <f t="shared" si="18"/>
        <v>0</v>
      </c>
      <c r="W50" s="3">
        <f t="shared" si="19"/>
        <v>0</v>
      </c>
      <c r="X50" s="3">
        <f t="shared" si="20"/>
        <v>0</v>
      </c>
      <c r="Y50" s="3">
        <f t="shared" si="21"/>
        <v>0</v>
      </c>
      <c r="Z50" s="3">
        <f t="shared" si="22"/>
        <v>0</v>
      </c>
      <c r="AA50" s="3">
        <f t="shared" si="23"/>
        <v>0</v>
      </c>
    </row>
    <row r="51" spans="1:27" x14ac:dyDescent="0.2">
      <c r="A51" s="2">
        <v>41306</v>
      </c>
      <c r="B51">
        <v>12114</v>
      </c>
      <c r="C51">
        <v>7155</v>
      </c>
      <c r="D51">
        <v>9624</v>
      </c>
      <c r="E51">
        <v>14442</v>
      </c>
      <c r="F51">
        <v>43338</v>
      </c>
      <c r="G51" s="1">
        <v>0</v>
      </c>
      <c r="H51" s="1">
        <v>0</v>
      </c>
      <c r="I51" s="1">
        <v>360.96666666666664</v>
      </c>
      <c r="J51" s="1">
        <v>130296.93444444443</v>
      </c>
      <c r="K51" s="1">
        <v>10.966666666666667</v>
      </c>
      <c r="L51" s="1">
        <v>-0.13333333333333333</v>
      </c>
      <c r="M51" s="1">
        <v>5.3666666666666663</v>
      </c>
      <c r="N51">
        <v>146</v>
      </c>
      <c r="O51" s="3" t="s">
        <v>13</v>
      </c>
      <c r="P51" s="3">
        <f t="shared" si="12"/>
        <v>0</v>
      </c>
      <c r="Q51" s="3">
        <f t="shared" si="13"/>
        <v>1</v>
      </c>
      <c r="R51" s="3">
        <f t="shared" si="14"/>
        <v>0</v>
      </c>
      <c r="S51" s="3">
        <f t="shared" si="15"/>
        <v>0</v>
      </c>
      <c r="T51" s="3">
        <f t="shared" si="16"/>
        <v>0</v>
      </c>
      <c r="U51" s="3">
        <f t="shared" si="17"/>
        <v>0</v>
      </c>
      <c r="V51" s="3">
        <f t="shared" si="18"/>
        <v>0</v>
      </c>
      <c r="W51" s="3">
        <f t="shared" si="19"/>
        <v>0</v>
      </c>
      <c r="X51" s="3">
        <f t="shared" si="20"/>
        <v>0</v>
      </c>
      <c r="Y51" s="3">
        <f t="shared" si="21"/>
        <v>0</v>
      </c>
      <c r="Z51" s="3">
        <f t="shared" si="22"/>
        <v>0</v>
      </c>
      <c r="AA51" s="3">
        <f t="shared" si="23"/>
        <v>0</v>
      </c>
    </row>
    <row r="52" spans="1:27" x14ac:dyDescent="0.2">
      <c r="A52" s="2">
        <v>41334</v>
      </c>
      <c r="B52">
        <v>11612</v>
      </c>
      <c r="C52">
        <v>7253</v>
      </c>
      <c r="D52">
        <v>10428</v>
      </c>
      <c r="E52">
        <v>15968</v>
      </c>
      <c r="F52">
        <v>45265</v>
      </c>
      <c r="G52" s="1">
        <v>0.46666666666666667</v>
      </c>
      <c r="H52" s="1">
        <v>0.21777777777777779</v>
      </c>
      <c r="I52" s="1">
        <v>343.93333333333334</v>
      </c>
      <c r="J52" s="1">
        <v>118290.13777777778</v>
      </c>
      <c r="K52" s="1">
        <v>13.466666666666665</v>
      </c>
      <c r="L52" s="1">
        <v>0.93333333333333335</v>
      </c>
      <c r="M52" s="1">
        <v>7.2333333333333325</v>
      </c>
      <c r="N52">
        <v>147</v>
      </c>
      <c r="O52" s="3" t="s">
        <v>14</v>
      </c>
      <c r="P52" s="3">
        <f t="shared" si="12"/>
        <v>0</v>
      </c>
      <c r="Q52" s="3">
        <f t="shared" si="13"/>
        <v>0</v>
      </c>
      <c r="R52" s="3">
        <f t="shared" si="14"/>
        <v>1</v>
      </c>
      <c r="S52" s="3">
        <f t="shared" si="15"/>
        <v>0</v>
      </c>
      <c r="T52" s="3">
        <f t="shared" si="16"/>
        <v>0</v>
      </c>
      <c r="U52" s="3">
        <f t="shared" si="17"/>
        <v>0</v>
      </c>
      <c r="V52" s="3">
        <f t="shared" si="18"/>
        <v>0</v>
      </c>
      <c r="W52" s="3">
        <f t="shared" si="19"/>
        <v>0</v>
      </c>
      <c r="X52" s="3">
        <f t="shared" si="20"/>
        <v>0</v>
      </c>
      <c r="Y52" s="3">
        <f t="shared" si="21"/>
        <v>0</v>
      </c>
      <c r="Z52" s="3">
        <f t="shared" si="22"/>
        <v>0</v>
      </c>
      <c r="AA52" s="3">
        <f t="shared" si="23"/>
        <v>0</v>
      </c>
    </row>
    <row r="53" spans="1:27" x14ac:dyDescent="0.2">
      <c r="A53" s="2">
        <v>41365</v>
      </c>
      <c r="B53">
        <v>3617</v>
      </c>
      <c r="C53">
        <v>3390</v>
      </c>
      <c r="D53">
        <v>9182</v>
      </c>
      <c r="E53">
        <v>14409</v>
      </c>
      <c r="F53">
        <v>30601</v>
      </c>
      <c r="G53" s="1">
        <v>22.4</v>
      </c>
      <c r="H53" s="1">
        <v>501.75999999999993</v>
      </c>
      <c r="I53" s="1">
        <v>100.76666666666667</v>
      </c>
      <c r="J53" s="1">
        <v>10153.921111111111</v>
      </c>
      <c r="K53" s="1">
        <v>21.766666666666666</v>
      </c>
      <c r="L53" s="1">
        <v>9.6333333333333329</v>
      </c>
      <c r="M53" s="1">
        <v>15.7</v>
      </c>
      <c r="N53">
        <v>148</v>
      </c>
      <c r="O53" s="3" t="s">
        <v>15</v>
      </c>
      <c r="P53" s="3">
        <f t="shared" si="12"/>
        <v>0</v>
      </c>
      <c r="Q53" s="3">
        <f t="shared" si="13"/>
        <v>0</v>
      </c>
      <c r="R53" s="3">
        <f t="shared" si="14"/>
        <v>0</v>
      </c>
      <c r="S53" s="3">
        <f t="shared" si="15"/>
        <v>1</v>
      </c>
      <c r="T53" s="3">
        <f t="shared" si="16"/>
        <v>0</v>
      </c>
      <c r="U53" s="3">
        <f t="shared" si="17"/>
        <v>0</v>
      </c>
      <c r="V53" s="3">
        <f t="shared" si="18"/>
        <v>0</v>
      </c>
      <c r="W53" s="3">
        <f t="shared" si="19"/>
        <v>0</v>
      </c>
      <c r="X53" s="3">
        <f t="shared" si="20"/>
        <v>0</v>
      </c>
      <c r="Y53" s="3">
        <f t="shared" si="21"/>
        <v>0</v>
      </c>
      <c r="Z53" s="3">
        <f t="shared" si="22"/>
        <v>0</v>
      </c>
      <c r="AA53" s="3">
        <f t="shared" si="23"/>
        <v>0</v>
      </c>
    </row>
    <row r="54" spans="1:27" x14ac:dyDescent="0.2">
      <c r="A54" s="2">
        <v>41395</v>
      </c>
      <c r="B54">
        <v>1823</v>
      </c>
      <c r="C54">
        <v>3075</v>
      </c>
      <c r="D54">
        <v>8594</v>
      </c>
      <c r="E54">
        <v>15758</v>
      </c>
      <c r="F54">
        <v>29253</v>
      </c>
      <c r="G54" s="1">
        <v>66.666666666666657</v>
      </c>
      <c r="H54" s="1">
        <v>4444.4444444444434</v>
      </c>
      <c r="I54" s="1">
        <v>48.633333333333333</v>
      </c>
      <c r="J54" s="1">
        <v>2365.201111111111</v>
      </c>
      <c r="K54" s="1">
        <v>24.433333333333334</v>
      </c>
      <c r="L54" s="1">
        <v>13.333333333333334</v>
      </c>
      <c r="M54" s="1">
        <v>18.866666666666667</v>
      </c>
      <c r="N54">
        <v>149</v>
      </c>
      <c r="O54" s="3" t="s">
        <v>16</v>
      </c>
      <c r="P54" s="3">
        <f t="shared" si="12"/>
        <v>0</v>
      </c>
      <c r="Q54" s="3">
        <f t="shared" si="13"/>
        <v>0</v>
      </c>
      <c r="R54" s="3">
        <f t="shared" si="14"/>
        <v>0</v>
      </c>
      <c r="S54" s="3">
        <f t="shared" si="15"/>
        <v>0</v>
      </c>
      <c r="T54" s="3">
        <f t="shared" si="16"/>
        <v>1</v>
      </c>
      <c r="U54" s="3">
        <f t="shared" si="17"/>
        <v>0</v>
      </c>
      <c r="V54" s="3">
        <f t="shared" si="18"/>
        <v>0</v>
      </c>
      <c r="W54" s="3">
        <f t="shared" si="19"/>
        <v>0</v>
      </c>
      <c r="X54" s="3">
        <f t="shared" si="20"/>
        <v>0</v>
      </c>
      <c r="Y54" s="3">
        <f t="shared" si="21"/>
        <v>0</v>
      </c>
      <c r="Z54" s="3">
        <f t="shared" si="22"/>
        <v>0</v>
      </c>
      <c r="AA54" s="3">
        <f t="shared" si="23"/>
        <v>0</v>
      </c>
    </row>
    <row r="55" spans="1:27" x14ac:dyDescent="0.2">
      <c r="A55" s="2">
        <v>41426</v>
      </c>
      <c r="B55">
        <v>942</v>
      </c>
      <c r="C55">
        <v>2381</v>
      </c>
      <c r="D55">
        <v>8040</v>
      </c>
      <c r="E55">
        <v>17311</v>
      </c>
      <c r="F55">
        <f>SUM(E55,D55,C55,B55,)</f>
        <v>28674</v>
      </c>
      <c r="G55" s="1">
        <v>177.96666666666667</v>
      </c>
      <c r="H55" s="1">
        <v>31672.134444444444</v>
      </c>
      <c r="I55" s="1">
        <v>0</v>
      </c>
      <c r="J55" s="1">
        <v>0</v>
      </c>
      <c r="K55" s="1">
        <v>29.3</v>
      </c>
      <c r="L55" s="1">
        <v>19.2</v>
      </c>
      <c r="M55" s="1">
        <v>24.2</v>
      </c>
      <c r="N55">
        <v>150</v>
      </c>
      <c r="O55" s="3" t="s">
        <v>17</v>
      </c>
      <c r="P55" s="3">
        <f t="shared" si="12"/>
        <v>0</v>
      </c>
      <c r="Q55" s="3">
        <f t="shared" si="13"/>
        <v>0</v>
      </c>
      <c r="R55" s="3">
        <f t="shared" si="14"/>
        <v>0</v>
      </c>
      <c r="S55" s="3">
        <f t="shared" si="15"/>
        <v>0</v>
      </c>
      <c r="T55" s="3">
        <f t="shared" si="16"/>
        <v>0</v>
      </c>
      <c r="U55" s="3">
        <f t="shared" si="17"/>
        <v>1</v>
      </c>
      <c r="V55" s="3">
        <f t="shared" si="18"/>
        <v>0</v>
      </c>
      <c r="W55" s="3">
        <f t="shared" si="19"/>
        <v>0</v>
      </c>
      <c r="X55" s="3">
        <f t="shared" si="20"/>
        <v>0</v>
      </c>
      <c r="Y55" s="3">
        <f t="shared" si="21"/>
        <v>0</v>
      </c>
      <c r="Z55" s="3">
        <f t="shared" si="22"/>
        <v>0</v>
      </c>
      <c r="AA55" s="3">
        <f t="shared" si="23"/>
        <v>0</v>
      </c>
    </row>
    <row r="56" spans="1:27" x14ac:dyDescent="0.2">
      <c r="A56" s="2">
        <v>41456</v>
      </c>
      <c r="B56">
        <v>1119</v>
      </c>
      <c r="C56">
        <v>2613</v>
      </c>
      <c r="D56">
        <v>8200</v>
      </c>
      <c r="E56">
        <v>19612</v>
      </c>
      <c r="F56">
        <v>31548</v>
      </c>
      <c r="G56" s="1">
        <v>229.76666666666665</v>
      </c>
      <c r="H56" s="1">
        <v>52792.721111111103</v>
      </c>
      <c r="I56" s="1">
        <v>0</v>
      </c>
      <c r="J56" s="1">
        <v>0</v>
      </c>
      <c r="K56" s="1">
        <v>30.133333333333333</v>
      </c>
      <c r="L56" s="1">
        <v>21.333333333333336</v>
      </c>
      <c r="M56" s="1">
        <v>25.7</v>
      </c>
      <c r="N56">
        <v>151</v>
      </c>
      <c r="O56" s="3" t="s">
        <v>18</v>
      </c>
      <c r="P56" s="3">
        <f t="shared" si="12"/>
        <v>0</v>
      </c>
      <c r="Q56" s="3">
        <f t="shared" si="13"/>
        <v>0</v>
      </c>
      <c r="R56" s="3">
        <f t="shared" si="14"/>
        <v>0</v>
      </c>
      <c r="S56" s="3">
        <f t="shared" si="15"/>
        <v>0</v>
      </c>
      <c r="T56" s="3">
        <f t="shared" si="16"/>
        <v>0</v>
      </c>
      <c r="U56" s="3">
        <f t="shared" si="17"/>
        <v>0</v>
      </c>
      <c r="V56" s="3">
        <f t="shared" si="18"/>
        <v>1</v>
      </c>
      <c r="W56" s="3">
        <f t="shared" si="19"/>
        <v>0</v>
      </c>
      <c r="X56" s="3">
        <f t="shared" si="20"/>
        <v>0</v>
      </c>
      <c r="Y56" s="3">
        <f t="shared" si="21"/>
        <v>0</v>
      </c>
      <c r="Z56" s="3">
        <f t="shared" si="22"/>
        <v>0</v>
      </c>
      <c r="AA56" s="3">
        <f t="shared" si="23"/>
        <v>0</v>
      </c>
    </row>
    <row r="57" spans="1:27" x14ac:dyDescent="0.2">
      <c r="A57" s="2">
        <v>41487</v>
      </c>
      <c r="B57">
        <v>1011</v>
      </c>
      <c r="C57">
        <v>2611</v>
      </c>
      <c r="D57">
        <v>8535</v>
      </c>
      <c r="E57">
        <v>19504</v>
      </c>
      <c r="F57">
        <v>31664</v>
      </c>
      <c r="G57" s="1">
        <v>185.06666666666666</v>
      </c>
      <c r="H57" s="1">
        <v>34249.671111111107</v>
      </c>
      <c r="I57" s="1">
        <v>0.7</v>
      </c>
      <c r="J57" s="1">
        <v>0.48999999999999994</v>
      </c>
      <c r="K57" s="1">
        <v>29.1</v>
      </c>
      <c r="L57" s="1">
        <v>19.433333333333334</v>
      </c>
      <c r="M57" s="1">
        <v>24.266666666666666</v>
      </c>
      <c r="N57">
        <v>152</v>
      </c>
      <c r="O57" s="3" t="s">
        <v>19</v>
      </c>
      <c r="P57" s="3">
        <f t="shared" si="12"/>
        <v>0</v>
      </c>
      <c r="Q57" s="3">
        <f t="shared" si="13"/>
        <v>0</v>
      </c>
      <c r="R57" s="3">
        <f t="shared" si="14"/>
        <v>0</v>
      </c>
      <c r="S57" s="3">
        <f t="shared" si="15"/>
        <v>0</v>
      </c>
      <c r="T57" s="3">
        <f t="shared" si="16"/>
        <v>0</v>
      </c>
      <c r="U57" s="3">
        <f t="shared" si="17"/>
        <v>0</v>
      </c>
      <c r="V57" s="3">
        <f t="shared" si="18"/>
        <v>0</v>
      </c>
      <c r="W57" s="3">
        <f t="shared" si="19"/>
        <v>1</v>
      </c>
      <c r="X57" s="3">
        <f t="shared" si="20"/>
        <v>0</v>
      </c>
      <c r="Y57" s="3">
        <f t="shared" si="21"/>
        <v>0</v>
      </c>
      <c r="Z57" s="3">
        <f t="shared" si="22"/>
        <v>0</v>
      </c>
      <c r="AA57" s="3">
        <f t="shared" si="23"/>
        <v>0</v>
      </c>
    </row>
    <row r="58" spans="1:27" x14ac:dyDescent="0.2">
      <c r="A58" s="2">
        <v>41518</v>
      </c>
      <c r="B58">
        <v>1145</v>
      </c>
      <c r="C58">
        <v>2873</v>
      </c>
      <c r="D58">
        <v>8307</v>
      </c>
      <c r="E58">
        <v>18336</v>
      </c>
      <c r="F58">
        <v>30663</v>
      </c>
      <c r="G58" s="1">
        <v>107.06666666666668</v>
      </c>
      <c r="H58" s="1">
        <v>11463.271111111113</v>
      </c>
      <c r="I58" s="1">
        <v>5.8333333333333339</v>
      </c>
      <c r="J58" s="1">
        <v>34.027777777777786</v>
      </c>
      <c r="K58" s="1">
        <v>27.333333333333332</v>
      </c>
      <c r="L58" s="1">
        <v>16.033333333333335</v>
      </c>
      <c r="M58" s="1">
        <v>21.666666666666664</v>
      </c>
      <c r="N58">
        <v>153</v>
      </c>
      <c r="O58" s="3" t="s">
        <v>20</v>
      </c>
      <c r="P58" s="3">
        <f t="shared" si="12"/>
        <v>0</v>
      </c>
      <c r="Q58" s="3">
        <f t="shared" si="13"/>
        <v>0</v>
      </c>
      <c r="R58" s="3">
        <f t="shared" si="14"/>
        <v>0</v>
      </c>
      <c r="S58" s="3">
        <f t="shared" si="15"/>
        <v>0</v>
      </c>
      <c r="T58" s="3">
        <f t="shared" si="16"/>
        <v>0</v>
      </c>
      <c r="U58" s="3">
        <f t="shared" si="17"/>
        <v>0</v>
      </c>
      <c r="V58" s="3">
        <f t="shared" si="18"/>
        <v>0</v>
      </c>
      <c r="W58" s="3">
        <f t="shared" si="19"/>
        <v>0</v>
      </c>
      <c r="X58" s="3">
        <f t="shared" si="20"/>
        <v>1</v>
      </c>
      <c r="Y58" s="3">
        <f t="shared" si="21"/>
        <v>0</v>
      </c>
      <c r="Z58" s="3">
        <f t="shared" si="22"/>
        <v>0</v>
      </c>
      <c r="AA58" s="3">
        <f t="shared" si="23"/>
        <v>0</v>
      </c>
    </row>
    <row r="59" spans="1:27" x14ac:dyDescent="0.2">
      <c r="A59" s="2">
        <v>41548</v>
      </c>
      <c r="B59">
        <v>2345</v>
      </c>
      <c r="C59">
        <v>3869</v>
      </c>
      <c r="D59">
        <v>9062</v>
      </c>
      <c r="E59">
        <v>15088</v>
      </c>
      <c r="F59">
        <v>30368</v>
      </c>
      <c r="G59" s="1">
        <v>29.233333333333331</v>
      </c>
      <c r="H59" s="1">
        <v>854.58777777777766</v>
      </c>
      <c r="I59" s="1">
        <v>83.933333333333337</v>
      </c>
      <c r="J59" s="1">
        <v>7044.8044444444449</v>
      </c>
      <c r="K59" s="1">
        <v>22</v>
      </c>
      <c r="L59" s="1">
        <v>11.066666666666666</v>
      </c>
      <c r="M59" s="1">
        <v>16.533333333333335</v>
      </c>
      <c r="N59">
        <v>154</v>
      </c>
      <c r="O59" s="3" t="s">
        <v>21</v>
      </c>
      <c r="P59" s="3">
        <f t="shared" si="12"/>
        <v>0</v>
      </c>
      <c r="Q59" s="3">
        <f t="shared" si="13"/>
        <v>0</v>
      </c>
      <c r="R59" s="3">
        <f t="shared" si="14"/>
        <v>0</v>
      </c>
      <c r="S59" s="3">
        <f t="shared" si="15"/>
        <v>0</v>
      </c>
      <c r="T59" s="3">
        <f t="shared" si="16"/>
        <v>0</v>
      </c>
      <c r="U59" s="3">
        <f t="shared" si="17"/>
        <v>0</v>
      </c>
      <c r="V59" s="3">
        <f t="shared" si="18"/>
        <v>0</v>
      </c>
      <c r="W59" s="3">
        <f t="shared" si="19"/>
        <v>0</v>
      </c>
      <c r="X59" s="3">
        <f t="shared" si="20"/>
        <v>0</v>
      </c>
      <c r="Y59" s="3">
        <f t="shared" si="21"/>
        <v>1</v>
      </c>
      <c r="Z59" s="3">
        <f t="shared" si="22"/>
        <v>0</v>
      </c>
      <c r="AA59" s="3">
        <f t="shared" si="23"/>
        <v>0</v>
      </c>
    </row>
    <row r="60" spans="1:27" x14ac:dyDescent="0.2">
      <c r="A60" s="2">
        <v>41579</v>
      </c>
      <c r="B60">
        <v>9514</v>
      </c>
      <c r="C60">
        <v>6415</v>
      </c>
      <c r="D60">
        <v>9626</v>
      </c>
      <c r="E60">
        <v>15652</v>
      </c>
      <c r="F60">
        <v>41209</v>
      </c>
      <c r="G60" s="1">
        <v>0.43333333333333329</v>
      </c>
      <c r="H60" s="1">
        <v>0.18777777777777774</v>
      </c>
      <c r="I60" s="1">
        <v>292.73333333333335</v>
      </c>
      <c r="J60" s="1">
        <v>85692.804444444453</v>
      </c>
      <c r="K60" s="1">
        <v>14.8</v>
      </c>
      <c r="L60" s="1">
        <v>2.2666666666666666</v>
      </c>
      <c r="M60" s="1">
        <v>8.5333333333333332</v>
      </c>
      <c r="N60">
        <v>155</v>
      </c>
      <c r="O60" s="3" t="s">
        <v>22</v>
      </c>
      <c r="P60" s="3">
        <f t="shared" si="12"/>
        <v>0</v>
      </c>
      <c r="Q60" s="3">
        <f t="shared" si="13"/>
        <v>0</v>
      </c>
      <c r="R60" s="3">
        <f t="shared" si="14"/>
        <v>0</v>
      </c>
      <c r="S60" s="3">
        <f t="shared" si="15"/>
        <v>0</v>
      </c>
      <c r="T60" s="3">
        <f t="shared" si="16"/>
        <v>0</v>
      </c>
      <c r="U60" s="3">
        <f t="shared" si="17"/>
        <v>0</v>
      </c>
      <c r="V60" s="3">
        <f t="shared" si="18"/>
        <v>0</v>
      </c>
      <c r="W60" s="3">
        <f t="shared" si="19"/>
        <v>0</v>
      </c>
      <c r="X60" s="3">
        <f t="shared" si="20"/>
        <v>0</v>
      </c>
      <c r="Y60" s="3">
        <f t="shared" si="21"/>
        <v>0</v>
      </c>
      <c r="Z60" s="3">
        <f t="shared" si="22"/>
        <v>1</v>
      </c>
      <c r="AA60" s="3">
        <f t="shared" si="23"/>
        <v>0</v>
      </c>
    </row>
    <row r="61" spans="1:27" x14ac:dyDescent="0.2">
      <c r="A61" s="2">
        <v>41609</v>
      </c>
      <c r="B61">
        <v>12192</v>
      </c>
      <c r="C61">
        <v>6700</v>
      </c>
      <c r="D61">
        <v>9743</v>
      </c>
      <c r="E61">
        <v>18969</v>
      </c>
      <c r="F61">
        <v>47607</v>
      </c>
      <c r="G61" s="1">
        <v>5.2666666666666666</v>
      </c>
      <c r="H61" s="1">
        <v>27.737777777777776</v>
      </c>
      <c r="I61" s="1">
        <v>333.76666666666665</v>
      </c>
      <c r="J61" s="1">
        <v>111400.18777777777</v>
      </c>
      <c r="K61" s="1">
        <v>13.566666666666666</v>
      </c>
      <c r="L61" s="1">
        <v>1.8666666666666667</v>
      </c>
      <c r="M61" s="1">
        <v>7.7</v>
      </c>
      <c r="N61">
        <v>156</v>
      </c>
      <c r="O61" s="3" t="s">
        <v>23</v>
      </c>
      <c r="P61" s="3">
        <f t="shared" si="12"/>
        <v>0</v>
      </c>
      <c r="Q61" s="3">
        <f t="shared" si="13"/>
        <v>0</v>
      </c>
      <c r="R61" s="3">
        <f t="shared" si="14"/>
        <v>0</v>
      </c>
      <c r="S61" s="3">
        <f t="shared" si="15"/>
        <v>0</v>
      </c>
      <c r="T61" s="3">
        <f t="shared" si="16"/>
        <v>0</v>
      </c>
      <c r="U61" s="3">
        <f t="shared" si="17"/>
        <v>0</v>
      </c>
      <c r="V61" s="3">
        <f t="shared" si="18"/>
        <v>0</v>
      </c>
      <c r="W61" s="3">
        <f t="shared" si="19"/>
        <v>0</v>
      </c>
      <c r="X61" s="3">
        <f t="shared" si="20"/>
        <v>0</v>
      </c>
      <c r="Y61" s="3">
        <f t="shared" si="21"/>
        <v>0</v>
      </c>
      <c r="Z61" s="3">
        <f t="shared" si="22"/>
        <v>0</v>
      </c>
      <c r="AA61" s="3">
        <f t="shared" si="23"/>
        <v>1</v>
      </c>
    </row>
    <row r="62" spans="1:27" x14ac:dyDescent="0.2">
      <c r="A62" s="2">
        <v>41640</v>
      </c>
      <c r="B62">
        <v>19452</v>
      </c>
      <c r="C62">
        <v>11381</v>
      </c>
      <c r="D62">
        <v>10165</v>
      </c>
      <c r="E62">
        <v>17864</v>
      </c>
      <c r="F62">
        <v>58866</v>
      </c>
      <c r="G62" s="1">
        <v>0</v>
      </c>
      <c r="H62" s="1">
        <v>0</v>
      </c>
      <c r="I62" s="1">
        <v>510.1</v>
      </c>
      <c r="J62" s="1">
        <v>260202.01</v>
      </c>
      <c r="K62" s="1">
        <v>8.1</v>
      </c>
      <c r="L62" s="1">
        <v>-4.4000000000000004</v>
      </c>
      <c r="M62" s="1">
        <v>1.8333333333333333</v>
      </c>
      <c r="N62">
        <v>157</v>
      </c>
      <c r="O62" s="3" t="s">
        <v>12</v>
      </c>
      <c r="P62" s="3">
        <f t="shared" si="12"/>
        <v>1</v>
      </c>
      <c r="Q62" s="3">
        <f t="shared" si="13"/>
        <v>0</v>
      </c>
      <c r="R62" s="3">
        <f t="shared" si="14"/>
        <v>0</v>
      </c>
      <c r="S62" s="3">
        <f t="shared" si="15"/>
        <v>0</v>
      </c>
      <c r="T62" s="3">
        <f t="shared" si="16"/>
        <v>0</v>
      </c>
      <c r="U62" s="3">
        <f t="shared" si="17"/>
        <v>0</v>
      </c>
      <c r="V62" s="3">
        <f t="shared" si="18"/>
        <v>0</v>
      </c>
      <c r="W62" s="3">
        <f t="shared" si="19"/>
        <v>0</v>
      </c>
      <c r="X62" s="3">
        <f t="shared" si="20"/>
        <v>0</v>
      </c>
      <c r="Y62" s="3">
        <f t="shared" si="21"/>
        <v>0</v>
      </c>
      <c r="Z62" s="3">
        <f t="shared" si="22"/>
        <v>0</v>
      </c>
      <c r="AA62" s="3">
        <f t="shared" si="23"/>
        <v>0</v>
      </c>
    </row>
    <row r="63" spans="1:27" x14ac:dyDescent="0.2">
      <c r="A63" s="2">
        <v>41671</v>
      </c>
      <c r="B63">
        <v>12235</v>
      </c>
      <c r="C63">
        <v>7396</v>
      </c>
      <c r="D63">
        <v>9690</v>
      </c>
      <c r="E63">
        <v>8697</v>
      </c>
      <c r="F63">
        <v>38021</v>
      </c>
      <c r="G63" s="1">
        <v>0.1</v>
      </c>
      <c r="H63" s="1">
        <v>1.0000000000000002E-2</v>
      </c>
      <c r="I63" s="1">
        <v>331.83333333333337</v>
      </c>
      <c r="J63" s="1">
        <v>110113.36111111114</v>
      </c>
      <c r="K63" s="1">
        <v>12.233333333333333</v>
      </c>
      <c r="L63" s="1">
        <v>0.6333333333333333</v>
      </c>
      <c r="M63" s="1">
        <v>6.4666666666666668</v>
      </c>
      <c r="N63">
        <v>158</v>
      </c>
      <c r="O63" s="3" t="s">
        <v>13</v>
      </c>
      <c r="P63" s="3">
        <f t="shared" si="12"/>
        <v>0</v>
      </c>
      <c r="Q63" s="3">
        <f t="shared" si="13"/>
        <v>1</v>
      </c>
      <c r="R63" s="3">
        <f t="shared" si="14"/>
        <v>0</v>
      </c>
      <c r="S63" s="3">
        <f t="shared" si="15"/>
        <v>0</v>
      </c>
      <c r="T63" s="3">
        <f t="shared" si="16"/>
        <v>0</v>
      </c>
      <c r="U63" s="3">
        <f t="shared" si="17"/>
        <v>0</v>
      </c>
      <c r="V63" s="3">
        <f t="shared" si="18"/>
        <v>0</v>
      </c>
      <c r="W63" s="3">
        <f t="shared" si="19"/>
        <v>0</v>
      </c>
      <c r="X63" s="3">
        <f t="shared" si="20"/>
        <v>0</v>
      </c>
      <c r="Y63" s="3">
        <f t="shared" si="21"/>
        <v>0</v>
      </c>
      <c r="Z63" s="3">
        <f t="shared" si="22"/>
        <v>0</v>
      </c>
      <c r="AA63" s="3">
        <f t="shared" si="23"/>
        <v>0</v>
      </c>
    </row>
    <row r="64" spans="1:27" x14ac:dyDescent="0.2">
      <c r="A64" s="2">
        <v>41699</v>
      </c>
      <c r="B64">
        <v>11380</v>
      </c>
      <c r="C64">
        <v>7426</v>
      </c>
      <c r="D64">
        <v>10326</v>
      </c>
      <c r="E64">
        <v>14767</v>
      </c>
      <c r="F64">
        <v>43901</v>
      </c>
      <c r="G64" s="1">
        <v>0</v>
      </c>
      <c r="H64" s="1">
        <v>0</v>
      </c>
      <c r="I64" s="1">
        <v>326.93333333333334</v>
      </c>
      <c r="J64" s="1">
        <v>106885.40444444444</v>
      </c>
      <c r="K64" s="1">
        <v>14.566666666666666</v>
      </c>
      <c r="L64" s="1">
        <v>0.96666666666666656</v>
      </c>
      <c r="M64" s="1">
        <v>7.7666666666666675</v>
      </c>
      <c r="N64">
        <v>159</v>
      </c>
      <c r="O64" s="3" t="s">
        <v>14</v>
      </c>
      <c r="P64" s="3">
        <f t="shared" si="12"/>
        <v>0</v>
      </c>
      <c r="Q64" s="3">
        <f t="shared" si="13"/>
        <v>0</v>
      </c>
      <c r="R64" s="3">
        <f t="shared" si="14"/>
        <v>1</v>
      </c>
      <c r="S64" s="3">
        <f t="shared" si="15"/>
        <v>0</v>
      </c>
      <c r="T64" s="3">
        <f t="shared" si="16"/>
        <v>0</v>
      </c>
      <c r="U64" s="3">
        <f t="shared" si="17"/>
        <v>0</v>
      </c>
      <c r="V64" s="3">
        <f t="shared" si="18"/>
        <v>0</v>
      </c>
      <c r="W64" s="3">
        <f t="shared" si="19"/>
        <v>0</v>
      </c>
      <c r="X64" s="3">
        <f t="shared" si="20"/>
        <v>0</v>
      </c>
      <c r="Y64" s="3">
        <f t="shared" si="21"/>
        <v>0</v>
      </c>
      <c r="Z64" s="3">
        <f t="shared" si="22"/>
        <v>0</v>
      </c>
      <c r="AA64" s="3">
        <f t="shared" si="23"/>
        <v>0</v>
      </c>
    </row>
    <row r="65" spans="1:27" x14ac:dyDescent="0.2">
      <c r="A65" s="2">
        <v>41730</v>
      </c>
      <c r="B65">
        <v>3347</v>
      </c>
      <c r="C65">
        <v>3372</v>
      </c>
      <c r="D65">
        <v>8882</v>
      </c>
      <c r="E65">
        <v>15371</v>
      </c>
      <c r="F65">
        <v>30975</v>
      </c>
      <c r="G65" s="1">
        <v>15.066666666666666</v>
      </c>
      <c r="H65" s="1">
        <v>227.00444444444443</v>
      </c>
      <c r="I65" s="1">
        <v>93.066666666666663</v>
      </c>
      <c r="J65" s="1">
        <v>8661.4044444444444</v>
      </c>
      <c r="K65" s="1">
        <v>22.433333333333334</v>
      </c>
      <c r="L65" s="1">
        <v>8.9666666666666668</v>
      </c>
      <c r="M65" s="1">
        <v>15.733333333333334</v>
      </c>
      <c r="N65">
        <v>160</v>
      </c>
      <c r="O65" s="3" t="s">
        <v>15</v>
      </c>
      <c r="P65" s="3">
        <f t="shared" si="12"/>
        <v>0</v>
      </c>
      <c r="Q65" s="3">
        <f t="shared" si="13"/>
        <v>0</v>
      </c>
      <c r="R65" s="3">
        <f t="shared" si="14"/>
        <v>0</v>
      </c>
      <c r="S65" s="3">
        <f t="shared" si="15"/>
        <v>1</v>
      </c>
      <c r="T65" s="3">
        <f t="shared" si="16"/>
        <v>0</v>
      </c>
      <c r="U65" s="3">
        <f t="shared" si="17"/>
        <v>0</v>
      </c>
      <c r="V65" s="3">
        <f t="shared" si="18"/>
        <v>0</v>
      </c>
      <c r="W65" s="3">
        <f t="shared" si="19"/>
        <v>0</v>
      </c>
      <c r="X65" s="3">
        <f t="shared" si="20"/>
        <v>0</v>
      </c>
      <c r="Y65" s="3">
        <f t="shared" si="21"/>
        <v>0</v>
      </c>
      <c r="Z65" s="3">
        <f t="shared" si="22"/>
        <v>0</v>
      </c>
      <c r="AA65" s="3">
        <f t="shared" si="23"/>
        <v>0</v>
      </c>
    </row>
    <row r="66" spans="1:27" x14ac:dyDescent="0.2">
      <c r="A66" s="2">
        <v>41760</v>
      </c>
      <c r="B66">
        <v>1349</v>
      </c>
      <c r="C66">
        <v>3314</v>
      </c>
      <c r="D66">
        <v>8333</v>
      </c>
      <c r="E66">
        <v>16592</v>
      </c>
      <c r="F66">
        <v>29591</v>
      </c>
      <c r="G66" s="1">
        <v>98.833333333333343</v>
      </c>
      <c r="H66" s="1">
        <v>9768.0277777777792</v>
      </c>
      <c r="I66" s="1">
        <v>17.733333333333334</v>
      </c>
      <c r="J66" s="1">
        <v>314.47111111111116</v>
      </c>
      <c r="K66" s="1">
        <v>27.43333333333333</v>
      </c>
      <c r="L66" s="1">
        <v>14.366666666666665</v>
      </c>
      <c r="M66" s="1">
        <v>20.9</v>
      </c>
      <c r="N66">
        <v>161</v>
      </c>
      <c r="O66" s="3" t="s">
        <v>16</v>
      </c>
      <c r="P66" s="3">
        <f t="shared" si="12"/>
        <v>0</v>
      </c>
      <c r="Q66" s="3">
        <f t="shared" si="13"/>
        <v>0</v>
      </c>
      <c r="R66" s="3">
        <f t="shared" si="14"/>
        <v>0</v>
      </c>
      <c r="S66" s="3">
        <f t="shared" si="15"/>
        <v>0</v>
      </c>
      <c r="T66" s="3">
        <f t="shared" si="16"/>
        <v>1</v>
      </c>
      <c r="U66" s="3">
        <f t="shared" si="17"/>
        <v>0</v>
      </c>
      <c r="V66" s="3">
        <f t="shared" si="18"/>
        <v>0</v>
      </c>
      <c r="W66" s="3">
        <f t="shared" si="19"/>
        <v>0</v>
      </c>
      <c r="X66" s="3">
        <f t="shared" si="20"/>
        <v>0</v>
      </c>
      <c r="Y66" s="3">
        <f t="shared" si="21"/>
        <v>0</v>
      </c>
      <c r="Z66" s="3">
        <f t="shared" si="22"/>
        <v>0</v>
      </c>
      <c r="AA66" s="3">
        <f t="shared" si="23"/>
        <v>0</v>
      </c>
    </row>
    <row r="67" spans="1:27" x14ac:dyDescent="0.2">
      <c r="A67" s="2">
        <v>41791</v>
      </c>
      <c r="B67">
        <v>954</v>
      </c>
      <c r="C67">
        <v>2930</v>
      </c>
      <c r="D67">
        <v>7903</v>
      </c>
      <c r="E67">
        <v>20928</v>
      </c>
      <c r="F67">
        <v>32718</v>
      </c>
      <c r="G67" s="1">
        <v>201.76666666666668</v>
      </c>
      <c r="H67" s="1">
        <v>40709.787777777783</v>
      </c>
      <c r="I67" s="1">
        <v>0</v>
      </c>
      <c r="J67" s="1">
        <v>0</v>
      </c>
      <c r="K67" s="1">
        <v>30.866666666666667</v>
      </c>
      <c r="L67" s="1">
        <v>19.233333333333334</v>
      </c>
      <c r="M67" s="1">
        <v>25.033333333333335</v>
      </c>
      <c r="N67">
        <v>162</v>
      </c>
      <c r="O67" s="3" t="s">
        <v>17</v>
      </c>
      <c r="P67" s="3">
        <f t="shared" si="12"/>
        <v>0</v>
      </c>
      <c r="Q67" s="3">
        <f t="shared" si="13"/>
        <v>0</v>
      </c>
      <c r="R67" s="3">
        <f t="shared" si="14"/>
        <v>0</v>
      </c>
      <c r="S67" s="3">
        <f t="shared" si="15"/>
        <v>0</v>
      </c>
      <c r="T67" s="3">
        <f t="shared" si="16"/>
        <v>0</v>
      </c>
      <c r="U67" s="3">
        <f t="shared" si="17"/>
        <v>1</v>
      </c>
      <c r="V67" s="3">
        <f t="shared" si="18"/>
        <v>0</v>
      </c>
      <c r="W67" s="3">
        <f t="shared" si="19"/>
        <v>0</v>
      </c>
      <c r="X67" s="3">
        <f t="shared" si="20"/>
        <v>0</v>
      </c>
      <c r="Y67" s="3">
        <f t="shared" si="21"/>
        <v>0</v>
      </c>
      <c r="Z67" s="3">
        <f t="shared" si="22"/>
        <v>0</v>
      </c>
      <c r="AA67" s="3">
        <f t="shared" si="23"/>
        <v>0</v>
      </c>
    </row>
    <row r="68" spans="1:27" x14ac:dyDescent="0.2">
      <c r="A68" s="2">
        <v>41821</v>
      </c>
      <c r="B68">
        <v>1144</v>
      </c>
      <c r="C68">
        <v>2889</v>
      </c>
      <c r="D68">
        <v>7925</v>
      </c>
      <c r="E68">
        <v>20934</v>
      </c>
      <c r="F68">
        <v>32895</v>
      </c>
      <c r="G68" s="1">
        <v>219.13333333333335</v>
      </c>
      <c r="H68" s="1">
        <v>48019.417777777788</v>
      </c>
      <c r="I68" s="1">
        <v>0</v>
      </c>
      <c r="J68" s="1">
        <v>0</v>
      </c>
      <c r="K68" s="1">
        <v>30.766666666666669</v>
      </c>
      <c r="L68" s="1">
        <v>20</v>
      </c>
      <c r="M68" s="1">
        <v>25.4</v>
      </c>
      <c r="N68">
        <v>163</v>
      </c>
      <c r="O68" s="3" t="s">
        <v>18</v>
      </c>
      <c r="P68" s="3">
        <f t="shared" si="12"/>
        <v>0</v>
      </c>
      <c r="Q68" s="3">
        <f t="shared" si="13"/>
        <v>0</v>
      </c>
      <c r="R68" s="3">
        <f t="shared" si="14"/>
        <v>0</v>
      </c>
      <c r="S68" s="3">
        <f t="shared" si="15"/>
        <v>0</v>
      </c>
      <c r="T68" s="3">
        <f t="shared" si="16"/>
        <v>0</v>
      </c>
      <c r="U68" s="3">
        <f t="shared" si="17"/>
        <v>0</v>
      </c>
      <c r="V68" s="3">
        <f t="shared" si="18"/>
        <v>1</v>
      </c>
      <c r="W68" s="3">
        <f t="shared" si="19"/>
        <v>0</v>
      </c>
      <c r="X68" s="3">
        <f t="shared" si="20"/>
        <v>0</v>
      </c>
      <c r="Y68" s="3">
        <f t="shared" si="21"/>
        <v>0</v>
      </c>
      <c r="Z68" s="3">
        <f t="shared" si="22"/>
        <v>0</v>
      </c>
      <c r="AA68" s="3">
        <f t="shared" si="23"/>
        <v>0</v>
      </c>
    </row>
    <row r="69" spans="1:27" x14ac:dyDescent="0.2">
      <c r="A69" s="2">
        <v>41852</v>
      </c>
      <c r="B69">
        <v>997</v>
      </c>
      <c r="C69">
        <v>2708</v>
      </c>
      <c r="D69">
        <v>8245</v>
      </c>
      <c r="E69">
        <v>20625</v>
      </c>
      <c r="F69">
        <v>32577</v>
      </c>
      <c r="G69" s="1">
        <v>185.33333333333331</v>
      </c>
      <c r="H69" s="1">
        <v>34348.444444444438</v>
      </c>
      <c r="I69" s="1">
        <v>0</v>
      </c>
      <c r="J69" s="1">
        <v>0</v>
      </c>
      <c r="K69" s="1">
        <v>29.2</v>
      </c>
      <c r="L69" s="1">
        <v>19.333333333333336</v>
      </c>
      <c r="M69" s="1">
        <v>24.266666666666666</v>
      </c>
      <c r="N69">
        <v>164</v>
      </c>
      <c r="O69" s="3" t="s">
        <v>19</v>
      </c>
      <c r="P69" s="3">
        <f t="shared" si="12"/>
        <v>0</v>
      </c>
      <c r="Q69" s="3">
        <f t="shared" si="13"/>
        <v>0</v>
      </c>
      <c r="R69" s="3">
        <f t="shared" si="14"/>
        <v>0</v>
      </c>
      <c r="S69" s="3">
        <f t="shared" si="15"/>
        <v>0</v>
      </c>
      <c r="T69" s="3">
        <f t="shared" si="16"/>
        <v>0</v>
      </c>
      <c r="U69" s="3">
        <f t="shared" si="17"/>
        <v>0</v>
      </c>
      <c r="V69" s="3">
        <f t="shared" si="18"/>
        <v>0</v>
      </c>
      <c r="W69" s="3">
        <f t="shared" si="19"/>
        <v>1</v>
      </c>
      <c r="X69" s="3">
        <f t="shared" si="20"/>
        <v>0</v>
      </c>
      <c r="Y69" s="3">
        <f t="shared" si="21"/>
        <v>0</v>
      </c>
      <c r="Z69" s="3">
        <f t="shared" si="22"/>
        <v>0</v>
      </c>
      <c r="AA69" s="3">
        <f t="shared" si="23"/>
        <v>0</v>
      </c>
    </row>
    <row r="70" spans="1:27" x14ac:dyDescent="0.2">
      <c r="A70" s="2">
        <v>41883</v>
      </c>
      <c r="B70">
        <v>1158</v>
      </c>
      <c r="C70">
        <v>2884</v>
      </c>
      <c r="D70">
        <v>8138</v>
      </c>
      <c r="E70">
        <v>19655</v>
      </c>
      <c r="F70">
        <v>31839</v>
      </c>
      <c r="G70" s="1">
        <v>120.23333333333332</v>
      </c>
      <c r="H70" s="1">
        <v>14456.05444444444</v>
      </c>
      <c r="I70" s="1">
        <v>7.5333333333333332</v>
      </c>
      <c r="J70" s="1">
        <v>56.751111111111108</v>
      </c>
      <c r="K70" s="1">
        <v>26.466666666666669</v>
      </c>
      <c r="L70" s="1">
        <v>17.633333333333333</v>
      </c>
      <c r="M70" s="1">
        <v>22.066666666666666</v>
      </c>
      <c r="N70">
        <v>165</v>
      </c>
      <c r="O70" s="3" t="s">
        <v>20</v>
      </c>
      <c r="P70" s="3">
        <f t="shared" si="12"/>
        <v>0</v>
      </c>
      <c r="Q70" s="3">
        <f t="shared" si="13"/>
        <v>0</v>
      </c>
      <c r="R70" s="3">
        <f t="shared" si="14"/>
        <v>0</v>
      </c>
      <c r="S70" s="3">
        <f t="shared" si="15"/>
        <v>0</v>
      </c>
      <c r="T70" s="3">
        <f t="shared" si="16"/>
        <v>0</v>
      </c>
      <c r="U70" s="3">
        <f t="shared" si="17"/>
        <v>0</v>
      </c>
      <c r="V70" s="3">
        <f t="shared" si="18"/>
        <v>0</v>
      </c>
      <c r="W70" s="3">
        <f t="shared" si="19"/>
        <v>0</v>
      </c>
      <c r="X70" s="3">
        <f t="shared" si="20"/>
        <v>1</v>
      </c>
      <c r="Y70" s="3">
        <f t="shared" si="21"/>
        <v>0</v>
      </c>
      <c r="Z70" s="3">
        <f t="shared" si="22"/>
        <v>0</v>
      </c>
      <c r="AA70" s="3">
        <f t="shared" si="23"/>
        <v>0</v>
      </c>
    </row>
    <row r="71" spans="1:27" x14ac:dyDescent="0.2">
      <c r="A71" s="2">
        <v>41913</v>
      </c>
      <c r="B71">
        <v>2083</v>
      </c>
      <c r="C71">
        <v>3606</v>
      </c>
      <c r="D71">
        <v>8946</v>
      </c>
      <c r="E71">
        <v>12618</v>
      </c>
      <c r="F71">
        <v>27255</v>
      </c>
      <c r="G71" s="1">
        <v>31.233333333333331</v>
      </c>
      <c r="H71" s="1">
        <v>975.52111111111094</v>
      </c>
      <c r="I71" s="1">
        <v>74.13333333333334</v>
      </c>
      <c r="J71" s="1">
        <v>5495.7511111111116</v>
      </c>
      <c r="K71" s="1">
        <v>23.666666666666664</v>
      </c>
      <c r="L71" s="1">
        <v>10.233333333333333</v>
      </c>
      <c r="M71" s="1">
        <v>16.899999999999999</v>
      </c>
      <c r="N71">
        <v>166</v>
      </c>
      <c r="O71" s="3" t="s">
        <v>21</v>
      </c>
      <c r="P71" s="3">
        <f t="shared" si="12"/>
        <v>0</v>
      </c>
      <c r="Q71" s="3">
        <f t="shared" si="13"/>
        <v>0</v>
      </c>
      <c r="R71" s="3">
        <f t="shared" si="14"/>
        <v>0</v>
      </c>
      <c r="S71" s="3">
        <f t="shared" si="15"/>
        <v>0</v>
      </c>
      <c r="T71" s="3">
        <f t="shared" si="16"/>
        <v>0</v>
      </c>
      <c r="U71" s="3">
        <f t="shared" si="17"/>
        <v>0</v>
      </c>
      <c r="V71" s="3">
        <f t="shared" si="18"/>
        <v>0</v>
      </c>
      <c r="W71" s="3">
        <f t="shared" si="19"/>
        <v>0</v>
      </c>
      <c r="X71" s="3">
        <f t="shared" si="20"/>
        <v>0</v>
      </c>
      <c r="Y71" s="3">
        <f t="shared" si="21"/>
        <v>1</v>
      </c>
      <c r="Z71" s="3">
        <f t="shared" si="22"/>
        <v>0</v>
      </c>
      <c r="AA71" s="3">
        <f t="shared" si="23"/>
        <v>0</v>
      </c>
    </row>
    <row r="72" spans="1:27" x14ac:dyDescent="0.2">
      <c r="A72" s="2">
        <v>41944</v>
      </c>
      <c r="B72">
        <v>9942</v>
      </c>
      <c r="C72">
        <v>6843</v>
      </c>
      <c r="D72">
        <v>9429</v>
      </c>
      <c r="E72">
        <v>16980</v>
      </c>
      <c r="F72">
        <v>43197</v>
      </c>
      <c r="G72" s="1">
        <v>0.5</v>
      </c>
      <c r="H72" s="1">
        <v>0.25</v>
      </c>
      <c r="I72" s="1">
        <v>307.23333333333335</v>
      </c>
      <c r="J72" s="1">
        <v>94392.321111111116</v>
      </c>
      <c r="K72" s="1">
        <v>14.4</v>
      </c>
      <c r="L72" s="1">
        <v>1.7666666666666668</v>
      </c>
      <c r="M72" s="1">
        <v>8.0666666666666664</v>
      </c>
      <c r="N72">
        <v>167</v>
      </c>
      <c r="O72" s="3" t="s">
        <v>22</v>
      </c>
      <c r="P72" s="3">
        <f t="shared" si="12"/>
        <v>0</v>
      </c>
      <c r="Q72" s="3">
        <f t="shared" si="13"/>
        <v>0</v>
      </c>
      <c r="R72" s="3">
        <f t="shared" si="14"/>
        <v>0</v>
      </c>
      <c r="S72" s="3">
        <f t="shared" si="15"/>
        <v>0</v>
      </c>
      <c r="T72" s="3">
        <f t="shared" si="16"/>
        <v>0</v>
      </c>
      <c r="U72" s="3">
        <f t="shared" si="17"/>
        <v>0</v>
      </c>
      <c r="V72" s="3">
        <f t="shared" si="18"/>
        <v>0</v>
      </c>
      <c r="W72" s="3">
        <f t="shared" si="19"/>
        <v>0</v>
      </c>
      <c r="X72" s="3">
        <f t="shared" si="20"/>
        <v>0</v>
      </c>
      <c r="Y72" s="3">
        <f t="shared" si="21"/>
        <v>0</v>
      </c>
      <c r="Z72" s="3">
        <f t="shared" si="22"/>
        <v>1</v>
      </c>
      <c r="AA72" s="3">
        <f t="shared" si="23"/>
        <v>0</v>
      </c>
    </row>
    <row r="73" spans="1:27" x14ac:dyDescent="0.2">
      <c r="A73" s="2">
        <v>41974</v>
      </c>
      <c r="B73">
        <v>12821</v>
      </c>
      <c r="C73">
        <v>7464</v>
      </c>
      <c r="D73">
        <v>9781</v>
      </c>
      <c r="E73">
        <v>21194</v>
      </c>
      <c r="F73">
        <v>51263</v>
      </c>
      <c r="G73" s="1">
        <v>0</v>
      </c>
      <c r="H73" s="1">
        <v>0</v>
      </c>
      <c r="I73" s="1">
        <v>347.36666666666667</v>
      </c>
      <c r="J73" s="1">
        <v>120663.60111111111</v>
      </c>
      <c r="K73" s="1">
        <v>12.266666666666667</v>
      </c>
      <c r="L73" s="1">
        <v>1.9</v>
      </c>
      <c r="M73" s="1">
        <v>7.1</v>
      </c>
      <c r="N73">
        <v>168</v>
      </c>
      <c r="O73" s="3" t="s">
        <v>23</v>
      </c>
      <c r="P73" s="3">
        <f t="shared" si="12"/>
        <v>0</v>
      </c>
      <c r="Q73" s="3">
        <f t="shared" si="13"/>
        <v>0</v>
      </c>
      <c r="R73" s="3">
        <f t="shared" si="14"/>
        <v>0</v>
      </c>
      <c r="S73" s="3">
        <f t="shared" si="15"/>
        <v>0</v>
      </c>
      <c r="T73" s="3">
        <f t="shared" si="16"/>
        <v>0</v>
      </c>
      <c r="U73" s="3">
        <f t="shared" si="17"/>
        <v>0</v>
      </c>
      <c r="V73" s="3">
        <f t="shared" si="18"/>
        <v>0</v>
      </c>
      <c r="W73" s="3">
        <f t="shared" si="19"/>
        <v>0</v>
      </c>
      <c r="X73" s="3">
        <f t="shared" si="20"/>
        <v>0</v>
      </c>
      <c r="Y73" s="3">
        <f t="shared" si="21"/>
        <v>0</v>
      </c>
      <c r="Z73" s="3">
        <f t="shared" si="22"/>
        <v>0</v>
      </c>
      <c r="AA73" s="3">
        <f t="shared" si="23"/>
        <v>1</v>
      </c>
    </row>
    <row r="74" spans="1:27" x14ac:dyDescent="0.2">
      <c r="A74" s="2">
        <v>42005</v>
      </c>
      <c r="B74">
        <v>15880</v>
      </c>
      <c r="C74">
        <v>9500</v>
      </c>
      <c r="D74">
        <v>10418</v>
      </c>
      <c r="E74">
        <v>21992</v>
      </c>
      <c r="F74">
        <v>57794</v>
      </c>
      <c r="G74" s="1">
        <v>0</v>
      </c>
      <c r="H74" s="1">
        <v>0</v>
      </c>
      <c r="I74" s="1">
        <v>437.66666666666669</v>
      </c>
      <c r="J74" s="1">
        <v>191552.11111111112</v>
      </c>
      <c r="K74" s="1">
        <v>9.9</v>
      </c>
      <c r="L74" s="1">
        <v>-1.5</v>
      </c>
      <c r="M74" s="1">
        <v>4.2</v>
      </c>
      <c r="N74">
        <v>169</v>
      </c>
      <c r="O74" s="3" t="s">
        <v>12</v>
      </c>
      <c r="P74" s="3">
        <f t="shared" si="12"/>
        <v>1</v>
      </c>
      <c r="Q74" s="3">
        <f t="shared" si="13"/>
        <v>0</v>
      </c>
      <c r="R74" s="3">
        <f t="shared" si="14"/>
        <v>0</v>
      </c>
      <c r="S74" s="3">
        <f t="shared" si="15"/>
        <v>0</v>
      </c>
      <c r="T74" s="3">
        <f t="shared" si="16"/>
        <v>0</v>
      </c>
      <c r="U74" s="3">
        <f t="shared" si="17"/>
        <v>0</v>
      </c>
      <c r="V74" s="3">
        <f t="shared" si="18"/>
        <v>0</v>
      </c>
      <c r="W74" s="3">
        <f t="shared" si="19"/>
        <v>0</v>
      </c>
      <c r="X74" s="3">
        <f t="shared" si="20"/>
        <v>0</v>
      </c>
      <c r="Y74" s="3">
        <f t="shared" si="21"/>
        <v>0</v>
      </c>
      <c r="Z74" s="3">
        <f t="shared" si="22"/>
        <v>0</v>
      </c>
      <c r="AA74" s="3">
        <f t="shared" si="23"/>
        <v>0</v>
      </c>
    </row>
    <row r="75" spans="1:27" x14ac:dyDescent="0.2">
      <c r="A75" s="2">
        <v>42036</v>
      </c>
      <c r="B75">
        <v>17833</v>
      </c>
      <c r="C75">
        <v>10511</v>
      </c>
      <c r="D75">
        <v>9383</v>
      </c>
      <c r="E75">
        <v>20106</v>
      </c>
      <c r="F75">
        <v>57835</v>
      </c>
      <c r="G75" s="1">
        <v>0</v>
      </c>
      <c r="H75" s="1">
        <v>0</v>
      </c>
      <c r="I75" s="1">
        <v>458.8</v>
      </c>
      <c r="J75" s="1">
        <v>210497.44</v>
      </c>
      <c r="K75" s="1">
        <v>7.5333333333333332</v>
      </c>
      <c r="L75" s="1">
        <v>-3.7333333333333334</v>
      </c>
      <c r="M75" s="1">
        <v>1.9</v>
      </c>
      <c r="N75">
        <v>170</v>
      </c>
      <c r="O75" s="3" t="s">
        <v>13</v>
      </c>
      <c r="P75" s="3">
        <f t="shared" si="12"/>
        <v>0</v>
      </c>
      <c r="Q75" s="3">
        <f t="shared" si="13"/>
        <v>1</v>
      </c>
      <c r="R75" s="3">
        <f t="shared" si="14"/>
        <v>0</v>
      </c>
      <c r="S75" s="3">
        <f t="shared" si="15"/>
        <v>0</v>
      </c>
      <c r="T75" s="3">
        <f t="shared" si="16"/>
        <v>0</v>
      </c>
      <c r="U75" s="3">
        <f t="shared" si="17"/>
        <v>0</v>
      </c>
      <c r="V75" s="3">
        <f t="shared" si="18"/>
        <v>0</v>
      </c>
      <c r="W75" s="3">
        <f t="shared" si="19"/>
        <v>0</v>
      </c>
      <c r="X75" s="3">
        <f t="shared" si="20"/>
        <v>0</v>
      </c>
      <c r="Y75" s="3">
        <f t="shared" si="21"/>
        <v>0</v>
      </c>
      <c r="Z75" s="3">
        <f t="shared" si="22"/>
        <v>0</v>
      </c>
      <c r="AA75" s="3">
        <f t="shared" si="23"/>
        <v>0</v>
      </c>
    </row>
    <row r="76" spans="1:27" x14ac:dyDescent="0.2">
      <c r="A76" s="2">
        <v>42064</v>
      </c>
      <c r="D76">
        <v>9863</v>
      </c>
      <c r="E76">
        <v>19194</v>
      </c>
      <c r="F76">
        <f>SUM(E76,D76,D76,E76)</f>
        <v>58114</v>
      </c>
      <c r="G76" s="1">
        <v>2.1333333333333333</v>
      </c>
      <c r="H76" s="1">
        <v>4.5511111111111111</v>
      </c>
      <c r="I76" s="1">
        <v>222.6</v>
      </c>
      <c r="J76" s="1">
        <v>49550.759999999995</v>
      </c>
      <c r="K76" s="1">
        <v>17.600000000000001</v>
      </c>
      <c r="L76" s="1">
        <v>4.8</v>
      </c>
      <c r="M76" s="1">
        <v>11.2</v>
      </c>
      <c r="N76">
        <v>171</v>
      </c>
      <c r="O76" s="3" t="s">
        <v>14</v>
      </c>
      <c r="P76" s="3">
        <f t="shared" si="12"/>
        <v>0</v>
      </c>
      <c r="Q76" s="3">
        <f t="shared" si="13"/>
        <v>0</v>
      </c>
      <c r="R76" s="3">
        <f t="shared" si="14"/>
        <v>1</v>
      </c>
      <c r="S76" s="3">
        <f t="shared" si="15"/>
        <v>0</v>
      </c>
      <c r="T76" s="3">
        <f t="shared" si="16"/>
        <v>0</v>
      </c>
      <c r="U76" s="3">
        <f t="shared" si="17"/>
        <v>0</v>
      </c>
      <c r="V76" s="3">
        <f t="shared" si="18"/>
        <v>0</v>
      </c>
      <c r="W76" s="3">
        <f t="shared" si="19"/>
        <v>0</v>
      </c>
      <c r="X76" s="3">
        <f t="shared" si="20"/>
        <v>0</v>
      </c>
      <c r="Y76" s="3">
        <f t="shared" si="21"/>
        <v>0</v>
      </c>
      <c r="Z76" s="3">
        <f t="shared" si="22"/>
        <v>0</v>
      </c>
      <c r="AA76" s="3">
        <f t="shared" si="23"/>
        <v>0</v>
      </c>
    </row>
    <row r="77" spans="1:27" x14ac:dyDescent="0.2">
      <c r="A77" s="2">
        <v>42095</v>
      </c>
      <c r="B77">
        <v>2884</v>
      </c>
      <c r="C77">
        <v>3543</v>
      </c>
      <c r="D77">
        <v>8550</v>
      </c>
      <c r="E77">
        <v>19240</v>
      </c>
      <c r="F77">
        <v>34219</v>
      </c>
      <c r="G77" s="1">
        <v>25.3</v>
      </c>
      <c r="H77" s="1">
        <v>640.09</v>
      </c>
      <c r="I77" s="1">
        <v>84.466666666666669</v>
      </c>
      <c r="J77" s="1">
        <v>7134.6177777777784</v>
      </c>
      <c r="K77" s="1">
        <v>22.166666666666664</v>
      </c>
      <c r="L77" s="1">
        <v>10.5</v>
      </c>
      <c r="M77" s="1">
        <v>16.333333333333336</v>
      </c>
      <c r="N77">
        <v>172</v>
      </c>
      <c r="O77" s="3" t="s">
        <v>15</v>
      </c>
      <c r="P77" s="3">
        <f t="shared" si="12"/>
        <v>0</v>
      </c>
      <c r="Q77" s="3">
        <f t="shared" si="13"/>
        <v>0</v>
      </c>
      <c r="R77" s="3">
        <f t="shared" si="14"/>
        <v>0</v>
      </c>
      <c r="S77" s="3">
        <f t="shared" si="15"/>
        <v>1</v>
      </c>
      <c r="T77" s="3">
        <f t="shared" si="16"/>
        <v>0</v>
      </c>
      <c r="U77" s="3">
        <f t="shared" si="17"/>
        <v>0</v>
      </c>
      <c r="V77" s="3">
        <f t="shared" si="18"/>
        <v>0</v>
      </c>
      <c r="W77" s="3">
        <f t="shared" si="19"/>
        <v>0</v>
      </c>
      <c r="X77" s="3">
        <f t="shared" si="20"/>
        <v>0</v>
      </c>
      <c r="Y77" s="3">
        <f t="shared" si="21"/>
        <v>0</v>
      </c>
      <c r="Z77" s="3">
        <f t="shared" si="22"/>
        <v>0</v>
      </c>
      <c r="AA77" s="3">
        <f t="shared" si="23"/>
        <v>0</v>
      </c>
    </row>
    <row r="78" spans="1:27" x14ac:dyDescent="0.2">
      <c r="A78" s="2">
        <v>42125</v>
      </c>
      <c r="B78">
        <v>1398</v>
      </c>
      <c r="C78">
        <v>2502</v>
      </c>
      <c r="D78">
        <v>8135</v>
      </c>
      <c r="E78">
        <v>23874</v>
      </c>
      <c r="F78">
        <v>35912</v>
      </c>
      <c r="G78" s="1">
        <v>116.3</v>
      </c>
      <c r="H78" s="1">
        <v>13525.689999999999</v>
      </c>
      <c r="I78" s="1">
        <v>10.833333333333332</v>
      </c>
      <c r="J78" s="1">
        <v>117.36111111111109</v>
      </c>
      <c r="K78" s="1">
        <v>28</v>
      </c>
      <c r="L78" s="1">
        <v>15.4</v>
      </c>
      <c r="M78" s="1">
        <v>21.7</v>
      </c>
      <c r="N78">
        <v>173</v>
      </c>
      <c r="O78" s="3" t="s">
        <v>16</v>
      </c>
      <c r="P78" s="3">
        <f t="shared" si="12"/>
        <v>0</v>
      </c>
      <c r="Q78" s="3">
        <f t="shared" si="13"/>
        <v>0</v>
      </c>
      <c r="R78" s="3">
        <f t="shared" si="14"/>
        <v>0</v>
      </c>
      <c r="S78" s="3">
        <f t="shared" si="15"/>
        <v>0</v>
      </c>
      <c r="T78" s="3">
        <f t="shared" si="16"/>
        <v>1</v>
      </c>
      <c r="U78" s="3">
        <f t="shared" si="17"/>
        <v>0</v>
      </c>
      <c r="V78" s="3">
        <f t="shared" si="18"/>
        <v>0</v>
      </c>
      <c r="W78" s="3">
        <f t="shared" si="19"/>
        <v>0</v>
      </c>
      <c r="X78" s="3">
        <f t="shared" si="20"/>
        <v>0</v>
      </c>
      <c r="Y78" s="3">
        <f t="shared" si="21"/>
        <v>0</v>
      </c>
      <c r="Z78" s="3">
        <f t="shared" si="22"/>
        <v>0</v>
      </c>
      <c r="AA78" s="3">
        <f t="shared" si="23"/>
        <v>0</v>
      </c>
    </row>
    <row r="79" spans="1:27" x14ac:dyDescent="0.2">
      <c r="A79" s="2">
        <v>42156</v>
      </c>
      <c r="B79">
        <v>1192</v>
      </c>
      <c r="C79">
        <v>2944</v>
      </c>
      <c r="D79">
        <v>7796</v>
      </c>
      <c r="E79">
        <v>26468</v>
      </c>
      <c r="F79">
        <v>38406</v>
      </c>
      <c r="G79" s="1">
        <v>240.36666666666665</v>
      </c>
      <c r="H79" s="1">
        <v>57776.134444444433</v>
      </c>
      <c r="I79" s="1">
        <v>0.73333333333333328</v>
      </c>
      <c r="J79" s="1">
        <v>0.53777777777777769</v>
      </c>
      <c r="K79" s="1">
        <v>32.333333333333329</v>
      </c>
      <c r="L79" s="1">
        <v>20.233333333333334</v>
      </c>
      <c r="M79" s="1">
        <v>26.3</v>
      </c>
      <c r="N79">
        <v>174</v>
      </c>
      <c r="O79" s="3" t="s">
        <v>17</v>
      </c>
      <c r="P79" s="3">
        <f t="shared" si="12"/>
        <v>0</v>
      </c>
      <c r="Q79" s="3">
        <f t="shared" si="13"/>
        <v>0</v>
      </c>
      <c r="R79" s="3">
        <f t="shared" si="14"/>
        <v>0</v>
      </c>
      <c r="S79" s="3">
        <f t="shared" si="15"/>
        <v>0</v>
      </c>
      <c r="T79" s="3">
        <f t="shared" si="16"/>
        <v>0</v>
      </c>
      <c r="U79" s="3">
        <f t="shared" si="17"/>
        <v>1</v>
      </c>
      <c r="V79" s="3">
        <f t="shared" si="18"/>
        <v>0</v>
      </c>
      <c r="W79" s="3">
        <f t="shared" si="19"/>
        <v>0</v>
      </c>
      <c r="X79" s="3">
        <f t="shared" si="20"/>
        <v>0</v>
      </c>
      <c r="Y79" s="3">
        <f t="shared" si="21"/>
        <v>0</v>
      </c>
      <c r="Z79" s="3">
        <f t="shared" si="22"/>
        <v>0</v>
      </c>
      <c r="AA79" s="3">
        <f t="shared" si="23"/>
        <v>0</v>
      </c>
    </row>
    <row r="80" spans="1:27" x14ac:dyDescent="0.2">
      <c r="A80" s="4">
        <v>42186</v>
      </c>
      <c r="N80" s="5">
        <v>175</v>
      </c>
      <c r="O80" s="6" t="s">
        <v>18</v>
      </c>
      <c r="P80" s="3">
        <f t="shared" si="12"/>
        <v>0</v>
      </c>
      <c r="Q80" s="3">
        <f t="shared" si="13"/>
        <v>0</v>
      </c>
      <c r="R80" s="3">
        <f t="shared" si="14"/>
        <v>0</v>
      </c>
      <c r="S80" s="3">
        <f t="shared" si="15"/>
        <v>0</v>
      </c>
      <c r="T80" s="3">
        <f t="shared" si="16"/>
        <v>0</v>
      </c>
      <c r="U80" s="3">
        <f t="shared" si="17"/>
        <v>0</v>
      </c>
      <c r="V80" s="3">
        <f t="shared" si="18"/>
        <v>1</v>
      </c>
      <c r="W80" s="3">
        <f t="shared" si="19"/>
        <v>0</v>
      </c>
      <c r="X80" s="3">
        <f t="shared" si="20"/>
        <v>0</v>
      </c>
      <c r="Y80" s="3">
        <f t="shared" si="21"/>
        <v>0</v>
      </c>
      <c r="Z80" s="3">
        <f t="shared" si="22"/>
        <v>0</v>
      </c>
      <c r="AA80" s="3">
        <f t="shared" si="23"/>
        <v>0</v>
      </c>
    </row>
    <row r="81" spans="1:27" x14ac:dyDescent="0.2">
      <c r="A81" s="4">
        <v>42217</v>
      </c>
      <c r="N81" s="5">
        <v>176</v>
      </c>
      <c r="O81" s="6" t="s">
        <v>19</v>
      </c>
      <c r="P81" s="3">
        <f t="shared" si="12"/>
        <v>0</v>
      </c>
      <c r="Q81" s="3">
        <f t="shared" si="13"/>
        <v>0</v>
      </c>
      <c r="R81" s="3">
        <f t="shared" si="14"/>
        <v>0</v>
      </c>
      <c r="S81" s="3">
        <f t="shared" si="15"/>
        <v>0</v>
      </c>
      <c r="T81" s="3">
        <f t="shared" si="16"/>
        <v>0</v>
      </c>
      <c r="U81" s="3">
        <f t="shared" si="17"/>
        <v>0</v>
      </c>
      <c r="V81" s="3">
        <f t="shared" si="18"/>
        <v>0</v>
      </c>
      <c r="W81" s="3">
        <f t="shared" si="19"/>
        <v>1</v>
      </c>
      <c r="X81" s="3">
        <f t="shared" si="20"/>
        <v>0</v>
      </c>
      <c r="Y81" s="3">
        <f t="shared" si="21"/>
        <v>0</v>
      </c>
      <c r="Z81" s="3">
        <f t="shared" si="22"/>
        <v>0</v>
      </c>
      <c r="AA81" s="3">
        <f t="shared" si="23"/>
        <v>0</v>
      </c>
    </row>
    <row r="82" spans="1:27" x14ac:dyDescent="0.2">
      <c r="A82" s="4">
        <v>42248</v>
      </c>
      <c r="N82" s="5">
        <v>177</v>
      </c>
      <c r="O82" s="6" t="s">
        <v>20</v>
      </c>
      <c r="P82" s="3">
        <f t="shared" si="12"/>
        <v>0</v>
      </c>
      <c r="Q82" s="3">
        <f t="shared" si="13"/>
        <v>0</v>
      </c>
      <c r="R82" s="3">
        <f t="shared" si="14"/>
        <v>0</v>
      </c>
      <c r="S82" s="3">
        <f t="shared" si="15"/>
        <v>0</v>
      </c>
      <c r="T82" s="3">
        <f t="shared" si="16"/>
        <v>0</v>
      </c>
      <c r="U82" s="3">
        <f t="shared" si="17"/>
        <v>0</v>
      </c>
      <c r="V82" s="3">
        <f t="shared" si="18"/>
        <v>0</v>
      </c>
      <c r="W82" s="3">
        <f t="shared" si="19"/>
        <v>0</v>
      </c>
      <c r="X82" s="3">
        <f t="shared" si="20"/>
        <v>1</v>
      </c>
      <c r="Y82" s="3">
        <f t="shared" si="21"/>
        <v>0</v>
      </c>
      <c r="Z82" s="3">
        <f t="shared" si="22"/>
        <v>0</v>
      </c>
      <c r="AA82" s="3">
        <f t="shared" si="23"/>
        <v>0</v>
      </c>
    </row>
    <row r="83" spans="1:27" x14ac:dyDescent="0.2">
      <c r="A83" s="4">
        <v>42278</v>
      </c>
      <c r="N83" s="5">
        <v>178</v>
      </c>
      <c r="O83" s="6" t="s">
        <v>21</v>
      </c>
      <c r="P83" s="3">
        <f t="shared" si="12"/>
        <v>0</v>
      </c>
      <c r="Q83" s="3">
        <f t="shared" si="13"/>
        <v>0</v>
      </c>
      <c r="R83" s="3">
        <f t="shared" si="14"/>
        <v>0</v>
      </c>
      <c r="S83" s="3">
        <f t="shared" si="15"/>
        <v>0</v>
      </c>
      <c r="T83" s="3">
        <f t="shared" si="16"/>
        <v>0</v>
      </c>
      <c r="U83" s="3">
        <f t="shared" si="17"/>
        <v>0</v>
      </c>
      <c r="V83" s="3">
        <f t="shared" si="18"/>
        <v>0</v>
      </c>
      <c r="W83" s="3">
        <f t="shared" si="19"/>
        <v>0</v>
      </c>
      <c r="X83" s="3">
        <f t="shared" si="20"/>
        <v>0</v>
      </c>
      <c r="Y83" s="3">
        <f t="shared" si="21"/>
        <v>1</v>
      </c>
      <c r="Z83" s="3">
        <f t="shared" si="22"/>
        <v>0</v>
      </c>
      <c r="AA83" s="3">
        <f t="shared" si="23"/>
        <v>0</v>
      </c>
    </row>
    <row r="84" spans="1:27" x14ac:dyDescent="0.2">
      <c r="A84" s="4">
        <v>42309</v>
      </c>
      <c r="N84" s="5">
        <v>179</v>
      </c>
      <c r="O84" s="6" t="s">
        <v>22</v>
      </c>
      <c r="P84" s="3">
        <f t="shared" si="12"/>
        <v>0</v>
      </c>
      <c r="Q84" s="3">
        <f t="shared" si="13"/>
        <v>0</v>
      </c>
      <c r="R84" s="3">
        <f t="shared" si="14"/>
        <v>0</v>
      </c>
      <c r="S84" s="3">
        <f t="shared" si="15"/>
        <v>0</v>
      </c>
      <c r="T84" s="3">
        <f t="shared" si="16"/>
        <v>0</v>
      </c>
      <c r="U84" s="3">
        <f t="shared" si="17"/>
        <v>0</v>
      </c>
      <c r="V84" s="3">
        <f t="shared" si="18"/>
        <v>0</v>
      </c>
      <c r="W84" s="3">
        <f t="shared" si="19"/>
        <v>0</v>
      </c>
      <c r="X84" s="3">
        <f t="shared" si="20"/>
        <v>0</v>
      </c>
      <c r="Y84" s="3">
        <f t="shared" si="21"/>
        <v>0</v>
      </c>
      <c r="Z84" s="3">
        <f t="shared" si="22"/>
        <v>1</v>
      </c>
      <c r="AA84" s="3">
        <f t="shared" si="23"/>
        <v>0</v>
      </c>
    </row>
    <row r="85" spans="1:27" x14ac:dyDescent="0.2">
      <c r="A85" s="4">
        <v>42339</v>
      </c>
      <c r="N85" s="5">
        <v>180</v>
      </c>
      <c r="O85" s="6" t="s">
        <v>23</v>
      </c>
      <c r="P85" s="3">
        <f t="shared" si="12"/>
        <v>0</v>
      </c>
      <c r="Q85" s="3">
        <f t="shared" si="13"/>
        <v>0</v>
      </c>
      <c r="R85" s="3">
        <f t="shared" si="14"/>
        <v>0</v>
      </c>
      <c r="S85" s="3">
        <f t="shared" si="15"/>
        <v>0</v>
      </c>
      <c r="T85" s="3">
        <f t="shared" si="16"/>
        <v>0</v>
      </c>
      <c r="U85" s="3">
        <f t="shared" si="17"/>
        <v>0</v>
      </c>
      <c r="V85" s="3">
        <f t="shared" si="18"/>
        <v>0</v>
      </c>
      <c r="W85" s="3">
        <f t="shared" si="19"/>
        <v>0</v>
      </c>
      <c r="X85" s="3">
        <f t="shared" si="20"/>
        <v>0</v>
      </c>
      <c r="Y85" s="3">
        <f t="shared" si="21"/>
        <v>0</v>
      </c>
      <c r="Z85" s="3">
        <f t="shared" si="22"/>
        <v>0</v>
      </c>
      <c r="AA85" s="3">
        <f t="shared" si="23"/>
        <v>1</v>
      </c>
    </row>
    <row r="86" spans="1:27" x14ac:dyDescent="0.2">
      <c r="A86" s="4">
        <v>42370</v>
      </c>
      <c r="N86" s="5">
        <v>181</v>
      </c>
      <c r="O86" s="6" t="s">
        <v>12</v>
      </c>
      <c r="P86" s="3">
        <f t="shared" si="12"/>
        <v>1</v>
      </c>
      <c r="Q86" s="3">
        <f t="shared" si="13"/>
        <v>0</v>
      </c>
      <c r="R86" s="3">
        <f t="shared" si="14"/>
        <v>0</v>
      </c>
      <c r="S86" s="3">
        <f t="shared" si="15"/>
        <v>0</v>
      </c>
      <c r="T86" s="3">
        <f t="shared" si="16"/>
        <v>0</v>
      </c>
      <c r="U86" s="3">
        <f t="shared" si="17"/>
        <v>0</v>
      </c>
      <c r="V86" s="3">
        <f t="shared" si="18"/>
        <v>0</v>
      </c>
      <c r="W86" s="3">
        <f t="shared" si="19"/>
        <v>0</v>
      </c>
      <c r="X86" s="3">
        <f t="shared" si="20"/>
        <v>0</v>
      </c>
      <c r="Y86" s="3">
        <f t="shared" si="21"/>
        <v>0</v>
      </c>
      <c r="Z86" s="3">
        <f t="shared" si="22"/>
        <v>0</v>
      </c>
      <c r="AA86" s="3">
        <f t="shared" si="23"/>
        <v>0</v>
      </c>
    </row>
    <row r="87" spans="1:27" x14ac:dyDescent="0.2">
      <c r="A87" s="4">
        <v>42401</v>
      </c>
      <c r="N87" s="5">
        <v>182</v>
      </c>
      <c r="O87" s="6" t="s">
        <v>13</v>
      </c>
      <c r="P87" s="3">
        <f t="shared" si="12"/>
        <v>0</v>
      </c>
      <c r="Q87" s="3">
        <f t="shared" si="13"/>
        <v>1</v>
      </c>
      <c r="R87" s="3">
        <f t="shared" si="14"/>
        <v>0</v>
      </c>
      <c r="S87" s="3">
        <f t="shared" si="15"/>
        <v>0</v>
      </c>
      <c r="T87" s="3">
        <f t="shared" si="16"/>
        <v>0</v>
      </c>
      <c r="U87" s="3">
        <f t="shared" si="17"/>
        <v>0</v>
      </c>
      <c r="V87" s="3">
        <f t="shared" si="18"/>
        <v>0</v>
      </c>
      <c r="W87" s="3">
        <f t="shared" si="19"/>
        <v>0</v>
      </c>
      <c r="X87" s="3">
        <f t="shared" si="20"/>
        <v>0</v>
      </c>
      <c r="Y87" s="3">
        <f t="shared" si="21"/>
        <v>0</v>
      </c>
      <c r="Z87" s="3">
        <f t="shared" si="22"/>
        <v>0</v>
      </c>
      <c r="AA87" s="3">
        <f t="shared" si="23"/>
        <v>0</v>
      </c>
    </row>
    <row r="88" spans="1:27" x14ac:dyDescent="0.2">
      <c r="A88" s="4">
        <v>42430</v>
      </c>
      <c r="N88" s="5">
        <v>183</v>
      </c>
      <c r="O88" s="6" t="s">
        <v>14</v>
      </c>
      <c r="P88" s="3">
        <f t="shared" si="12"/>
        <v>0</v>
      </c>
      <c r="Q88" s="3">
        <f t="shared" si="13"/>
        <v>0</v>
      </c>
      <c r="R88" s="3">
        <f t="shared" si="14"/>
        <v>1</v>
      </c>
      <c r="S88" s="3">
        <f t="shared" si="15"/>
        <v>0</v>
      </c>
      <c r="T88" s="3">
        <f t="shared" si="16"/>
        <v>0</v>
      </c>
      <c r="U88" s="3">
        <f t="shared" si="17"/>
        <v>0</v>
      </c>
      <c r="V88" s="3">
        <f t="shared" si="18"/>
        <v>0</v>
      </c>
      <c r="W88" s="3">
        <f t="shared" si="19"/>
        <v>0</v>
      </c>
      <c r="X88" s="3">
        <f t="shared" si="20"/>
        <v>0</v>
      </c>
      <c r="Y88" s="3">
        <f t="shared" si="21"/>
        <v>0</v>
      </c>
      <c r="Z88" s="3">
        <f t="shared" si="22"/>
        <v>0</v>
      </c>
      <c r="AA88" s="3">
        <f t="shared" si="23"/>
        <v>0</v>
      </c>
    </row>
    <row r="89" spans="1:27" x14ac:dyDescent="0.2">
      <c r="A89" s="4">
        <v>42461</v>
      </c>
      <c r="N89" s="5">
        <v>184</v>
      </c>
      <c r="O89" s="6" t="s">
        <v>15</v>
      </c>
      <c r="P89" s="3">
        <f t="shared" si="12"/>
        <v>0</v>
      </c>
      <c r="Q89" s="3">
        <f t="shared" si="13"/>
        <v>0</v>
      </c>
      <c r="R89" s="3">
        <f t="shared" si="14"/>
        <v>0</v>
      </c>
      <c r="S89" s="3">
        <f t="shared" si="15"/>
        <v>1</v>
      </c>
      <c r="T89" s="3">
        <f t="shared" si="16"/>
        <v>0</v>
      </c>
      <c r="U89" s="3">
        <f t="shared" si="17"/>
        <v>0</v>
      </c>
      <c r="V89" s="3">
        <f t="shared" si="18"/>
        <v>0</v>
      </c>
      <c r="W89" s="3">
        <f t="shared" si="19"/>
        <v>0</v>
      </c>
      <c r="X89" s="3">
        <f t="shared" si="20"/>
        <v>0</v>
      </c>
      <c r="Y89" s="3">
        <f t="shared" si="21"/>
        <v>0</v>
      </c>
      <c r="Z89" s="3">
        <f t="shared" si="22"/>
        <v>0</v>
      </c>
      <c r="AA89" s="3">
        <f t="shared" si="23"/>
        <v>0</v>
      </c>
    </row>
    <row r="90" spans="1:27" x14ac:dyDescent="0.2">
      <c r="A90" s="4">
        <v>42491</v>
      </c>
      <c r="N90" s="5">
        <v>185</v>
      </c>
      <c r="O90" s="6" t="s">
        <v>16</v>
      </c>
      <c r="P90" s="3">
        <f t="shared" si="12"/>
        <v>0</v>
      </c>
      <c r="Q90" s="3">
        <f t="shared" si="13"/>
        <v>0</v>
      </c>
      <c r="R90" s="3">
        <f t="shared" si="14"/>
        <v>0</v>
      </c>
      <c r="S90" s="3">
        <f t="shared" si="15"/>
        <v>0</v>
      </c>
      <c r="T90" s="3">
        <f t="shared" si="16"/>
        <v>1</v>
      </c>
      <c r="U90" s="3">
        <f t="shared" si="17"/>
        <v>0</v>
      </c>
      <c r="V90" s="3">
        <f t="shared" si="18"/>
        <v>0</v>
      </c>
      <c r="W90" s="3">
        <f t="shared" si="19"/>
        <v>0</v>
      </c>
      <c r="X90" s="3">
        <f t="shared" si="20"/>
        <v>0</v>
      </c>
      <c r="Y90" s="3">
        <f t="shared" si="21"/>
        <v>0</v>
      </c>
      <c r="Z90" s="3">
        <f t="shared" si="22"/>
        <v>0</v>
      </c>
      <c r="AA90" s="3">
        <f t="shared" si="23"/>
        <v>0</v>
      </c>
    </row>
    <row r="91" spans="1:27" x14ac:dyDescent="0.2">
      <c r="A91" s="4">
        <v>42522</v>
      </c>
      <c r="N91" s="5">
        <v>186</v>
      </c>
      <c r="O91" s="6" t="s">
        <v>17</v>
      </c>
      <c r="P91" s="3">
        <f t="shared" si="12"/>
        <v>0</v>
      </c>
      <c r="Q91" s="3">
        <f t="shared" si="13"/>
        <v>0</v>
      </c>
      <c r="R91" s="3">
        <f t="shared" si="14"/>
        <v>0</v>
      </c>
      <c r="S91" s="3">
        <f t="shared" si="15"/>
        <v>0</v>
      </c>
      <c r="T91" s="3">
        <f t="shared" si="16"/>
        <v>0</v>
      </c>
      <c r="U91" s="3">
        <f t="shared" si="17"/>
        <v>1</v>
      </c>
      <c r="V91" s="3">
        <f t="shared" si="18"/>
        <v>0</v>
      </c>
      <c r="W91" s="3">
        <f t="shared" si="19"/>
        <v>0</v>
      </c>
      <c r="X91" s="3">
        <f t="shared" si="20"/>
        <v>0</v>
      </c>
      <c r="Y91" s="3">
        <f t="shared" si="21"/>
        <v>0</v>
      </c>
      <c r="Z91" s="3">
        <f t="shared" si="22"/>
        <v>0</v>
      </c>
      <c r="AA91" s="3">
        <f t="shared" si="23"/>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KO73"/>
  <sheetViews>
    <sheetView showGridLines="0" showRowColHeaders="0" zoomScale="118" workbookViewId="0">
      <pane xSplit="1" topLeftCell="B1" activePane="topRight" state="frozenSplit"/>
      <selection pane="topRight"/>
    </sheetView>
  </sheetViews>
  <sheetFormatPr baseColWidth="10" defaultColWidth="9.1640625" defaultRowHeight="12" customHeight="1" outlineLevelRow="1" x14ac:dyDescent="0.15"/>
  <cols>
    <col min="1" max="1" width="19.5" style="7" bestFit="1" customWidth="1"/>
    <col min="2" max="300" width="9.1640625" style="7"/>
    <col min="301" max="301" width="62.1640625" style="7" bestFit="1" customWidth="1"/>
    <col min="302" max="16384" width="9.1640625" style="7"/>
  </cols>
  <sheetData>
    <row r="1" spans="1:301" ht="12" customHeight="1" x14ac:dyDescent="0.2">
      <c r="A1" s="8" t="s">
        <v>37</v>
      </c>
      <c r="E1"/>
      <c r="U1" s="53"/>
      <c r="Z1" s="17" t="s">
        <v>76</v>
      </c>
      <c r="BV1"/>
      <c r="KO1"/>
    </row>
    <row r="2" spans="1:301" ht="12" customHeight="1" thickBot="1" x14ac:dyDescent="0.2">
      <c r="A2" s="10" t="s">
        <v>38</v>
      </c>
      <c r="B2" s="10" t="s">
        <v>39</v>
      </c>
      <c r="C2" s="10" t="s">
        <v>40</v>
      </c>
      <c r="D2" s="10" t="s">
        <v>41</v>
      </c>
      <c r="E2" s="10" t="s">
        <v>42</v>
      </c>
      <c r="F2" s="10" t="s">
        <v>43</v>
      </c>
      <c r="G2" s="10" t="s">
        <v>44</v>
      </c>
      <c r="H2" s="10" t="s">
        <v>45</v>
      </c>
      <c r="I2" s="10" t="s">
        <v>46</v>
      </c>
      <c r="J2" s="10" t="s">
        <v>47</v>
      </c>
    </row>
    <row r="3" spans="1:301" ht="12" customHeight="1" x14ac:dyDescent="0.15">
      <c r="A3" s="9" t="s">
        <v>48</v>
      </c>
      <c r="B3" s="12">
        <v>172</v>
      </c>
      <c r="C3" s="13">
        <v>23571.610465116279</v>
      </c>
      <c r="D3" s="13">
        <v>21637</v>
      </c>
      <c r="E3" s="13">
        <v>10270.150411131197</v>
      </c>
      <c r="F3" s="7">
        <v>783.09162739915985</v>
      </c>
      <c r="G3" s="13">
        <v>9338</v>
      </c>
      <c r="H3" s="13">
        <v>58866</v>
      </c>
      <c r="I3" s="7">
        <v>1.1049044339034881</v>
      </c>
      <c r="J3" s="7">
        <v>1.1265972548140843</v>
      </c>
    </row>
    <row r="4" spans="1:301" ht="12" customHeight="1" x14ac:dyDescent="0.15">
      <c r="A4" s="9" t="s">
        <v>49</v>
      </c>
      <c r="B4" s="12">
        <v>172</v>
      </c>
      <c r="C4" s="13">
        <v>4110.0465116279074</v>
      </c>
      <c r="D4" s="13">
        <v>3284.5</v>
      </c>
      <c r="E4" s="13">
        <v>2292.5841004144513</v>
      </c>
      <c r="F4" s="7">
        <v>174.80789884023221</v>
      </c>
      <c r="G4" s="13">
        <v>1437</v>
      </c>
      <c r="H4" s="13">
        <v>11381</v>
      </c>
      <c r="I4" s="7">
        <v>0.9544602055010406</v>
      </c>
      <c r="J4" s="7">
        <v>6.9437113205012224E-2</v>
      </c>
    </row>
    <row r="5" spans="1:301" ht="12" customHeight="1" x14ac:dyDescent="0.15">
      <c r="A5" s="9" t="s">
        <v>50</v>
      </c>
      <c r="B5" s="12">
        <v>172</v>
      </c>
      <c r="C5" s="13">
        <v>6224.6511627906975</v>
      </c>
      <c r="D5" s="13">
        <v>3502</v>
      </c>
      <c r="E5" s="13">
        <v>6516.8892235831954</v>
      </c>
      <c r="F5" s="7">
        <v>496.9081448061977</v>
      </c>
      <c r="G5" s="7">
        <v>103</v>
      </c>
      <c r="H5" s="13">
        <v>26468</v>
      </c>
      <c r="I5" s="7">
        <v>1.1419443659487758</v>
      </c>
      <c r="J5" s="7">
        <v>0.18805401231365604</v>
      </c>
    </row>
    <row r="6" spans="1:301" ht="12" customHeight="1" x14ac:dyDescent="0.15">
      <c r="A6" s="9" t="s">
        <v>51</v>
      </c>
      <c r="B6" s="12">
        <v>172</v>
      </c>
      <c r="C6" s="13">
        <v>7830.9011627906975</v>
      </c>
      <c r="D6" s="13">
        <v>7747.5</v>
      </c>
      <c r="E6" s="13">
        <v>1046.828424531926</v>
      </c>
      <c r="F6" s="7">
        <v>79.819919062325823</v>
      </c>
      <c r="G6" s="13">
        <v>5652</v>
      </c>
      <c r="H6" s="13">
        <v>10428</v>
      </c>
      <c r="I6" s="7">
        <v>0.38427084428196623</v>
      </c>
      <c r="J6" s="7">
        <v>-0.40592672332844248</v>
      </c>
    </row>
    <row r="7" spans="1:301" ht="12" customHeight="1" x14ac:dyDescent="0.15">
      <c r="A7" s="9" t="s">
        <v>52</v>
      </c>
      <c r="B7" s="12">
        <v>172</v>
      </c>
      <c r="C7" s="13">
        <v>5404.9883720930229</v>
      </c>
      <c r="D7" s="13">
        <v>2848</v>
      </c>
      <c r="E7" s="13">
        <v>4926.0711103940966</v>
      </c>
      <c r="F7" s="7">
        <v>375.60940084592306</v>
      </c>
      <c r="G7" s="7">
        <v>754</v>
      </c>
      <c r="H7" s="13">
        <v>19452</v>
      </c>
      <c r="I7" s="7">
        <v>0.88793331372186357</v>
      </c>
      <c r="J7" s="7">
        <v>-0.35716336306959739</v>
      </c>
    </row>
    <row r="9" spans="1:301" ht="12" customHeight="1" thickBot="1" x14ac:dyDescent="0.2">
      <c r="A9" s="10" t="s">
        <v>38</v>
      </c>
      <c r="B9" s="10" t="s">
        <v>53</v>
      </c>
      <c r="C9" s="10" t="s">
        <v>54</v>
      </c>
      <c r="D9" s="10" t="s">
        <v>55</v>
      </c>
      <c r="E9" s="10" t="s">
        <v>56</v>
      </c>
      <c r="F9" s="10" t="s">
        <v>57</v>
      </c>
      <c r="G9" s="10" t="s">
        <v>58</v>
      </c>
      <c r="H9" s="10" t="s">
        <v>59</v>
      </c>
      <c r="I9" s="10" t="s">
        <v>60</v>
      </c>
      <c r="J9" s="10" t="s">
        <v>61</v>
      </c>
      <c r="K9" s="10" t="s">
        <v>62</v>
      </c>
      <c r="L9" s="10" t="s">
        <v>63</v>
      </c>
      <c r="M9" s="10" t="s">
        <v>64</v>
      </c>
    </row>
    <row r="10" spans="1:301" ht="12" customHeight="1" outlineLevel="1" x14ac:dyDescent="0.15">
      <c r="A10" s="9" t="s">
        <v>65</v>
      </c>
      <c r="B10" s="7">
        <v>0.80031943258659333</v>
      </c>
      <c r="C10" s="7">
        <v>0.56786542612454793</v>
      </c>
      <c r="D10" s="7">
        <v>0.35147283940287666</v>
      </c>
      <c r="E10" s="7">
        <v>0.27916578540013659</v>
      </c>
      <c r="F10" s="7">
        <v>0.27982264050764533</v>
      </c>
      <c r="G10" s="7">
        <v>0.26314193769860983</v>
      </c>
      <c r="H10" s="7">
        <v>0.21628040475269483</v>
      </c>
      <c r="I10" s="7">
        <v>0.20265815633140524</v>
      </c>
      <c r="J10" s="7">
        <v>0.27709507510343118</v>
      </c>
      <c r="K10" s="7">
        <v>0.48818372111083003</v>
      </c>
      <c r="L10" s="7">
        <v>0.67421218463203236</v>
      </c>
      <c r="M10" s="7">
        <v>0.75128466354288781</v>
      </c>
    </row>
    <row r="11" spans="1:301" ht="12" customHeight="1" outlineLevel="1" x14ac:dyDescent="0.15">
      <c r="A11" s="9" t="s">
        <v>66</v>
      </c>
      <c r="B11" s="7">
        <v>0.75771386600164725</v>
      </c>
      <c r="C11" s="7">
        <v>0.38990333843388675</v>
      </c>
      <c r="D11" s="7">
        <v>-3.9341528039732648E-2</v>
      </c>
      <c r="E11" s="7">
        <v>-0.37773872438299133</v>
      </c>
      <c r="F11" s="7">
        <v>-0.56699974868727687</v>
      </c>
      <c r="G11" s="7">
        <v>-0.62634647274163346</v>
      </c>
      <c r="H11" s="7">
        <v>-0.54949470154909308</v>
      </c>
      <c r="I11" s="7">
        <v>-0.356013787939294</v>
      </c>
      <c r="J11" s="7">
        <v>-3.1999557212924044E-2</v>
      </c>
      <c r="K11" s="7">
        <v>0.37725095240789547</v>
      </c>
      <c r="L11" s="7">
        <v>0.70377822025437775</v>
      </c>
      <c r="M11" s="7">
        <v>0.82765315396697647</v>
      </c>
    </row>
    <row r="12" spans="1:301" ht="12" customHeight="1" outlineLevel="1" x14ac:dyDescent="0.15">
      <c r="A12" s="9" t="s">
        <v>67</v>
      </c>
      <c r="B12" s="7">
        <v>0.84923299295464405</v>
      </c>
      <c r="C12" s="7">
        <v>0.73800763863375596</v>
      </c>
      <c r="D12" s="7">
        <v>0.67063408536787505</v>
      </c>
      <c r="E12" s="7">
        <v>0.70041208470524119</v>
      </c>
      <c r="F12" s="7">
        <v>0.70316741324786458</v>
      </c>
      <c r="G12" s="7">
        <v>0.67290266168573565</v>
      </c>
      <c r="H12" s="7">
        <v>0.64334608995806886</v>
      </c>
      <c r="I12" s="7">
        <v>0.64285435595363039</v>
      </c>
      <c r="J12" s="7">
        <v>0.63124945854378955</v>
      </c>
      <c r="K12" s="7">
        <v>0.65728185633813974</v>
      </c>
      <c r="L12" s="7">
        <v>0.67879256552309319</v>
      </c>
      <c r="M12" s="7">
        <v>0.69480392917272005</v>
      </c>
    </row>
    <row r="13" spans="1:301" ht="12" customHeight="1" outlineLevel="1" x14ac:dyDescent="0.15">
      <c r="A13" s="9" t="s">
        <v>68</v>
      </c>
      <c r="B13" s="7">
        <v>0.81321187640602532</v>
      </c>
      <c r="C13" s="7">
        <v>0.66764196934735676</v>
      </c>
      <c r="D13" s="7">
        <v>0.43591190582913758</v>
      </c>
      <c r="E13" s="7">
        <v>0.18937572232725461</v>
      </c>
      <c r="F13" s="7">
        <v>4.9305896130636677E-2</v>
      </c>
      <c r="G13" s="7">
        <v>-7.1509958984207311E-2</v>
      </c>
      <c r="H13" s="7">
        <v>-3.8927224491529357E-3</v>
      </c>
      <c r="I13" s="7">
        <v>9.2241321795418579E-2</v>
      </c>
      <c r="J13" s="7">
        <v>0.28147185368523053</v>
      </c>
      <c r="K13" s="7">
        <v>0.48619197075915738</v>
      </c>
      <c r="L13" s="7">
        <v>0.60116546854252828</v>
      </c>
      <c r="M13" s="7">
        <v>0.69538302064050839</v>
      </c>
    </row>
    <row r="14" spans="1:301" ht="12" customHeight="1" outlineLevel="1" x14ac:dyDescent="0.15">
      <c r="A14" s="9" t="s">
        <v>69</v>
      </c>
      <c r="B14" s="7">
        <v>0.76184918983591043</v>
      </c>
      <c r="C14" s="7">
        <v>0.35384084178066172</v>
      </c>
      <c r="D14" s="7">
        <v>-0.10146615949949706</v>
      </c>
      <c r="E14" s="7">
        <v>-0.45320136503059782</v>
      </c>
      <c r="F14" s="7">
        <v>-0.62953800574050722</v>
      </c>
      <c r="G14" s="7">
        <v>-0.67439206454237066</v>
      </c>
      <c r="H14" s="7">
        <v>-0.60125134653026269</v>
      </c>
      <c r="I14" s="7">
        <v>-0.41471951363535292</v>
      </c>
      <c r="J14" s="7">
        <v>-7.9267048354637618E-2</v>
      </c>
      <c r="K14" s="7">
        <v>0.35592598720198015</v>
      </c>
      <c r="L14" s="7">
        <v>0.71171568959223264</v>
      </c>
      <c r="M14" s="7">
        <v>0.84832036521473553</v>
      </c>
    </row>
    <row r="20" spans="1:1" ht="12" customHeight="1" x14ac:dyDescent="0.15">
      <c r="A20" s="7" t="s">
        <v>48</v>
      </c>
    </row>
    <row r="30" spans="1:1" ht="12" customHeight="1" x14ac:dyDescent="0.15">
      <c r="A30" s="7" t="s">
        <v>49</v>
      </c>
    </row>
    <row r="40" spans="1:1" ht="12" customHeight="1" x14ac:dyDescent="0.15">
      <c r="A40" s="7" t="s">
        <v>50</v>
      </c>
    </row>
    <row r="50" spans="1:1" ht="12" customHeight="1" x14ac:dyDescent="0.15">
      <c r="A50" s="7" t="s">
        <v>51</v>
      </c>
    </row>
    <row r="60" spans="1:1" ht="12" customHeight="1" x14ac:dyDescent="0.15">
      <c r="A60" s="7" t="s">
        <v>52</v>
      </c>
    </row>
    <row r="67" spans="1:6" ht="12" customHeight="1" x14ac:dyDescent="0.15">
      <c r="A67" s="8" t="s">
        <v>70</v>
      </c>
    </row>
    <row r="68" spans="1:6" ht="12" customHeight="1" thickBot="1" x14ac:dyDescent="0.2">
      <c r="A68" s="10" t="s">
        <v>38</v>
      </c>
      <c r="B68" s="11" t="s">
        <v>71</v>
      </c>
    </row>
    <row r="69" spans="1:6" ht="12" customHeight="1" thickBot="1" x14ac:dyDescent="0.2">
      <c r="A69" s="9" t="s">
        <v>48</v>
      </c>
      <c r="B69" s="14">
        <v>1</v>
      </c>
      <c r="C69" s="16" t="s">
        <v>72</v>
      </c>
    </row>
    <row r="70" spans="1:6" ht="12" customHeight="1" thickBot="1" x14ac:dyDescent="0.2">
      <c r="A70" s="9" t="s">
        <v>49</v>
      </c>
      <c r="B70" s="15">
        <v>0.77627305963404702</v>
      </c>
      <c r="C70" s="14">
        <v>1</v>
      </c>
      <c r="D70" s="16" t="s">
        <v>73</v>
      </c>
    </row>
    <row r="71" spans="1:6" ht="12" customHeight="1" thickBot="1" x14ac:dyDescent="0.2">
      <c r="A71" s="9" t="s">
        <v>50</v>
      </c>
      <c r="B71" s="15">
        <v>0.63749308881782596</v>
      </c>
      <c r="C71" s="14">
        <v>2.068434693951374E-2</v>
      </c>
      <c r="D71" s="14">
        <v>1</v>
      </c>
      <c r="E71" s="16" t="s">
        <v>74</v>
      </c>
    </row>
    <row r="72" spans="1:6" ht="12" customHeight="1" thickBot="1" x14ac:dyDescent="0.2">
      <c r="A72" s="9" t="s">
        <v>51</v>
      </c>
      <c r="B72" s="15">
        <v>0.80788866857310426</v>
      </c>
      <c r="C72" s="15">
        <v>0.68186265584349581</v>
      </c>
      <c r="D72" s="7">
        <v>0.39137562516425167</v>
      </c>
      <c r="E72" s="14">
        <v>1</v>
      </c>
      <c r="F72" s="16" t="s">
        <v>75</v>
      </c>
    </row>
    <row r="73" spans="1:6" ht="12" customHeight="1" x14ac:dyDescent="0.15">
      <c r="A73" s="9" t="s">
        <v>52</v>
      </c>
      <c r="B73" s="15">
        <v>0.70833840119605329</v>
      </c>
      <c r="C73" s="15">
        <v>0.98068395358860383</v>
      </c>
      <c r="D73" s="14">
        <v>-8.6881162464703843E-2</v>
      </c>
      <c r="E73" s="15">
        <v>0.63656183749331297</v>
      </c>
      <c r="F73" s="14">
        <v>1</v>
      </c>
    </row>
  </sheetData>
  <pageMargins left="0.7" right="0.7" top="0.75" bottom="0.75" header="0.3" footer="0.3"/>
  <pageSetup fitToHeight="0"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KO86"/>
  <sheetViews>
    <sheetView showGridLines="0" showRowColHeaders="0" topLeftCell="A6" zoomScale="115" workbookViewId="0">
      <pane xSplit="1" topLeftCell="B1" activePane="topRight" state="frozenSplit"/>
      <selection pane="topRight"/>
    </sheetView>
  </sheetViews>
  <sheetFormatPr baseColWidth="10" defaultColWidth="9.1640625" defaultRowHeight="12" customHeight="1" outlineLevelRow="1" x14ac:dyDescent="0.15"/>
  <cols>
    <col min="1" max="1" width="19.5" style="7" bestFit="1" customWidth="1"/>
    <col min="2" max="300" width="9.1640625" style="7"/>
    <col min="301" max="301" width="73.1640625" style="7" bestFit="1" customWidth="1"/>
    <col min="302" max="16384" width="9.1640625" style="7"/>
  </cols>
  <sheetData>
    <row r="1" spans="1:301" ht="12" customHeight="1" x14ac:dyDescent="0.2">
      <c r="A1" s="8" t="s">
        <v>37</v>
      </c>
      <c r="E1"/>
      <c r="U1" s="53"/>
      <c r="Z1" s="17" t="s">
        <v>93</v>
      </c>
      <c r="KO1"/>
    </row>
    <row r="2" spans="1:301" ht="12" customHeight="1" thickBot="1" x14ac:dyDescent="0.2">
      <c r="A2" s="10" t="s">
        <v>38</v>
      </c>
      <c r="B2" s="10" t="s">
        <v>39</v>
      </c>
      <c r="C2" s="10" t="s">
        <v>40</v>
      </c>
      <c r="D2" s="10" t="s">
        <v>41</v>
      </c>
      <c r="E2" s="10" t="s">
        <v>42</v>
      </c>
      <c r="F2" s="10" t="s">
        <v>43</v>
      </c>
      <c r="G2" s="10" t="s">
        <v>44</v>
      </c>
      <c r="H2" s="10" t="s">
        <v>45</v>
      </c>
      <c r="I2" s="10" t="s">
        <v>46</v>
      </c>
      <c r="J2" s="10" t="s">
        <v>47</v>
      </c>
    </row>
    <row r="3" spans="1:301" ht="12" customHeight="1" x14ac:dyDescent="0.15">
      <c r="A3" s="9" t="s">
        <v>49</v>
      </c>
      <c r="B3" s="12">
        <v>173</v>
      </c>
      <c r="C3" s="13">
        <v>4100.0520231213877</v>
      </c>
      <c r="D3" s="13">
        <v>3255</v>
      </c>
      <c r="E3" s="13">
        <v>2289.6866579215389</v>
      </c>
      <c r="F3" s="7">
        <v>174.08165301368302</v>
      </c>
      <c r="G3" s="13">
        <v>1437</v>
      </c>
      <c r="H3" s="13">
        <v>11381</v>
      </c>
      <c r="I3" s="7">
        <v>0.96316853257682655</v>
      </c>
      <c r="J3" s="7">
        <v>8.5755888198904007E-2</v>
      </c>
    </row>
    <row r="4" spans="1:301" ht="12" customHeight="1" x14ac:dyDescent="0.15">
      <c r="A4" s="9" t="s">
        <v>77</v>
      </c>
      <c r="B4" s="12">
        <v>173</v>
      </c>
      <c r="C4" s="7">
        <v>77.354913294797711</v>
      </c>
      <c r="D4" s="7">
        <v>24.166666666666664</v>
      </c>
      <c r="E4" s="7">
        <v>94.208897009697424</v>
      </c>
      <c r="F4" s="7">
        <v>7.162569805482061</v>
      </c>
      <c r="G4" s="7">
        <v>0</v>
      </c>
      <c r="H4" s="7">
        <v>322.7</v>
      </c>
      <c r="I4" s="7">
        <v>0.91438776744505579</v>
      </c>
      <c r="J4" s="7">
        <v>-0.62726531981905387</v>
      </c>
    </row>
    <row r="5" spans="1:301" ht="12" customHeight="1" x14ac:dyDescent="0.15">
      <c r="A5" s="9" t="s">
        <v>78</v>
      </c>
      <c r="B5" s="12">
        <v>173</v>
      </c>
      <c r="C5" s="7">
        <v>154.03159922928708</v>
      </c>
      <c r="D5" s="7">
        <v>102.56666666666668</v>
      </c>
      <c r="E5" s="7">
        <v>159.00846479612443</v>
      </c>
      <c r="F5" s="7">
        <v>12.0891897147203</v>
      </c>
      <c r="G5" s="7">
        <v>0</v>
      </c>
      <c r="H5" s="7">
        <v>528.33333333333326</v>
      </c>
      <c r="I5" s="7">
        <v>0.62483619197197204</v>
      </c>
      <c r="J5" s="7">
        <v>-1.009331793330182</v>
      </c>
    </row>
    <row r="6" spans="1:301" ht="12" customHeight="1" x14ac:dyDescent="0.15">
      <c r="A6" s="9" t="s">
        <v>79</v>
      </c>
      <c r="B6" s="12">
        <v>173</v>
      </c>
      <c r="C6" s="7">
        <v>21.65761078998074</v>
      </c>
      <c r="D6" s="7">
        <v>22.1</v>
      </c>
      <c r="E6" s="7">
        <v>7.761434937861865</v>
      </c>
      <c r="F6" s="7">
        <v>0.59009097121071874</v>
      </c>
      <c r="G6" s="7">
        <v>6.4</v>
      </c>
      <c r="H6" s="7">
        <v>35.299999999999997</v>
      </c>
      <c r="I6" s="7">
        <v>-0.15831941681835759</v>
      </c>
      <c r="J6" s="7">
        <v>-1.2509451530746032</v>
      </c>
    </row>
    <row r="7" spans="1:301" ht="12" customHeight="1" x14ac:dyDescent="0.15">
      <c r="A7" s="9" t="s">
        <v>80</v>
      </c>
      <c r="B7" s="12">
        <v>173</v>
      </c>
      <c r="C7" s="7">
        <v>9.8063583815028927</v>
      </c>
      <c r="D7" s="7">
        <v>9.6</v>
      </c>
      <c r="E7" s="7">
        <v>7.9660822923109551</v>
      </c>
      <c r="F7" s="7">
        <v>0.6056500214519922</v>
      </c>
      <c r="G7" s="7">
        <v>-4.4000000000000004</v>
      </c>
      <c r="H7" s="7">
        <v>22.066666666666666</v>
      </c>
      <c r="I7" s="7">
        <v>-5.2665214651403365E-3</v>
      </c>
      <c r="J7" s="7">
        <v>-1.4054649072906023</v>
      </c>
    </row>
    <row r="8" spans="1:301" ht="12" customHeight="1" x14ac:dyDescent="0.15">
      <c r="A8" s="9" t="s">
        <v>81</v>
      </c>
      <c r="B8" s="12">
        <v>173</v>
      </c>
      <c r="C8" s="7">
        <v>15.729094412331403</v>
      </c>
      <c r="D8" s="7">
        <v>15.733333333333334</v>
      </c>
      <c r="E8" s="7">
        <v>7.8345559009306482</v>
      </c>
      <c r="F8" s="7">
        <v>0.59565025508780656</v>
      </c>
      <c r="G8" s="7">
        <v>1.2333333333333334</v>
      </c>
      <c r="H8" s="7">
        <v>28.7</v>
      </c>
      <c r="I8" s="7">
        <v>-8.2370557940813563E-2</v>
      </c>
      <c r="J8" s="7">
        <v>-1.3376233534305306</v>
      </c>
    </row>
    <row r="10" spans="1:301" ht="12" customHeight="1" thickBot="1" x14ac:dyDescent="0.2">
      <c r="A10" s="10" t="s">
        <v>38</v>
      </c>
      <c r="B10" s="10" t="s">
        <v>53</v>
      </c>
      <c r="C10" s="10" t="s">
        <v>54</v>
      </c>
      <c r="D10" s="10" t="s">
        <v>55</v>
      </c>
      <c r="E10" s="10" t="s">
        <v>56</v>
      </c>
      <c r="F10" s="10" t="s">
        <v>57</v>
      </c>
      <c r="G10" s="10" t="s">
        <v>58</v>
      </c>
      <c r="H10" s="10" t="s">
        <v>59</v>
      </c>
      <c r="I10" s="10" t="s">
        <v>60</v>
      </c>
      <c r="J10" s="10" t="s">
        <v>61</v>
      </c>
      <c r="K10" s="10" t="s">
        <v>62</v>
      </c>
      <c r="L10" s="10" t="s">
        <v>63</v>
      </c>
      <c r="M10" s="10" t="s">
        <v>64</v>
      </c>
    </row>
    <row r="11" spans="1:301" ht="12" customHeight="1" outlineLevel="1" x14ac:dyDescent="0.15">
      <c r="A11" s="9" t="s">
        <v>66</v>
      </c>
      <c r="B11" s="7">
        <v>0.75995931231917702</v>
      </c>
      <c r="C11" s="7">
        <v>0.39278719311516136</v>
      </c>
      <c r="D11" s="7">
        <v>-4.2934963391464721E-2</v>
      </c>
      <c r="E11" s="7">
        <v>-0.38193459688836928</v>
      </c>
      <c r="F11" s="7">
        <v>-0.57504384456710678</v>
      </c>
      <c r="G11" s="7">
        <v>-0.632738299863429</v>
      </c>
      <c r="H11" s="7">
        <v>-0.56475449254638999</v>
      </c>
      <c r="I11" s="7">
        <v>-0.3610460441041714</v>
      </c>
      <c r="J11" s="7">
        <v>-3.5298468400581234E-2</v>
      </c>
      <c r="K11" s="7">
        <v>0.38013001298394333</v>
      </c>
      <c r="L11" s="7">
        <v>0.7070563472537168</v>
      </c>
      <c r="M11" s="7">
        <v>0.8303522768942162</v>
      </c>
    </row>
    <row r="12" spans="1:301" ht="12" customHeight="1" outlineLevel="1" x14ac:dyDescent="0.15">
      <c r="A12" s="9" t="s">
        <v>82</v>
      </c>
      <c r="B12" s="7">
        <v>0.75545866119941785</v>
      </c>
      <c r="C12" s="7">
        <v>0.31599672551246466</v>
      </c>
      <c r="D12" s="7">
        <v>-0.14347094639222799</v>
      </c>
      <c r="E12" s="7">
        <v>-0.46014803414507527</v>
      </c>
      <c r="F12" s="7">
        <v>-0.60374616043726026</v>
      </c>
      <c r="G12" s="7">
        <v>-0.63118525974304607</v>
      </c>
      <c r="H12" s="7">
        <v>-0.58756918575202621</v>
      </c>
      <c r="I12" s="7">
        <v>-0.42898539494074417</v>
      </c>
      <c r="J12" s="7">
        <v>-0.11980194492067234</v>
      </c>
      <c r="K12" s="7">
        <v>0.32041845572642513</v>
      </c>
      <c r="L12" s="7">
        <v>0.72103732814898058</v>
      </c>
      <c r="M12" s="7">
        <v>0.88926915426385345</v>
      </c>
    </row>
    <row r="13" spans="1:301" ht="12" customHeight="1" outlineLevel="1" x14ac:dyDescent="0.15">
      <c r="A13" s="9" t="s">
        <v>83</v>
      </c>
      <c r="B13" s="7">
        <v>0.78063383121624708</v>
      </c>
      <c r="C13" s="7">
        <v>0.40115780301811427</v>
      </c>
      <c r="D13" s="7">
        <v>-7.3580822632996853E-2</v>
      </c>
      <c r="E13" s="7">
        <v>-0.47188465588627981</v>
      </c>
      <c r="F13" s="7">
        <v>-0.71229524676708267</v>
      </c>
      <c r="G13" s="7">
        <v>-0.78490656327163411</v>
      </c>
      <c r="H13" s="7">
        <v>-0.69010876751460959</v>
      </c>
      <c r="I13" s="7">
        <v>-0.43627343646180267</v>
      </c>
      <c r="J13" s="7">
        <v>-4.4926477974802662E-2</v>
      </c>
      <c r="K13" s="7">
        <v>0.39767957254374442</v>
      </c>
      <c r="L13" s="7">
        <v>0.75139059821007215</v>
      </c>
      <c r="M13" s="7">
        <v>0.87615353781315441</v>
      </c>
    </row>
    <row r="14" spans="1:301" ht="12" customHeight="1" outlineLevel="1" x14ac:dyDescent="0.15">
      <c r="A14" s="9" t="s">
        <v>84</v>
      </c>
      <c r="B14" s="7">
        <v>0.81397538530677038</v>
      </c>
      <c r="C14" s="7">
        <v>0.46479942223934012</v>
      </c>
      <c r="D14" s="7">
        <v>-1.2449727889890913E-2</v>
      </c>
      <c r="E14" s="7">
        <v>-0.47149636605202322</v>
      </c>
      <c r="F14" s="7">
        <v>-0.78904844059062085</v>
      </c>
      <c r="G14" s="7">
        <v>-0.90044953241439596</v>
      </c>
      <c r="H14" s="7">
        <v>-0.77036446901325606</v>
      </c>
      <c r="I14" s="7">
        <v>-0.43198737436322487</v>
      </c>
      <c r="J14" s="7">
        <v>1.5113275178379886E-2</v>
      </c>
      <c r="K14" s="7">
        <v>0.45851546827769618</v>
      </c>
      <c r="L14" s="7">
        <v>0.77775817232401179</v>
      </c>
      <c r="M14" s="7">
        <v>0.88348042788594239</v>
      </c>
    </row>
    <row r="15" spans="1:301" ht="12" customHeight="1" outlineLevel="1" x14ac:dyDescent="0.15">
      <c r="A15" s="9" t="s">
        <v>85</v>
      </c>
      <c r="B15" s="7">
        <v>0.81834324327976671</v>
      </c>
      <c r="C15" s="7">
        <v>0.46438429168667639</v>
      </c>
      <c r="D15" s="7">
        <v>-1.3861105873821472E-2</v>
      </c>
      <c r="E15" s="7">
        <v>-0.48787584213155677</v>
      </c>
      <c r="F15" s="7">
        <v>-0.81471844006015715</v>
      </c>
      <c r="G15" s="7">
        <v>-0.92054236667966693</v>
      </c>
      <c r="H15" s="7">
        <v>-0.79051936647185372</v>
      </c>
      <c r="I15" s="7">
        <v>-0.44337073431320995</v>
      </c>
      <c r="J15" s="7">
        <v>1.807008117457902E-2</v>
      </c>
      <c r="K15" s="7">
        <v>0.46300623435749255</v>
      </c>
      <c r="L15" s="7">
        <v>0.78737735588861391</v>
      </c>
      <c r="M15" s="7">
        <v>0.89758632797983351</v>
      </c>
    </row>
    <row r="16" spans="1:301" ht="12" customHeight="1" outlineLevel="1" x14ac:dyDescent="0.15">
      <c r="A16" s="9" t="s">
        <v>86</v>
      </c>
      <c r="B16" s="7">
        <v>0.81930773728729378</v>
      </c>
      <c r="C16" s="7">
        <v>0.4673222600610028</v>
      </c>
      <c r="D16" s="7">
        <v>-1.3214729717927772E-2</v>
      </c>
      <c r="E16" s="7">
        <v>-0.48358889984817965</v>
      </c>
      <c r="F16" s="7">
        <v>-0.80874497884693253</v>
      </c>
      <c r="G16" s="7">
        <v>-0.91817260457694028</v>
      </c>
      <c r="H16" s="7">
        <v>-0.78686182137530447</v>
      </c>
      <c r="I16" s="7">
        <v>-0.44060356818106572</v>
      </c>
      <c r="J16" s="7">
        <v>1.7628086109986438E-2</v>
      </c>
      <c r="K16" s="7">
        <v>0.46487441861917</v>
      </c>
      <c r="L16" s="7">
        <v>0.7880034695381376</v>
      </c>
      <c r="M16" s="7">
        <v>0.89554410287957897</v>
      </c>
    </row>
    <row r="22" spans="1:1" ht="12" customHeight="1" x14ac:dyDescent="0.15">
      <c r="A22" s="7" t="s">
        <v>49</v>
      </c>
    </row>
    <row r="32" spans="1:1" ht="12" customHeight="1" x14ac:dyDescent="0.15">
      <c r="A32" s="7" t="s">
        <v>77</v>
      </c>
    </row>
    <row r="42" spans="1:1" ht="12" customHeight="1" x14ac:dyDescent="0.15">
      <c r="A42" s="7" t="s">
        <v>78</v>
      </c>
    </row>
    <row r="52" spans="1:1" ht="12" customHeight="1" x14ac:dyDescent="0.15">
      <c r="A52" s="7" t="s">
        <v>79</v>
      </c>
    </row>
    <row r="62" spans="1:1" ht="12" customHeight="1" x14ac:dyDescent="0.15">
      <c r="A62" s="7" t="s">
        <v>80</v>
      </c>
    </row>
    <row r="72" spans="1:2" ht="12" customHeight="1" x14ac:dyDescent="0.15">
      <c r="A72" s="7" t="s">
        <v>81</v>
      </c>
    </row>
    <row r="79" spans="1:2" ht="12" customHeight="1" x14ac:dyDescent="0.15">
      <c r="A79" s="8" t="s">
        <v>87</v>
      </c>
    </row>
    <row r="80" spans="1:2" ht="12" customHeight="1" thickBot="1" x14ac:dyDescent="0.2">
      <c r="A80" s="10" t="s">
        <v>38</v>
      </c>
      <c r="B80" s="11" t="s">
        <v>72</v>
      </c>
    </row>
    <row r="81" spans="1:7" ht="12" customHeight="1" thickBot="1" x14ac:dyDescent="0.2">
      <c r="A81" s="9" t="s">
        <v>49</v>
      </c>
      <c r="B81" s="14">
        <v>1</v>
      </c>
      <c r="C81" s="16" t="s">
        <v>88</v>
      </c>
    </row>
    <row r="82" spans="1:7" ht="12" customHeight="1" thickBot="1" x14ac:dyDescent="0.2">
      <c r="A82" s="9" t="s">
        <v>77</v>
      </c>
      <c r="B82" s="15">
        <v>-0.68216131476144359</v>
      </c>
      <c r="C82" s="14">
        <v>1</v>
      </c>
      <c r="D82" s="16" t="s">
        <v>89</v>
      </c>
    </row>
    <row r="83" spans="1:7" ht="12" customHeight="1" thickBot="1" x14ac:dyDescent="0.2">
      <c r="A83" s="9" t="s">
        <v>78</v>
      </c>
      <c r="B83" s="15">
        <v>0.9526103687718076</v>
      </c>
      <c r="C83" s="15">
        <v>-0.74820354125147825</v>
      </c>
      <c r="D83" s="14">
        <v>1</v>
      </c>
      <c r="E83" s="16" t="s">
        <v>90</v>
      </c>
    </row>
    <row r="84" spans="1:7" ht="12" customHeight="1" thickBot="1" x14ac:dyDescent="0.2">
      <c r="A84" s="9" t="s">
        <v>79</v>
      </c>
      <c r="B84" s="15">
        <v>-0.91589899786386375</v>
      </c>
      <c r="C84" s="15">
        <v>0.87822824854135872</v>
      </c>
      <c r="D84" s="15">
        <v>-0.96902398072539331</v>
      </c>
      <c r="E84" s="14">
        <v>1</v>
      </c>
      <c r="F84" s="16" t="s">
        <v>91</v>
      </c>
    </row>
    <row r="85" spans="1:7" ht="12" customHeight="1" thickBot="1" x14ac:dyDescent="0.2">
      <c r="A85" s="9" t="s">
        <v>80</v>
      </c>
      <c r="B85" s="15">
        <v>-0.89509648575445966</v>
      </c>
      <c r="C85" s="15">
        <v>0.90310343609386401</v>
      </c>
      <c r="D85" s="15">
        <v>-0.95459978789069944</v>
      </c>
      <c r="E85" s="15">
        <v>0.98598675058141916</v>
      </c>
      <c r="F85" s="14">
        <v>1</v>
      </c>
      <c r="G85" s="16" t="s">
        <v>92</v>
      </c>
    </row>
    <row r="86" spans="1:7" ht="12" customHeight="1" x14ac:dyDescent="0.15">
      <c r="A86" s="9" t="s">
        <v>81</v>
      </c>
      <c r="B86" s="15">
        <v>-0.90853056555812406</v>
      </c>
      <c r="C86" s="15">
        <v>0.89403910868081038</v>
      </c>
      <c r="D86" s="15">
        <v>-0.96505406104975777</v>
      </c>
      <c r="E86" s="15">
        <v>0.99640710556805767</v>
      </c>
      <c r="F86" s="15">
        <v>0.99656710637429213</v>
      </c>
      <c r="G86" s="14">
        <v>1</v>
      </c>
    </row>
  </sheetData>
  <pageMargins left="0.7" right="0.7" top="0.75" bottom="0.75" header="0.3" footer="0.3"/>
  <pageSetup fitToHeight="0"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CG368"/>
  <sheetViews>
    <sheetView showGridLines="0" showRowColHeaders="0" workbookViewId="0">
      <selection activeCell="B1" sqref="B1"/>
    </sheetView>
  </sheetViews>
  <sheetFormatPr baseColWidth="10" defaultColWidth="9.1640625" defaultRowHeight="11" outlineLevelRow="1" x14ac:dyDescent="0.15"/>
  <cols>
    <col min="1" max="1" width="19.5" style="18" customWidth="1"/>
    <col min="2" max="2" width="9.1640625" style="18"/>
    <col min="3" max="4" width="9.5" style="18" bestFit="1" customWidth="1"/>
    <col min="5" max="7" width="9.1640625" style="18"/>
    <col min="8" max="8" width="9.5" style="18" bestFit="1" customWidth="1"/>
    <col min="9" max="77" width="9.1640625" style="18"/>
    <col min="78" max="78" width="66.83203125" style="18" bestFit="1" customWidth="1"/>
    <col min="79" max="16384" width="9.1640625" style="18"/>
  </cols>
  <sheetData>
    <row r="1" spans="1:78" ht="15" x14ac:dyDescent="0.2">
      <c r="A1" s="19" t="s">
        <v>94</v>
      </c>
      <c r="B1" s="18" t="s">
        <v>95</v>
      </c>
      <c r="E1"/>
      <c r="U1" s="52"/>
      <c r="Z1" s="35" t="s">
        <v>96</v>
      </c>
      <c r="BZ1"/>
    </row>
    <row r="2" spans="1:78" x14ac:dyDescent="0.15">
      <c r="A2" s="19" t="s">
        <v>97</v>
      </c>
      <c r="C2" s="18" t="s">
        <v>49</v>
      </c>
      <c r="AA2" s="35" t="str">
        <f>"Forecasts and " &amp; TEXT($I$10, "0.0%") &amp; " confidence limits for means and forecasts
Com HDD linear model for _Commercial_Natural_Gas    (1 variable, n=173)"</f>
        <v>Forecasts and 95.0% confidence limits for means and forecasts
Com HDD linear model for _Commercial_Natural_Gas    (1 variable, n=173)</v>
      </c>
    </row>
    <row r="3" spans="1:78" ht="11.25" hidden="1" customHeight="1" outlineLevel="1" x14ac:dyDescent="0.15">
      <c r="A3" s="19" t="s">
        <v>98</v>
      </c>
      <c r="AA3" s="35" t="str">
        <f>IF($A$58 &lt;&gt; "","Actual and predicted -vs- Observation # with " &amp; TEXT($I$10, "0.0%") &amp; " confidence limits
Com HDD linear model for _Commercial_Natural_Gas    (1 variable, n=173)","Actual and predicted -vs- Observation #
Com HDD linear model for _Commercial_Natural_Gas    (1 variable, n=173)")</f>
        <v>Actual and predicted -vs- Observation # with 95.0% confidence limits
Com HDD linear model for _Commercial_Natural_Gas    (1 variable, n=173)</v>
      </c>
    </row>
    <row r="4" spans="1:78" hidden="1" outlineLevel="1" x14ac:dyDescent="0.15">
      <c r="A4" s="18" t="s">
        <v>78</v>
      </c>
    </row>
    <row r="5" spans="1:78" hidden="1" outlineLevel="1" x14ac:dyDescent="0.15">
      <c r="A5" s="19" t="s">
        <v>99</v>
      </c>
    </row>
    <row r="6" spans="1:78" hidden="1" outlineLevel="1" x14ac:dyDescent="0.15">
      <c r="A6" s="18" t="s">
        <v>100</v>
      </c>
    </row>
    <row r="7" spans="1:78" collapsed="1" x14ac:dyDescent="0.15"/>
    <row r="8" spans="1:78" x14ac:dyDescent="0.15">
      <c r="A8" s="20" t="s">
        <v>101</v>
      </c>
    </row>
    <row r="9" spans="1:78" ht="12" outlineLevel="1" thickBot="1" x14ac:dyDescent="0.2">
      <c r="A9" s="21"/>
      <c r="B9" s="23" t="s">
        <v>102</v>
      </c>
      <c r="C9" s="23" t="s">
        <v>103</v>
      </c>
      <c r="D9" s="23" t="s">
        <v>104</v>
      </c>
      <c r="E9" s="23" t="s">
        <v>105</v>
      </c>
      <c r="F9" s="23" t="s">
        <v>39</v>
      </c>
      <c r="G9" s="23" t="s">
        <v>106</v>
      </c>
      <c r="H9" s="23" t="str">
        <f>"t("&amp;TEXT((1-I10)/2,"0.00%") &amp; ",171)"</f>
        <v>t(2.50%,171)</v>
      </c>
      <c r="I9" s="23" t="s">
        <v>107</v>
      </c>
    </row>
    <row r="10" spans="1:78" outlineLevel="1" x14ac:dyDescent="0.15">
      <c r="B10" s="24">
        <f xml:space="preserve"> 1 - C20 / C21</f>
        <v>0.90746651469155826</v>
      </c>
      <c r="C10" s="24">
        <f>1-D10^2/E10^2</f>
        <v>0.90692538319852645</v>
      </c>
      <c r="D10" s="24">
        <f xml:space="preserve"> SQRT(D20)</f>
        <v>698.54064670497417</v>
      </c>
      <c r="E10" s="25">
        <v>2289.6866579215389</v>
      </c>
      <c r="F10" s="26">
        <v>173</v>
      </c>
      <c r="G10" s="26">
        <v>13</v>
      </c>
      <c r="H10" s="18">
        <f>TINV(1 - $I$10, F10 - 1 - 1)</f>
        <v>1.9739339541031049</v>
      </c>
      <c r="I10" s="27">
        <v>0.95</v>
      </c>
    </row>
    <row r="12" spans="1:78" x14ac:dyDescent="0.15">
      <c r="A12" s="20" t="s">
        <v>108</v>
      </c>
    </row>
    <row r="13" spans="1:78" ht="12" outlineLevel="1" thickBot="1" x14ac:dyDescent="0.2">
      <c r="A13" s="28" t="s">
        <v>38</v>
      </c>
      <c r="B13" s="23" t="s">
        <v>109</v>
      </c>
      <c r="C13" s="23" t="s">
        <v>110</v>
      </c>
      <c r="D13" s="23" t="s">
        <v>111</v>
      </c>
      <c r="E13" s="23" t="s">
        <v>112</v>
      </c>
      <c r="F13" s="23" t="str">
        <f>IF($I$10&gt;99%,("Lower"&amp;TEXT($I$10,"0.0%")),("Lower"&amp;TEXT($I$10,"0%")))</f>
        <v>Lower95%</v>
      </c>
      <c r="G13" s="23" t="str">
        <f>IF($I$10&gt;99%,("Upper"&amp;TEXT($I$10,"0.0%")),("Upper"&amp;TEXT($I$10,"0%")))</f>
        <v>Upper95%</v>
      </c>
      <c r="H13" s="23" t="s">
        <v>105</v>
      </c>
      <c r="I13" s="23" t="s">
        <v>113</v>
      </c>
    </row>
    <row r="14" spans="1:78" outlineLevel="1" x14ac:dyDescent="0.15">
      <c r="A14" s="18" t="s">
        <v>114</v>
      </c>
      <c r="B14" s="25">
        <v>1987.1423188705221</v>
      </c>
      <c r="C14" s="24">
        <v>74.045472420753597</v>
      </c>
      <c r="D14" s="24">
        <f>(B14 - 0) / C14</f>
        <v>26.836783585886909</v>
      </c>
      <c r="E14" s="24">
        <f>TDIST(ABS(D14),$F$10 - 2,2)</f>
        <v>3.3746082251120903E-63</v>
      </c>
      <c r="F14" s="25">
        <f>B14 - TINV(1 - $I$10, $F$10 - 2) * C14</f>
        <v>1840.9814467115916</v>
      </c>
      <c r="G14" s="25">
        <f>B14 + TINV(1 - $I$10, $F$10 - 2) * C14</f>
        <v>2133.3031910294526</v>
      </c>
    </row>
    <row r="15" spans="1:78" outlineLevel="1" x14ac:dyDescent="0.15">
      <c r="A15" s="18" t="s">
        <v>78</v>
      </c>
      <c r="B15" s="24">
        <v>13.717378218644921</v>
      </c>
      <c r="C15" s="24">
        <v>0.3349710032051012</v>
      </c>
      <c r="D15" s="24">
        <f>(B15 - 0) / C15</f>
        <v>40.950942282743895</v>
      </c>
      <c r="E15" s="24">
        <f>TDIST(ABS(D15),$F$10 - 2,2)</f>
        <v>2.6557907375548523E-90</v>
      </c>
      <c r="F15" s="24">
        <f>B15 - TINV(1 - $I$10, $F$10 - 2) * C15</f>
        <v>13.056167581778391</v>
      </c>
      <c r="G15" s="24">
        <f>B15 + TINV(1 - $I$10, $F$10 - 2) * C15</f>
        <v>14.378588855511451</v>
      </c>
      <c r="H15" s="24">
        <v>159.00846479612443</v>
      </c>
      <c r="I15" s="18">
        <f>B15*H15/$E$10</f>
        <v>0.95261036877180771</v>
      </c>
    </row>
    <row r="17" spans="1:7" x14ac:dyDescent="0.15">
      <c r="A17" s="20" t="s">
        <v>115</v>
      </c>
    </row>
    <row r="18" spans="1:7" ht="12" hidden="1" outlineLevel="1" thickBot="1" x14ac:dyDescent="0.2">
      <c r="A18" s="28" t="s">
        <v>116</v>
      </c>
      <c r="B18" s="23" t="s">
        <v>120</v>
      </c>
      <c r="C18" s="23" t="s">
        <v>121</v>
      </c>
      <c r="D18" s="23" t="s">
        <v>122</v>
      </c>
      <c r="E18" s="23" t="s">
        <v>123</v>
      </c>
      <c r="F18" s="23" t="s">
        <v>112</v>
      </c>
    </row>
    <row r="19" spans="1:7" hidden="1" outlineLevel="1" x14ac:dyDescent="0.15">
      <c r="A19" s="18" t="s">
        <v>117</v>
      </c>
      <c r="B19" s="26">
        <v>1</v>
      </c>
      <c r="C19" s="25">
        <f>C21 - C20</f>
        <v>818297383.52986205</v>
      </c>
      <c r="D19" s="25">
        <f>C19/B19</f>
        <v>818297383.52986205</v>
      </c>
      <c r="E19" s="24">
        <f>D19/D20</f>
        <v>1676.9796738446194</v>
      </c>
      <c r="F19" s="24">
        <f>FDIST(E19,1,171)</f>
        <v>2.6557907375551545E-90</v>
      </c>
    </row>
    <row r="20" spans="1:7" hidden="1" outlineLevel="1" x14ac:dyDescent="0.15">
      <c r="A20" s="18" t="s">
        <v>118</v>
      </c>
      <c r="B20" s="26">
        <v>171</v>
      </c>
      <c r="C20" s="25">
        <v>83440995.001929596</v>
      </c>
      <c r="D20" s="25">
        <f>C20/B20</f>
        <v>487959.03509900346</v>
      </c>
    </row>
    <row r="21" spans="1:7" hidden="1" outlineLevel="1" x14ac:dyDescent="0.15">
      <c r="A21" s="18" t="s">
        <v>119</v>
      </c>
      <c r="B21" s="26">
        <f>B19 + B20</f>
        <v>172</v>
      </c>
      <c r="C21" s="25">
        <v>901738378.53179169</v>
      </c>
    </row>
    <row r="22" spans="1:7" collapsed="1" x14ac:dyDescent="0.15"/>
    <row r="23" spans="1:7" x14ac:dyDescent="0.15">
      <c r="A23" s="20" t="s">
        <v>124</v>
      </c>
    </row>
    <row r="24" spans="1:7" outlineLevel="1" x14ac:dyDescent="0.15"/>
    <row r="25" spans="1:7" outlineLevel="1" x14ac:dyDescent="0.15">
      <c r="B25" s="29" t="s">
        <v>78</v>
      </c>
      <c r="C25" s="29" t="s">
        <v>125</v>
      </c>
      <c r="D25" s="29" t="s">
        <v>126</v>
      </c>
      <c r="E25" s="29" t="s">
        <v>127</v>
      </c>
      <c r="F25" s="29" t="str">
        <f>IF($I$10&gt;99%,("Lower "&amp;TEXT($I$10,"0.0%")),("Lower "&amp;TEXT($I$10,"0%")))</f>
        <v>Lower 95%</v>
      </c>
      <c r="G25" s="29" t="str">
        <f>IF($I$10&gt;99%,("Upper "&amp;TEXT($I$10,"0.0%")),("Upper "&amp;TEXT($I$10,"0%")))</f>
        <v>Upper 95%</v>
      </c>
    </row>
    <row r="26" spans="1:7" outlineLevel="1" x14ac:dyDescent="0.15">
      <c r="B26" s="29">
        <v>0</v>
      </c>
      <c r="C26" s="29">
        <f>$D$10/SQRT($F$10)*SQRT(1+(B26- 154.031599229287)^2/25137.5433688618)</f>
        <v>74.045472420753612</v>
      </c>
      <c r="D26" s="29">
        <f>SQRT($D$10^2 + C26^2)</f>
        <v>702.45410318754352</v>
      </c>
      <c r="E26" s="29">
        <f>1987.14231887052 + 13.7173782186449 * B26</f>
        <v>1987.1423188705201</v>
      </c>
      <c r="F26" s="29">
        <f>E26 - $H$10*D26</f>
        <v>600.5443133895817</v>
      </c>
      <c r="G26" s="29">
        <f>E26 + $H$10*D26</f>
        <v>3373.7403243514582</v>
      </c>
    </row>
    <row r="27" spans="1:7" outlineLevel="1" x14ac:dyDescent="0.15">
      <c r="B27" s="29">
        <v>132.08333333333326</v>
      </c>
      <c r="C27" s="29">
        <f>$D$10/SQRT($F$10)*SQRT(1+(B27- 154.031599229287)^2/25137.5433688618)</f>
        <v>53.615527986249361</v>
      </c>
      <c r="D27" s="29">
        <f>SQRT($D$10^2 + C27^2)</f>
        <v>700.59521832528083</v>
      </c>
      <c r="E27" s="29">
        <f>1987.14231887052 + 13.7173782186449 * B27</f>
        <v>3798.9793585831994</v>
      </c>
      <c r="F27" s="29">
        <f>E27 - $H$10*D27</f>
        <v>2416.05066904865</v>
      </c>
      <c r="G27" s="29">
        <f>E27 + $H$10*D27</f>
        <v>5181.9080481177489</v>
      </c>
    </row>
    <row r="28" spans="1:7" outlineLevel="1" x14ac:dyDescent="0.15">
      <c r="B28" s="29">
        <v>264.16666666666652</v>
      </c>
      <c r="C28" s="29">
        <f>$D$10/SQRT($F$10)*SQRT(1+(B28- 154.031599229287)^2/25137.5433688618)</f>
        <v>64.665261985026547</v>
      </c>
      <c r="D28" s="29">
        <f>SQRT($D$10^2 + C28^2)</f>
        <v>701.52735599304719</v>
      </c>
      <c r="E28" s="29">
        <f>1987.14231887052 + 13.7173782186449 * B28</f>
        <v>5610.8163982958786</v>
      </c>
      <c r="F28" s="29">
        <f>E28 - $H$10*D28</f>
        <v>4226.0477305690265</v>
      </c>
      <c r="G28" s="29">
        <f>E28 + $H$10*D28</f>
        <v>6995.5850660227306</v>
      </c>
    </row>
    <row r="29" spans="1:7" outlineLevel="1" x14ac:dyDescent="0.15">
      <c r="B29" s="29">
        <v>396.24999999999977</v>
      </c>
      <c r="C29" s="29">
        <f>$D$10/SQRT($F$10)*SQRT(1+(B29- 154.031599229287)^2/25137.5433688618)</f>
        <v>96.972397026453237</v>
      </c>
      <c r="D29" s="29">
        <f>SQRT($D$10^2 + C29^2)</f>
        <v>705.23944932487973</v>
      </c>
      <c r="E29" s="29">
        <f>1987.14231887052 + 13.7173782186449 * B29</f>
        <v>7422.6534380085586</v>
      </c>
      <c r="F29" s="29">
        <f>E29 - $H$10*D29</f>
        <v>6030.5573432132023</v>
      </c>
      <c r="G29" s="29">
        <f>E29 + $H$10*D29</f>
        <v>8814.7495328039149</v>
      </c>
    </row>
    <row r="30" spans="1:7" outlineLevel="1" x14ac:dyDescent="0.15">
      <c r="B30" s="29">
        <v>528.33333333333303</v>
      </c>
      <c r="C30" s="29">
        <f>$D$10/SQRT($F$10)*SQRT(1+(B30- 154.031599229287)^2/25137.5433688618)</f>
        <v>136.16451033083536</v>
      </c>
      <c r="D30" s="29">
        <f>SQRT($D$10^2 + C30^2)</f>
        <v>711.68799973909893</v>
      </c>
      <c r="E30" s="29">
        <f>1987.14231887052 + 13.7173782186449 * B30</f>
        <v>9234.4904777212378</v>
      </c>
      <c r="F30" s="29">
        <f>E30 - $H$10*D30</f>
        <v>7829.6653703085085</v>
      </c>
      <c r="G30" s="29">
        <f>E30 + $H$10*D30</f>
        <v>10639.315585133967</v>
      </c>
    </row>
    <row r="31" spans="1:7" outlineLevel="1" x14ac:dyDescent="0.15"/>
    <row r="32" spans="1:7" outlineLevel="1" x14ac:dyDescent="0.15"/>
    <row r="33" spans="1:7" outlineLevel="1" x14ac:dyDescent="0.15"/>
    <row r="34" spans="1:7" outlineLevel="1" x14ac:dyDescent="0.15"/>
    <row r="35" spans="1:7" outlineLevel="1" x14ac:dyDescent="0.15"/>
    <row r="36" spans="1:7" outlineLevel="1" x14ac:dyDescent="0.15"/>
    <row r="37" spans="1:7" outlineLevel="1" x14ac:dyDescent="0.15"/>
    <row r="38" spans="1:7" outlineLevel="1" x14ac:dyDescent="0.15"/>
    <row r="39" spans="1:7" outlineLevel="1" x14ac:dyDescent="0.15"/>
    <row r="40" spans="1:7" outlineLevel="1" x14ac:dyDescent="0.15"/>
    <row r="41" spans="1:7" outlineLevel="1" x14ac:dyDescent="0.15"/>
    <row r="42" spans="1:7" outlineLevel="1" x14ac:dyDescent="0.15"/>
    <row r="43" spans="1:7" outlineLevel="1" x14ac:dyDescent="0.15"/>
    <row r="45" spans="1:7" x14ac:dyDescent="0.15">
      <c r="A45" s="20" t="s">
        <v>128</v>
      </c>
    </row>
    <row r="46" spans="1:7" ht="12" outlineLevel="1" thickBot="1" x14ac:dyDescent="0.2">
      <c r="A46" s="23" t="s">
        <v>129</v>
      </c>
      <c r="B46" s="23" t="s">
        <v>130</v>
      </c>
      <c r="C46" s="23" t="s">
        <v>131</v>
      </c>
      <c r="D46" s="23" t="s">
        <v>112</v>
      </c>
      <c r="E46" s="23" t="s">
        <v>133</v>
      </c>
      <c r="F46" s="23" t="s">
        <v>134</v>
      </c>
      <c r="G46" s="28" t="s">
        <v>135</v>
      </c>
    </row>
    <row r="47" spans="1:7" outlineLevel="1" x14ac:dyDescent="0.15">
      <c r="A47" s="26">
        <v>92</v>
      </c>
      <c r="B47" s="26">
        <v>81</v>
      </c>
      <c r="C47" s="18">
        <v>2.2160796909645661</v>
      </c>
      <c r="D47" s="18">
        <v>1.2793744919332028E-5</v>
      </c>
      <c r="E47" s="24">
        <v>-3.0483006656068365</v>
      </c>
      <c r="F47" s="24">
        <v>3.4308999241541724</v>
      </c>
      <c r="G47" s="24">
        <v>0.76941507347370641</v>
      </c>
    </row>
    <row r="48" spans="1:7" outlineLevel="1" x14ac:dyDescent="0.15">
      <c r="A48" s="18" t="s">
        <v>132</v>
      </c>
    </row>
    <row r="50" spans="1:85" x14ac:dyDescent="0.15">
      <c r="A50" s="20" t="s">
        <v>136</v>
      </c>
    </row>
    <row r="51" spans="1:85" ht="12" outlineLevel="1" thickBot="1" x14ac:dyDescent="0.2">
      <c r="A51" s="22" t="s">
        <v>137</v>
      </c>
      <c r="B51" s="31">
        <v>1</v>
      </c>
      <c r="C51" s="31">
        <v>2</v>
      </c>
      <c r="D51" s="31">
        <v>3</v>
      </c>
      <c r="E51" s="31">
        <v>4</v>
      </c>
      <c r="F51" s="31">
        <v>5</v>
      </c>
      <c r="G51" s="31">
        <v>6</v>
      </c>
      <c r="H51" s="31">
        <v>7</v>
      </c>
      <c r="I51" s="31">
        <v>12</v>
      </c>
    </row>
    <row r="52" spans="1:85" outlineLevel="1" x14ac:dyDescent="0.15">
      <c r="A52" s="18" t="s">
        <v>138</v>
      </c>
      <c r="B52" s="30">
        <v>0.59930395289843741</v>
      </c>
      <c r="C52" s="24">
        <v>0.38973338787568096</v>
      </c>
      <c r="D52" s="24">
        <v>0.32248918620395867</v>
      </c>
      <c r="E52" s="24">
        <v>0.35605621967087925</v>
      </c>
      <c r="F52" s="24">
        <v>0.33817289564275682</v>
      </c>
      <c r="G52" s="24">
        <v>0.28686349557106594</v>
      </c>
      <c r="H52" s="24">
        <v>0.31401398282967158</v>
      </c>
      <c r="I52" s="30">
        <v>0.59554748416064374</v>
      </c>
    </row>
    <row r="53" spans="1:85" outlineLevel="1" x14ac:dyDescent="0.15">
      <c r="A53" s="18" t="s">
        <v>140</v>
      </c>
    </row>
    <row r="54" spans="1:85" outlineLevel="1" x14ac:dyDescent="0.15">
      <c r="A54" s="32" t="s">
        <v>139</v>
      </c>
      <c r="B54" s="33">
        <f t="shared" ref="B54:I54" si="0" xml:space="preserve"> 1 / SQRT($F$10 - B51)</f>
        <v>7.6249285166302333E-2</v>
      </c>
      <c r="C54" s="33">
        <f t="shared" si="0"/>
        <v>7.6471911290187253E-2</v>
      </c>
      <c r="D54" s="33">
        <f t="shared" si="0"/>
        <v>7.6696498884737035E-2</v>
      </c>
      <c r="E54" s="33">
        <f t="shared" si="0"/>
        <v>7.6923076923076927E-2</v>
      </c>
      <c r="F54" s="33">
        <f t="shared" si="0"/>
        <v>7.7151674981045956E-2</v>
      </c>
      <c r="G54" s="33">
        <f t="shared" si="0"/>
        <v>7.7382323253413682E-2</v>
      </c>
      <c r="H54" s="33">
        <f t="shared" si="0"/>
        <v>7.7615052570633281E-2</v>
      </c>
      <c r="I54" s="33">
        <f t="shared" si="0"/>
        <v>7.8811040623910061E-2</v>
      </c>
    </row>
    <row r="56" spans="1:85" x14ac:dyDescent="0.15">
      <c r="A56" s="20" t="s">
        <v>141</v>
      </c>
    </row>
    <row r="57" spans="1:85" ht="12" hidden="1" outlineLevel="1" thickBot="1" x14ac:dyDescent="0.2">
      <c r="A57" s="23" t="s">
        <v>142</v>
      </c>
      <c r="B57" s="23" t="s">
        <v>143</v>
      </c>
      <c r="C57" s="23" t="s">
        <v>144</v>
      </c>
      <c r="D57" s="23" t="str">
        <f>IF($I$10&gt;99%,("Low"&amp;TEXT($I$10,"0.0%")&amp;"F"),("Lower"&amp;TEXT($I$10,"0%")&amp;"F"))</f>
        <v>Lower95%F</v>
      </c>
      <c r="E57" s="23" t="str">
        <f>IF($I$10&gt;99%,("Up"&amp;TEXT($I$10,"0.0%")&amp;"F"),("Upper"&amp;TEXT($I$10,"0%")&amp;"F"))</f>
        <v>Upper95%F</v>
      </c>
      <c r="F57" s="23" t="s">
        <v>145</v>
      </c>
      <c r="G57" s="23" t="str">
        <f>IF($I$10&gt;99%,("Low"&amp;TEXT($I$10,"0.0%")&amp;"M"),("Lower"&amp;TEXT($I$10,"0%")&amp;"M"))</f>
        <v>Lower95%M</v>
      </c>
      <c r="H57" s="23" t="str">
        <f>IF($I$10&gt;99%,("Up"&amp;TEXT($I$10,"0.0%")&amp;"M"),("Upper"&amp;TEXT($I$10,"0%")&amp;"M"))</f>
        <v>Upper95%M</v>
      </c>
      <c r="I57" s="28" t="s">
        <v>146</v>
      </c>
    </row>
    <row r="58" spans="1:85" hidden="1" outlineLevel="1" x14ac:dyDescent="0.15">
      <c r="A58" s="26">
        <v>171</v>
      </c>
      <c r="B58" s="18">
        <v>5040.6307103408817</v>
      </c>
      <c r="C58" s="24">
        <f>SQRT($D$10^2 + F58^2)</f>
        <v>700.93306110418303</v>
      </c>
      <c r="D58" s="25">
        <f xml:space="preserve"> B58 - $H$10 * C58</f>
        <v>3657.0351414739084</v>
      </c>
      <c r="E58" s="25">
        <f xml:space="preserve"> B58 + $H$10 * C58</f>
        <v>6424.2262792078545</v>
      </c>
      <c r="F58" s="24">
        <f>$D$10/SQRT($F$10)*SQRT(1+(I58- 154.031599229287)^2/25137.5433688618)</f>
        <v>57.862950580461472</v>
      </c>
      <c r="G58" s="25">
        <f xml:space="preserve"> B58 - $H$10 * F58</f>
        <v>4926.4130675055185</v>
      </c>
      <c r="H58" s="25">
        <f xml:space="preserve"> B58 + $H$10 * F58</f>
        <v>5154.8483531762449</v>
      </c>
      <c r="I58" s="34">
        <v>222.6</v>
      </c>
      <c r="J58" s="34"/>
      <c r="CG58" s="18">
        <f xml:space="preserve"> $C$58 * $H$10</f>
        <v>1383.5955688669733</v>
      </c>
    </row>
    <row r="59" spans="1:85" hidden="1" outlineLevel="1" x14ac:dyDescent="0.15">
      <c r="I59" s="34"/>
      <c r="J59" s="34"/>
    </row>
    <row r="60" spans="1:85" hidden="1" outlineLevel="1" x14ac:dyDescent="0.15"/>
    <row r="61" spans="1:85" hidden="1" outlineLevel="1" x14ac:dyDescent="0.15"/>
    <row r="62" spans="1:85" hidden="1" outlineLevel="1" x14ac:dyDescent="0.15"/>
    <row r="63" spans="1:85" hidden="1" outlineLevel="1" x14ac:dyDescent="0.15"/>
    <row r="64" spans="1:85" hidden="1" outlineLevel="1" x14ac:dyDescent="0.15"/>
    <row r="65" hidden="1" outlineLevel="1" x14ac:dyDescent="0.15"/>
    <row r="66" hidden="1" outlineLevel="1" x14ac:dyDescent="0.15"/>
    <row r="67" hidden="1" outlineLevel="1" x14ac:dyDescent="0.15"/>
    <row r="68" hidden="1" outlineLevel="1" x14ac:dyDescent="0.15"/>
    <row r="69" hidden="1" outlineLevel="1" x14ac:dyDescent="0.15"/>
    <row r="70" hidden="1" outlineLevel="1" x14ac:dyDescent="0.15"/>
    <row r="71" hidden="1" outlineLevel="1" x14ac:dyDescent="0.15"/>
    <row r="72" hidden="1" outlineLevel="1" x14ac:dyDescent="0.15"/>
    <row r="73" hidden="1" outlineLevel="1" x14ac:dyDescent="0.15"/>
    <row r="74" hidden="1" outlineLevel="1" x14ac:dyDescent="0.15"/>
    <row r="75" hidden="1" outlineLevel="1" x14ac:dyDescent="0.15"/>
    <row r="76" hidden="1" outlineLevel="1" x14ac:dyDescent="0.15"/>
    <row r="77" hidden="1" outlineLevel="1" x14ac:dyDescent="0.15"/>
    <row r="78" hidden="1" outlineLevel="1" x14ac:dyDescent="0.15"/>
    <row r="79" hidden="1" outlineLevel="1" x14ac:dyDescent="0.15"/>
    <row r="80" hidden="1" outlineLevel="1" x14ac:dyDescent="0.15"/>
    <row r="81" spans="1:3" hidden="1" outlineLevel="1" x14ac:dyDescent="0.15"/>
    <row r="82" spans="1:3" hidden="1" outlineLevel="1" x14ac:dyDescent="0.15"/>
    <row r="83" spans="1:3" collapsed="1" x14ac:dyDescent="0.15"/>
    <row r="84" spans="1:3" x14ac:dyDescent="0.15">
      <c r="A84" s="20" t="s">
        <v>147</v>
      </c>
    </row>
    <row r="85" spans="1:3" outlineLevel="1" x14ac:dyDescent="0.15"/>
    <row r="86" spans="1:3" outlineLevel="1" x14ac:dyDescent="0.15"/>
    <row r="87" spans="1:3" outlineLevel="1" x14ac:dyDescent="0.15">
      <c r="C87" s="32" t="b">
        <v>1</v>
      </c>
    </row>
    <row r="88" spans="1:3" outlineLevel="1" x14ac:dyDescent="0.15"/>
    <row r="89" spans="1:3" outlineLevel="1" x14ac:dyDescent="0.15"/>
    <row r="90" spans="1:3" outlineLevel="1" x14ac:dyDescent="0.15"/>
    <row r="91" spans="1:3" outlineLevel="1" x14ac:dyDescent="0.15"/>
    <row r="92" spans="1:3" outlineLevel="1" x14ac:dyDescent="0.15"/>
    <row r="93" spans="1:3" outlineLevel="1" x14ac:dyDescent="0.15"/>
    <row r="94" spans="1:3" outlineLevel="1" x14ac:dyDescent="0.15"/>
    <row r="95" spans="1:3" outlineLevel="1" x14ac:dyDescent="0.15"/>
    <row r="96" spans="1:3" outlineLevel="1" x14ac:dyDescent="0.15"/>
    <row r="97" spans="1:1" outlineLevel="1" x14ac:dyDescent="0.15"/>
    <row r="98" spans="1:1" outlineLevel="1" x14ac:dyDescent="0.15"/>
    <row r="99" spans="1:1" outlineLevel="1" x14ac:dyDescent="0.15"/>
    <row r="100" spans="1:1" outlineLevel="1" x14ac:dyDescent="0.15"/>
    <row r="101" spans="1:1" outlineLevel="1" x14ac:dyDescent="0.15"/>
    <row r="102" spans="1:1" outlineLevel="1" x14ac:dyDescent="0.15"/>
    <row r="103" spans="1:1" outlineLevel="1" x14ac:dyDescent="0.15"/>
    <row r="104" spans="1:1" outlineLevel="1" x14ac:dyDescent="0.15"/>
    <row r="106" spans="1:1" x14ac:dyDescent="0.15">
      <c r="A106" s="20" t="s">
        <v>148</v>
      </c>
    </row>
    <row r="107" spans="1:1" outlineLevel="1" x14ac:dyDescent="0.15"/>
    <row r="108" spans="1:1" outlineLevel="1" x14ac:dyDescent="0.15"/>
    <row r="109" spans="1:1" outlineLevel="1" x14ac:dyDescent="0.15"/>
    <row r="110" spans="1:1" outlineLevel="1" x14ac:dyDescent="0.15"/>
    <row r="111" spans="1:1" outlineLevel="1" x14ac:dyDescent="0.15"/>
    <row r="112" spans="1:1" outlineLevel="1" x14ac:dyDescent="0.15"/>
    <row r="113" spans="1:1" outlineLevel="1" x14ac:dyDescent="0.15"/>
    <row r="114" spans="1:1" outlineLevel="1" x14ac:dyDescent="0.15"/>
    <row r="115" spans="1:1" outlineLevel="1" x14ac:dyDescent="0.15"/>
    <row r="116" spans="1:1" outlineLevel="1" x14ac:dyDescent="0.15"/>
    <row r="117" spans="1:1" outlineLevel="1" x14ac:dyDescent="0.15"/>
    <row r="118" spans="1:1" outlineLevel="1" x14ac:dyDescent="0.15"/>
    <row r="119" spans="1:1" outlineLevel="1" x14ac:dyDescent="0.15"/>
    <row r="120" spans="1:1" outlineLevel="1" x14ac:dyDescent="0.15"/>
    <row r="121" spans="1:1" outlineLevel="1" x14ac:dyDescent="0.15"/>
    <row r="122" spans="1:1" outlineLevel="1" x14ac:dyDescent="0.15"/>
    <row r="123" spans="1:1" outlineLevel="1" x14ac:dyDescent="0.15"/>
    <row r="124" spans="1:1" outlineLevel="1" x14ac:dyDescent="0.15"/>
    <row r="125" spans="1:1" outlineLevel="1" x14ac:dyDescent="0.15"/>
    <row r="126" spans="1:1" outlineLevel="1" x14ac:dyDescent="0.15"/>
    <row r="128" spans="1:1" x14ac:dyDescent="0.15">
      <c r="A128" s="20" t="s">
        <v>149</v>
      </c>
    </row>
    <row r="129" outlineLevel="1" x14ac:dyDescent="0.15"/>
    <row r="130" outlineLevel="1" x14ac:dyDescent="0.15"/>
    <row r="131" outlineLevel="1" x14ac:dyDescent="0.15"/>
    <row r="132" outlineLevel="1" x14ac:dyDescent="0.15"/>
    <row r="133" outlineLevel="1" x14ac:dyDescent="0.15"/>
    <row r="134" outlineLevel="1" x14ac:dyDescent="0.15"/>
    <row r="135" outlineLevel="1" x14ac:dyDescent="0.15"/>
    <row r="136" outlineLevel="1" x14ac:dyDescent="0.15"/>
    <row r="137" outlineLevel="1" x14ac:dyDescent="0.15"/>
    <row r="138" outlineLevel="1" x14ac:dyDescent="0.15"/>
    <row r="139" outlineLevel="1" x14ac:dyDescent="0.15"/>
    <row r="140" outlineLevel="1" x14ac:dyDescent="0.15"/>
    <row r="141" outlineLevel="1" x14ac:dyDescent="0.15"/>
    <row r="142" outlineLevel="1" x14ac:dyDescent="0.15"/>
    <row r="143" outlineLevel="1" x14ac:dyDescent="0.15"/>
    <row r="144" outlineLevel="1" x14ac:dyDescent="0.15"/>
    <row r="145" spans="1:1" outlineLevel="1" x14ac:dyDescent="0.15"/>
    <row r="146" spans="1:1" outlineLevel="1" x14ac:dyDescent="0.15"/>
    <row r="147" spans="1:1" outlineLevel="1" x14ac:dyDescent="0.15"/>
    <row r="148" spans="1:1" outlineLevel="1" x14ac:dyDescent="0.15"/>
    <row r="150" spans="1:1" x14ac:dyDescent="0.15">
      <c r="A150" s="20" t="s">
        <v>150</v>
      </c>
    </row>
    <row r="151" spans="1:1" outlineLevel="1" x14ac:dyDescent="0.15"/>
    <row r="152" spans="1:1" outlineLevel="1" x14ac:dyDescent="0.15"/>
    <row r="153" spans="1:1" outlineLevel="1" x14ac:dyDescent="0.15"/>
    <row r="154" spans="1:1" outlineLevel="1" x14ac:dyDescent="0.15"/>
    <row r="155" spans="1:1" outlineLevel="1" x14ac:dyDescent="0.15"/>
    <row r="156" spans="1:1" outlineLevel="1" x14ac:dyDescent="0.15"/>
    <row r="157" spans="1:1" outlineLevel="1" x14ac:dyDescent="0.15"/>
    <row r="158" spans="1:1" outlineLevel="1" x14ac:dyDescent="0.15"/>
    <row r="159" spans="1:1" outlineLevel="1" x14ac:dyDescent="0.15"/>
    <row r="160" spans="1:1" outlineLevel="1" x14ac:dyDescent="0.15"/>
    <row r="161" spans="1:1" outlineLevel="1" x14ac:dyDescent="0.15"/>
    <row r="162" spans="1:1" outlineLevel="1" x14ac:dyDescent="0.15"/>
    <row r="163" spans="1:1" outlineLevel="1" x14ac:dyDescent="0.15"/>
    <row r="164" spans="1:1" outlineLevel="1" x14ac:dyDescent="0.15"/>
    <row r="165" spans="1:1" outlineLevel="1" x14ac:dyDescent="0.15"/>
    <row r="166" spans="1:1" outlineLevel="1" x14ac:dyDescent="0.15"/>
    <row r="167" spans="1:1" outlineLevel="1" x14ac:dyDescent="0.15"/>
    <row r="168" spans="1:1" outlineLevel="1" x14ac:dyDescent="0.15"/>
    <row r="169" spans="1:1" outlineLevel="1" x14ac:dyDescent="0.15"/>
    <row r="170" spans="1:1" outlineLevel="1" x14ac:dyDescent="0.15"/>
    <row r="172" spans="1:1" x14ac:dyDescent="0.15">
      <c r="A172" s="20" t="s">
        <v>151</v>
      </c>
    </row>
    <row r="173" spans="1:1" outlineLevel="1" x14ac:dyDescent="0.15"/>
    <row r="174" spans="1:1" outlineLevel="1" x14ac:dyDescent="0.15"/>
    <row r="175" spans="1:1" outlineLevel="1" x14ac:dyDescent="0.15"/>
    <row r="176" spans="1:1" outlineLevel="1" x14ac:dyDescent="0.15"/>
    <row r="177" outlineLevel="1" x14ac:dyDescent="0.15"/>
    <row r="178" outlineLevel="1" x14ac:dyDescent="0.15"/>
    <row r="179" outlineLevel="1" x14ac:dyDescent="0.15"/>
    <row r="180" outlineLevel="1" x14ac:dyDescent="0.15"/>
    <row r="181" outlineLevel="1" x14ac:dyDescent="0.15"/>
    <row r="182" outlineLevel="1" x14ac:dyDescent="0.15"/>
    <row r="183" outlineLevel="1" x14ac:dyDescent="0.15"/>
    <row r="184" outlineLevel="1" x14ac:dyDescent="0.15"/>
    <row r="185" outlineLevel="1" x14ac:dyDescent="0.15"/>
    <row r="186" outlineLevel="1" x14ac:dyDescent="0.15"/>
    <row r="187" outlineLevel="1" x14ac:dyDescent="0.15"/>
    <row r="188" outlineLevel="1" x14ac:dyDescent="0.15"/>
    <row r="189" outlineLevel="1" x14ac:dyDescent="0.15"/>
    <row r="190" outlineLevel="1" x14ac:dyDescent="0.15"/>
    <row r="191" outlineLevel="1" x14ac:dyDescent="0.15"/>
    <row r="192" outlineLevel="1" x14ac:dyDescent="0.15"/>
    <row r="194" spans="1:6" x14ac:dyDescent="0.15">
      <c r="A194" s="20" t="s">
        <v>152</v>
      </c>
    </row>
    <row r="195" spans="1:6" ht="12" outlineLevel="1" thickBot="1" x14ac:dyDescent="0.2">
      <c r="A195" s="23" t="s">
        <v>142</v>
      </c>
      <c r="B195" s="23" t="s">
        <v>153</v>
      </c>
      <c r="C195" s="23" t="s">
        <v>127</v>
      </c>
      <c r="D195" s="23" t="s">
        <v>118</v>
      </c>
      <c r="E195" s="23" t="s">
        <v>154</v>
      </c>
    </row>
    <row r="196" spans="1:6" ht="15" outlineLevel="1" x14ac:dyDescent="0.2">
      <c r="A196" s="36">
        <v>157</v>
      </c>
      <c r="B196" s="37">
        <v>11381</v>
      </c>
      <c r="C196" s="37">
        <v>8984.3769482012976</v>
      </c>
      <c r="D196" s="37">
        <f t="shared" ref="D196:D227" si="1">B196 - C196</f>
        <v>2396.6230517987024</v>
      </c>
      <c r="E196" s="19">
        <f t="shared" ref="E196:E227" si="2">D196 /698.540646704974</f>
        <v>3.4308999241541729</v>
      </c>
      <c r="F196"/>
    </row>
    <row r="197" spans="1:6" ht="15" outlineLevel="1" x14ac:dyDescent="0.2">
      <c r="A197" s="36">
        <v>170</v>
      </c>
      <c r="B197" s="37">
        <v>10511</v>
      </c>
      <c r="C197" s="37">
        <v>8280.6754455848131</v>
      </c>
      <c r="D197" s="37">
        <f t="shared" si="1"/>
        <v>2230.3245544151869</v>
      </c>
      <c r="E197" s="19">
        <f t="shared" si="2"/>
        <v>3.1928343252975453</v>
      </c>
      <c r="F197"/>
    </row>
    <row r="198" spans="1:6" ht="15" outlineLevel="1" x14ac:dyDescent="0.2">
      <c r="A198" s="36">
        <v>23</v>
      </c>
      <c r="B198" s="37">
        <v>3620</v>
      </c>
      <c r="C198" s="37">
        <v>5749.3619183042028</v>
      </c>
      <c r="D198" s="37">
        <f t="shared" si="1"/>
        <v>-2129.3619183042028</v>
      </c>
      <c r="E198" s="19">
        <f t="shared" si="2"/>
        <v>-3.048300665606837</v>
      </c>
      <c r="F198"/>
    </row>
    <row r="199" spans="1:6" ht="15" outlineLevel="1" x14ac:dyDescent="0.2">
      <c r="A199" s="36">
        <v>12</v>
      </c>
      <c r="B199" s="37">
        <v>4038</v>
      </c>
      <c r="C199" s="37">
        <v>6156.3108054573349</v>
      </c>
      <c r="D199" s="37">
        <f t="shared" si="1"/>
        <v>-2118.3108054573349</v>
      </c>
      <c r="E199" s="19">
        <f t="shared" si="2"/>
        <v>-3.0324803795590656</v>
      </c>
      <c r="F199"/>
    </row>
    <row r="200" spans="1:6" ht="15" outlineLevel="1" x14ac:dyDescent="0.2">
      <c r="A200" s="26">
        <v>36</v>
      </c>
      <c r="B200" s="25">
        <v>6140</v>
      </c>
      <c r="C200" s="25">
        <v>7831.2026859538792</v>
      </c>
      <c r="D200" s="25">
        <f t="shared" si="1"/>
        <v>-1691.2026859538792</v>
      </c>
      <c r="E200" s="18">
        <f t="shared" si="2"/>
        <v>-2.4210512214733755</v>
      </c>
      <c r="F200"/>
    </row>
    <row r="201" spans="1:6" ht="15" outlineLevel="1" x14ac:dyDescent="0.2">
      <c r="A201" s="26">
        <v>24</v>
      </c>
      <c r="B201" s="25">
        <v>6225</v>
      </c>
      <c r="C201" s="25">
        <v>7811.5411105071562</v>
      </c>
      <c r="D201" s="25">
        <f t="shared" si="1"/>
        <v>-1586.5411105071562</v>
      </c>
      <c r="E201" s="18">
        <f t="shared" si="2"/>
        <v>-2.2712223232690794</v>
      </c>
      <c r="F201"/>
    </row>
    <row r="202" spans="1:6" ht="15" outlineLevel="1" x14ac:dyDescent="0.2">
      <c r="A202" s="26">
        <v>48</v>
      </c>
      <c r="B202" s="25">
        <v>5782</v>
      </c>
      <c r="C202" s="25">
        <v>7333.7191025576903</v>
      </c>
      <c r="D202" s="25">
        <f t="shared" si="1"/>
        <v>-1551.7191025576903</v>
      </c>
      <c r="E202" s="18">
        <f t="shared" si="2"/>
        <v>-2.2213726715505691</v>
      </c>
      <c r="F202"/>
    </row>
    <row r="203" spans="1:6" ht="15" outlineLevel="1" x14ac:dyDescent="0.2">
      <c r="A203" s="26">
        <v>10</v>
      </c>
      <c r="B203" s="25">
        <v>2264</v>
      </c>
      <c r="C203" s="25">
        <v>3777.7174223443058</v>
      </c>
      <c r="D203" s="25">
        <f t="shared" si="1"/>
        <v>-1513.7174223443058</v>
      </c>
      <c r="E203" s="18">
        <f t="shared" si="2"/>
        <v>-2.1669711411705701</v>
      </c>
      <c r="F203"/>
    </row>
    <row r="204" spans="1:6" ht="15" outlineLevel="1" x14ac:dyDescent="0.2">
      <c r="A204" s="26">
        <v>169</v>
      </c>
      <c r="B204" s="25">
        <v>9500</v>
      </c>
      <c r="C204" s="25">
        <v>7990.7815192307826</v>
      </c>
      <c r="D204" s="25">
        <f t="shared" si="1"/>
        <v>1509.2184807692174</v>
      </c>
      <c r="E204" s="18">
        <f t="shared" si="2"/>
        <v>2.1605306547131109</v>
      </c>
      <c r="F204"/>
    </row>
    <row r="205" spans="1:6" ht="15" outlineLevel="1" x14ac:dyDescent="0.2">
      <c r="A205" s="26">
        <v>59</v>
      </c>
      <c r="B205" s="25">
        <v>3466</v>
      </c>
      <c r="C205" s="25">
        <v>4967.9286057820636</v>
      </c>
      <c r="D205" s="25">
        <f t="shared" si="1"/>
        <v>-1501.9286057820636</v>
      </c>
      <c r="E205" s="18">
        <f t="shared" si="2"/>
        <v>-2.1500947909998964</v>
      </c>
      <c r="F205"/>
    </row>
    <row r="206" spans="1:6" ht="15" outlineLevel="1" x14ac:dyDescent="0.2">
      <c r="A206" s="26">
        <v>47</v>
      </c>
      <c r="B206" s="25">
        <v>3377</v>
      </c>
      <c r="C206" s="25">
        <v>4807.8925265645394</v>
      </c>
      <c r="D206" s="25">
        <f t="shared" si="1"/>
        <v>-1430.8925265645394</v>
      </c>
      <c r="E206" s="18">
        <f t="shared" si="2"/>
        <v>-2.0484026710744456</v>
      </c>
      <c r="F206"/>
    </row>
    <row r="207" spans="1:6" ht="15" outlineLevel="1" x14ac:dyDescent="0.2">
      <c r="A207" s="26">
        <v>83</v>
      </c>
      <c r="B207" s="25">
        <v>3902</v>
      </c>
      <c r="C207" s="25">
        <v>5332.8108663980183</v>
      </c>
      <c r="D207" s="25">
        <f t="shared" si="1"/>
        <v>-1430.8108663980183</v>
      </c>
      <c r="E207" s="18">
        <f t="shared" si="2"/>
        <v>-2.0482857699794179</v>
      </c>
      <c r="F207"/>
    </row>
    <row r="208" spans="1:6" ht="15" outlineLevel="1" x14ac:dyDescent="0.2">
      <c r="A208" s="26">
        <v>120</v>
      </c>
      <c r="B208" s="25">
        <v>10645</v>
      </c>
      <c r="C208" s="25">
        <v>9234.4904777212541</v>
      </c>
      <c r="D208" s="25">
        <f t="shared" si="1"/>
        <v>1410.5095222787459</v>
      </c>
      <c r="E208" s="18">
        <f t="shared" si="2"/>
        <v>2.0192232605677836</v>
      </c>
      <c r="F208"/>
    </row>
    <row r="209" spans="1:6" ht="15" outlineLevel="1" x14ac:dyDescent="0.2">
      <c r="A209" s="26">
        <v>3</v>
      </c>
      <c r="B209" s="25">
        <v>4696</v>
      </c>
      <c r="C209" s="25">
        <v>6032.3971555489088</v>
      </c>
      <c r="D209" s="25">
        <f t="shared" si="1"/>
        <v>-1336.3971555489088</v>
      </c>
      <c r="E209" s="18">
        <f t="shared" si="2"/>
        <v>-1.913127263034317</v>
      </c>
      <c r="F209"/>
    </row>
    <row r="210" spans="1:6" ht="15" outlineLevel="1" x14ac:dyDescent="0.2">
      <c r="A210" s="26">
        <v>60</v>
      </c>
      <c r="B210" s="25">
        <v>6590</v>
      </c>
      <c r="C210" s="25">
        <v>7876.0127881347871</v>
      </c>
      <c r="D210" s="25">
        <f t="shared" si="1"/>
        <v>-1286.0127881347871</v>
      </c>
      <c r="E210" s="18">
        <f t="shared" si="2"/>
        <v>-1.8409992234538211</v>
      </c>
      <c r="F210"/>
    </row>
    <row r="211" spans="1:6" ht="15" outlineLevel="1" x14ac:dyDescent="0.2">
      <c r="A211" s="26">
        <v>11</v>
      </c>
      <c r="B211" s="25">
        <v>2946</v>
      </c>
      <c r="C211" s="25">
        <v>4179.6366041506017</v>
      </c>
      <c r="D211" s="25">
        <f t="shared" si="1"/>
        <v>-1233.6366041506017</v>
      </c>
      <c r="E211" s="18">
        <f t="shared" si="2"/>
        <v>-1.7660197870656242</v>
      </c>
      <c r="F211"/>
    </row>
    <row r="212" spans="1:6" ht="15" outlineLevel="1" x14ac:dyDescent="0.2">
      <c r="A212" s="26">
        <v>133</v>
      </c>
      <c r="B212" s="25">
        <v>8072</v>
      </c>
      <c r="C212" s="25">
        <v>6844.9231920333104</v>
      </c>
      <c r="D212" s="25">
        <f t="shared" si="1"/>
        <v>1227.0768079666896</v>
      </c>
      <c r="E212" s="18">
        <f t="shared" si="2"/>
        <v>1.7566290719871891</v>
      </c>
      <c r="F212"/>
    </row>
    <row r="213" spans="1:6" ht="15" outlineLevel="1" x14ac:dyDescent="0.2">
      <c r="A213" s="26">
        <v>109</v>
      </c>
      <c r="B213" s="25">
        <v>9701</v>
      </c>
      <c r="C213" s="25">
        <v>8558.2237315420607</v>
      </c>
      <c r="D213" s="25">
        <f t="shared" si="1"/>
        <v>1142.7762684579393</v>
      </c>
      <c r="E213" s="18">
        <f t="shared" si="2"/>
        <v>1.6359481353711209</v>
      </c>
      <c r="F213"/>
    </row>
    <row r="214" spans="1:6" ht="15" outlineLevel="1" x14ac:dyDescent="0.2">
      <c r="A214" s="26">
        <v>161</v>
      </c>
      <c r="B214" s="25">
        <v>3314</v>
      </c>
      <c r="C214" s="25">
        <v>2230.3971592811586</v>
      </c>
      <c r="D214" s="25">
        <f t="shared" si="1"/>
        <v>1083.6028407188414</v>
      </c>
      <c r="E214" s="18">
        <f t="shared" si="2"/>
        <v>1.5512380644279056</v>
      </c>
      <c r="F214"/>
    </row>
    <row r="215" spans="1:6" ht="15" outlineLevel="1" x14ac:dyDescent="0.2">
      <c r="A215" s="26">
        <v>71</v>
      </c>
      <c r="B215" s="25">
        <v>3884</v>
      </c>
      <c r="C215" s="25">
        <v>4955.5829653852834</v>
      </c>
      <c r="D215" s="25">
        <f t="shared" si="1"/>
        <v>-1071.5829653852834</v>
      </c>
      <c r="E215" s="18">
        <f t="shared" si="2"/>
        <v>-1.5340309407046751</v>
      </c>
      <c r="F215"/>
    </row>
    <row r="216" spans="1:6" ht="15" outlineLevel="1" x14ac:dyDescent="0.2">
      <c r="A216" s="26">
        <v>110</v>
      </c>
      <c r="B216" s="25">
        <v>8911</v>
      </c>
      <c r="C216" s="25">
        <v>7846.7490479350108</v>
      </c>
      <c r="D216" s="25">
        <f t="shared" si="1"/>
        <v>1064.2509520649892</v>
      </c>
      <c r="E216" s="18">
        <f t="shared" si="2"/>
        <v>1.523534753611083</v>
      </c>
      <c r="F216"/>
    </row>
    <row r="217" spans="1:6" ht="15" outlineLevel="1" x14ac:dyDescent="0.2">
      <c r="A217" s="26">
        <v>25</v>
      </c>
      <c r="B217" s="25">
        <v>7576</v>
      </c>
      <c r="C217" s="25">
        <v>8638.6990170914432</v>
      </c>
      <c r="D217" s="25">
        <f t="shared" si="1"/>
        <v>-1062.6990170914432</v>
      </c>
      <c r="E217" s="18">
        <f t="shared" si="2"/>
        <v>-1.5213130719081407</v>
      </c>
      <c r="F217"/>
    </row>
    <row r="218" spans="1:6" ht="15" outlineLevel="1" x14ac:dyDescent="0.2">
      <c r="A218" s="26">
        <v>22</v>
      </c>
      <c r="B218" s="25">
        <v>2429</v>
      </c>
      <c r="C218" s="25">
        <v>3473.1916258903884</v>
      </c>
      <c r="D218" s="25">
        <f t="shared" si="1"/>
        <v>-1044.1916258903884</v>
      </c>
      <c r="E218" s="18">
        <f t="shared" si="2"/>
        <v>-1.4948187064215301</v>
      </c>
      <c r="F218"/>
    </row>
    <row r="219" spans="1:6" ht="15" outlineLevel="1" x14ac:dyDescent="0.2">
      <c r="A219" s="26">
        <v>13</v>
      </c>
      <c r="B219" s="25">
        <v>6314</v>
      </c>
      <c r="C219" s="25">
        <v>7315.8865108734517</v>
      </c>
      <c r="D219" s="25">
        <f t="shared" si="1"/>
        <v>-1001.8865108734517</v>
      </c>
      <c r="E219" s="18">
        <f t="shared" si="2"/>
        <v>-1.4342565684607822</v>
      </c>
      <c r="F219"/>
    </row>
    <row r="220" spans="1:6" ht="15" outlineLevel="1" x14ac:dyDescent="0.2">
      <c r="A220" s="26">
        <v>75</v>
      </c>
      <c r="B220" s="25">
        <v>5270</v>
      </c>
      <c r="C220" s="25">
        <v>4309.0372053464853</v>
      </c>
      <c r="D220" s="24">
        <f t="shared" si="1"/>
        <v>960.96279465351472</v>
      </c>
      <c r="E220" s="18">
        <f t="shared" si="2"/>
        <v>1.3756719801294164</v>
      </c>
      <c r="F220"/>
    </row>
    <row r="221" spans="1:6" ht="15" outlineLevel="1" x14ac:dyDescent="0.2">
      <c r="A221" s="26">
        <v>159</v>
      </c>
      <c r="B221" s="25">
        <v>7426</v>
      </c>
      <c r="C221" s="25">
        <v>6471.8105044861686</v>
      </c>
      <c r="D221" s="24">
        <f t="shared" si="1"/>
        <v>954.18949551383139</v>
      </c>
      <c r="E221" s="18">
        <f t="shared" si="2"/>
        <v>1.3659756236301446</v>
      </c>
      <c r="F221"/>
    </row>
    <row r="222" spans="1:6" ht="15" outlineLevel="1" x14ac:dyDescent="0.2">
      <c r="A222" s="26">
        <v>174</v>
      </c>
      <c r="B222" s="25">
        <v>2944</v>
      </c>
      <c r="C222" s="25">
        <v>1997.2017295641951</v>
      </c>
      <c r="D222" s="24">
        <f t="shared" si="1"/>
        <v>946.79827043580485</v>
      </c>
      <c r="E222" s="18">
        <f t="shared" si="2"/>
        <v>1.3553946715940803</v>
      </c>
      <c r="F222"/>
    </row>
    <row r="223" spans="1:6" ht="15" outlineLevel="1" x14ac:dyDescent="0.2">
      <c r="A223" s="26">
        <v>162</v>
      </c>
      <c r="B223" s="25">
        <v>2930</v>
      </c>
      <c r="C223" s="25">
        <v>1987.1423188705221</v>
      </c>
      <c r="D223" s="24">
        <f t="shared" si="1"/>
        <v>942.8576811294779</v>
      </c>
      <c r="E223" s="18">
        <f t="shared" si="2"/>
        <v>1.3497534976338896</v>
      </c>
      <c r="F223"/>
    </row>
    <row r="224" spans="1:6" ht="15" outlineLevel="1" x14ac:dyDescent="0.2">
      <c r="A224" s="26">
        <v>163</v>
      </c>
      <c r="B224" s="25">
        <v>2889</v>
      </c>
      <c r="C224" s="25">
        <v>1987.1423188705221</v>
      </c>
      <c r="D224" s="24">
        <f t="shared" si="1"/>
        <v>901.8576811294779</v>
      </c>
      <c r="E224" s="18">
        <f t="shared" si="2"/>
        <v>1.2910597048053727</v>
      </c>
      <c r="F224"/>
    </row>
    <row r="225" spans="1:6" ht="15" outlineLevel="1" x14ac:dyDescent="0.2">
      <c r="A225" s="26">
        <v>61</v>
      </c>
      <c r="B225" s="25">
        <v>7102</v>
      </c>
      <c r="C225" s="25">
        <v>6203.407137341349</v>
      </c>
      <c r="D225" s="24">
        <f t="shared" si="1"/>
        <v>898.59286265865103</v>
      </c>
      <c r="E225" s="18">
        <f t="shared" si="2"/>
        <v>1.2863859345870938</v>
      </c>
      <c r="F225"/>
    </row>
    <row r="226" spans="1:6" ht="15" outlineLevel="1" x14ac:dyDescent="0.2">
      <c r="A226" s="26">
        <v>14</v>
      </c>
      <c r="B226" s="25">
        <v>5606</v>
      </c>
      <c r="C226" s="25">
        <v>6503.8177203296727</v>
      </c>
      <c r="D226" s="24">
        <f t="shared" si="1"/>
        <v>-897.81772032967274</v>
      </c>
      <c r="E226" s="18">
        <f t="shared" si="2"/>
        <v>-1.2852762749951507</v>
      </c>
      <c r="F226"/>
    </row>
    <row r="227" spans="1:6" ht="15" outlineLevel="1" x14ac:dyDescent="0.2">
      <c r="A227" s="26">
        <v>97</v>
      </c>
      <c r="B227" s="25">
        <v>8960</v>
      </c>
      <c r="C227" s="25">
        <v>8062.5691319083571</v>
      </c>
      <c r="D227" s="24">
        <f t="shared" si="1"/>
        <v>897.43086809164288</v>
      </c>
      <c r="E227" s="18">
        <f t="shared" si="2"/>
        <v>1.28472247438261</v>
      </c>
      <c r="F227"/>
    </row>
    <row r="228" spans="1:6" ht="15" outlineLevel="1" x14ac:dyDescent="0.2">
      <c r="A228" s="26">
        <v>121</v>
      </c>
      <c r="B228" s="25">
        <v>9522</v>
      </c>
      <c r="C228" s="25">
        <v>8627.7251145165283</v>
      </c>
      <c r="D228" s="24">
        <f t="shared" ref="D228:D259" si="3">B228 - C228</f>
        <v>894.27488548347173</v>
      </c>
      <c r="E228" s="18">
        <f t="shared" ref="E228:E259" si="4">D228 /698.540646704974</f>
        <v>1.2802045087881124</v>
      </c>
      <c r="F228"/>
    </row>
    <row r="229" spans="1:6" ht="15" outlineLevel="1" x14ac:dyDescent="0.2">
      <c r="A229" s="26">
        <v>94</v>
      </c>
      <c r="B229" s="25">
        <v>4602</v>
      </c>
      <c r="C229" s="25">
        <v>3716.4464663010253</v>
      </c>
      <c r="D229" s="24">
        <f t="shared" si="3"/>
        <v>885.55353369897466</v>
      </c>
      <c r="E229" s="18">
        <f t="shared" si="4"/>
        <v>1.2677194059875299</v>
      </c>
      <c r="F229"/>
    </row>
    <row r="230" spans="1:6" ht="15" outlineLevel="1" x14ac:dyDescent="0.2">
      <c r="A230" s="26">
        <v>37</v>
      </c>
      <c r="B230" s="25">
        <v>7463</v>
      </c>
      <c r="C230" s="25">
        <v>8326.8572855875827</v>
      </c>
      <c r="D230" s="24">
        <f t="shared" si="3"/>
        <v>-863.85728558758274</v>
      </c>
      <c r="E230" s="18">
        <f t="shared" si="4"/>
        <v>-1.2366600135044532</v>
      </c>
      <c r="F230"/>
    </row>
    <row r="231" spans="1:6" ht="15" outlineLevel="1" x14ac:dyDescent="0.2">
      <c r="A231" s="26">
        <v>158</v>
      </c>
      <c r="B231" s="25">
        <v>7396</v>
      </c>
      <c r="C231" s="25">
        <v>6539.0256577575292</v>
      </c>
      <c r="D231" s="24">
        <f t="shared" si="3"/>
        <v>856.97434224247081</v>
      </c>
      <c r="E231" s="18">
        <f t="shared" si="4"/>
        <v>1.2268066951935162</v>
      </c>
      <c r="F231"/>
    </row>
    <row r="232" spans="1:6" ht="15" outlineLevel="1" x14ac:dyDescent="0.2">
      <c r="A232" s="26">
        <v>17</v>
      </c>
      <c r="B232" s="25">
        <v>1902</v>
      </c>
      <c r="C232" s="25">
        <v>2725.1372670336186</v>
      </c>
      <c r="D232" s="24">
        <f t="shared" si="3"/>
        <v>-823.13726703361863</v>
      </c>
      <c r="E232" s="18">
        <f t="shared" si="4"/>
        <v>-1.1783670297732403</v>
      </c>
      <c r="F232"/>
    </row>
    <row r="233" spans="1:6" ht="15" outlineLevel="1" x14ac:dyDescent="0.2">
      <c r="A233" s="26">
        <v>153</v>
      </c>
      <c r="B233" s="25">
        <v>2873</v>
      </c>
      <c r="C233" s="25">
        <v>2067.1603584792842</v>
      </c>
      <c r="D233" s="24">
        <f t="shared" si="3"/>
        <v>805.83964152071576</v>
      </c>
      <c r="E233" s="18">
        <f t="shared" si="4"/>
        <v>1.1536045115225184</v>
      </c>
      <c r="F233"/>
    </row>
    <row r="234" spans="1:6" ht="15" outlineLevel="1" x14ac:dyDescent="0.2">
      <c r="A234" s="26">
        <v>165</v>
      </c>
      <c r="B234" s="25">
        <v>2884</v>
      </c>
      <c r="C234" s="25">
        <v>2090.4799014509804</v>
      </c>
      <c r="D234" s="24">
        <f t="shared" si="3"/>
        <v>793.52009854901962</v>
      </c>
      <c r="E234" s="18">
        <f t="shared" si="4"/>
        <v>1.1359683968170857</v>
      </c>
      <c r="F234"/>
    </row>
    <row r="235" spans="1:6" ht="15" outlineLevel="1" x14ac:dyDescent="0.2">
      <c r="A235" s="26">
        <v>9</v>
      </c>
      <c r="B235" s="25">
        <v>1626</v>
      </c>
      <c r="C235" s="25">
        <v>2395.0056979048977</v>
      </c>
      <c r="D235" s="24">
        <f t="shared" si="3"/>
        <v>-769.00569790489772</v>
      </c>
      <c r="E235" s="18">
        <f t="shared" si="4"/>
        <v>-1.1008746613848575</v>
      </c>
      <c r="F235"/>
    </row>
    <row r="236" spans="1:6" ht="15" outlineLevel="1" x14ac:dyDescent="0.2">
      <c r="A236" s="26">
        <v>72</v>
      </c>
      <c r="B236" s="25">
        <v>5449</v>
      </c>
      <c r="C236" s="25">
        <v>6194.719464469541</v>
      </c>
      <c r="D236" s="24">
        <f t="shared" si="3"/>
        <v>-745.71946446954098</v>
      </c>
      <c r="E236" s="18">
        <f t="shared" si="4"/>
        <v>-1.0675391159943377</v>
      </c>
      <c r="F236"/>
    </row>
    <row r="237" spans="1:6" ht="15" outlineLevel="1" x14ac:dyDescent="0.2">
      <c r="A237" s="26">
        <v>154</v>
      </c>
      <c r="B237" s="25">
        <v>3869</v>
      </c>
      <c r="C237" s="25">
        <v>3138.4875973554526</v>
      </c>
      <c r="D237" s="24">
        <f t="shared" si="3"/>
        <v>730.51240264454736</v>
      </c>
      <c r="E237" s="18">
        <f t="shared" si="4"/>
        <v>1.0457693565727126</v>
      </c>
      <c r="F237"/>
    </row>
    <row r="238" spans="1:6" ht="15" outlineLevel="1" x14ac:dyDescent="0.2">
      <c r="A238" s="26">
        <v>164</v>
      </c>
      <c r="B238" s="25">
        <v>2708</v>
      </c>
      <c r="C238" s="25">
        <v>1987.1423188705221</v>
      </c>
      <c r="D238" s="24">
        <f t="shared" si="3"/>
        <v>720.8576811294779</v>
      </c>
      <c r="E238" s="18">
        <f t="shared" si="4"/>
        <v>1.0319480828063099</v>
      </c>
      <c r="F238"/>
    </row>
    <row r="239" spans="1:6" ht="15" outlineLevel="1" x14ac:dyDescent="0.2">
      <c r="A239" s="26">
        <v>95</v>
      </c>
      <c r="B239" s="25">
        <v>5251</v>
      </c>
      <c r="C239" s="25">
        <v>5971.1261995056284</v>
      </c>
      <c r="D239" s="24">
        <f t="shared" si="3"/>
        <v>-720.12619950562839</v>
      </c>
      <c r="E239" s="18">
        <f t="shared" si="4"/>
        <v>-1.030900925955381</v>
      </c>
      <c r="F239"/>
    </row>
    <row r="240" spans="1:6" ht="15" outlineLevel="1" x14ac:dyDescent="0.2">
      <c r="A240" s="26">
        <v>70</v>
      </c>
      <c r="B240" s="25">
        <v>3093</v>
      </c>
      <c r="C240" s="25">
        <v>3808.8101463065677</v>
      </c>
      <c r="D240" s="24">
        <f t="shared" si="3"/>
        <v>-715.81014630656773</v>
      </c>
      <c r="E240" s="18">
        <f t="shared" si="4"/>
        <v>-1.0247222544358072</v>
      </c>
      <c r="F240"/>
    </row>
    <row r="241" spans="1:6" ht="15" outlineLevel="1" x14ac:dyDescent="0.2">
      <c r="A241" s="26">
        <v>168</v>
      </c>
      <c r="B241" s="25">
        <v>7464</v>
      </c>
      <c r="C241" s="25">
        <v>6752.1022660871458</v>
      </c>
      <c r="D241" s="24">
        <f t="shared" si="3"/>
        <v>711.89773391285416</v>
      </c>
      <c r="E241" s="18">
        <f t="shared" si="4"/>
        <v>1.01912141730175</v>
      </c>
      <c r="F241"/>
    </row>
    <row r="242" spans="1:6" ht="15" outlineLevel="1" x14ac:dyDescent="0.2">
      <c r="A242" s="26">
        <v>140</v>
      </c>
      <c r="B242" s="25">
        <v>2673</v>
      </c>
      <c r="C242" s="25">
        <v>1987.1423188705221</v>
      </c>
      <c r="D242" s="24">
        <f t="shared" si="3"/>
        <v>685.8576811294779</v>
      </c>
      <c r="E242" s="18">
        <f t="shared" si="4"/>
        <v>0.98184362551367355</v>
      </c>
      <c r="F242"/>
    </row>
    <row r="243" spans="1:6" ht="15" outlineLevel="1" x14ac:dyDescent="0.2">
      <c r="A243" s="26">
        <v>84</v>
      </c>
      <c r="B243" s="25">
        <v>5335</v>
      </c>
      <c r="C243" s="25">
        <v>6009.5348585178344</v>
      </c>
      <c r="D243" s="24">
        <f t="shared" si="3"/>
        <v>-674.53485851783444</v>
      </c>
      <c r="E243" s="18">
        <f t="shared" si="4"/>
        <v>-0.96563437174289679</v>
      </c>
      <c r="F243"/>
    </row>
    <row r="244" spans="1:6" ht="15" outlineLevel="1" x14ac:dyDescent="0.2">
      <c r="A244" s="26">
        <v>58</v>
      </c>
      <c r="B244" s="25">
        <v>2564</v>
      </c>
      <c r="C244" s="25">
        <v>3224.449834192294</v>
      </c>
      <c r="D244" s="24">
        <f t="shared" si="3"/>
        <v>-660.44983419229402</v>
      </c>
      <c r="E244" s="18">
        <f t="shared" si="4"/>
        <v>-0.94547087174904576</v>
      </c>
      <c r="F244"/>
    </row>
    <row r="245" spans="1:6" ht="15" outlineLevel="1" x14ac:dyDescent="0.2">
      <c r="A245" s="26">
        <v>93</v>
      </c>
      <c r="B245" s="25">
        <v>2707</v>
      </c>
      <c r="C245" s="25">
        <v>2065.3313747167981</v>
      </c>
      <c r="D245" s="24">
        <f t="shared" si="3"/>
        <v>641.66862528320189</v>
      </c>
      <c r="E245" s="18">
        <f t="shared" si="4"/>
        <v>0.91858452090076892</v>
      </c>
      <c r="F245"/>
    </row>
    <row r="246" spans="1:6" ht="15" outlineLevel="1" x14ac:dyDescent="0.2">
      <c r="A246" s="26">
        <v>167</v>
      </c>
      <c r="B246" s="25">
        <v>6843</v>
      </c>
      <c r="C246" s="25">
        <v>6201.5781535788637</v>
      </c>
      <c r="D246" s="24">
        <f t="shared" si="3"/>
        <v>641.42184642113625</v>
      </c>
      <c r="E246" s="18">
        <f t="shared" si="4"/>
        <v>0.9182312431591948</v>
      </c>
      <c r="F246"/>
    </row>
    <row r="247" spans="1:6" ht="15" outlineLevel="1" x14ac:dyDescent="0.2">
      <c r="A247" s="26">
        <v>34</v>
      </c>
      <c r="B247" s="25">
        <v>2758</v>
      </c>
      <c r="C247" s="25">
        <v>3394.0880781628694</v>
      </c>
      <c r="D247" s="24">
        <f t="shared" si="3"/>
        <v>-636.08807816286935</v>
      </c>
      <c r="E247" s="18">
        <f t="shared" si="4"/>
        <v>-0.91059565561904765</v>
      </c>
      <c r="F247"/>
    </row>
    <row r="248" spans="1:6" ht="15" outlineLevel="1" x14ac:dyDescent="0.2">
      <c r="A248" s="26">
        <v>151</v>
      </c>
      <c r="B248" s="25">
        <v>2613</v>
      </c>
      <c r="C248" s="25">
        <v>1987.1423188705221</v>
      </c>
      <c r="D248" s="24">
        <f t="shared" si="3"/>
        <v>625.8576811294779</v>
      </c>
      <c r="E248" s="18">
        <f t="shared" si="4"/>
        <v>0.89595027015486828</v>
      </c>
      <c r="F248"/>
    </row>
    <row r="249" spans="1:6" ht="15" outlineLevel="1" x14ac:dyDescent="0.2">
      <c r="A249" s="26">
        <v>152</v>
      </c>
      <c r="B249" s="25">
        <v>2611</v>
      </c>
      <c r="C249" s="25">
        <v>1996.7444836235736</v>
      </c>
      <c r="D249" s="24">
        <f t="shared" si="3"/>
        <v>614.25551637642639</v>
      </c>
      <c r="E249" s="18">
        <f t="shared" si="4"/>
        <v>0.87934112248711394</v>
      </c>
      <c r="F249"/>
    </row>
    <row r="250" spans="1:6" ht="15" outlineLevel="1" x14ac:dyDescent="0.2">
      <c r="A250" s="26">
        <v>50</v>
      </c>
      <c r="B250" s="25">
        <v>6951</v>
      </c>
      <c r="C250" s="25">
        <v>6342.4099032902841</v>
      </c>
      <c r="D250" s="24">
        <f t="shared" si="3"/>
        <v>608.59009670971591</v>
      </c>
      <c r="E250" s="18">
        <f t="shared" si="4"/>
        <v>0.87123075740895517</v>
      </c>
      <c r="F250"/>
    </row>
    <row r="251" spans="1:6" ht="15" outlineLevel="1" x14ac:dyDescent="0.2">
      <c r="A251" s="26">
        <v>166</v>
      </c>
      <c r="B251" s="25">
        <v>3606</v>
      </c>
      <c r="C251" s="25">
        <v>3004.0572908127324</v>
      </c>
      <c r="D251" s="24">
        <f t="shared" si="3"/>
        <v>601.94270918726761</v>
      </c>
      <c r="E251" s="18">
        <f t="shared" si="4"/>
        <v>0.86171465043106621</v>
      </c>
      <c r="F251"/>
    </row>
    <row r="252" spans="1:6" ht="15" outlineLevel="1" x14ac:dyDescent="0.2">
      <c r="A252" s="26">
        <v>46</v>
      </c>
      <c r="B252" s="25">
        <v>2305</v>
      </c>
      <c r="C252" s="25">
        <v>2889.7458056573578</v>
      </c>
      <c r="D252" s="24">
        <f t="shared" si="3"/>
        <v>-584.74580565735778</v>
      </c>
      <c r="E252" s="18">
        <f t="shared" si="4"/>
        <v>-0.83709632133163892</v>
      </c>
      <c r="F252"/>
    </row>
    <row r="253" spans="1:6" ht="15" outlineLevel="1" x14ac:dyDescent="0.2">
      <c r="A253" s="26">
        <v>142</v>
      </c>
      <c r="B253" s="25">
        <v>4003</v>
      </c>
      <c r="C253" s="25">
        <v>3423.8090643032665</v>
      </c>
      <c r="D253" s="24">
        <f t="shared" si="3"/>
        <v>579.1909356967335</v>
      </c>
      <c r="E253" s="18">
        <f t="shared" si="4"/>
        <v>0.82914421433997465</v>
      </c>
      <c r="F253"/>
    </row>
    <row r="254" spans="1:6" ht="15" outlineLevel="1" x14ac:dyDescent="0.2">
      <c r="A254" s="26">
        <v>64</v>
      </c>
      <c r="B254" s="25">
        <v>3540</v>
      </c>
      <c r="C254" s="25">
        <v>2978.9087640785501</v>
      </c>
      <c r="D254" s="24">
        <f t="shared" si="3"/>
        <v>561.09123592144988</v>
      </c>
      <c r="E254" s="18">
        <f t="shared" si="4"/>
        <v>0.80323348192853927</v>
      </c>
      <c r="F254"/>
    </row>
    <row r="255" spans="1:6" ht="15" outlineLevel="1" x14ac:dyDescent="0.2">
      <c r="A255" s="26">
        <v>20</v>
      </c>
      <c r="B255" s="25">
        <v>1437</v>
      </c>
      <c r="C255" s="25">
        <v>1988.5140566923867</v>
      </c>
      <c r="D255" s="24">
        <f t="shared" si="3"/>
        <v>-551.5140566923867</v>
      </c>
      <c r="E255" s="18">
        <f t="shared" si="4"/>
        <v>-0.78952321428092431</v>
      </c>
      <c r="F255"/>
    </row>
    <row r="256" spans="1:6" ht="15" outlineLevel="1" x14ac:dyDescent="0.2">
      <c r="A256" s="26">
        <v>147</v>
      </c>
      <c r="B256" s="25">
        <v>7253</v>
      </c>
      <c r="C256" s="25">
        <v>6705.0059342031318</v>
      </c>
      <c r="D256" s="24">
        <f t="shared" si="3"/>
        <v>547.9940657968682</v>
      </c>
      <c r="E256" s="18">
        <f t="shared" si="4"/>
        <v>0.78448415046678222</v>
      </c>
      <c r="F256"/>
    </row>
    <row r="257" spans="1:6" ht="15" outlineLevel="1" x14ac:dyDescent="0.2">
      <c r="A257" s="26">
        <v>8</v>
      </c>
      <c r="B257" s="25">
        <v>1445</v>
      </c>
      <c r="C257" s="25">
        <v>1987.1423188705221</v>
      </c>
      <c r="D257" s="24">
        <f t="shared" si="3"/>
        <v>-542.1423188705221</v>
      </c>
      <c r="E257" s="18">
        <f t="shared" si="4"/>
        <v>-0.77610704749654147</v>
      </c>
      <c r="F257"/>
    </row>
    <row r="258" spans="1:6" ht="15" outlineLevel="1" x14ac:dyDescent="0.2">
      <c r="A258" s="26">
        <v>134</v>
      </c>
      <c r="B258" s="25">
        <v>6583</v>
      </c>
      <c r="C258" s="25">
        <v>6087.2666684234882</v>
      </c>
      <c r="D258" s="24">
        <f t="shared" si="3"/>
        <v>495.73333157651177</v>
      </c>
      <c r="E258" s="18">
        <f t="shared" si="4"/>
        <v>0.70966998687176297</v>
      </c>
      <c r="F258"/>
    </row>
    <row r="259" spans="1:6" ht="15" outlineLevel="1" x14ac:dyDescent="0.2">
      <c r="A259" s="26">
        <v>2</v>
      </c>
      <c r="B259" s="25">
        <v>5397</v>
      </c>
      <c r="C259" s="25">
        <v>5884.2494707875449</v>
      </c>
      <c r="D259" s="24">
        <f t="shared" si="3"/>
        <v>-487.24947078754485</v>
      </c>
      <c r="E259" s="18">
        <f t="shared" si="4"/>
        <v>-0.69752486571240679</v>
      </c>
      <c r="F259"/>
    </row>
    <row r="260" spans="1:6" ht="15" outlineLevel="1" x14ac:dyDescent="0.2">
      <c r="A260" s="26">
        <v>128</v>
      </c>
      <c r="B260" s="25">
        <v>2465</v>
      </c>
      <c r="C260" s="25">
        <v>1987.1423188705221</v>
      </c>
      <c r="D260" s="24">
        <f t="shared" ref="D260:D291" si="5">B260 - C260</f>
        <v>477.8576811294779</v>
      </c>
      <c r="E260" s="18">
        <f t="shared" ref="E260:E291" si="6">D260 /698.540646704974</f>
        <v>0.68407999360314853</v>
      </c>
      <c r="F260"/>
    </row>
    <row r="261" spans="1:6" ht="15" outlineLevel="1" x14ac:dyDescent="0.2">
      <c r="A261" s="26">
        <v>19</v>
      </c>
      <c r="B261" s="25">
        <v>1511</v>
      </c>
      <c r="C261" s="25">
        <v>1987.1423188705221</v>
      </c>
      <c r="D261" s="24">
        <f t="shared" si="5"/>
        <v>-476.1423188705221</v>
      </c>
      <c r="E261" s="18">
        <f t="shared" si="6"/>
        <v>-0.68162435660185561</v>
      </c>
      <c r="F261"/>
    </row>
    <row r="262" spans="1:6" ht="15" outlineLevel="1" x14ac:dyDescent="0.2">
      <c r="A262" s="26">
        <v>15</v>
      </c>
      <c r="B262" s="25">
        <v>4787</v>
      </c>
      <c r="C262" s="25">
        <v>5259.1942699579577</v>
      </c>
      <c r="D262" s="24">
        <f t="shared" si="5"/>
        <v>-472.19426995795766</v>
      </c>
      <c r="E262" s="18">
        <f t="shared" si="6"/>
        <v>-0.67597250379817497</v>
      </c>
      <c r="F262"/>
    </row>
    <row r="263" spans="1:6" ht="15" outlineLevel="1" x14ac:dyDescent="0.2">
      <c r="A263" s="26">
        <v>32</v>
      </c>
      <c r="B263" s="25">
        <v>1521</v>
      </c>
      <c r="C263" s="25">
        <v>1987.1423188705221</v>
      </c>
      <c r="D263" s="24">
        <f t="shared" si="5"/>
        <v>-466.1423188705221</v>
      </c>
      <c r="E263" s="18">
        <f t="shared" si="6"/>
        <v>-0.66730879737538806</v>
      </c>
      <c r="F263"/>
    </row>
    <row r="264" spans="1:6" ht="15" outlineLevel="1" x14ac:dyDescent="0.2">
      <c r="A264" s="26">
        <v>35</v>
      </c>
      <c r="B264" s="25">
        <v>3854</v>
      </c>
      <c r="C264" s="25">
        <v>4314.0669106933219</v>
      </c>
      <c r="D264" s="24">
        <f t="shared" si="5"/>
        <v>-460.06691069332192</v>
      </c>
      <c r="E264" s="18">
        <f t="shared" si="6"/>
        <v>-0.65861151081682068</v>
      </c>
      <c r="F264"/>
    </row>
    <row r="265" spans="1:6" ht="15" outlineLevel="1" x14ac:dyDescent="0.2">
      <c r="A265" s="26">
        <v>49</v>
      </c>
      <c r="B265" s="25">
        <v>7551</v>
      </c>
      <c r="C265" s="25">
        <v>7095.0367215532697</v>
      </c>
      <c r="D265" s="24">
        <f t="shared" si="5"/>
        <v>455.96327844673033</v>
      </c>
      <c r="E265" s="18">
        <f t="shared" si="6"/>
        <v>0.65273693176984826</v>
      </c>
      <c r="F265"/>
    </row>
    <row r="266" spans="1:6" ht="15" outlineLevel="1" x14ac:dyDescent="0.2">
      <c r="A266" s="26">
        <v>141</v>
      </c>
      <c r="B266" s="25">
        <v>2529</v>
      </c>
      <c r="C266" s="25">
        <v>2081.3349826385506</v>
      </c>
      <c r="D266" s="24">
        <f t="shared" si="5"/>
        <v>447.66501736144937</v>
      </c>
      <c r="E266" s="18">
        <f t="shared" si="6"/>
        <v>0.64085750696554522</v>
      </c>
      <c r="F266"/>
    </row>
    <row r="267" spans="1:6" ht="15" outlineLevel="1" x14ac:dyDescent="0.2">
      <c r="A267" s="26">
        <v>138</v>
      </c>
      <c r="B267" s="25">
        <v>2433</v>
      </c>
      <c r="C267" s="25">
        <v>1997.2017295641951</v>
      </c>
      <c r="D267" s="24">
        <f t="shared" si="5"/>
        <v>435.79827043580485</v>
      </c>
      <c r="E267" s="18">
        <f t="shared" si="6"/>
        <v>0.62386959512158868</v>
      </c>
      <c r="F267"/>
    </row>
    <row r="268" spans="1:6" ht="15" outlineLevel="1" x14ac:dyDescent="0.2">
      <c r="A268" s="26">
        <v>33</v>
      </c>
      <c r="B268" s="25">
        <v>1698</v>
      </c>
      <c r="C268" s="25">
        <v>2131.6320361069152</v>
      </c>
      <c r="D268" s="24">
        <f t="shared" si="5"/>
        <v>-433.63203610691517</v>
      </c>
      <c r="E268" s="18">
        <f t="shared" si="6"/>
        <v>-0.62076850953822593</v>
      </c>
      <c r="F268"/>
    </row>
    <row r="269" spans="1:6" ht="15" outlineLevel="1" x14ac:dyDescent="0.2">
      <c r="A269" s="26">
        <v>31</v>
      </c>
      <c r="B269" s="25">
        <v>1560</v>
      </c>
      <c r="C269" s="25">
        <v>1987.1423188705221</v>
      </c>
      <c r="D269" s="24">
        <f t="shared" si="5"/>
        <v>-427.1423188705221</v>
      </c>
      <c r="E269" s="18">
        <f t="shared" si="6"/>
        <v>-0.61147811639216465</v>
      </c>
      <c r="F269"/>
    </row>
    <row r="270" spans="1:6" ht="15" outlineLevel="1" x14ac:dyDescent="0.2">
      <c r="A270" s="26">
        <v>117</v>
      </c>
      <c r="B270" s="25">
        <v>2433</v>
      </c>
      <c r="C270" s="25">
        <v>2006.3466483766249</v>
      </c>
      <c r="D270" s="24">
        <f t="shared" si="5"/>
        <v>426.6533516233751</v>
      </c>
      <c r="E270" s="18">
        <f t="shared" si="6"/>
        <v>0.61077813243353107</v>
      </c>
      <c r="F270"/>
    </row>
    <row r="271" spans="1:6" ht="15" outlineLevel="1" x14ac:dyDescent="0.2">
      <c r="A271" s="26">
        <v>6</v>
      </c>
      <c r="B271" s="25">
        <v>1564</v>
      </c>
      <c r="C271" s="25">
        <v>1987.1423188705221</v>
      </c>
      <c r="D271" s="24">
        <f t="shared" si="5"/>
        <v>-423.1423188705221</v>
      </c>
      <c r="E271" s="18">
        <f t="shared" si="6"/>
        <v>-0.6057518927015777</v>
      </c>
      <c r="F271"/>
    </row>
    <row r="272" spans="1:6" ht="15" outlineLevel="1" x14ac:dyDescent="0.2">
      <c r="A272" s="26">
        <v>149</v>
      </c>
      <c r="B272" s="25">
        <v>3075</v>
      </c>
      <c r="C272" s="25">
        <v>2654.2641462372867</v>
      </c>
      <c r="D272" s="24">
        <f t="shared" si="5"/>
        <v>420.7358537627133</v>
      </c>
      <c r="E272" s="18">
        <f t="shared" si="6"/>
        <v>0.60230690332385117</v>
      </c>
      <c r="F272"/>
    </row>
    <row r="273" spans="1:6" ht="15" outlineLevel="1" x14ac:dyDescent="0.2">
      <c r="A273" s="26">
        <v>7</v>
      </c>
      <c r="B273" s="25">
        <v>1569</v>
      </c>
      <c r="C273" s="25">
        <v>1987.1423188705221</v>
      </c>
      <c r="D273" s="24">
        <f t="shared" si="5"/>
        <v>-418.1423188705221</v>
      </c>
      <c r="E273" s="18">
        <f t="shared" si="6"/>
        <v>-0.59859411308834387</v>
      </c>
      <c r="F273"/>
    </row>
    <row r="274" spans="1:6" ht="15" outlineLevel="1" x14ac:dyDescent="0.2">
      <c r="A274" s="26">
        <v>155</v>
      </c>
      <c r="B274" s="25">
        <v>6415</v>
      </c>
      <c r="C274" s="25">
        <v>6002.6761694085126</v>
      </c>
      <c r="D274" s="24">
        <f t="shared" si="5"/>
        <v>412.32383059148742</v>
      </c>
      <c r="E274" s="18">
        <f t="shared" si="6"/>
        <v>0.59026462173164107</v>
      </c>
      <c r="F274"/>
    </row>
    <row r="275" spans="1:6" ht="15" outlineLevel="1" x14ac:dyDescent="0.2">
      <c r="A275" s="26">
        <v>52</v>
      </c>
      <c r="B275" s="25">
        <v>3951</v>
      </c>
      <c r="C275" s="25">
        <v>3543.607500746099</v>
      </c>
      <c r="D275" s="24">
        <f t="shared" si="5"/>
        <v>407.39249925390095</v>
      </c>
      <c r="E275" s="18">
        <f t="shared" si="6"/>
        <v>0.58320514514878563</v>
      </c>
      <c r="F275"/>
    </row>
    <row r="276" spans="1:6" ht="15" outlineLevel="1" x14ac:dyDescent="0.2">
      <c r="A276" s="26">
        <v>172</v>
      </c>
      <c r="B276" s="25">
        <v>3543</v>
      </c>
      <c r="C276" s="25">
        <v>3145.8035324053963</v>
      </c>
      <c r="D276" s="24">
        <f t="shared" si="5"/>
        <v>397.19646759460375</v>
      </c>
      <c r="E276" s="18">
        <f t="shared" si="6"/>
        <v>0.56860895563942482</v>
      </c>
      <c r="F276"/>
    </row>
    <row r="277" spans="1:6" ht="15" outlineLevel="1" x14ac:dyDescent="0.2">
      <c r="A277" s="26">
        <v>150</v>
      </c>
      <c r="B277" s="25">
        <v>2381</v>
      </c>
      <c r="C277" s="25">
        <v>1987.1423188705221</v>
      </c>
      <c r="D277" s="24">
        <f t="shared" si="5"/>
        <v>393.8576811294779</v>
      </c>
      <c r="E277" s="18">
        <f t="shared" si="6"/>
        <v>0.56382929610082111</v>
      </c>
      <c r="F277"/>
    </row>
    <row r="278" spans="1:6" ht="15" outlineLevel="1" x14ac:dyDescent="0.2">
      <c r="A278" s="26">
        <v>88</v>
      </c>
      <c r="B278" s="25">
        <v>3120</v>
      </c>
      <c r="C278" s="25">
        <v>3505.6560876745152</v>
      </c>
      <c r="D278" s="24">
        <f t="shared" si="5"/>
        <v>-385.65608767451522</v>
      </c>
      <c r="E278" s="18">
        <f t="shared" si="6"/>
        <v>-0.55208825641522841</v>
      </c>
      <c r="F278"/>
    </row>
    <row r="279" spans="1:6" ht="15" outlineLevel="1" x14ac:dyDescent="0.2">
      <c r="A279" s="26">
        <v>105</v>
      </c>
      <c r="B279" s="25">
        <v>2450</v>
      </c>
      <c r="C279" s="25">
        <v>2072.6473097667422</v>
      </c>
      <c r="D279" s="24">
        <f t="shared" si="5"/>
        <v>377.35269023325782</v>
      </c>
      <c r="E279" s="18">
        <f t="shared" si="6"/>
        <v>0.54020147863010648</v>
      </c>
      <c r="F279"/>
    </row>
    <row r="280" spans="1:6" ht="15" outlineLevel="1" x14ac:dyDescent="0.2">
      <c r="A280" s="26">
        <v>107</v>
      </c>
      <c r="B280" s="25">
        <v>4375</v>
      </c>
      <c r="C280" s="25">
        <v>4752.1085218087164</v>
      </c>
      <c r="D280" s="24">
        <f t="shared" si="5"/>
        <v>-377.10852180871643</v>
      </c>
      <c r="E280" s="18">
        <f t="shared" si="6"/>
        <v>-0.53985193787583097</v>
      </c>
      <c r="F280"/>
    </row>
    <row r="281" spans="1:6" ht="15" outlineLevel="1" x14ac:dyDescent="0.2">
      <c r="A281" s="26">
        <v>21</v>
      </c>
      <c r="B281" s="25">
        <v>1624</v>
      </c>
      <c r="C281" s="25">
        <v>1990.8002863954941</v>
      </c>
      <c r="D281" s="24">
        <f t="shared" si="5"/>
        <v>-366.80028639549414</v>
      </c>
      <c r="E281" s="18">
        <f t="shared" si="6"/>
        <v>-0.52509512241799561</v>
      </c>
      <c r="F281"/>
    </row>
    <row r="282" spans="1:6" ht="15" outlineLevel="1" x14ac:dyDescent="0.2">
      <c r="A282" s="26">
        <v>173</v>
      </c>
      <c r="B282" s="25">
        <v>2502</v>
      </c>
      <c r="C282" s="25">
        <v>2135.7472495725087</v>
      </c>
      <c r="D282" s="24">
        <f t="shared" si="5"/>
        <v>366.25275042749126</v>
      </c>
      <c r="E282" s="18">
        <f t="shared" si="6"/>
        <v>0.52431129406013888</v>
      </c>
      <c r="F282"/>
    </row>
    <row r="283" spans="1:6" ht="15" outlineLevel="1" x14ac:dyDescent="0.2">
      <c r="A283" s="26">
        <v>122</v>
      </c>
      <c r="B283" s="25">
        <v>6169</v>
      </c>
      <c r="C283" s="25">
        <v>5820.6922850411556</v>
      </c>
      <c r="D283" s="24">
        <f t="shared" si="5"/>
        <v>348.30771495884437</v>
      </c>
      <c r="E283" s="18">
        <f t="shared" si="6"/>
        <v>0.4986219722528914</v>
      </c>
      <c r="F283"/>
    </row>
    <row r="284" spans="1:6" ht="15" outlineLevel="1" x14ac:dyDescent="0.2">
      <c r="A284" s="26">
        <v>131</v>
      </c>
      <c r="B284" s="25">
        <v>4446</v>
      </c>
      <c r="C284" s="25">
        <v>4784.1157376522215</v>
      </c>
      <c r="D284" s="24">
        <f t="shared" si="5"/>
        <v>-338.11573765222147</v>
      </c>
      <c r="E284" s="18">
        <f t="shared" si="6"/>
        <v>-0.48403158677611402</v>
      </c>
      <c r="F284"/>
    </row>
    <row r="285" spans="1:6" ht="15" outlineLevel="1" x14ac:dyDescent="0.2">
      <c r="A285" s="26">
        <v>28</v>
      </c>
      <c r="B285" s="25">
        <v>3255</v>
      </c>
      <c r="C285" s="25">
        <v>3592.0755704519779</v>
      </c>
      <c r="D285" s="24">
        <f t="shared" si="5"/>
        <v>-337.07557045197791</v>
      </c>
      <c r="E285" s="18">
        <f t="shared" si="6"/>
        <v>-0.48254252926006247</v>
      </c>
      <c r="F285"/>
    </row>
    <row r="286" spans="1:6" ht="15" outlineLevel="1" x14ac:dyDescent="0.2">
      <c r="A286" s="26">
        <v>143</v>
      </c>
      <c r="B286" s="25">
        <v>5686</v>
      </c>
      <c r="C286" s="25">
        <v>6022.3377448552365</v>
      </c>
      <c r="D286" s="24">
        <f t="shared" si="5"/>
        <v>-336.33774485523645</v>
      </c>
      <c r="E286" s="18">
        <f t="shared" si="6"/>
        <v>-0.48148629065716686</v>
      </c>
      <c r="F286"/>
    </row>
    <row r="287" spans="1:6" ht="15" outlineLevel="1" x14ac:dyDescent="0.2">
      <c r="A287" s="26">
        <v>30</v>
      </c>
      <c r="B287" s="25">
        <v>1693</v>
      </c>
      <c r="C287" s="25">
        <v>2021.8930103577559</v>
      </c>
      <c r="D287" s="24">
        <f t="shared" si="5"/>
        <v>-328.89301035775588</v>
      </c>
      <c r="E287" s="18">
        <f t="shared" si="6"/>
        <v>-0.47082873689476595</v>
      </c>
      <c r="F287"/>
    </row>
    <row r="288" spans="1:6" ht="15" outlineLevel="1" x14ac:dyDescent="0.2">
      <c r="A288" s="26">
        <v>130</v>
      </c>
      <c r="B288" s="25">
        <v>3931</v>
      </c>
      <c r="C288" s="25">
        <v>3613.5661296611884</v>
      </c>
      <c r="D288" s="24">
        <f t="shared" si="5"/>
        <v>317.43387033881163</v>
      </c>
      <c r="E288" s="18">
        <f t="shared" si="6"/>
        <v>0.45442433713220787</v>
      </c>
      <c r="F288"/>
    </row>
    <row r="289" spans="1:6" ht="15" outlineLevel="1" x14ac:dyDescent="0.2">
      <c r="A289" s="26">
        <v>82</v>
      </c>
      <c r="B289" s="25">
        <v>2352</v>
      </c>
      <c r="C289" s="25">
        <v>2663.8663109903382</v>
      </c>
      <c r="D289" s="24">
        <f t="shared" si="5"/>
        <v>-311.86631099033821</v>
      </c>
      <c r="E289" s="18">
        <f t="shared" si="6"/>
        <v>-0.44645406457221343</v>
      </c>
      <c r="F289"/>
    </row>
    <row r="290" spans="1:6" ht="15" outlineLevel="1" x14ac:dyDescent="0.2">
      <c r="A290" s="26">
        <v>87</v>
      </c>
      <c r="B290" s="25">
        <v>4686</v>
      </c>
      <c r="C290" s="25">
        <v>4987.1329352881658</v>
      </c>
      <c r="D290" s="24">
        <f t="shared" si="5"/>
        <v>-301.13293528816575</v>
      </c>
      <c r="E290" s="18">
        <f t="shared" si="6"/>
        <v>-0.43108863701577566</v>
      </c>
      <c r="F290"/>
    </row>
    <row r="291" spans="1:6" ht="15" outlineLevel="1" x14ac:dyDescent="0.2">
      <c r="A291" s="26">
        <v>63</v>
      </c>
      <c r="B291" s="25">
        <v>5564</v>
      </c>
      <c r="C291" s="25">
        <v>5265.5957131266587</v>
      </c>
      <c r="D291" s="24">
        <f t="shared" si="5"/>
        <v>298.40428687334133</v>
      </c>
      <c r="E291" s="18">
        <f t="shared" si="6"/>
        <v>0.4271824242167131</v>
      </c>
      <c r="F291"/>
    </row>
    <row r="292" spans="1:6" ht="15" outlineLevel="1" x14ac:dyDescent="0.2">
      <c r="A292" s="26">
        <v>39</v>
      </c>
      <c r="B292" s="25">
        <v>5282</v>
      </c>
      <c r="C292" s="25">
        <v>4988.504673110031</v>
      </c>
      <c r="D292" s="24">
        <f t="shared" ref="D292:D323" si="7">B292 - C292</f>
        <v>293.49532688996896</v>
      </c>
      <c r="E292" s="18">
        <f t="shared" ref="E292:E323" si="8">D292 /698.540646704974</f>
        <v>0.42015497347848046</v>
      </c>
      <c r="F292"/>
    </row>
    <row r="293" spans="1:6" ht="15" outlineLevel="1" x14ac:dyDescent="0.2">
      <c r="A293" s="26">
        <v>4</v>
      </c>
      <c r="B293" s="25">
        <v>3203</v>
      </c>
      <c r="C293" s="25">
        <v>3494.2249391589776</v>
      </c>
      <c r="D293" s="24">
        <f t="shared" si="7"/>
        <v>-291.22493915897758</v>
      </c>
      <c r="E293" s="18">
        <f t="shared" si="8"/>
        <v>-0.41690478647547524</v>
      </c>
      <c r="F293"/>
    </row>
    <row r="294" spans="1:6" ht="15" outlineLevel="1" x14ac:dyDescent="0.2">
      <c r="A294" s="26">
        <v>129</v>
      </c>
      <c r="B294" s="25">
        <v>2382</v>
      </c>
      <c r="C294" s="25">
        <v>2120.6581335319993</v>
      </c>
      <c r="D294" s="24">
        <f t="shared" si="7"/>
        <v>261.34186646800072</v>
      </c>
      <c r="E294" s="18">
        <f t="shared" si="8"/>
        <v>0.37412549677782381</v>
      </c>
      <c r="F294"/>
    </row>
    <row r="295" spans="1:6" ht="15" outlineLevel="1" x14ac:dyDescent="0.2">
      <c r="A295" s="26">
        <v>124</v>
      </c>
      <c r="B295" s="25">
        <v>2761</v>
      </c>
      <c r="C295" s="25">
        <v>3019.6036527938631</v>
      </c>
      <c r="D295" s="24">
        <f t="shared" si="7"/>
        <v>-258.60365279386315</v>
      </c>
      <c r="E295" s="18">
        <f t="shared" si="8"/>
        <v>-0.37020559077513981</v>
      </c>
      <c r="F295"/>
    </row>
    <row r="296" spans="1:6" ht="15" outlineLevel="1" x14ac:dyDescent="0.2">
      <c r="A296" s="26">
        <v>125</v>
      </c>
      <c r="B296" s="25">
        <v>2568</v>
      </c>
      <c r="C296" s="25">
        <v>2320.0173636429722</v>
      </c>
      <c r="D296" s="24">
        <f t="shared" si="7"/>
        <v>247.98263635702779</v>
      </c>
      <c r="E296" s="18">
        <f t="shared" si="8"/>
        <v>0.35500101179045962</v>
      </c>
      <c r="F296"/>
    </row>
    <row r="297" spans="1:6" ht="15" outlineLevel="1" x14ac:dyDescent="0.2">
      <c r="A297" s="26">
        <v>66</v>
      </c>
      <c r="B297" s="25">
        <v>2232</v>
      </c>
      <c r="C297" s="25">
        <v>1990.8002863954941</v>
      </c>
      <c r="D297" s="24">
        <f t="shared" si="7"/>
        <v>241.19971360450586</v>
      </c>
      <c r="E297" s="18">
        <f t="shared" si="8"/>
        <v>0.34529087855123142</v>
      </c>
      <c r="F297"/>
    </row>
    <row r="298" spans="1:6" ht="15" outlineLevel="1" x14ac:dyDescent="0.2">
      <c r="A298" s="26">
        <v>108</v>
      </c>
      <c r="B298" s="25">
        <v>8161</v>
      </c>
      <c r="C298" s="25">
        <v>7927.6815794250169</v>
      </c>
      <c r="D298" s="24">
        <f t="shared" si="7"/>
        <v>233.31842057498307</v>
      </c>
      <c r="E298" s="18">
        <f t="shared" si="8"/>
        <v>0.33400836683670349</v>
      </c>
      <c r="F298"/>
    </row>
    <row r="299" spans="1:6" ht="15" outlineLevel="1" x14ac:dyDescent="0.2">
      <c r="A299" s="26">
        <v>98</v>
      </c>
      <c r="B299" s="25">
        <v>6565</v>
      </c>
      <c r="C299" s="25">
        <v>6338.294689824691</v>
      </c>
      <c r="D299" s="24">
        <f t="shared" si="7"/>
        <v>226.70531017530902</v>
      </c>
      <c r="E299" s="18">
        <f t="shared" si="8"/>
        <v>0.32454132947693326</v>
      </c>
      <c r="F299"/>
    </row>
    <row r="300" spans="1:6" ht="15" outlineLevel="1" x14ac:dyDescent="0.2">
      <c r="A300" s="26">
        <v>16</v>
      </c>
      <c r="B300" s="25">
        <v>2861</v>
      </c>
      <c r="C300" s="25">
        <v>3084.5325763621158</v>
      </c>
      <c r="D300" s="24">
        <f t="shared" si="7"/>
        <v>-223.53257636211583</v>
      </c>
      <c r="E300" s="18">
        <f t="shared" si="8"/>
        <v>-0.31999938359567492</v>
      </c>
      <c r="F300"/>
    </row>
    <row r="301" spans="1:6" ht="15" outlineLevel="1" x14ac:dyDescent="0.2">
      <c r="A301" s="26">
        <v>146</v>
      </c>
      <c r="B301" s="25">
        <v>7155</v>
      </c>
      <c r="C301" s="25">
        <v>6938.6586098607168</v>
      </c>
      <c r="D301" s="24">
        <f t="shared" si="7"/>
        <v>216.34139013928325</v>
      </c>
      <c r="E301" s="18">
        <f t="shared" si="8"/>
        <v>0.30970479836752318</v>
      </c>
      <c r="F301"/>
    </row>
    <row r="302" spans="1:6" ht="15" outlineLevel="1" x14ac:dyDescent="0.2">
      <c r="A302" s="26">
        <v>99</v>
      </c>
      <c r="B302" s="25">
        <v>5670</v>
      </c>
      <c r="C302" s="25">
        <v>5458.5535000689306</v>
      </c>
      <c r="D302" s="24">
        <f t="shared" si="7"/>
        <v>211.44649993106941</v>
      </c>
      <c r="E302" s="18">
        <f t="shared" si="8"/>
        <v>0.30269748929924906</v>
      </c>
      <c r="F302"/>
    </row>
    <row r="303" spans="1:6" ht="15" outlineLevel="1" x14ac:dyDescent="0.2">
      <c r="A303" s="26">
        <v>113</v>
      </c>
      <c r="B303" s="25">
        <v>2389</v>
      </c>
      <c r="C303" s="25">
        <v>2190.6167624470886</v>
      </c>
      <c r="D303" s="24">
        <f t="shared" si="7"/>
        <v>198.3832375529114</v>
      </c>
      <c r="E303" s="18">
        <f t="shared" si="8"/>
        <v>0.28399669867270844</v>
      </c>
      <c r="F303"/>
    </row>
    <row r="304" spans="1:6" ht="15" outlineLevel="1" x14ac:dyDescent="0.2">
      <c r="A304" s="26">
        <v>112</v>
      </c>
      <c r="B304" s="25">
        <v>2691</v>
      </c>
      <c r="C304" s="25">
        <v>2887.002330013629</v>
      </c>
      <c r="D304" s="24">
        <f t="shared" si="7"/>
        <v>-196.00233001362903</v>
      </c>
      <c r="E304" s="18">
        <f t="shared" si="8"/>
        <v>-0.28058829638357446</v>
      </c>
      <c r="F304"/>
    </row>
    <row r="305" spans="1:6" ht="15" outlineLevel="1" x14ac:dyDescent="0.2">
      <c r="A305" s="26">
        <v>5</v>
      </c>
      <c r="B305" s="25">
        <v>2024</v>
      </c>
      <c r="C305" s="25">
        <v>2217.1370270031352</v>
      </c>
      <c r="D305" s="24">
        <f t="shared" si="7"/>
        <v>-193.13702700313524</v>
      </c>
      <c r="E305" s="18">
        <f t="shared" si="8"/>
        <v>-0.27648645488872448</v>
      </c>
      <c r="F305"/>
    </row>
    <row r="306" spans="1:6" ht="15" outlineLevel="1" x14ac:dyDescent="0.2">
      <c r="A306" s="26">
        <v>118</v>
      </c>
      <c r="B306" s="25">
        <v>3117</v>
      </c>
      <c r="C306" s="25">
        <v>2938.2138753632366</v>
      </c>
      <c r="D306" s="24">
        <f t="shared" si="7"/>
        <v>178.78612463676336</v>
      </c>
      <c r="E306" s="18">
        <f t="shared" si="8"/>
        <v>0.25594233561081947</v>
      </c>
      <c r="F306"/>
    </row>
    <row r="307" spans="1:6" ht="15" outlineLevel="1" x14ac:dyDescent="0.2">
      <c r="A307" s="26">
        <v>62</v>
      </c>
      <c r="B307" s="25">
        <v>6464</v>
      </c>
      <c r="C307" s="25">
        <v>6642.363240337987</v>
      </c>
      <c r="D307" s="24">
        <f t="shared" si="7"/>
        <v>-178.36324033798701</v>
      </c>
      <c r="E307" s="18">
        <f t="shared" si="8"/>
        <v>-0.25533695308831189</v>
      </c>
      <c r="F307"/>
    </row>
    <row r="308" spans="1:6" ht="15" outlineLevel="1" x14ac:dyDescent="0.2">
      <c r="A308" s="26">
        <v>77</v>
      </c>
      <c r="B308" s="25">
        <v>2602</v>
      </c>
      <c r="C308" s="25">
        <v>2427.9274056296454</v>
      </c>
      <c r="D308" s="24">
        <f t="shared" si="7"/>
        <v>174.07259437035464</v>
      </c>
      <c r="E308" s="18">
        <f t="shared" si="8"/>
        <v>0.24919465344136735</v>
      </c>
      <c r="F308"/>
    </row>
    <row r="309" spans="1:6" ht="15" outlineLevel="1" x14ac:dyDescent="0.2">
      <c r="A309" s="26">
        <v>74</v>
      </c>
      <c r="B309" s="25">
        <v>7443</v>
      </c>
      <c r="C309" s="25">
        <v>7271.0764086925456</v>
      </c>
      <c r="D309" s="24">
        <f t="shared" si="7"/>
        <v>171.92359130745444</v>
      </c>
      <c r="E309" s="18">
        <f t="shared" si="8"/>
        <v>0.24611823537888655</v>
      </c>
      <c r="F309"/>
    </row>
    <row r="310" spans="1:6" ht="15" outlineLevel="1" x14ac:dyDescent="0.2">
      <c r="A310" s="26">
        <v>29</v>
      </c>
      <c r="B310" s="25">
        <v>2268</v>
      </c>
      <c r="C310" s="25">
        <v>2439.358554145183</v>
      </c>
      <c r="D310" s="24">
        <f t="shared" si="7"/>
        <v>-171.35855414518301</v>
      </c>
      <c r="E310" s="18">
        <f t="shared" si="8"/>
        <v>-0.24530935308272137</v>
      </c>
      <c r="F310"/>
    </row>
    <row r="311" spans="1:6" ht="15" outlineLevel="1" x14ac:dyDescent="0.2">
      <c r="A311" s="26">
        <v>101</v>
      </c>
      <c r="B311" s="25">
        <v>2464</v>
      </c>
      <c r="C311" s="25">
        <v>2298.0695584931404</v>
      </c>
      <c r="D311" s="24">
        <f t="shared" si="7"/>
        <v>165.93044150685955</v>
      </c>
      <c r="E311" s="18">
        <f t="shared" si="8"/>
        <v>0.23753870628653573</v>
      </c>
      <c r="F311"/>
    </row>
    <row r="312" spans="1:6" ht="15" outlineLevel="1" x14ac:dyDescent="0.2">
      <c r="A312" s="26">
        <v>96</v>
      </c>
      <c r="B312" s="25">
        <v>6241</v>
      </c>
      <c r="C312" s="25">
        <v>6404.1381052741863</v>
      </c>
      <c r="D312" s="24">
        <f t="shared" si="7"/>
        <v>-163.13810527418627</v>
      </c>
      <c r="E312" s="18">
        <f t="shared" si="8"/>
        <v>-0.23354132081463116</v>
      </c>
      <c r="F312"/>
    </row>
    <row r="313" spans="1:6" ht="15" outlineLevel="1" x14ac:dyDescent="0.2">
      <c r="A313" s="26">
        <v>123</v>
      </c>
      <c r="B313" s="25">
        <v>5460</v>
      </c>
      <c r="C313" s="25">
        <v>5297.145683029541</v>
      </c>
      <c r="D313" s="24">
        <f t="shared" si="7"/>
        <v>162.85431697045897</v>
      </c>
      <c r="E313" s="18">
        <f t="shared" si="8"/>
        <v>0.23313506198765246</v>
      </c>
      <c r="F313"/>
    </row>
    <row r="314" spans="1:6" ht="15" outlineLevel="1" x14ac:dyDescent="0.2">
      <c r="A314" s="26">
        <v>85</v>
      </c>
      <c r="B314" s="25">
        <v>7577</v>
      </c>
      <c r="C314" s="25">
        <v>7736.5527762452302</v>
      </c>
      <c r="D314" s="24">
        <f t="shared" si="7"/>
        <v>-159.55277624523023</v>
      </c>
      <c r="E314" s="18">
        <f t="shared" si="8"/>
        <v>-0.22840872180859181</v>
      </c>
      <c r="F314"/>
    </row>
    <row r="315" spans="1:6" ht="15" outlineLevel="1" x14ac:dyDescent="0.2">
      <c r="A315" s="26">
        <v>67</v>
      </c>
      <c r="B315" s="25">
        <v>2138</v>
      </c>
      <c r="C315" s="25">
        <v>1987.1423188705221</v>
      </c>
      <c r="D315" s="24">
        <f t="shared" si="7"/>
        <v>150.8576811294779</v>
      </c>
      <c r="E315" s="18">
        <f t="shared" si="8"/>
        <v>0.21596120689765969</v>
      </c>
      <c r="F315"/>
    </row>
    <row r="316" spans="1:6" ht="15" outlineLevel="1" x14ac:dyDescent="0.2">
      <c r="A316" s="26">
        <v>126</v>
      </c>
      <c r="B316" s="25">
        <v>2133</v>
      </c>
      <c r="C316" s="25">
        <v>1987.1423188705221</v>
      </c>
      <c r="D316" s="24">
        <f t="shared" si="7"/>
        <v>145.8576811294779</v>
      </c>
      <c r="E316" s="18">
        <f t="shared" si="8"/>
        <v>0.20880342728442591</v>
      </c>
      <c r="F316"/>
    </row>
    <row r="317" spans="1:6" ht="15" outlineLevel="1" x14ac:dyDescent="0.2">
      <c r="A317" s="26">
        <v>100</v>
      </c>
      <c r="B317" s="25">
        <v>3161</v>
      </c>
      <c r="C317" s="25">
        <v>3301.7243981573274</v>
      </c>
      <c r="D317" s="24">
        <f t="shared" si="7"/>
        <v>-140.72439815732741</v>
      </c>
      <c r="E317" s="18">
        <f t="shared" si="8"/>
        <v>-0.20145484564302216</v>
      </c>
      <c r="F317"/>
    </row>
    <row r="318" spans="1:6" ht="15" outlineLevel="1" x14ac:dyDescent="0.2">
      <c r="A318" s="26">
        <v>51</v>
      </c>
      <c r="B318" s="25">
        <v>6156</v>
      </c>
      <c r="C318" s="25">
        <v>6019.5942692115068</v>
      </c>
      <c r="D318" s="24">
        <f t="shared" si="7"/>
        <v>136.4057307884932</v>
      </c>
      <c r="E318" s="18">
        <f t="shared" si="8"/>
        <v>0.19527243179322626</v>
      </c>
      <c r="F318"/>
    </row>
    <row r="319" spans="1:6" ht="15" outlineLevel="1" x14ac:dyDescent="0.2">
      <c r="A319" s="26">
        <v>78</v>
      </c>
      <c r="B319" s="25">
        <v>2131</v>
      </c>
      <c r="C319" s="25">
        <v>1995.8299917423305</v>
      </c>
      <c r="D319" s="24">
        <f t="shared" si="7"/>
        <v>135.17000825766945</v>
      </c>
      <c r="E319" s="18">
        <f t="shared" si="8"/>
        <v>0.19350342588547748</v>
      </c>
      <c r="F319"/>
    </row>
    <row r="320" spans="1:6" ht="15" outlineLevel="1" x14ac:dyDescent="0.2">
      <c r="A320" s="26">
        <v>156</v>
      </c>
      <c r="B320" s="25">
        <v>6700</v>
      </c>
      <c r="C320" s="25">
        <v>6565.5459223135749</v>
      </c>
      <c r="D320" s="24">
        <f t="shared" si="7"/>
        <v>134.45407768642508</v>
      </c>
      <c r="E320" s="18">
        <f t="shared" si="8"/>
        <v>0.19247853123600872</v>
      </c>
      <c r="F320"/>
    </row>
    <row r="321" spans="1:6" ht="15" outlineLevel="1" x14ac:dyDescent="0.2">
      <c r="A321" s="26">
        <v>102</v>
      </c>
      <c r="B321" s="25">
        <v>1853</v>
      </c>
      <c r="C321" s="25">
        <v>1987.1423188705221</v>
      </c>
      <c r="D321" s="24">
        <f t="shared" si="7"/>
        <v>-134.1423188705221</v>
      </c>
      <c r="E321" s="18">
        <f t="shared" si="8"/>
        <v>-0.19203223105666548</v>
      </c>
      <c r="F321"/>
    </row>
    <row r="322" spans="1:6" ht="15" outlineLevel="1" x14ac:dyDescent="0.2">
      <c r="A322" s="26">
        <v>76</v>
      </c>
      <c r="B322" s="25">
        <v>3597</v>
      </c>
      <c r="C322" s="25">
        <v>3718.275450063511</v>
      </c>
      <c r="D322" s="24">
        <f t="shared" si="7"/>
        <v>-121.27545006351102</v>
      </c>
      <c r="E322" s="18">
        <f t="shared" si="8"/>
        <v>-0.17361258881006997</v>
      </c>
      <c r="F322"/>
    </row>
    <row r="323" spans="1:6" ht="15" outlineLevel="1" x14ac:dyDescent="0.2">
      <c r="A323" s="26">
        <v>86</v>
      </c>
      <c r="B323" s="25">
        <v>6186</v>
      </c>
      <c r="C323" s="25">
        <v>6065.3188632736574</v>
      </c>
      <c r="D323" s="24">
        <f t="shared" si="7"/>
        <v>120.68113672634263</v>
      </c>
      <c r="E323" s="18">
        <f t="shared" si="8"/>
        <v>0.1727617960323386</v>
      </c>
      <c r="F323"/>
    </row>
    <row r="324" spans="1:6" ht="15" outlineLevel="1" x14ac:dyDescent="0.2">
      <c r="A324" s="26">
        <v>73</v>
      </c>
      <c r="B324" s="25">
        <v>6772</v>
      </c>
      <c r="C324" s="25">
        <v>6890.1905401548383</v>
      </c>
      <c r="D324" s="24">
        <f t="shared" ref="D324:D355" si="9">B324 - C324</f>
        <v>-118.19054015483835</v>
      </c>
      <c r="E324" s="18">
        <f t="shared" ref="E324:E355" si="10">D324 /698.540646704974</f>
        <v>-0.16919636775947794</v>
      </c>
      <c r="F324"/>
    </row>
    <row r="325" spans="1:6" ht="15" outlineLevel="1" x14ac:dyDescent="0.2">
      <c r="A325" s="26">
        <v>135</v>
      </c>
      <c r="B325" s="25">
        <v>3545</v>
      </c>
      <c r="C325" s="25">
        <v>3432.4967371750754</v>
      </c>
      <c r="D325" s="24">
        <f t="shared" si="9"/>
        <v>112.5032628249246</v>
      </c>
      <c r="E325" s="18">
        <f t="shared" si="10"/>
        <v>0.16105471221410531</v>
      </c>
      <c r="F325"/>
    </row>
    <row r="326" spans="1:6" ht="15" outlineLevel="1" x14ac:dyDescent="0.2">
      <c r="A326" s="26">
        <v>137</v>
      </c>
      <c r="B326" s="25">
        <v>2205</v>
      </c>
      <c r="C326" s="25">
        <v>2094.5951149165739</v>
      </c>
      <c r="D326" s="24">
        <f t="shared" si="9"/>
        <v>110.40488508342605</v>
      </c>
      <c r="E326" s="18">
        <f t="shared" si="10"/>
        <v>0.15805076713031294</v>
      </c>
      <c r="F326"/>
    </row>
    <row r="327" spans="1:6" ht="15" outlineLevel="1" x14ac:dyDescent="0.2">
      <c r="A327" s="26">
        <v>106</v>
      </c>
      <c r="B327" s="25">
        <v>3598</v>
      </c>
      <c r="C327" s="25">
        <v>3488.2807419308979</v>
      </c>
      <c r="D327" s="24">
        <f t="shared" si="9"/>
        <v>109.71925806910212</v>
      </c>
      <c r="E327" s="18">
        <f t="shared" si="10"/>
        <v>0.15706925371723091</v>
      </c>
      <c r="F327"/>
    </row>
    <row r="328" spans="1:6" ht="15" outlineLevel="1" x14ac:dyDescent="0.2">
      <c r="A328" s="26">
        <v>160</v>
      </c>
      <c r="B328" s="25">
        <v>3372</v>
      </c>
      <c r="C328" s="25">
        <v>3263.7729850857427</v>
      </c>
      <c r="D328" s="24">
        <f t="shared" si="9"/>
        <v>108.22701491425732</v>
      </c>
      <c r="E328" s="18">
        <f t="shared" si="10"/>
        <v>0.15493302419088376</v>
      </c>
      <c r="F328"/>
    </row>
    <row r="329" spans="1:6" ht="15" outlineLevel="1" x14ac:dyDescent="0.2">
      <c r="A329" s="26">
        <v>18</v>
      </c>
      <c r="B329" s="25">
        <v>1882</v>
      </c>
      <c r="C329" s="25">
        <v>1987.1423188705221</v>
      </c>
      <c r="D329" s="24">
        <f t="shared" si="9"/>
        <v>-105.1423188705221</v>
      </c>
      <c r="E329" s="18">
        <f t="shared" si="10"/>
        <v>-0.15051710929990958</v>
      </c>
      <c r="F329"/>
    </row>
    <row r="330" spans="1:6" ht="15" outlineLevel="1" x14ac:dyDescent="0.2">
      <c r="A330" s="26">
        <v>116</v>
      </c>
      <c r="B330" s="25">
        <v>2092</v>
      </c>
      <c r="C330" s="25">
        <v>1987.1423188705221</v>
      </c>
      <c r="D330" s="24">
        <f t="shared" si="9"/>
        <v>104.8576811294779</v>
      </c>
      <c r="E330" s="18">
        <f t="shared" si="10"/>
        <v>0.15010963445590894</v>
      </c>
      <c r="F330"/>
    </row>
    <row r="331" spans="1:6" ht="15" outlineLevel="1" x14ac:dyDescent="0.2">
      <c r="A331" s="26">
        <v>69</v>
      </c>
      <c r="B331" s="25">
        <v>2285</v>
      </c>
      <c r="C331" s="25">
        <v>2181.0145976940371</v>
      </c>
      <c r="D331" s="24">
        <f t="shared" si="9"/>
        <v>103.98540230596291</v>
      </c>
      <c r="E331" s="18">
        <f t="shared" si="10"/>
        <v>0.14886091853990674</v>
      </c>
      <c r="F331"/>
    </row>
    <row r="332" spans="1:6" ht="15" outlineLevel="1" x14ac:dyDescent="0.2">
      <c r="A332" s="26">
        <v>56</v>
      </c>
      <c r="B332" s="25">
        <v>1889</v>
      </c>
      <c r="C332" s="25">
        <v>1987.1423188705221</v>
      </c>
      <c r="D332" s="24">
        <f t="shared" si="9"/>
        <v>-98.142318870522104</v>
      </c>
      <c r="E332" s="18">
        <f t="shared" si="10"/>
        <v>-0.1404962178413823</v>
      </c>
      <c r="F332"/>
    </row>
    <row r="333" spans="1:6" ht="15" outlineLevel="1" x14ac:dyDescent="0.2">
      <c r="A333" s="26">
        <v>40</v>
      </c>
      <c r="B333" s="25">
        <v>3483</v>
      </c>
      <c r="C333" s="25">
        <v>3571.0422571833888</v>
      </c>
      <c r="D333" s="24">
        <f t="shared" si="9"/>
        <v>-88.042257183388756</v>
      </c>
      <c r="E333" s="18">
        <f t="shared" si="10"/>
        <v>-0.12603741471406898</v>
      </c>
      <c r="F333"/>
    </row>
    <row r="334" spans="1:6" ht="15" outlineLevel="1" x14ac:dyDescent="0.2">
      <c r="A334" s="26">
        <v>54</v>
      </c>
      <c r="B334" s="25">
        <v>2108</v>
      </c>
      <c r="C334" s="25">
        <v>2028.7516994670784</v>
      </c>
      <c r="D334" s="24">
        <f t="shared" si="9"/>
        <v>79.248300532921576</v>
      </c>
      <c r="E334" s="18">
        <f t="shared" si="10"/>
        <v>0.11344837398759387</v>
      </c>
      <c r="F334"/>
    </row>
    <row r="335" spans="1:6" ht="15" outlineLevel="1" x14ac:dyDescent="0.2">
      <c r="A335" s="26">
        <v>26</v>
      </c>
      <c r="B335" s="25">
        <v>7127</v>
      </c>
      <c r="C335" s="25">
        <v>7048.8548815504982</v>
      </c>
      <c r="D335" s="24">
        <f t="shared" si="9"/>
        <v>78.145118449501751</v>
      </c>
      <c r="E335" s="18">
        <f t="shared" si="10"/>
        <v>0.11186910714231643</v>
      </c>
      <c r="F335"/>
    </row>
    <row r="336" spans="1:6" ht="15" outlineLevel="1" x14ac:dyDescent="0.2">
      <c r="A336" s="26">
        <v>91</v>
      </c>
      <c r="B336" s="25">
        <v>1909</v>
      </c>
      <c r="C336" s="25">
        <v>1987.1423188705221</v>
      </c>
      <c r="D336" s="24">
        <f t="shared" si="9"/>
        <v>-78.142318870522104</v>
      </c>
      <c r="E336" s="18">
        <f t="shared" si="10"/>
        <v>-0.1118650993884472</v>
      </c>
      <c r="F336"/>
    </row>
    <row r="337" spans="1:6" ht="15" outlineLevel="1" x14ac:dyDescent="0.2">
      <c r="A337" s="26">
        <v>104</v>
      </c>
      <c r="B337" s="25">
        <v>2064</v>
      </c>
      <c r="C337" s="25">
        <v>1987.1423188705221</v>
      </c>
      <c r="D337" s="24">
        <f t="shared" si="9"/>
        <v>76.857681129477896</v>
      </c>
      <c r="E337" s="18">
        <f t="shared" si="10"/>
        <v>0.11002606862179981</v>
      </c>
      <c r="F337"/>
    </row>
    <row r="338" spans="1:6" ht="15" outlineLevel="1" x14ac:dyDescent="0.2">
      <c r="A338" s="26">
        <v>53</v>
      </c>
      <c r="B338" s="25">
        <v>2488</v>
      </c>
      <c r="C338" s="25">
        <v>2560.9859743505012</v>
      </c>
      <c r="D338" s="24">
        <f t="shared" si="9"/>
        <v>-72.985974350501237</v>
      </c>
      <c r="E338" s="18">
        <f t="shared" si="10"/>
        <v>-0.1044835038516042</v>
      </c>
      <c r="F338"/>
    </row>
    <row r="339" spans="1:6" ht="15" outlineLevel="1" x14ac:dyDescent="0.2">
      <c r="A339" s="26">
        <v>65</v>
      </c>
      <c r="B339" s="25">
        <v>2561</v>
      </c>
      <c r="C339" s="25">
        <v>2626.3721438593757</v>
      </c>
      <c r="D339" s="24">
        <f t="shared" si="9"/>
        <v>-65.372143859375683</v>
      </c>
      <c r="E339" s="18">
        <f t="shared" si="10"/>
        <v>-9.3583879718004956E-2</v>
      </c>
      <c r="F339"/>
    </row>
    <row r="340" spans="1:6" ht="15" outlineLevel="1" x14ac:dyDescent="0.2">
      <c r="A340" s="26">
        <v>38</v>
      </c>
      <c r="B340" s="25">
        <v>7438</v>
      </c>
      <c r="C340" s="25">
        <v>7502.9001005876453</v>
      </c>
      <c r="D340" s="24">
        <f t="shared" si="9"/>
        <v>-64.900100587645284</v>
      </c>
      <c r="E340" s="18">
        <f t="shared" si="10"/>
        <v>-9.2908123376613749E-2</v>
      </c>
      <c r="F340"/>
    </row>
    <row r="341" spans="1:6" ht="15" outlineLevel="1" x14ac:dyDescent="0.2">
      <c r="A341" s="26">
        <v>115</v>
      </c>
      <c r="B341" s="25">
        <v>1926</v>
      </c>
      <c r="C341" s="25">
        <v>1987.1423188705221</v>
      </c>
      <c r="D341" s="24">
        <f t="shared" si="9"/>
        <v>-61.142318870522104</v>
      </c>
      <c r="E341" s="18">
        <f t="shared" si="10"/>
        <v>-8.7528648703452366E-2</v>
      </c>
      <c r="F341"/>
    </row>
    <row r="342" spans="1:6" ht="15" outlineLevel="1" x14ac:dyDescent="0.2">
      <c r="A342" s="26">
        <v>27</v>
      </c>
      <c r="B342" s="25">
        <v>4812</v>
      </c>
      <c r="C342" s="25">
        <v>4757.5954730961748</v>
      </c>
      <c r="D342" s="24">
        <f t="shared" si="9"/>
        <v>54.404526903825172</v>
      </c>
      <c r="E342" s="18">
        <f t="shared" si="10"/>
        <v>7.7883122707965644E-2</v>
      </c>
      <c r="F342"/>
    </row>
    <row r="343" spans="1:6" ht="15" outlineLevel="1" x14ac:dyDescent="0.2">
      <c r="A343" s="26">
        <v>111</v>
      </c>
      <c r="B343" s="25">
        <v>5153</v>
      </c>
      <c r="C343" s="25">
        <v>5203.4102652021338</v>
      </c>
      <c r="D343" s="24">
        <f t="shared" si="9"/>
        <v>-50.410265202133814</v>
      </c>
      <c r="E343" s="18">
        <f t="shared" si="10"/>
        <v>-7.2165113712308271E-2</v>
      </c>
      <c r="F343"/>
    </row>
    <row r="344" spans="1:6" ht="15" outlineLevel="1" x14ac:dyDescent="0.2">
      <c r="A344" s="26">
        <v>81</v>
      </c>
      <c r="B344" s="25">
        <v>2068</v>
      </c>
      <c r="C344" s="25">
        <v>2017.7777968921623</v>
      </c>
      <c r="D344" s="24">
        <f t="shared" si="9"/>
        <v>50.222203107837686</v>
      </c>
      <c r="E344" s="18">
        <f t="shared" si="10"/>
        <v>7.1895892307393308E-2</v>
      </c>
      <c r="F344"/>
    </row>
    <row r="345" spans="1:6" ht="15" outlineLevel="1" x14ac:dyDescent="0.2">
      <c r="A345" s="26">
        <v>42</v>
      </c>
      <c r="B345" s="25">
        <v>2035</v>
      </c>
      <c r="C345" s="25">
        <v>1987.1423188705221</v>
      </c>
      <c r="D345" s="24">
        <f t="shared" si="9"/>
        <v>47.857681129477896</v>
      </c>
      <c r="E345" s="18">
        <f t="shared" si="10"/>
        <v>6.8510946865043928E-2</v>
      </c>
      <c r="F345"/>
    </row>
    <row r="346" spans="1:6" ht="15" outlineLevel="1" x14ac:dyDescent="0.2">
      <c r="A346" s="26">
        <v>44</v>
      </c>
      <c r="B346" s="25">
        <v>2038</v>
      </c>
      <c r="C346" s="25">
        <v>1990.8002863954941</v>
      </c>
      <c r="D346" s="24">
        <f t="shared" si="9"/>
        <v>47.19971360450586</v>
      </c>
      <c r="E346" s="18">
        <f t="shared" si="10"/>
        <v>6.7569029557760979E-2</v>
      </c>
      <c r="F346"/>
    </row>
    <row r="347" spans="1:6" ht="15" outlineLevel="1" x14ac:dyDescent="0.2">
      <c r="A347" s="26">
        <v>144</v>
      </c>
      <c r="B347" s="25">
        <v>5878</v>
      </c>
      <c r="C347" s="25">
        <v>5917.1711785122916</v>
      </c>
      <c r="D347" s="24">
        <f t="shared" si="9"/>
        <v>-39.17117851229159</v>
      </c>
      <c r="E347" s="18">
        <f t="shared" si="10"/>
        <v>-5.6075732596324326E-2</v>
      </c>
      <c r="F347"/>
    </row>
    <row r="348" spans="1:6" ht="15" outlineLevel="1" x14ac:dyDescent="0.2">
      <c r="A348" s="26">
        <v>43</v>
      </c>
      <c r="B348" s="25">
        <v>1949</v>
      </c>
      <c r="C348" s="25">
        <v>1987.1423188705221</v>
      </c>
      <c r="D348" s="24">
        <f t="shared" si="9"/>
        <v>-38.142318870522104</v>
      </c>
      <c r="E348" s="18">
        <f t="shared" si="10"/>
        <v>-5.4602862482577001E-2</v>
      </c>
      <c r="F348"/>
    </row>
    <row r="349" spans="1:6" ht="15" outlineLevel="1" x14ac:dyDescent="0.2">
      <c r="A349" s="26">
        <v>45</v>
      </c>
      <c r="B349" s="25">
        <v>2017</v>
      </c>
      <c r="C349" s="25">
        <v>2049.3277667950456</v>
      </c>
      <c r="D349" s="24">
        <f t="shared" si="9"/>
        <v>-32.327766795045591</v>
      </c>
      <c r="E349" s="18">
        <f t="shared" si="10"/>
        <v>-4.6279006021390616E-2</v>
      </c>
      <c r="F349"/>
    </row>
    <row r="350" spans="1:6" ht="15" outlineLevel="1" x14ac:dyDescent="0.2">
      <c r="A350" s="26">
        <v>119</v>
      </c>
      <c r="B350" s="25">
        <v>5190</v>
      </c>
      <c r="C350" s="25">
        <v>5222.157348767616</v>
      </c>
      <c r="D350" s="24">
        <f t="shared" si="9"/>
        <v>-32.157348767615986</v>
      </c>
      <c r="E350" s="18">
        <f t="shared" si="10"/>
        <v>-4.6035043084897989E-2</v>
      </c>
      <c r="F350"/>
    </row>
    <row r="351" spans="1:6" ht="15" outlineLevel="1" x14ac:dyDescent="0.2">
      <c r="A351" s="26">
        <v>57</v>
      </c>
      <c r="B351" s="25">
        <v>2026</v>
      </c>
      <c r="C351" s="25">
        <v>1994.9154998610875</v>
      </c>
      <c r="D351" s="24">
        <f t="shared" si="9"/>
        <v>31.084500138912517</v>
      </c>
      <c r="E351" s="18">
        <f t="shared" si="10"/>
        <v>4.4499200276374093E-2</v>
      </c>
      <c r="F351"/>
    </row>
    <row r="352" spans="1:6" ht="15" outlineLevel="1" x14ac:dyDescent="0.2">
      <c r="A352" s="26">
        <v>55</v>
      </c>
      <c r="B352" s="25">
        <v>1958</v>
      </c>
      <c r="C352" s="25">
        <v>1987.1423188705221</v>
      </c>
      <c r="D352" s="24">
        <f t="shared" si="9"/>
        <v>-29.142318870522104</v>
      </c>
      <c r="E352" s="18">
        <f t="shared" si="10"/>
        <v>-4.1718859178756208E-2</v>
      </c>
      <c r="F352"/>
    </row>
    <row r="353" spans="1:6" ht="15" outlineLevel="1" x14ac:dyDescent="0.2">
      <c r="A353" s="26">
        <v>136</v>
      </c>
      <c r="B353" s="25">
        <v>3370</v>
      </c>
      <c r="C353" s="25">
        <v>3394.0880781628694</v>
      </c>
      <c r="D353" s="24">
        <f t="shared" si="9"/>
        <v>-24.088078162869351</v>
      </c>
      <c r="E353" s="18">
        <f t="shared" si="10"/>
        <v>-3.4483430959233584E-2</v>
      </c>
      <c r="F353"/>
    </row>
    <row r="354" spans="1:6" ht="15" outlineLevel="1" x14ac:dyDescent="0.2">
      <c r="A354" s="26">
        <v>92</v>
      </c>
      <c r="B354" s="25">
        <v>2010</v>
      </c>
      <c r="C354" s="25">
        <v>1987.1423188705221</v>
      </c>
      <c r="D354" s="24">
        <f t="shared" si="9"/>
        <v>22.857681129477896</v>
      </c>
      <c r="E354" s="18">
        <f t="shared" si="10"/>
        <v>3.2722048798875046E-2</v>
      </c>
      <c r="F354"/>
    </row>
    <row r="355" spans="1:6" ht="15" outlineLevel="1" x14ac:dyDescent="0.2">
      <c r="A355" s="26">
        <v>80</v>
      </c>
      <c r="B355" s="25">
        <v>1965</v>
      </c>
      <c r="C355" s="25">
        <v>1987.1423188705221</v>
      </c>
      <c r="D355" s="24">
        <f t="shared" si="9"/>
        <v>-22.142318870522104</v>
      </c>
      <c r="E355" s="18">
        <f t="shared" si="10"/>
        <v>-3.1697967720228926E-2</v>
      </c>
      <c r="F355"/>
    </row>
    <row r="356" spans="1:6" ht="15" outlineLevel="1" x14ac:dyDescent="0.2">
      <c r="A356" s="26">
        <v>68</v>
      </c>
      <c r="B356" s="25">
        <v>2008</v>
      </c>
      <c r="C356" s="25">
        <v>1987.1423188705221</v>
      </c>
      <c r="D356" s="24">
        <f t="shared" ref="D356:D368" si="11">B356 - C356</f>
        <v>20.857681129477896</v>
      </c>
      <c r="E356" s="18">
        <f t="shared" ref="E356:E368" si="12">D356 /698.540646704974</f>
        <v>2.9858936953581539E-2</v>
      </c>
      <c r="F356"/>
    </row>
    <row r="357" spans="1:6" ht="15" outlineLevel="1" x14ac:dyDescent="0.2">
      <c r="A357" s="26">
        <v>89</v>
      </c>
      <c r="B357" s="25">
        <v>2280</v>
      </c>
      <c r="C357" s="25">
        <v>2259.2036535403131</v>
      </c>
      <c r="D357" s="24">
        <f t="shared" si="11"/>
        <v>20.796346459686902</v>
      </c>
      <c r="E357" s="18">
        <f t="shared" si="12"/>
        <v>2.9771132943778658E-2</v>
      </c>
      <c r="F357"/>
    </row>
    <row r="358" spans="1:6" ht="15" outlineLevel="1" x14ac:dyDescent="0.2">
      <c r="A358" s="26">
        <v>148</v>
      </c>
      <c r="B358" s="25">
        <v>3390</v>
      </c>
      <c r="C358" s="25">
        <v>3369.3967973693088</v>
      </c>
      <c r="D358" s="24">
        <f t="shared" si="11"/>
        <v>20.603202630691158</v>
      </c>
      <c r="E358" s="18">
        <f t="shared" si="12"/>
        <v>2.9494636751457127E-2</v>
      </c>
      <c r="F358"/>
    </row>
    <row r="359" spans="1:6" ht="15" outlineLevel="1" x14ac:dyDescent="0.2">
      <c r="A359" s="26">
        <v>132</v>
      </c>
      <c r="B359" s="25">
        <v>6081</v>
      </c>
      <c r="C359" s="25">
        <v>6061.660895748686</v>
      </c>
      <c r="D359" s="24">
        <f t="shared" si="11"/>
        <v>19.339104251313984</v>
      </c>
      <c r="E359" s="18">
        <f t="shared" si="12"/>
        <v>2.7685009229651572E-2</v>
      </c>
      <c r="F359"/>
    </row>
    <row r="360" spans="1:6" ht="15" outlineLevel="1" x14ac:dyDescent="0.2">
      <c r="A360" s="26">
        <v>139</v>
      </c>
      <c r="B360" s="25">
        <v>1976</v>
      </c>
      <c r="C360" s="25">
        <v>1987.1423188705221</v>
      </c>
      <c r="D360" s="24">
        <f t="shared" si="11"/>
        <v>-11.142318870522104</v>
      </c>
      <c r="E360" s="18">
        <f t="shared" si="12"/>
        <v>-1.5950852571114619E-2</v>
      </c>
      <c r="F360"/>
    </row>
    <row r="361" spans="1:6" ht="15" outlineLevel="1" x14ac:dyDescent="0.2">
      <c r="A361" s="26">
        <v>90</v>
      </c>
      <c r="B361" s="25">
        <v>1998</v>
      </c>
      <c r="C361" s="25">
        <v>1987.1423188705221</v>
      </c>
      <c r="D361" s="24">
        <f t="shared" si="11"/>
        <v>10.857681129477896</v>
      </c>
      <c r="E361" s="18">
        <f t="shared" si="12"/>
        <v>1.5543377727113989E-2</v>
      </c>
      <c r="F361"/>
    </row>
    <row r="362" spans="1:6" ht="15" outlineLevel="1" x14ac:dyDescent="0.2">
      <c r="A362" s="26">
        <v>114</v>
      </c>
      <c r="B362" s="25">
        <v>1977</v>
      </c>
      <c r="C362" s="25">
        <v>1987.1423188705221</v>
      </c>
      <c r="D362" s="24">
        <f t="shared" si="11"/>
        <v>-10.142318870522104</v>
      </c>
      <c r="E362" s="18">
        <f t="shared" si="12"/>
        <v>-1.4519296648467864E-2</v>
      </c>
      <c r="F362"/>
    </row>
    <row r="363" spans="1:6" ht="15" outlineLevel="1" x14ac:dyDescent="0.2">
      <c r="A363" s="26">
        <v>79</v>
      </c>
      <c r="B363" s="25">
        <v>1997</v>
      </c>
      <c r="C363" s="25">
        <v>1987.1423188705221</v>
      </c>
      <c r="D363" s="24">
        <f t="shared" si="11"/>
        <v>9.8576811294778963</v>
      </c>
      <c r="E363" s="18">
        <f t="shared" si="12"/>
        <v>1.4111821804467236E-2</v>
      </c>
      <c r="F363"/>
    </row>
    <row r="364" spans="1:6" ht="15" outlineLevel="1" x14ac:dyDescent="0.2">
      <c r="A364" s="26">
        <v>127</v>
      </c>
      <c r="B364" s="25">
        <v>1980</v>
      </c>
      <c r="C364" s="25">
        <v>1987.1423188705221</v>
      </c>
      <c r="D364" s="24">
        <f t="shared" si="11"/>
        <v>-7.1423188705221037</v>
      </c>
      <c r="E364" s="18">
        <f t="shared" si="12"/>
        <v>-1.0224628880527598E-2</v>
      </c>
      <c r="F364"/>
    </row>
    <row r="365" spans="1:6" ht="15" outlineLevel="1" x14ac:dyDescent="0.2">
      <c r="A365" s="26">
        <v>41</v>
      </c>
      <c r="B365" s="25">
        <v>2214</v>
      </c>
      <c r="C365" s="25">
        <v>2208.9066000719481</v>
      </c>
      <c r="D365" s="24">
        <f t="shared" si="11"/>
        <v>5.0933999280518947</v>
      </c>
      <c r="E365" s="18">
        <f t="shared" si="12"/>
        <v>7.2914868334112452E-3</v>
      </c>
      <c r="F365"/>
    </row>
    <row r="366" spans="1:6" ht="15" outlineLevel="1" x14ac:dyDescent="0.2">
      <c r="A366" s="26">
        <v>103</v>
      </c>
      <c r="B366" s="25">
        <v>1983</v>
      </c>
      <c r="C366" s="25">
        <v>1987.1423188705221</v>
      </c>
      <c r="D366" s="24">
        <f t="shared" si="11"/>
        <v>-4.1423188705221037</v>
      </c>
      <c r="E366" s="18">
        <f t="shared" si="12"/>
        <v>-5.9299611125873336E-3</v>
      </c>
      <c r="F366"/>
    </row>
    <row r="367" spans="1:6" ht="15" outlineLevel="1" x14ac:dyDescent="0.2">
      <c r="A367" s="26">
        <v>1</v>
      </c>
      <c r="B367" s="25">
        <v>7812</v>
      </c>
      <c r="C367" s="25">
        <v>7808.3403889228048</v>
      </c>
      <c r="D367" s="24">
        <f t="shared" si="11"/>
        <v>3.6596110771952226</v>
      </c>
      <c r="E367" s="18">
        <f t="shared" si="12"/>
        <v>5.2389379121424917E-3</v>
      </c>
      <c r="F367"/>
    </row>
    <row r="368" spans="1:6" ht="15" outlineLevel="1" x14ac:dyDescent="0.2">
      <c r="A368" s="26">
        <v>145</v>
      </c>
      <c r="B368" s="25">
        <v>6935</v>
      </c>
      <c r="C368" s="25">
        <v>6938.2013639200959</v>
      </c>
      <c r="D368" s="24">
        <f t="shared" si="11"/>
        <v>-3.2013639200959005</v>
      </c>
      <c r="E368" s="18">
        <f t="shared" si="12"/>
        <v>-4.5829314803609187E-3</v>
      </c>
      <c r="F368"/>
    </row>
  </sheetData>
  <sortState xmlns:xlrd2="http://schemas.microsoft.com/office/spreadsheetml/2017/richdata2" ref="A196:F368">
    <sortCondition descending="1" ref="F196"/>
    <sortCondition ref="A1"/>
  </sortState>
  <dataValidations count="1">
    <dataValidation type="decimal" allowBlank="1" showInputMessage="1" showErrorMessage="1" error="Please enter a confidence level between 0 and 1." prompt="Confidence level can be adjusted between 0 and 100% to dynamically change confidence limits on this sheet." sqref="I10" xr:uid="{00000000-0002-0000-0300-000000000000}">
      <formula1>0</formula1>
      <formula2>1</formula2>
    </dataValidation>
  </dataValidations>
  <pageMargins left="0.7" right="0.7" top="0.75" bottom="0.75" header="0.3" footer="0.3"/>
  <pageSetup fitToHeight="0"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CG348"/>
  <sheetViews>
    <sheetView showGridLines="0" showRowColHeaders="0" workbookViewId="0">
      <selection activeCell="B1" sqref="B1"/>
    </sheetView>
  </sheetViews>
  <sheetFormatPr baseColWidth="10" defaultColWidth="9.1640625" defaultRowHeight="11" outlineLevelRow="1" x14ac:dyDescent="0.15"/>
  <cols>
    <col min="1" max="1" width="19.5" style="18" customWidth="1"/>
    <col min="2" max="2" width="9.1640625" style="18"/>
    <col min="3" max="4" width="9.5" style="18" bestFit="1" customWidth="1"/>
    <col min="5" max="7" width="9.1640625" style="18"/>
    <col min="8" max="8" width="9.83203125" style="18" bestFit="1" customWidth="1"/>
    <col min="9" max="77" width="9.1640625" style="18"/>
    <col min="78" max="78" width="70" style="18" bestFit="1" customWidth="1"/>
    <col min="79" max="16384" width="9.1640625" style="18"/>
  </cols>
  <sheetData>
    <row r="1" spans="1:78" ht="15" x14ac:dyDescent="0.2">
      <c r="A1" s="19" t="s">
        <v>94</v>
      </c>
      <c r="B1" s="18" t="s">
        <v>166</v>
      </c>
      <c r="E1"/>
      <c r="U1" s="52"/>
      <c r="Z1" s="35" t="s">
        <v>167</v>
      </c>
      <c r="BZ1"/>
    </row>
    <row r="2" spans="1:78" x14ac:dyDescent="0.15">
      <c r="A2" s="19" t="s">
        <v>97</v>
      </c>
      <c r="C2" s="18" t="s">
        <v>49</v>
      </c>
      <c r="AA2" s="35" t="str">
        <f>"Forecasts and " &amp; TEXT($I$10, "0.0%") &amp; " confidence limits for means and forecasts
Com HDD plus trend model for _Commercial_Natural_Gas    (2 variables, n=173)"</f>
        <v>Forecasts and 95.0% confidence limits for means and forecasts
Com HDD plus trend model for _Commercial_Natural_Gas    (2 variables, n=173)</v>
      </c>
    </row>
    <row r="3" spans="1:78" ht="11.25" hidden="1" customHeight="1" outlineLevel="1" x14ac:dyDescent="0.15">
      <c r="A3" s="19" t="s">
        <v>98</v>
      </c>
      <c r="AA3" s="35" t="str">
        <f>IF($A$37 &lt;&gt; "","Actual and predicted -vs- Observation # with " &amp; TEXT($I$10, "0.0%") &amp; " confidence limits
Com HDD plus trend model for _Commercial_Natural_Gas
(2 variables, n=173)","Actual and predicted -vs- Observation #
Com HDD plus trend model for _Commercial_Natural_Gas
(2 variables, n=173)")</f>
        <v>Actual and predicted -vs- Observation # with 95.0% confidence limits
Com HDD plus trend model for _Commercial_Natural_Gas
(2 variables, n=173)</v>
      </c>
    </row>
    <row r="4" spans="1:78" hidden="1" outlineLevel="1" x14ac:dyDescent="0.15">
      <c r="A4" s="18" t="s">
        <v>168</v>
      </c>
    </row>
    <row r="5" spans="1:78" hidden="1" outlineLevel="1" x14ac:dyDescent="0.15">
      <c r="A5" s="19" t="s">
        <v>99</v>
      </c>
    </row>
    <row r="6" spans="1:78" hidden="1" outlineLevel="1" x14ac:dyDescent="0.15">
      <c r="A6" s="18" t="s">
        <v>169</v>
      </c>
    </row>
    <row r="7" spans="1:78" collapsed="1" x14ac:dyDescent="0.15"/>
    <row r="8" spans="1:78" x14ac:dyDescent="0.15">
      <c r="A8" s="20" t="s">
        <v>170</v>
      </c>
    </row>
    <row r="9" spans="1:78" ht="12" outlineLevel="1" thickBot="1" x14ac:dyDescent="0.2">
      <c r="A9" s="21"/>
      <c r="B9" s="23" t="s">
        <v>102</v>
      </c>
      <c r="C9" s="23" t="s">
        <v>103</v>
      </c>
      <c r="D9" s="23" t="s">
        <v>104</v>
      </c>
      <c r="E9" s="23" t="s">
        <v>105</v>
      </c>
      <c r="F9" s="23" t="s">
        <v>39</v>
      </c>
      <c r="G9" s="23" t="s">
        <v>106</v>
      </c>
      <c r="H9" s="23" t="str">
        <f>"t("&amp;TEXT((1-I10)/2,"0.00%") &amp; ",170)"</f>
        <v>t(2.50%,170)</v>
      </c>
      <c r="I9" s="23" t="s">
        <v>107</v>
      </c>
    </row>
    <row r="10" spans="1:78" outlineLevel="1" x14ac:dyDescent="0.15">
      <c r="B10" s="24">
        <f xml:space="preserve"> 1 - C21 / C22</f>
        <v>0.94626519172333134</v>
      </c>
      <c r="C10" s="24">
        <f>1-D10^2/E10^2</f>
        <v>0.94563301750831175</v>
      </c>
      <c r="D10" s="24">
        <f xml:space="preserve"> SQRT(D21)</f>
        <v>533.88002004261693</v>
      </c>
      <c r="E10" s="25">
        <v>2289.6866579215389</v>
      </c>
      <c r="F10" s="26">
        <v>173</v>
      </c>
      <c r="G10" s="26">
        <v>13</v>
      </c>
      <c r="H10" s="18">
        <f>TINV(1 - $I$10, F10 - 2 - 1)</f>
        <v>1.974016707630968</v>
      </c>
      <c r="I10" s="27">
        <v>0.95</v>
      </c>
    </row>
    <row r="12" spans="1:78" x14ac:dyDescent="0.15">
      <c r="A12" s="20" t="s">
        <v>171</v>
      </c>
    </row>
    <row r="13" spans="1:78" ht="12" outlineLevel="1" thickBot="1" x14ac:dyDescent="0.2">
      <c r="A13" s="28" t="s">
        <v>38</v>
      </c>
      <c r="B13" s="23" t="s">
        <v>109</v>
      </c>
      <c r="C13" s="23" t="s">
        <v>110</v>
      </c>
      <c r="D13" s="23" t="s">
        <v>111</v>
      </c>
      <c r="E13" s="23" t="s">
        <v>112</v>
      </c>
      <c r="F13" s="23" t="str">
        <f>IF($I$10&gt;99%,("Lower"&amp;TEXT($I$10,"0.0%")),("Lower"&amp;TEXT($I$10,"0%")))</f>
        <v>Lower95%</v>
      </c>
      <c r="G13" s="23" t="str">
        <f>IF($I$10&gt;99%,("Upper"&amp;TEXT($I$10,"0.0%")),("Upper"&amp;TEXT($I$10,"0%")))</f>
        <v>Upper95%</v>
      </c>
      <c r="H13" s="23" t="s">
        <v>105</v>
      </c>
      <c r="I13" s="23" t="s">
        <v>113</v>
      </c>
    </row>
    <row r="14" spans="1:78" outlineLevel="1" x14ac:dyDescent="0.15">
      <c r="A14" s="18" t="s">
        <v>114</v>
      </c>
      <c r="B14" s="25">
        <v>1205.1636851103467</v>
      </c>
      <c r="C14" s="24">
        <v>90.467182516722815</v>
      </c>
      <c r="D14" s="24">
        <f>(B14 - 0) / C14</f>
        <v>13.321556520095813</v>
      </c>
      <c r="E14" s="24">
        <f>TDIST(ABS(D14),$F$10 - 3,2)</f>
        <v>3.4707907639676754E-28</v>
      </c>
      <c r="F14" s="25">
        <f>B14 - TINV(1 - $I$10, $F$10 - 3) * C14</f>
        <v>1026.5799553300358</v>
      </c>
      <c r="G14" s="25">
        <f>B14 + TINV(1 - $I$10, $F$10 - 3) * C14</f>
        <v>1383.7474148906576</v>
      </c>
    </row>
    <row r="15" spans="1:78" outlineLevel="1" x14ac:dyDescent="0.15">
      <c r="A15" s="18" t="s">
        <v>78</v>
      </c>
      <c r="B15" s="24">
        <v>13.709986734441458</v>
      </c>
      <c r="C15" s="24">
        <v>0.25601220770871325</v>
      </c>
      <c r="D15" s="24">
        <f t="shared" ref="D15:D16" si="0">(B15 - 0) / C15</f>
        <v>53.552081977436288</v>
      </c>
      <c r="E15" s="24">
        <f t="shared" ref="E15:E16" si="1">TDIST(ABS(D15),$F$10 - 3,2)</f>
        <v>2.3374964793340795E-108</v>
      </c>
      <c r="F15" s="24">
        <f t="shared" ref="F15:F16" si="2">B15 - TINV(1 - $I$10, $F$10 - 3) * C15</f>
        <v>13.204614359066968</v>
      </c>
      <c r="G15" s="24">
        <f t="shared" ref="G15:G16" si="3">B15 + TINV(1 - $I$10, $F$10 - 3) * C15</f>
        <v>14.215359109815948</v>
      </c>
      <c r="H15" s="24">
        <v>159.00846479612443</v>
      </c>
      <c r="I15" s="18">
        <f>B15*H15/$E$10</f>
        <v>0.95209706335873234</v>
      </c>
    </row>
    <row r="16" spans="1:78" outlineLevel="1" x14ac:dyDescent="0.15">
      <c r="A16" s="18" t="s">
        <v>1</v>
      </c>
      <c r="B16" s="24">
        <v>8.9995528078543376</v>
      </c>
      <c r="C16" s="24">
        <v>0.81229889461802685</v>
      </c>
      <c r="D16" s="24">
        <f t="shared" si="0"/>
        <v>11.079114926145827</v>
      </c>
      <c r="E16" s="24">
        <f t="shared" si="1"/>
        <v>8.085640059864133E-22</v>
      </c>
      <c r="F16" s="24">
        <f t="shared" si="2"/>
        <v>7.3960612182881853</v>
      </c>
      <c r="G16" s="24">
        <f t="shared" si="3"/>
        <v>10.60304439742049</v>
      </c>
      <c r="H16" s="24">
        <v>50.114691016502604</v>
      </c>
      <c r="I16" s="18">
        <f>B16*H16/$E$10</f>
        <v>0.196974466655504</v>
      </c>
    </row>
    <row r="18" spans="1:9" x14ac:dyDescent="0.15">
      <c r="A18" s="20" t="s">
        <v>172</v>
      </c>
    </row>
    <row r="19" spans="1:9" ht="12" hidden="1" outlineLevel="1" thickBot="1" x14ac:dyDescent="0.2">
      <c r="A19" s="28" t="s">
        <v>116</v>
      </c>
      <c r="B19" s="23" t="s">
        <v>120</v>
      </c>
      <c r="C19" s="23" t="s">
        <v>121</v>
      </c>
      <c r="D19" s="23" t="s">
        <v>122</v>
      </c>
      <c r="E19" s="23" t="s">
        <v>123</v>
      </c>
      <c r="F19" s="23" t="s">
        <v>112</v>
      </c>
    </row>
    <row r="20" spans="1:9" hidden="1" outlineLevel="1" x14ac:dyDescent="0.15">
      <c r="A20" s="18" t="s">
        <v>117</v>
      </c>
      <c r="B20" s="26">
        <v>2</v>
      </c>
      <c r="C20" s="25">
        <f>C22 - C21</f>
        <v>853283639.64567184</v>
      </c>
      <c r="D20" s="25">
        <f>C20/B20</f>
        <v>426641819.82283592</v>
      </c>
      <c r="E20" s="24">
        <f>D20/D21</f>
        <v>1496.8424355839113</v>
      </c>
      <c r="F20" s="24">
        <f>FDIST(E20,2,170)</f>
        <v>1.1796001312550186E-108</v>
      </c>
    </row>
    <row r="21" spans="1:9" hidden="1" outlineLevel="1" x14ac:dyDescent="0.15">
      <c r="A21" s="18" t="s">
        <v>118</v>
      </c>
      <c r="B21" s="26">
        <v>170</v>
      </c>
      <c r="C21" s="25">
        <v>48454738.886119857</v>
      </c>
      <c r="D21" s="25">
        <f>C21/B21</f>
        <v>285027.87580070505</v>
      </c>
    </row>
    <row r="22" spans="1:9" hidden="1" outlineLevel="1" x14ac:dyDescent="0.15">
      <c r="A22" s="18" t="s">
        <v>119</v>
      </c>
      <c r="B22" s="26">
        <f>B20 + B21</f>
        <v>172</v>
      </c>
      <c r="C22" s="25">
        <v>901738378.53179169</v>
      </c>
    </row>
    <row r="23" spans="1:9" collapsed="1" x14ac:dyDescent="0.15"/>
    <row r="24" spans="1:9" x14ac:dyDescent="0.15">
      <c r="A24" s="20" t="s">
        <v>173</v>
      </c>
    </row>
    <row r="25" spans="1:9" ht="12" outlineLevel="1" thickBot="1" x14ac:dyDescent="0.2">
      <c r="A25" s="23" t="s">
        <v>129</v>
      </c>
      <c r="B25" s="23" t="s">
        <v>130</v>
      </c>
      <c r="C25" s="23" t="s">
        <v>131</v>
      </c>
      <c r="D25" s="23" t="s">
        <v>112</v>
      </c>
      <c r="E25" s="23" t="s">
        <v>133</v>
      </c>
      <c r="F25" s="23" t="s">
        <v>134</v>
      </c>
      <c r="G25" s="28" t="s">
        <v>135</v>
      </c>
    </row>
    <row r="26" spans="1:9" outlineLevel="1" x14ac:dyDescent="0.15">
      <c r="A26" s="26">
        <v>93</v>
      </c>
      <c r="B26" s="26">
        <v>80</v>
      </c>
      <c r="C26" s="18">
        <v>1.0000160513660561</v>
      </c>
      <c r="D26" s="18">
        <v>1.231680067424188E-2</v>
      </c>
      <c r="E26" s="24">
        <v>-2.9076678338075994</v>
      </c>
      <c r="F26" s="24">
        <v>3.3143070060510773</v>
      </c>
      <c r="G26" s="24">
        <v>1.3257233752093842</v>
      </c>
    </row>
    <row r="27" spans="1:9" outlineLevel="1" x14ac:dyDescent="0.15">
      <c r="A27" s="18" t="s">
        <v>132</v>
      </c>
    </row>
    <row r="29" spans="1:9" x14ac:dyDescent="0.15">
      <c r="A29" s="20" t="s">
        <v>174</v>
      </c>
    </row>
    <row r="30" spans="1:9" ht="12" outlineLevel="1" thickBot="1" x14ac:dyDescent="0.2">
      <c r="A30" s="22" t="s">
        <v>137</v>
      </c>
      <c r="B30" s="31">
        <v>1</v>
      </c>
      <c r="C30" s="31">
        <v>2</v>
      </c>
      <c r="D30" s="31">
        <v>3</v>
      </c>
      <c r="E30" s="31">
        <v>4</v>
      </c>
      <c r="F30" s="31">
        <v>5</v>
      </c>
      <c r="G30" s="31">
        <v>6</v>
      </c>
      <c r="H30" s="31">
        <v>7</v>
      </c>
      <c r="I30" s="31">
        <v>12</v>
      </c>
    </row>
    <row r="31" spans="1:9" outlineLevel="1" x14ac:dyDescent="0.15">
      <c r="A31" s="18" t="s">
        <v>138</v>
      </c>
      <c r="B31" s="24">
        <v>0.34187800742913466</v>
      </c>
      <c r="C31" s="45">
        <v>-2.9436837891022038E-2</v>
      </c>
      <c r="D31" s="24">
        <v>-0.13286586871795811</v>
      </c>
      <c r="E31" s="45">
        <v>-8.5649037692039368E-2</v>
      </c>
      <c r="F31" s="45">
        <v>-8.8986058777104235E-2</v>
      </c>
      <c r="G31" s="24">
        <v>-0.15400590652681823</v>
      </c>
      <c r="H31" s="24">
        <v>-0.10111595838341202</v>
      </c>
      <c r="I31" s="24">
        <v>0.49579766104108641</v>
      </c>
    </row>
    <row r="32" spans="1:9" outlineLevel="1" x14ac:dyDescent="0.15">
      <c r="A32" s="18" t="s">
        <v>140</v>
      </c>
    </row>
    <row r="33" spans="1:85" outlineLevel="1" x14ac:dyDescent="0.15">
      <c r="A33" s="32" t="s">
        <v>139</v>
      </c>
      <c r="B33" s="33">
        <f t="shared" ref="B33:I33" si="4" xml:space="preserve"> 1 / SQRT($F$10 - B30)</f>
        <v>7.6249285166302333E-2</v>
      </c>
      <c r="C33" s="33">
        <f t="shared" si="4"/>
        <v>7.6471911290187253E-2</v>
      </c>
      <c r="D33" s="33">
        <f t="shared" si="4"/>
        <v>7.6696498884737035E-2</v>
      </c>
      <c r="E33" s="33">
        <f t="shared" si="4"/>
        <v>7.6923076923076927E-2</v>
      </c>
      <c r="F33" s="33">
        <f t="shared" si="4"/>
        <v>7.7151674981045956E-2</v>
      </c>
      <c r="G33" s="33">
        <f t="shared" si="4"/>
        <v>7.7382323253413682E-2</v>
      </c>
      <c r="H33" s="33">
        <f t="shared" si="4"/>
        <v>7.7615052570633281E-2</v>
      </c>
      <c r="I33" s="33">
        <f t="shared" si="4"/>
        <v>7.8811040623910061E-2</v>
      </c>
    </row>
    <row r="35" spans="1:85" x14ac:dyDescent="0.15">
      <c r="A35" s="20" t="s">
        <v>175</v>
      </c>
    </row>
    <row r="36" spans="1:85" ht="12" hidden="1" outlineLevel="1" thickBot="1" x14ac:dyDescent="0.2">
      <c r="A36" s="23" t="s">
        <v>142</v>
      </c>
      <c r="B36" s="23" t="s">
        <v>143</v>
      </c>
      <c r="C36" s="23" t="s">
        <v>144</v>
      </c>
      <c r="D36" s="23" t="str">
        <f>IF($I$10&gt;99%,("Low"&amp;TEXT($I$10,"0.0%")&amp;"F"),("Lower"&amp;TEXT($I$10,"0%")&amp;"F"))</f>
        <v>Lower95%F</v>
      </c>
      <c r="E36" s="23" t="str">
        <f>IF($I$10&gt;99%,("Up"&amp;TEXT($I$10,"0.0%")&amp;"F"),("Upper"&amp;TEXT($I$10,"0%")&amp;"F"))</f>
        <v>Upper95%F</v>
      </c>
      <c r="F36" s="23" t="s">
        <v>145</v>
      </c>
      <c r="G36" s="23" t="str">
        <f>IF($I$10&gt;99%,("Low"&amp;TEXT($I$10,"0.0%")&amp;"M"),("Lower"&amp;TEXT($I$10,"0%")&amp;"M"))</f>
        <v>Lower95%M</v>
      </c>
      <c r="H36" s="23" t="str">
        <f>IF($I$10&gt;99%,("Up"&amp;TEXT($I$10,"0.0%")&amp;"M"),("Upper"&amp;TEXT($I$10,"0%")&amp;"M"))</f>
        <v>Upper95%M</v>
      </c>
      <c r="I36" s="28" t="s">
        <v>146</v>
      </c>
      <c r="J36" s="28" t="s">
        <v>176</v>
      </c>
    </row>
    <row r="37" spans="1:85" hidden="1" outlineLevel="1" x14ac:dyDescent="0.15">
      <c r="A37" s="26">
        <v>171</v>
      </c>
      <c r="B37" s="25">
        <v>5795.9302623401072</v>
      </c>
      <c r="C37" s="24">
        <v>540.02887355343603</v>
      </c>
      <c r="D37" s="25">
        <f xml:space="preserve"> B37 - $H$10 * C37</f>
        <v>4729.9042433424929</v>
      </c>
      <c r="E37" s="25">
        <f xml:space="preserve"> B37 + $H$10 * C37</f>
        <v>6861.9562813377215</v>
      </c>
      <c r="F37" s="24">
        <v>81.260743724679003</v>
      </c>
      <c r="G37" s="25">
        <f xml:space="preserve"> B37 - $H$10 * F37</f>
        <v>5635.5201965530723</v>
      </c>
      <c r="H37" s="25">
        <f xml:space="preserve"> B37 + $H$10 * F37</f>
        <v>5956.3403281271421</v>
      </c>
      <c r="I37" s="34">
        <v>222.6</v>
      </c>
      <c r="J37" s="34">
        <v>171</v>
      </c>
      <c r="K37" s="34"/>
      <c r="CG37" s="18">
        <f xml:space="preserve"> $C$37 * $H$10</f>
        <v>1066.0260189976141</v>
      </c>
    </row>
    <row r="38" spans="1:85" hidden="1" outlineLevel="1" x14ac:dyDescent="0.15">
      <c r="I38" s="34"/>
      <c r="J38" s="34"/>
      <c r="K38" s="34"/>
    </row>
    <row r="39" spans="1:85" hidden="1" outlineLevel="1" x14ac:dyDescent="0.15"/>
    <row r="40" spans="1:85" hidden="1" outlineLevel="1" x14ac:dyDescent="0.15"/>
    <row r="41" spans="1:85" hidden="1" outlineLevel="1" x14ac:dyDescent="0.15"/>
    <row r="42" spans="1:85" hidden="1" outlineLevel="1" x14ac:dyDescent="0.15"/>
    <row r="43" spans="1:85" hidden="1" outlineLevel="1" x14ac:dyDescent="0.15"/>
    <row r="44" spans="1:85" hidden="1" outlineLevel="1" x14ac:dyDescent="0.15"/>
    <row r="45" spans="1:85" hidden="1" outlineLevel="1" x14ac:dyDescent="0.15"/>
    <row r="46" spans="1:85" hidden="1" outlineLevel="1" x14ac:dyDescent="0.15"/>
    <row r="47" spans="1:85" hidden="1" outlineLevel="1" x14ac:dyDescent="0.15"/>
    <row r="48" spans="1:85" hidden="1" outlineLevel="1" x14ac:dyDescent="0.15"/>
    <row r="49" spans="1:1" hidden="1" outlineLevel="1" x14ac:dyDescent="0.15"/>
    <row r="50" spans="1:1" hidden="1" outlineLevel="1" x14ac:dyDescent="0.15"/>
    <row r="51" spans="1:1" hidden="1" outlineLevel="1" x14ac:dyDescent="0.15"/>
    <row r="52" spans="1:1" hidden="1" outlineLevel="1" x14ac:dyDescent="0.15"/>
    <row r="53" spans="1:1" hidden="1" outlineLevel="1" x14ac:dyDescent="0.15"/>
    <row r="54" spans="1:1" hidden="1" outlineLevel="1" x14ac:dyDescent="0.15"/>
    <row r="55" spans="1:1" hidden="1" outlineLevel="1" x14ac:dyDescent="0.15"/>
    <row r="56" spans="1:1" hidden="1" outlineLevel="1" x14ac:dyDescent="0.15"/>
    <row r="57" spans="1:1" hidden="1" outlineLevel="1" x14ac:dyDescent="0.15"/>
    <row r="58" spans="1:1" hidden="1" outlineLevel="1" x14ac:dyDescent="0.15"/>
    <row r="59" spans="1:1" hidden="1" outlineLevel="1" x14ac:dyDescent="0.15"/>
    <row r="60" spans="1:1" hidden="1" outlineLevel="1" x14ac:dyDescent="0.15"/>
    <row r="61" spans="1:1" hidden="1" outlineLevel="1" x14ac:dyDescent="0.15"/>
    <row r="62" spans="1:1" collapsed="1" x14ac:dyDescent="0.15"/>
    <row r="63" spans="1:1" x14ac:dyDescent="0.15">
      <c r="A63" s="20" t="s">
        <v>147</v>
      </c>
    </row>
    <row r="64" spans="1:1" outlineLevel="1" x14ac:dyDescent="0.15"/>
    <row r="65" spans="3:3" outlineLevel="1" x14ac:dyDescent="0.15"/>
    <row r="66" spans="3:3" outlineLevel="1" x14ac:dyDescent="0.15">
      <c r="C66" s="32" t="b">
        <v>1</v>
      </c>
    </row>
    <row r="67" spans="3:3" outlineLevel="1" x14ac:dyDescent="0.15"/>
    <row r="68" spans="3:3" outlineLevel="1" x14ac:dyDescent="0.15"/>
    <row r="69" spans="3:3" outlineLevel="1" x14ac:dyDescent="0.15"/>
    <row r="70" spans="3:3" outlineLevel="1" x14ac:dyDescent="0.15"/>
    <row r="71" spans="3:3" outlineLevel="1" x14ac:dyDescent="0.15"/>
    <row r="72" spans="3:3" outlineLevel="1" x14ac:dyDescent="0.15"/>
    <row r="73" spans="3:3" outlineLevel="1" x14ac:dyDescent="0.15"/>
    <row r="74" spans="3:3" outlineLevel="1" x14ac:dyDescent="0.15"/>
    <row r="75" spans="3:3" outlineLevel="1" x14ac:dyDescent="0.15"/>
    <row r="76" spans="3:3" outlineLevel="1" x14ac:dyDescent="0.15"/>
    <row r="77" spans="3:3" outlineLevel="1" x14ac:dyDescent="0.15"/>
    <row r="78" spans="3:3" outlineLevel="1" x14ac:dyDescent="0.15"/>
    <row r="79" spans="3:3" outlineLevel="1" x14ac:dyDescent="0.15"/>
    <row r="80" spans="3:3" outlineLevel="1" x14ac:dyDescent="0.15"/>
    <row r="81" spans="1:1" outlineLevel="1" x14ac:dyDescent="0.15"/>
    <row r="82" spans="1:1" outlineLevel="1" x14ac:dyDescent="0.15"/>
    <row r="83" spans="1:1" outlineLevel="1" x14ac:dyDescent="0.15"/>
    <row r="85" spans="1:1" x14ac:dyDescent="0.15">
      <c r="A85" s="20" t="s">
        <v>148</v>
      </c>
    </row>
    <row r="86" spans="1:1" outlineLevel="1" x14ac:dyDescent="0.15"/>
    <row r="87" spans="1:1" outlineLevel="1" x14ac:dyDescent="0.15"/>
    <row r="88" spans="1:1" outlineLevel="1" x14ac:dyDescent="0.15"/>
    <row r="89" spans="1:1" outlineLevel="1" x14ac:dyDescent="0.15"/>
    <row r="90" spans="1:1" outlineLevel="1" x14ac:dyDescent="0.15"/>
    <row r="91" spans="1:1" outlineLevel="1" x14ac:dyDescent="0.15"/>
    <row r="92" spans="1:1" outlineLevel="1" x14ac:dyDescent="0.15"/>
    <row r="93" spans="1:1" outlineLevel="1" x14ac:dyDescent="0.15"/>
    <row r="94" spans="1:1" outlineLevel="1" x14ac:dyDescent="0.15"/>
    <row r="95" spans="1:1" outlineLevel="1" x14ac:dyDescent="0.15"/>
    <row r="96" spans="1:1" outlineLevel="1" x14ac:dyDescent="0.15"/>
    <row r="97" spans="1:1" outlineLevel="1" x14ac:dyDescent="0.15"/>
    <row r="98" spans="1:1" outlineLevel="1" x14ac:dyDescent="0.15"/>
    <row r="99" spans="1:1" outlineLevel="1" x14ac:dyDescent="0.15"/>
    <row r="100" spans="1:1" outlineLevel="1" x14ac:dyDescent="0.15"/>
    <row r="101" spans="1:1" outlineLevel="1" x14ac:dyDescent="0.15"/>
    <row r="102" spans="1:1" outlineLevel="1" x14ac:dyDescent="0.15"/>
    <row r="103" spans="1:1" outlineLevel="1" x14ac:dyDescent="0.15"/>
    <row r="104" spans="1:1" outlineLevel="1" x14ac:dyDescent="0.15"/>
    <row r="105" spans="1:1" outlineLevel="1" x14ac:dyDescent="0.15"/>
    <row r="107" spans="1:1" x14ac:dyDescent="0.15">
      <c r="A107" s="20" t="s">
        <v>149</v>
      </c>
    </row>
    <row r="108" spans="1:1" outlineLevel="1" x14ac:dyDescent="0.15"/>
    <row r="109" spans="1:1" outlineLevel="1" x14ac:dyDescent="0.15"/>
    <row r="110" spans="1:1" outlineLevel="1" x14ac:dyDescent="0.15"/>
    <row r="111" spans="1:1" outlineLevel="1" x14ac:dyDescent="0.15"/>
    <row r="112" spans="1:1" outlineLevel="1" x14ac:dyDescent="0.15"/>
    <row r="113" outlineLevel="1" x14ac:dyDescent="0.15"/>
    <row r="114" outlineLevel="1" x14ac:dyDescent="0.15"/>
    <row r="115" outlineLevel="1" x14ac:dyDescent="0.15"/>
    <row r="116" outlineLevel="1" x14ac:dyDescent="0.15"/>
    <row r="117" outlineLevel="1" x14ac:dyDescent="0.15"/>
    <row r="118" outlineLevel="1" x14ac:dyDescent="0.15"/>
    <row r="119" outlineLevel="1" x14ac:dyDescent="0.15"/>
    <row r="120" outlineLevel="1" x14ac:dyDescent="0.15"/>
    <row r="121" outlineLevel="1" x14ac:dyDescent="0.15"/>
    <row r="122" outlineLevel="1" x14ac:dyDescent="0.15"/>
    <row r="123" outlineLevel="1" x14ac:dyDescent="0.15"/>
    <row r="124" outlineLevel="1" x14ac:dyDescent="0.15"/>
    <row r="125" outlineLevel="1" x14ac:dyDescent="0.15"/>
    <row r="126" outlineLevel="1" x14ac:dyDescent="0.15"/>
    <row r="127" outlineLevel="1" x14ac:dyDescent="0.15"/>
    <row r="129" spans="1:1" x14ac:dyDescent="0.15">
      <c r="A129" s="20" t="s">
        <v>150</v>
      </c>
    </row>
    <row r="130" spans="1:1" outlineLevel="1" x14ac:dyDescent="0.15"/>
    <row r="131" spans="1:1" outlineLevel="1" x14ac:dyDescent="0.15"/>
    <row r="132" spans="1:1" outlineLevel="1" x14ac:dyDescent="0.15"/>
    <row r="133" spans="1:1" outlineLevel="1" x14ac:dyDescent="0.15"/>
    <row r="134" spans="1:1" outlineLevel="1" x14ac:dyDescent="0.15"/>
    <row r="135" spans="1:1" outlineLevel="1" x14ac:dyDescent="0.15"/>
    <row r="136" spans="1:1" outlineLevel="1" x14ac:dyDescent="0.15"/>
    <row r="137" spans="1:1" outlineLevel="1" x14ac:dyDescent="0.15"/>
    <row r="138" spans="1:1" outlineLevel="1" x14ac:dyDescent="0.15"/>
    <row r="139" spans="1:1" outlineLevel="1" x14ac:dyDescent="0.15"/>
    <row r="140" spans="1:1" outlineLevel="1" x14ac:dyDescent="0.15"/>
    <row r="141" spans="1:1" outlineLevel="1" x14ac:dyDescent="0.15"/>
    <row r="142" spans="1:1" outlineLevel="1" x14ac:dyDescent="0.15"/>
    <row r="143" spans="1:1" outlineLevel="1" x14ac:dyDescent="0.15"/>
    <row r="144" spans="1:1" outlineLevel="1" x14ac:dyDescent="0.15"/>
    <row r="145" spans="1:1" outlineLevel="1" x14ac:dyDescent="0.15"/>
    <row r="146" spans="1:1" outlineLevel="1" x14ac:dyDescent="0.15"/>
    <row r="147" spans="1:1" outlineLevel="1" x14ac:dyDescent="0.15"/>
    <row r="148" spans="1:1" outlineLevel="1" x14ac:dyDescent="0.15"/>
    <row r="149" spans="1:1" outlineLevel="1" x14ac:dyDescent="0.15"/>
    <row r="151" spans="1:1" x14ac:dyDescent="0.15">
      <c r="A151" s="20" t="s">
        <v>151</v>
      </c>
    </row>
    <row r="152" spans="1:1" outlineLevel="1" x14ac:dyDescent="0.15"/>
    <row r="153" spans="1:1" outlineLevel="1" x14ac:dyDescent="0.15"/>
    <row r="154" spans="1:1" outlineLevel="1" x14ac:dyDescent="0.15"/>
    <row r="155" spans="1:1" outlineLevel="1" x14ac:dyDescent="0.15"/>
    <row r="156" spans="1:1" outlineLevel="1" x14ac:dyDescent="0.15"/>
    <row r="157" spans="1:1" outlineLevel="1" x14ac:dyDescent="0.15"/>
    <row r="158" spans="1:1" outlineLevel="1" x14ac:dyDescent="0.15"/>
    <row r="159" spans="1:1" outlineLevel="1" x14ac:dyDescent="0.15"/>
    <row r="160" spans="1:1" outlineLevel="1" x14ac:dyDescent="0.15"/>
    <row r="161" spans="1:6" outlineLevel="1" x14ac:dyDescent="0.15"/>
    <row r="162" spans="1:6" outlineLevel="1" x14ac:dyDescent="0.15"/>
    <row r="163" spans="1:6" outlineLevel="1" x14ac:dyDescent="0.15"/>
    <row r="164" spans="1:6" outlineLevel="1" x14ac:dyDescent="0.15"/>
    <row r="165" spans="1:6" outlineLevel="1" x14ac:dyDescent="0.15"/>
    <row r="166" spans="1:6" outlineLevel="1" x14ac:dyDescent="0.15"/>
    <row r="167" spans="1:6" outlineLevel="1" x14ac:dyDescent="0.15"/>
    <row r="168" spans="1:6" outlineLevel="1" x14ac:dyDescent="0.15"/>
    <row r="169" spans="1:6" outlineLevel="1" x14ac:dyDescent="0.15"/>
    <row r="170" spans="1:6" outlineLevel="1" x14ac:dyDescent="0.15"/>
    <row r="171" spans="1:6" outlineLevel="1" x14ac:dyDescent="0.15"/>
    <row r="173" spans="1:6" x14ac:dyDescent="0.15">
      <c r="A173" s="20" t="s">
        <v>177</v>
      </c>
    </row>
    <row r="174" spans="1:6" ht="12" hidden="1" outlineLevel="1" thickBot="1" x14ac:dyDescent="0.2">
      <c r="A174" s="23" t="s">
        <v>142</v>
      </c>
      <c r="B174" s="23" t="s">
        <v>153</v>
      </c>
      <c r="C174" s="23" t="s">
        <v>127</v>
      </c>
      <c r="D174" s="23" t="s">
        <v>118</v>
      </c>
      <c r="E174" s="23" t="s">
        <v>154</v>
      </c>
    </row>
    <row r="175" spans="1:6" ht="15" hidden="1" outlineLevel="1" x14ac:dyDescent="0.2">
      <c r="A175" s="36">
        <v>157</v>
      </c>
      <c r="B175" s="37">
        <v>11381</v>
      </c>
      <c r="C175" s="37">
        <v>9611.5577091820651</v>
      </c>
      <c r="D175" s="37">
        <f t="shared" ref="D175:D206" si="5">B175 - C175</f>
        <v>1769.4422908179349</v>
      </c>
      <c r="E175" s="19">
        <f t="shared" ref="E175:E206" si="6">D175 /533.880020042617</f>
        <v>3.3143070060510769</v>
      </c>
      <c r="F175"/>
    </row>
    <row r="176" spans="1:6" ht="15" hidden="1" outlineLevel="1" x14ac:dyDescent="0.2">
      <c r="A176" s="36">
        <v>23</v>
      </c>
      <c r="B176" s="37">
        <v>3620</v>
      </c>
      <c r="C176" s="37">
        <v>5172.3457613904739</v>
      </c>
      <c r="D176" s="37">
        <f t="shared" si="5"/>
        <v>-1552.3457613904739</v>
      </c>
      <c r="E176" s="19">
        <f t="shared" si="6"/>
        <v>-2.907667833807599</v>
      </c>
      <c r="F176"/>
    </row>
    <row r="177" spans="1:6" ht="15" hidden="1" outlineLevel="1" x14ac:dyDescent="0.2">
      <c r="A177" s="36">
        <v>170</v>
      </c>
      <c r="B177" s="37">
        <v>10511</v>
      </c>
      <c r="C177" s="37">
        <v>9025.2295762073263</v>
      </c>
      <c r="D177" s="37">
        <f t="shared" si="5"/>
        <v>1485.7704237926737</v>
      </c>
      <c r="E177" s="19">
        <f t="shared" si="6"/>
        <v>2.7829668989561958</v>
      </c>
      <c r="F177"/>
    </row>
    <row r="178" spans="1:6" ht="15" hidden="1" outlineLevel="1" x14ac:dyDescent="0.2">
      <c r="A178" s="36">
        <v>12</v>
      </c>
      <c r="B178" s="37">
        <v>4038</v>
      </c>
      <c r="C178" s="37">
        <v>5480.0802869591726</v>
      </c>
      <c r="D178" s="37">
        <f t="shared" si="5"/>
        <v>-1442.0802869591726</v>
      </c>
      <c r="E178" s="19">
        <f t="shared" si="6"/>
        <v>-2.7011317764692868</v>
      </c>
      <c r="F178"/>
    </row>
    <row r="179" spans="1:6" ht="15" hidden="1" outlineLevel="1" x14ac:dyDescent="0.2">
      <c r="A179" s="36">
        <v>83</v>
      </c>
      <c r="B179" s="37">
        <v>3902</v>
      </c>
      <c r="C179" s="37">
        <v>5295.9923326925282</v>
      </c>
      <c r="D179" s="37">
        <f t="shared" si="5"/>
        <v>-1393.9923326925282</v>
      </c>
      <c r="E179" s="19">
        <f t="shared" si="6"/>
        <v>-2.6110591900053732</v>
      </c>
      <c r="F179"/>
    </row>
    <row r="180" spans="1:6" ht="15" hidden="1" outlineLevel="1" x14ac:dyDescent="0.2">
      <c r="A180" s="26">
        <v>59</v>
      </c>
      <c r="B180" s="25">
        <v>3466</v>
      </c>
      <c r="C180" s="25">
        <v>4715.3174181678814</v>
      </c>
      <c r="D180" s="25">
        <f t="shared" si="5"/>
        <v>-1249.3174181678814</v>
      </c>
      <c r="E180" s="18">
        <f t="shared" si="6"/>
        <v>-2.3400714978398227</v>
      </c>
      <c r="F180"/>
    </row>
    <row r="181" spans="1:6" ht="15" hidden="1" outlineLevel="1" x14ac:dyDescent="0.2">
      <c r="A181" s="26">
        <v>36</v>
      </c>
      <c r="B181" s="25">
        <v>6140</v>
      </c>
      <c r="C181" s="25">
        <v>7370.0589346229781</v>
      </c>
      <c r="D181" s="25">
        <f t="shared" si="5"/>
        <v>-1230.0589346229781</v>
      </c>
      <c r="E181" s="18">
        <f t="shared" si="6"/>
        <v>-2.30399881704655</v>
      </c>
      <c r="F181"/>
    </row>
    <row r="182" spans="1:6" ht="15" hidden="1" outlineLevel="1" x14ac:dyDescent="0.2">
      <c r="A182" s="26">
        <v>48</v>
      </c>
      <c r="B182" s="25">
        <v>5782</v>
      </c>
      <c r="C182" s="25">
        <v>6980.8380494148205</v>
      </c>
      <c r="D182" s="25">
        <f t="shared" si="5"/>
        <v>-1198.8380494148205</v>
      </c>
      <c r="E182" s="18">
        <f t="shared" si="6"/>
        <v>-2.2455196006756784</v>
      </c>
      <c r="F182"/>
    </row>
    <row r="183" spans="1:6" ht="15" hidden="1" outlineLevel="1" x14ac:dyDescent="0.2">
      <c r="A183" s="26">
        <v>61</v>
      </c>
      <c r="B183" s="25">
        <v>7102</v>
      </c>
      <c r="C183" s="25">
        <v>5968.1293289989508</v>
      </c>
      <c r="D183" s="25">
        <f t="shared" si="5"/>
        <v>1133.8706710010492</v>
      </c>
      <c r="E183" s="18">
        <f t="shared" si="6"/>
        <v>2.1238305020490142</v>
      </c>
      <c r="F183"/>
    </row>
    <row r="184" spans="1:6" ht="15" hidden="1" outlineLevel="1" x14ac:dyDescent="0.2">
      <c r="A184" s="26">
        <v>120</v>
      </c>
      <c r="B184" s="25">
        <v>10645</v>
      </c>
      <c r="C184" s="25">
        <v>9528.5530134161036</v>
      </c>
      <c r="D184" s="25">
        <f t="shared" si="5"/>
        <v>1116.4469865838964</v>
      </c>
      <c r="E184" s="18">
        <f t="shared" si="6"/>
        <v>2.0911945468473907</v>
      </c>
      <c r="F184"/>
    </row>
    <row r="185" spans="1:6" ht="15" hidden="1" outlineLevel="1" x14ac:dyDescent="0.2">
      <c r="A185" s="26">
        <v>47</v>
      </c>
      <c r="B185" s="25">
        <v>3377</v>
      </c>
      <c r="C185" s="25">
        <v>4447.3729392384794</v>
      </c>
      <c r="D185" s="25">
        <f t="shared" si="5"/>
        <v>-1070.3729392384794</v>
      </c>
      <c r="E185" s="18">
        <f t="shared" si="6"/>
        <v>-2.0048941692049773</v>
      </c>
      <c r="F185"/>
    </row>
    <row r="186" spans="1:6" ht="15" hidden="1" outlineLevel="1" x14ac:dyDescent="0.2">
      <c r="A186" s="26">
        <v>75</v>
      </c>
      <c r="B186" s="25">
        <v>5270</v>
      </c>
      <c r="C186" s="25">
        <v>4200.7739002825456</v>
      </c>
      <c r="D186" s="25">
        <f t="shared" si="5"/>
        <v>1069.2260997174544</v>
      </c>
      <c r="E186" s="18">
        <f t="shared" si="6"/>
        <v>2.0027460470090328</v>
      </c>
      <c r="F186"/>
    </row>
    <row r="187" spans="1:6" ht="15" hidden="1" outlineLevel="1" x14ac:dyDescent="0.2">
      <c r="A187" s="26">
        <v>60</v>
      </c>
      <c r="B187" s="25">
        <v>6590</v>
      </c>
      <c r="C187" s="25">
        <v>7630.8341586773249</v>
      </c>
      <c r="D187" s="25">
        <f t="shared" si="5"/>
        <v>-1040.8341586773249</v>
      </c>
      <c r="E187" s="18">
        <f t="shared" si="6"/>
        <v>-1.9495656694443073</v>
      </c>
      <c r="F187"/>
    </row>
    <row r="188" spans="1:6" ht="15" hidden="1" outlineLevel="1" x14ac:dyDescent="0.2">
      <c r="A188" s="26">
        <v>24</v>
      </c>
      <c r="B188" s="25">
        <v>6225</v>
      </c>
      <c r="C188" s="25">
        <v>7242.4133199426942</v>
      </c>
      <c r="D188" s="25">
        <f t="shared" si="5"/>
        <v>-1017.4133199426942</v>
      </c>
      <c r="E188" s="18">
        <f t="shared" si="6"/>
        <v>-1.9056965642982464</v>
      </c>
      <c r="F188"/>
    </row>
    <row r="189" spans="1:6" ht="15" hidden="1" outlineLevel="1" x14ac:dyDescent="0.2">
      <c r="A189" s="26">
        <v>109</v>
      </c>
      <c r="B189" s="25">
        <v>9701</v>
      </c>
      <c r="C189" s="25">
        <v>8753.6555865217415</v>
      </c>
      <c r="D189" s="24">
        <f t="shared" si="5"/>
        <v>947.3444134782585</v>
      </c>
      <c r="E189" s="18">
        <f t="shared" si="6"/>
        <v>1.7744518953952175</v>
      </c>
      <c r="F189"/>
    </row>
    <row r="190" spans="1:6" ht="15" hidden="1" outlineLevel="1" x14ac:dyDescent="0.2">
      <c r="A190" s="26">
        <v>50</v>
      </c>
      <c r="B190" s="25">
        <v>6951</v>
      </c>
      <c r="C190" s="25">
        <v>6008.0621136882264</v>
      </c>
      <c r="D190" s="24">
        <f t="shared" si="5"/>
        <v>942.93788631177358</v>
      </c>
      <c r="E190" s="18">
        <f t="shared" si="6"/>
        <v>1.7661981173906891</v>
      </c>
      <c r="F190"/>
    </row>
    <row r="191" spans="1:6" ht="15" hidden="1" outlineLevel="1" x14ac:dyDescent="0.2">
      <c r="A191" s="26">
        <v>71</v>
      </c>
      <c r="B191" s="25">
        <v>3884</v>
      </c>
      <c r="C191" s="25">
        <v>4810.973063801136</v>
      </c>
      <c r="D191" s="24">
        <f t="shared" si="5"/>
        <v>-926.97306380113605</v>
      </c>
      <c r="E191" s="18">
        <f t="shared" si="6"/>
        <v>-1.7362947272818718</v>
      </c>
      <c r="F191"/>
    </row>
    <row r="192" spans="1:6" ht="15" hidden="1" outlineLevel="1" x14ac:dyDescent="0.2">
      <c r="A192" s="26">
        <v>110</v>
      </c>
      <c r="B192" s="25">
        <v>8911</v>
      </c>
      <c r="C192" s="25">
        <v>8051.5638273698996</v>
      </c>
      <c r="D192" s="24">
        <f t="shared" si="5"/>
        <v>859.43617263010037</v>
      </c>
      <c r="E192" s="18">
        <f t="shared" si="6"/>
        <v>1.6097927256417945</v>
      </c>
      <c r="F192"/>
    </row>
    <row r="193" spans="1:6" ht="15" hidden="1" outlineLevel="1" x14ac:dyDescent="0.2">
      <c r="A193" s="26">
        <v>143</v>
      </c>
      <c r="B193" s="25">
        <v>5686</v>
      </c>
      <c r="C193" s="25">
        <v>6525.1208343483786</v>
      </c>
      <c r="D193" s="24">
        <f t="shared" si="5"/>
        <v>-839.12083434837859</v>
      </c>
      <c r="E193" s="18">
        <f t="shared" si="6"/>
        <v>-1.5717404713542111</v>
      </c>
      <c r="F193"/>
    </row>
    <row r="194" spans="1:6" ht="15" hidden="1" outlineLevel="1" x14ac:dyDescent="0.2">
      <c r="A194" s="26">
        <v>94</v>
      </c>
      <c r="B194" s="25">
        <v>4602</v>
      </c>
      <c r="C194" s="25">
        <v>3779.4939767039077</v>
      </c>
      <c r="D194" s="24">
        <f t="shared" si="5"/>
        <v>822.50602329609228</v>
      </c>
      <c r="E194" s="18">
        <f t="shared" si="6"/>
        <v>1.5406196006931212</v>
      </c>
      <c r="F194"/>
    </row>
    <row r="195" spans="1:6" ht="15" hidden="1" outlineLevel="1" x14ac:dyDescent="0.2">
      <c r="A195" s="26">
        <v>10</v>
      </c>
      <c r="B195" s="25">
        <v>2264</v>
      </c>
      <c r="C195" s="25">
        <v>3084.7694815913151</v>
      </c>
      <c r="D195" s="24">
        <f t="shared" si="5"/>
        <v>-820.76948159131507</v>
      </c>
      <c r="E195" s="18">
        <f t="shared" si="6"/>
        <v>-1.5373669191175146</v>
      </c>
      <c r="F195"/>
    </row>
    <row r="196" spans="1:6" ht="15" hidden="1" outlineLevel="1" x14ac:dyDescent="0.2">
      <c r="A196" s="26">
        <v>133</v>
      </c>
      <c r="B196" s="25">
        <v>8072</v>
      </c>
      <c r="C196" s="25">
        <v>7257.267510778508</v>
      </c>
      <c r="D196" s="24">
        <f t="shared" si="5"/>
        <v>814.73248922149196</v>
      </c>
      <c r="E196" s="18">
        <f t="shared" si="6"/>
        <v>1.5260591493130906</v>
      </c>
      <c r="F196"/>
    </row>
    <row r="197" spans="1:6" ht="15" hidden="1" outlineLevel="1" x14ac:dyDescent="0.2">
      <c r="A197" s="26">
        <v>97</v>
      </c>
      <c r="B197" s="25">
        <v>8960</v>
      </c>
      <c r="C197" s="25">
        <v>8150.2734321563385</v>
      </c>
      <c r="D197" s="24">
        <f t="shared" si="5"/>
        <v>809.72656784366154</v>
      </c>
      <c r="E197" s="18">
        <f t="shared" si="6"/>
        <v>1.516682657985637</v>
      </c>
      <c r="F197"/>
    </row>
    <row r="198" spans="1:6" ht="15" hidden="1" outlineLevel="1" x14ac:dyDescent="0.2">
      <c r="A198" s="26">
        <v>49</v>
      </c>
      <c r="B198" s="25">
        <v>7551</v>
      </c>
      <c r="C198" s="25">
        <v>6751.2838330433933</v>
      </c>
      <c r="D198" s="24">
        <f t="shared" si="5"/>
        <v>799.71616695660668</v>
      </c>
      <c r="E198" s="18">
        <f t="shared" si="6"/>
        <v>1.4979323760660106</v>
      </c>
      <c r="F198"/>
    </row>
    <row r="199" spans="1:6" ht="15" hidden="1" outlineLevel="1" x14ac:dyDescent="0.2">
      <c r="A199" s="26">
        <v>95</v>
      </c>
      <c r="B199" s="25">
        <v>5251</v>
      </c>
      <c r="C199" s="25">
        <v>6041.9583490961231</v>
      </c>
      <c r="D199" s="24">
        <f t="shared" si="5"/>
        <v>-790.95834909612313</v>
      </c>
      <c r="E199" s="18">
        <f t="shared" si="6"/>
        <v>-1.4815282823900859</v>
      </c>
      <c r="F199"/>
    </row>
    <row r="200" spans="1:6" ht="15" hidden="1" outlineLevel="1" x14ac:dyDescent="0.2">
      <c r="A200" s="26">
        <v>1</v>
      </c>
      <c r="B200" s="25">
        <v>7812</v>
      </c>
      <c r="C200" s="25">
        <v>7032.2246084573408</v>
      </c>
      <c r="D200" s="24">
        <f t="shared" si="5"/>
        <v>779.77539154265924</v>
      </c>
      <c r="E200" s="18">
        <f t="shared" si="6"/>
        <v>1.4605817080032579</v>
      </c>
      <c r="F200"/>
    </row>
    <row r="201" spans="1:6" ht="15" hidden="1" outlineLevel="1" x14ac:dyDescent="0.2">
      <c r="A201" s="26">
        <v>169</v>
      </c>
      <c r="B201" s="25">
        <v>9500</v>
      </c>
      <c r="C201" s="25">
        <v>8726.4923037449407</v>
      </c>
      <c r="D201" s="24">
        <f t="shared" si="5"/>
        <v>773.50769625505927</v>
      </c>
      <c r="E201" s="18">
        <f t="shared" si="6"/>
        <v>1.4488418131723939</v>
      </c>
      <c r="F201"/>
    </row>
    <row r="202" spans="1:6" ht="15" hidden="1" outlineLevel="1" x14ac:dyDescent="0.2">
      <c r="A202" s="26">
        <v>64</v>
      </c>
      <c r="B202" s="25">
        <v>3540</v>
      </c>
      <c r="C202" s="25">
        <v>2772.3671057131414</v>
      </c>
      <c r="D202" s="24">
        <f t="shared" si="5"/>
        <v>767.63289428685857</v>
      </c>
      <c r="E202" s="18">
        <f t="shared" si="6"/>
        <v>1.4378378389691042</v>
      </c>
      <c r="F202"/>
    </row>
    <row r="203" spans="1:6" ht="15" hidden="1" outlineLevel="1" x14ac:dyDescent="0.2">
      <c r="A203" s="26">
        <v>131</v>
      </c>
      <c r="B203" s="25">
        <v>4446</v>
      </c>
      <c r="C203" s="25">
        <v>5179.5713980918781</v>
      </c>
      <c r="D203" s="24">
        <f t="shared" si="5"/>
        <v>-733.57139809187811</v>
      </c>
      <c r="E203" s="18">
        <f t="shared" si="6"/>
        <v>-1.3740379309068742</v>
      </c>
      <c r="F203"/>
    </row>
    <row r="204" spans="1:6" ht="15" hidden="1" outlineLevel="1" x14ac:dyDescent="0.2">
      <c r="A204" s="26">
        <v>39</v>
      </c>
      <c r="B204" s="25">
        <v>5282</v>
      </c>
      <c r="C204" s="25">
        <v>4555.8913421124571</v>
      </c>
      <c r="D204" s="24">
        <f t="shared" si="5"/>
        <v>726.1086578875429</v>
      </c>
      <c r="E204" s="18">
        <f t="shared" si="6"/>
        <v>1.3600596213163796</v>
      </c>
      <c r="F204"/>
    </row>
    <row r="205" spans="1:6" ht="15" hidden="1" outlineLevel="1" x14ac:dyDescent="0.2">
      <c r="A205" s="26">
        <v>52</v>
      </c>
      <c r="B205" s="25">
        <v>3951</v>
      </c>
      <c r="C205" s="25">
        <v>3228.7669259200629</v>
      </c>
      <c r="D205" s="24">
        <f t="shared" si="5"/>
        <v>722.23307407993707</v>
      </c>
      <c r="E205" s="18">
        <f t="shared" si="6"/>
        <v>1.3528003427104927</v>
      </c>
      <c r="F205"/>
    </row>
    <row r="206" spans="1:6" ht="15" hidden="1" outlineLevel="1" x14ac:dyDescent="0.2">
      <c r="A206" s="26">
        <v>84</v>
      </c>
      <c r="B206" s="25">
        <v>5335</v>
      </c>
      <c r="C206" s="25">
        <v>5981.3512310661608</v>
      </c>
      <c r="D206" s="24">
        <f t="shared" si="5"/>
        <v>-646.35123106616084</v>
      </c>
      <c r="E206" s="18">
        <f t="shared" si="6"/>
        <v>-1.2106675784843302</v>
      </c>
      <c r="F206"/>
    </row>
    <row r="207" spans="1:6" ht="15" hidden="1" outlineLevel="1" x14ac:dyDescent="0.2">
      <c r="A207" s="26">
        <v>26</v>
      </c>
      <c r="B207" s="25">
        <v>7127</v>
      </c>
      <c r="C207" s="25">
        <v>6498.1371631234579</v>
      </c>
      <c r="D207" s="24">
        <f t="shared" ref="D207:D238" si="7">B207 - C207</f>
        <v>628.86283687654213</v>
      </c>
      <c r="E207" s="18">
        <f t="shared" ref="E207:E238" si="8">D207 /533.880020042617</f>
        <v>1.1779104167006345</v>
      </c>
      <c r="F207"/>
    </row>
    <row r="208" spans="1:6" ht="15" hidden="1" outlineLevel="1" x14ac:dyDescent="0.2">
      <c r="A208" s="26">
        <v>72</v>
      </c>
      <c r="B208" s="25">
        <v>5449</v>
      </c>
      <c r="C208" s="25">
        <v>6058.4414182868695</v>
      </c>
      <c r="D208" s="24">
        <f t="shared" si="7"/>
        <v>-609.44141828686952</v>
      </c>
      <c r="E208" s="18">
        <f t="shared" si="8"/>
        <v>-1.1415325455300251</v>
      </c>
      <c r="F208"/>
    </row>
    <row r="209" spans="1:6" ht="15" hidden="1" outlineLevel="1" x14ac:dyDescent="0.2">
      <c r="A209" s="26">
        <v>27</v>
      </c>
      <c r="B209" s="25">
        <v>4812</v>
      </c>
      <c r="C209" s="25">
        <v>4217.1119317217735</v>
      </c>
      <c r="D209" s="24">
        <f t="shared" si="7"/>
        <v>594.88806827822646</v>
      </c>
      <c r="E209" s="18">
        <f t="shared" si="8"/>
        <v>1.1142729563671243</v>
      </c>
      <c r="F209"/>
    </row>
    <row r="210" spans="1:6" ht="15" hidden="1" outlineLevel="1" x14ac:dyDescent="0.2">
      <c r="A210" s="26">
        <v>124</v>
      </c>
      <c r="B210" s="25">
        <v>2761</v>
      </c>
      <c r="C210" s="25">
        <v>3353.0132348299117</v>
      </c>
      <c r="D210" s="24">
        <f t="shared" si="7"/>
        <v>-592.01323482991165</v>
      </c>
      <c r="E210" s="18">
        <f t="shared" si="8"/>
        <v>-1.1088881632668219</v>
      </c>
      <c r="F210"/>
    </row>
    <row r="211" spans="1:6" ht="15" hidden="1" outlineLevel="1" x14ac:dyDescent="0.2">
      <c r="A211" s="26">
        <v>121</v>
      </c>
      <c r="B211" s="25">
        <v>9522</v>
      </c>
      <c r="C211" s="25">
        <v>8931.1141530038312</v>
      </c>
      <c r="D211" s="24">
        <f t="shared" si="7"/>
        <v>590.88584699616877</v>
      </c>
      <c r="E211" s="18">
        <f t="shared" si="8"/>
        <v>1.1067764756377307</v>
      </c>
      <c r="F211"/>
    </row>
    <row r="212" spans="1:6" ht="15" hidden="1" outlineLevel="1" x14ac:dyDescent="0.2">
      <c r="A212" s="26">
        <v>93</v>
      </c>
      <c r="B212" s="25">
        <v>2707</v>
      </c>
      <c r="C212" s="25">
        <v>2120.2690206271163</v>
      </c>
      <c r="D212" s="24">
        <f t="shared" si="7"/>
        <v>586.73097937288367</v>
      </c>
      <c r="E212" s="18">
        <f t="shared" si="8"/>
        <v>1.0989940760960633</v>
      </c>
      <c r="F212"/>
    </row>
    <row r="213" spans="1:6" ht="15" hidden="1" outlineLevel="1" x14ac:dyDescent="0.2">
      <c r="A213" s="26">
        <v>3</v>
      </c>
      <c r="B213" s="25">
        <v>4696</v>
      </c>
      <c r="C213" s="25">
        <v>5275.2374315206953</v>
      </c>
      <c r="D213" s="24">
        <f t="shared" si="7"/>
        <v>-579.23743152069528</v>
      </c>
      <c r="E213" s="18">
        <f t="shared" si="8"/>
        <v>-1.0849580613158318</v>
      </c>
      <c r="F213"/>
    </row>
    <row r="214" spans="1:6" ht="15" hidden="1" outlineLevel="1" x14ac:dyDescent="0.2">
      <c r="A214" s="26">
        <v>70</v>
      </c>
      <c r="B214" s="25">
        <v>3093</v>
      </c>
      <c r="C214" s="25">
        <v>3655.818619993976</v>
      </c>
      <c r="D214" s="24">
        <f t="shared" si="7"/>
        <v>-562.81861999397597</v>
      </c>
      <c r="E214" s="18">
        <f t="shared" si="8"/>
        <v>-1.0542043134505181</v>
      </c>
      <c r="F214"/>
    </row>
    <row r="215" spans="1:6" ht="15" hidden="1" outlineLevel="1" x14ac:dyDescent="0.2">
      <c r="A215" s="26">
        <v>107</v>
      </c>
      <c r="B215" s="25">
        <v>4375</v>
      </c>
      <c r="C215" s="25">
        <v>4931.5921616563446</v>
      </c>
      <c r="D215" s="24">
        <f t="shared" si="7"/>
        <v>-556.59216165634462</v>
      </c>
      <c r="E215" s="18">
        <f t="shared" si="8"/>
        <v>-1.0425416587268326</v>
      </c>
      <c r="F215"/>
    </row>
    <row r="216" spans="1:6" ht="15" hidden="1" outlineLevel="1" x14ac:dyDescent="0.2">
      <c r="A216" s="26">
        <v>144</v>
      </c>
      <c r="B216" s="25">
        <v>5878</v>
      </c>
      <c r="C216" s="25">
        <v>6429.0104888588494</v>
      </c>
      <c r="D216" s="24">
        <f t="shared" si="7"/>
        <v>-551.01048885884938</v>
      </c>
      <c r="E216" s="18">
        <f t="shared" si="8"/>
        <v>-1.0320867389172288</v>
      </c>
      <c r="F216"/>
    </row>
    <row r="217" spans="1:6" ht="15" hidden="1" outlineLevel="1" x14ac:dyDescent="0.2">
      <c r="A217" s="26">
        <v>11</v>
      </c>
      <c r="B217" s="25">
        <v>2946</v>
      </c>
      <c r="C217" s="25">
        <v>3495.471645718304</v>
      </c>
      <c r="D217" s="24">
        <f t="shared" si="7"/>
        <v>-549.47164571830399</v>
      </c>
      <c r="E217" s="18">
        <f t="shared" si="8"/>
        <v>-1.0292043625727787</v>
      </c>
      <c r="F217"/>
    </row>
    <row r="218" spans="1:6" ht="15" hidden="1" outlineLevel="1" x14ac:dyDescent="0.2">
      <c r="A218" s="26">
        <v>160</v>
      </c>
      <c r="B218" s="25">
        <v>3372</v>
      </c>
      <c r="C218" s="25">
        <v>3921.0348997857254</v>
      </c>
      <c r="D218" s="24">
        <f t="shared" si="7"/>
        <v>-549.03489978572543</v>
      </c>
      <c r="E218" s="18">
        <f t="shared" si="8"/>
        <v>-1.0283863024915199</v>
      </c>
      <c r="F218"/>
    </row>
    <row r="219" spans="1:6" ht="15" hidden="1" outlineLevel="1" x14ac:dyDescent="0.2">
      <c r="A219" s="26">
        <v>5</v>
      </c>
      <c r="B219" s="25">
        <v>2024</v>
      </c>
      <c r="C219" s="25">
        <v>1480.03222673042</v>
      </c>
      <c r="D219" s="24">
        <f t="shared" si="7"/>
        <v>543.96777326957999</v>
      </c>
      <c r="E219" s="18">
        <f t="shared" si="8"/>
        <v>1.0188951690422086</v>
      </c>
      <c r="F219"/>
    </row>
    <row r="220" spans="1:6" ht="15" hidden="1" outlineLevel="1" x14ac:dyDescent="0.2">
      <c r="A220" s="26">
        <v>148</v>
      </c>
      <c r="B220" s="25">
        <v>3390</v>
      </c>
      <c r="C220" s="25">
        <v>3918.6071639466727</v>
      </c>
      <c r="D220" s="24">
        <f t="shared" si="7"/>
        <v>-528.6071639466727</v>
      </c>
      <c r="E220" s="18">
        <f t="shared" si="8"/>
        <v>-0.99012351858471226</v>
      </c>
      <c r="F220"/>
    </row>
    <row r="221" spans="1:6" ht="15" hidden="1" outlineLevel="1" x14ac:dyDescent="0.2">
      <c r="A221" s="26">
        <v>145</v>
      </c>
      <c r="B221" s="25">
        <v>6935</v>
      </c>
      <c r="C221" s="25">
        <v>7458.490054266962</v>
      </c>
      <c r="D221" s="24">
        <f t="shared" si="7"/>
        <v>-523.49005426696203</v>
      </c>
      <c r="E221" s="18">
        <f t="shared" si="8"/>
        <v>-0.9805387626702613</v>
      </c>
      <c r="F221"/>
    </row>
    <row r="222" spans="1:6" ht="15" hidden="1" outlineLevel="1" x14ac:dyDescent="0.2">
      <c r="A222" s="26">
        <v>63</v>
      </c>
      <c r="B222" s="25">
        <v>5564</v>
      </c>
      <c r="C222" s="25">
        <v>5048.8223415366783</v>
      </c>
      <c r="D222" s="24">
        <f t="shared" si="7"/>
        <v>515.17765846332168</v>
      </c>
      <c r="E222" s="18">
        <f t="shared" si="8"/>
        <v>0.96496898015062926</v>
      </c>
      <c r="F222"/>
    </row>
    <row r="223" spans="1:6" ht="15" hidden="1" outlineLevel="1" x14ac:dyDescent="0.2">
      <c r="A223" s="26">
        <v>18</v>
      </c>
      <c r="B223" s="25">
        <v>1882</v>
      </c>
      <c r="C223" s="25">
        <v>1367.1556356517249</v>
      </c>
      <c r="D223" s="24">
        <f t="shared" si="7"/>
        <v>514.84436434827512</v>
      </c>
      <c r="E223" s="18">
        <f t="shared" si="8"/>
        <v>0.96434469360208985</v>
      </c>
      <c r="F223"/>
    </row>
    <row r="224" spans="1:6" ht="15" hidden="1" outlineLevel="1" x14ac:dyDescent="0.2">
      <c r="A224" s="26">
        <v>25</v>
      </c>
      <c r="B224" s="25">
        <v>7576</v>
      </c>
      <c r="C224" s="25">
        <v>8078.125072837368</v>
      </c>
      <c r="D224" s="24">
        <f t="shared" si="7"/>
        <v>-502.12507283736795</v>
      </c>
      <c r="E224" s="18">
        <f t="shared" si="8"/>
        <v>-0.94052044277155333</v>
      </c>
      <c r="F224"/>
    </row>
    <row r="225" spans="1:6" ht="15" hidden="1" outlineLevel="1" x14ac:dyDescent="0.2">
      <c r="A225" s="26">
        <v>156</v>
      </c>
      <c r="B225" s="25">
        <v>6700</v>
      </c>
      <c r="C225" s="25">
        <v>7185.0304955343672</v>
      </c>
      <c r="D225" s="24">
        <f t="shared" si="7"/>
        <v>-485.03049553436722</v>
      </c>
      <c r="E225" s="18">
        <f t="shared" si="8"/>
        <v>-0.90850093153073908</v>
      </c>
      <c r="F225"/>
    </row>
    <row r="226" spans="1:6" ht="15" hidden="1" outlineLevel="1" x14ac:dyDescent="0.2">
      <c r="A226" s="26">
        <v>139</v>
      </c>
      <c r="B226" s="25">
        <v>1976</v>
      </c>
      <c r="C226" s="25">
        <v>2456.1015254020995</v>
      </c>
      <c r="D226" s="24">
        <f t="shared" si="7"/>
        <v>-480.10152540209947</v>
      </c>
      <c r="E226" s="18">
        <f t="shared" si="8"/>
        <v>-0.89926857604406196</v>
      </c>
      <c r="F226"/>
    </row>
    <row r="227" spans="1:6" ht="15" hidden="1" outlineLevel="1" x14ac:dyDescent="0.2">
      <c r="A227" s="26">
        <v>136</v>
      </c>
      <c r="B227" s="25">
        <v>3370</v>
      </c>
      <c r="C227" s="25">
        <v>3835.2905063744156</v>
      </c>
      <c r="D227" s="24">
        <f t="shared" si="7"/>
        <v>-465.2905063744156</v>
      </c>
      <c r="E227" s="18">
        <f t="shared" si="8"/>
        <v>-0.87152635218915608</v>
      </c>
      <c r="F227"/>
    </row>
    <row r="228" spans="1:6" ht="15" hidden="1" outlineLevel="1" x14ac:dyDescent="0.2">
      <c r="A228" s="26">
        <v>51</v>
      </c>
      <c r="B228" s="25">
        <v>6156</v>
      </c>
      <c r="C228" s="25">
        <v>5694.4199786788913</v>
      </c>
      <c r="D228" s="24">
        <f t="shared" si="7"/>
        <v>461.58002132110869</v>
      </c>
      <c r="E228" s="18">
        <f t="shared" si="8"/>
        <v>0.86457631676170055</v>
      </c>
      <c r="F228"/>
    </row>
    <row r="229" spans="1:6" ht="15" hidden="1" outlineLevel="1" x14ac:dyDescent="0.2">
      <c r="A229" s="26">
        <v>22</v>
      </c>
      <c r="B229" s="25">
        <v>2429</v>
      </c>
      <c r="C229" s="25">
        <v>2888.4024097809665</v>
      </c>
      <c r="D229" s="24">
        <f t="shared" si="7"/>
        <v>-459.40240978096654</v>
      </c>
      <c r="E229" s="18">
        <f t="shared" si="8"/>
        <v>-0.86049747608890603</v>
      </c>
      <c r="F229"/>
    </row>
    <row r="230" spans="1:6" ht="15" hidden="1" outlineLevel="1" x14ac:dyDescent="0.2">
      <c r="A230" s="26">
        <v>4</v>
      </c>
      <c r="B230" s="25">
        <v>3203</v>
      </c>
      <c r="C230" s="25">
        <v>2747.4324388990653</v>
      </c>
      <c r="D230" s="24">
        <f t="shared" si="7"/>
        <v>455.56756110093465</v>
      </c>
      <c r="E230" s="18">
        <f t="shared" si="8"/>
        <v>0.85331449763669542</v>
      </c>
      <c r="F230"/>
    </row>
    <row r="231" spans="1:6" ht="15" hidden="1" outlineLevel="1" x14ac:dyDescent="0.2">
      <c r="A231" s="26">
        <v>42</v>
      </c>
      <c r="B231" s="25">
        <v>2035</v>
      </c>
      <c r="C231" s="25">
        <v>1583.1449030402289</v>
      </c>
      <c r="D231" s="24">
        <f t="shared" si="7"/>
        <v>451.85509695977112</v>
      </c>
      <c r="E231" s="18">
        <f t="shared" si="8"/>
        <v>0.84636075521931264</v>
      </c>
      <c r="F231"/>
    </row>
    <row r="232" spans="1:6" ht="15" hidden="1" outlineLevel="1" x14ac:dyDescent="0.2">
      <c r="A232" s="26">
        <v>44</v>
      </c>
      <c r="B232" s="25">
        <v>2038</v>
      </c>
      <c r="C232" s="25">
        <v>1604.8000051184554</v>
      </c>
      <c r="D232" s="24">
        <f t="shared" si="7"/>
        <v>433.19999488154463</v>
      </c>
      <c r="E232" s="18">
        <f t="shared" si="8"/>
        <v>0.81141825619727137</v>
      </c>
      <c r="F232"/>
    </row>
    <row r="233" spans="1:6" ht="15" hidden="1" outlineLevel="1" x14ac:dyDescent="0.2">
      <c r="A233" s="26">
        <v>66</v>
      </c>
      <c r="B233" s="25">
        <v>2232</v>
      </c>
      <c r="C233" s="25">
        <v>1802.7901668912507</v>
      </c>
      <c r="D233" s="24">
        <f t="shared" si="7"/>
        <v>429.20983310874931</v>
      </c>
      <c r="E233" s="18">
        <f t="shared" si="8"/>
        <v>0.80394436389375945</v>
      </c>
      <c r="F233"/>
    </row>
    <row r="234" spans="1:6" ht="15" hidden="1" outlineLevel="1" x14ac:dyDescent="0.2">
      <c r="A234" s="26">
        <v>112</v>
      </c>
      <c r="B234" s="25">
        <v>2691</v>
      </c>
      <c r="C234" s="25">
        <v>3112.4887293693919</v>
      </c>
      <c r="D234" s="24">
        <f t="shared" si="7"/>
        <v>-421.48872936939188</v>
      </c>
      <c r="E234" s="18">
        <f t="shared" si="8"/>
        <v>-0.78948211872724972</v>
      </c>
      <c r="F234"/>
    </row>
    <row r="235" spans="1:6" ht="15" hidden="1" outlineLevel="1" x14ac:dyDescent="0.2">
      <c r="A235" s="26">
        <v>41</v>
      </c>
      <c r="B235" s="25">
        <v>2214</v>
      </c>
      <c r="C235" s="25">
        <v>1795.7901357725113</v>
      </c>
      <c r="D235" s="24">
        <f t="shared" si="7"/>
        <v>418.20986422748865</v>
      </c>
      <c r="E235" s="18">
        <f t="shared" si="8"/>
        <v>0.78334054193319502</v>
      </c>
      <c r="F235"/>
    </row>
    <row r="236" spans="1:6" ht="15" hidden="1" outlineLevel="1" x14ac:dyDescent="0.2">
      <c r="A236" s="26">
        <v>161</v>
      </c>
      <c r="B236" s="25">
        <v>3314</v>
      </c>
      <c r="C236" s="25">
        <v>2897.2154519323235</v>
      </c>
      <c r="D236" s="24">
        <f t="shared" si="7"/>
        <v>416.7845480676765</v>
      </c>
      <c r="E236" s="18">
        <f t="shared" si="8"/>
        <v>0.78067081070838096</v>
      </c>
      <c r="F236"/>
    </row>
    <row r="237" spans="1:6" ht="15" hidden="1" outlineLevel="1" x14ac:dyDescent="0.2">
      <c r="A237" s="26">
        <v>16</v>
      </c>
      <c r="B237" s="25">
        <v>2861</v>
      </c>
      <c r="C237" s="25">
        <v>2445.9554687913328</v>
      </c>
      <c r="D237" s="24">
        <f t="shared" si="7"/>
        <v>415.04453120866719</v>
      </c>
      <c r="E237" s="18">
        <f t="shared" si="8"/>
        <v>0.77741161989080654</v>
      </c>
      <c r="F237"/>
    </row>
    <row r="238" spans="1:6" ht="15" hidden="1" outlineLevel="1" x14ac:dyDescent="0.2">
      <c r="A238" s="26">
        <v>37</v>
      </c>
      <c r="B238" s="25">
        <v>7463</v>
      </c>
      <c r="C238" s="25">
        <v>7874.4460081019843</v>
      </c>
      <c r="D238" s="24">
        <f t="shared" si="7"/>
        <v>-411.44600810198426</v>
      </c>
      <c r="E238" s="18">
        <f t="shared" si="8"/>
        <v>-0.77067129814886226</v>
      </c>
      <c r="F238"/>
    </row>
    <row r="239" spans="1:6" ht="15" hidden="1" outlineLevel="1" x14ac:dyDescent="0.2">
      <c r="A239" s="26">
        <v>173</v>
      </c>
      <c r="B239" s="25">
        <v>2502</v>
      </c>
      <c r="C239" s="25">
        <v>2910.6111771589294</v>
      </c>
      <c r="D239" s="24">
        <f t="shared" ref="D239:D270" si="9">B239 - C239</f>
        <v>-408.61117715892942</v>
      </c>
      <c r="E239" s="18">
        <f t="shared" ref="E239:E270" si="10">D239 /533.880020042617</f>
        <v>-0.76536143294201564</v>
      </c>
      <c r="F239"/>
    </row>
    <row r="240" spans="1:6" ht="15" hidden="1" outlineLevel="1" x14ac:dyDescent="0.2">
      <c r="A240" s="26">
        <v>58</v>
      </c>
      <c r="B240" s="25">
        <v>2564</v>
      </c>
      <c r="C240" s="25">
        <v>2963.7785514125176</v>
      </c>
      <c r="D240" s="24">
        <f t="shared" si="9"/>
        <v>-399.77855141251757</v>
      </c>
      <c r="E240" s="18">
        <f t="shared" si="10"/>
        <v>-0.74881721810942692</v>
      </c>
      <c r="F240"/>
    </row>
    <row r="241" spans="1:6" ht="15" hidden="1" outlineLevel="1" x14ac:dyDescent="0.2">
      <c r="A241" s="26">
        <v>88</v>
      </c>
      <c r="B241" s="25">
        <v>3120</v>
      </c>
      <c r="C241" s="25">
        <v>3514.8198637041978</v>
      </c>
      <c r="D241" s="24">
        <f t="shared" si="9"/>
        <v>-394.81986370419781</v>
      </c>
      <c r="E241" s="18">
        <f t="shared" si="10"/>
        <v>-0.73952919922472704</v>
      </c>
      <c r="F241"/>
    </row>
    <row r="242" spans="1:6" ht="15" hidden="1" outlineLevel="1" x14ac:dyDescent="0.2">
      <c r="A242" s="26">
        <v>132</v>
      </c>
      <c r="B242" s="25">
        <v>6081</v>
      </c>
      <c r="C242" s="25">
        <v>6465.4277154340471</v>
      </c>
      <c r="D242" s="24">
        <f t="shared" si="9"/>
        <v>-384.42771543404706</v>
      </c>
      <c r="E242" s="18">
        <f t="shared" si="10"/>
        <v>-0.72006387390814897</v>
      </c>
      <c r="F242"/>
    </row>
    <row r="243" spans="1:6" ht="15" hidden="1" outlineLevel="1" x14ac:dyDescent="0.2">
      <c r="A243" s="26">
        <v>38</v>
      </c>
      <c r="B243" s="25">
        <v>7438</v>
      </c>
      <c r="C243" s="25">
        <v>7059.9323577277219</v>
      </c>
      <c r="D243" s="24">
        <f t="shared" si="9"/>
        <v>378.06764227227814</v>
      </c>
      <c r="E243" s="18">
        <f t="shared" si="10"/>
        <v>0.7081509479266499</v>
      </c>
      <c r="F243"/>
    </row>
    <row r="244" spans="1:6" ht="15" hidden="1" outlineLevel="1" x14ac:dyDescent="0.2">
      <c r="A244" s="26">
        <v>54</v>
      </c>
      <c r="B244" s="25">
        <v>2108</v>
      </c>
      <c r="C244" s="25">
        <v>1732.72649649562</v>
      </c>
      <c r="D244" s="24">
        <f t="shared" si="9"/>
        <v>375.27350350437996</v>
      </c>
      <c r="E244" s="18">
        <f t="shared" si="10"/>
        <v>0.70291730242016492</v>
      </c>
      <c r="F244"/>
    </row>
    <row r="245" spans="1:6" ht="15" hidden="1" outlineLevel="1" x14ac:dyDescent="0.2">
      <c r="A245" s="26">
        <v>172</v>
      </c>
      <c r="B245" s="25">
        <v>3543</v>
      </c>
      <c r="C245" s="25">
        <v>3911.1236475637816</v>
      </c>
      <c r="D245" s="24">
        <f t="shared" si="9"/>
        <v>-368.12364756378156</v>
      </c>
      <c r="E245" s="18">
        <f t="shared" si="10"/>
        <v>-0.68952505009345744</v>
      </c>
      <c r="F245"/>
    </row>
    <row r="246" spans="1:6" ht="15" hidden="1" outlineLevel="1" x14ac:dyDescent="0.2">
      <c r="A246" s="26">
        <v>127</v>
      </c>
      <c r="B246" s="25">
        <v>1980</v>
      </c>
      <c r="C246" s="25">
        <v>2348.1068917078474</v>
      </c>
      <c r="D246" s="24">
        <f t="shared" si="9"/>
        <v>-368.10689170784735</v>
      </c>
      <c r="E246" s="18">
        <f t="shared" si="10"/>
        <v>-0.68949366503444565</v>
      </c>
      <c r="F246"/>
    </row>
    <row r="247" spans="1:6" ht="15" hidden="1" outlineLevel="1" x14ac:dyDescent="0.2">
      <c r="A247" s="26">
        <v>43</v>
      </c>
      <c r="B247" s="25">
        <v>1949</v>
      </c>
      <c r="C247" s="25">
        <v>1592.1444558480832</v>
      </c>
      <c r="D247" s="24">
        <f t="shared" si="9"/>
        <v>356.85554415191677</v>
      </c>
      <c r="E247" s="18">
        <f t="shared" si="10"/>
        <v>0.66841899070025268</v>
      </c>
      <c r="F247"/>
    </row>
    <row r="248" spans="1:6" ht="15" hidden="1" outlineLevel="1" x14ac:dyDescent="0.2">
      <c r="A248" s="26">
        <v>29</v>
      </c>
      <c r="B248" s="25">
        <v>2268</v>
      </c>
      <c r="C248" s="25">
        <v>1918.123279216876</v>
      </c>
      <c r="D248" s="24">
        <f t="shared" si="9"/>
        <v>349.87672078312403</v>
      </c>
      <c r="E248" s="18">
        <f t="shared" si="10"/>
        <v>0.65534709606700592</v>
      </c>
      <c r="F248"/>
    </row>
    <row r="249" spans="1:6" ht="15" hidden="1" outlineLevel="1" x14ac:dyDescent="0.2">
      <c r="A249" s="26">
        <v>45</v>
      </c>
      <c r="B249" s="25">
        <v>2017</v>
      </c>
      <c r="C249" s="25">
        <v>1672.2955013265932</v>
      </c>
      <c r="D249" s="24">
        <f t="shared" si="9"/>
        <v>344.70449867340676</v>
      </c>
      <c r="E249" s="18">
        <f t="shared" si="10"/>
        <v>0.64565911016091349</v>
      </c>
      <c r="F249"/>
    </row>
    <row r="250" spans="1:6" ht="15" hidden="1" outlineLevel="1" x14ac:dyDescent="0.2">
      <c r="A250" s="26">
        <v>137</v>
      </c>
      <c r="B250" s="25">
        <v>2205</v>
      </c>
      <c r="C250" s="25">
        <v>2545.497315872849</v>
      </c>
      <c r="D250" s="24">
        <f t="shared" si="9"/>
        <v>-340.49731587284896</v>
      </c>
      <c r="E250" s="18">
        <f t="shared" si="10"/>
        <v>-0.63777872010581838</v>
      </c>
      <c r="F250"/>
    </row>
    <row r="251" spans="1:6" ht="15" hidden="1" outlineLevel="1" x14ac:dyDescent="0.2">
      <c r="A251" s="26">
        <v>40</v>
      </c>
      <c r="B251" s="25">
        <v>3483</v>
      </c>
      <c r="C251" s="25">
        <v>3148.1922656946936</v>
      </c>
      <c r="D251" s="24">
        <f t="shared" si="9"/>
        <v>334.80773430530644</v>
      </c>
      <c r="E251" s="18">
        <f t="shared" si="10"/>
        <v>0.62712167853477707</v>
      </c>
      <c r="F251"/>
    </row>
    <row r="252" spans="1:6" ht="15" hidden="1" outlineLevel="1" x14ac:dyDescent="0.2">
      <c r="A252" s="26">
        <v>13</v>
      </c>
      <c r="B252" s="25">
        <v>6314</v>
      </c>
      <c r="C252" s="25">
        <v>6648.0307183851446</v>
      </c>
      <c r="D252" s="24">
        <f t="shared" si="9"/>
        <v>-334.03071838514461</v>
      </c>
      <c r="E252" s="18">
        <f t="shared" si="10"/>
        <v>-0.62566626553749016</v>
      </c>
      <c r="F252"/>
    </row>
    <row r="253" spans="1:6" ht="15" hidden="1" outlineLevel="1" x14ac:dyDescent="0.2">
      <c r="A253" s="26">
        <v>67</v>
      </c>
      <c r="B253" s="25">
        <v>2138</v>
      </c>
      <c r="C253" s="25">
        <v>1808.1337232365872</v>
      </c>
      <c r="D253" s="24">
        <f t="shared" si="9"/>
        <v>329.86627676341277</v>
      </c>
      <c r="E253" s="18">
        <f t="shared" si="10"/>
        <v>0.61786593313059579</v>
      </c>
      <c r="F253"/>
    </row>
    <row r="254" spans="1:6" ht="15" hidden="1" outlineLevel="1" x14ac:dyDescent="0.2">
      <c r="A254" s="26">
        <v>135</v>
      </c>
      <c r="B254" s="25">
        <v>3545</v>
      </c>
      <c r="C254" s="25">
        <v>3864.6789164229976</v>
      </c>
      <c r="D254" s="24">
        <f t="shared" si="9"/>
        <v>-319.67891642299764</v>
      </c>
      <c r="E254" s="18">
        <f t="shared" si="10"/>
        <v>-0.5987841919940724</v>
      </c>
      <c r="F254"/>
    </row>
    <row r="255" spans="1:6" ht="15" hidden="1" outlineLevel="1" x14ac:dyDescent="0.2">
      <c r="A255" s="26">
        <v>119</v>
      </c>
      <c r="B255" s="25">
        <v>5190</v>
      </c>
      <c r="C255" s="25">
        <v>5509.3823407841237</v>
      </c>
      <c r="D255" s="24">
        <f t="shared" si="9"/>
        <v>-319.3823407841237</v>
      </c>
      <c r="E255" s="18">
        <f t="shared" si="10"/>
        <v>-0.59822868208971181</v>
      </c>
      <c r="F255"/>
    </row>
    <row r="256" spans="1:6" ht="15" hidden="1" outlineLevel="1" x14ac:dyDescent="0.2">
      <c r="A256" s="26">
        <v>115</v>
      </c>
      <c r="B256" s="25">
        <v>1926</v>
      </c>
      <c r="C256" s="25">
        <v>2240.1122580135952</v>
      </c>
      <c r="D256" s="24">
        <f t="shared" si="9"/>
        <v>-314.11225801359524</v>
      </c>
      <c r="E256" s="18">
        <f t="shared" si="10"/>
        <v>-0.58835739533485665</v>
      </c>
      <c r="F256"/>
    </row>
    <row r="257" spans="1:6" ht="15" hidden="1" outlineLevel="1" x14ac:dyDescent="0.2">
      <c r="A257" s="26">
        <v>146</v>
      </c>
      <c r="B257" s="25">
        <v>7155</v>
      </c>
      <c r="C257" s="25">
        <v>7467.9466066326313</v>
      </c>
      <c r="D257" s="24">
        <f t="shared" si="9"/>
        <v>-312.9466066326313</v>
      </c>
      <c r="E257" s="18">
        <f t="shared" si="10"/>
        <v>-0.58617403701987258</v>
      </c>
      <c r="F257"/>
    </row>
    <row r="258" spans="1:6" ht="15" hidden="1" outlineLevel="1" x14ac:dyDescent="0.2">
      <c r="A258" s="26">
        <v>159</v>
      </c>
      <c r="B258" s="25">
        <v>7426</v>
      </c>
      <c r="C258" s="25">
        <v>7118.3442446059134</v>
      </c>
      <c r="D258" s="24">
        <f t="shared" si="9"/>
        <v>307.65575539408655</v>
      </c>
      <c r="E258" s="18">
        <f t="shared" si="10"/>
        <v>0.57626384926247642</v>
      </c>
      <c r="F258"/>
    </row>
    <row r="259" spans="1:6" ht="15" hidden="1" outlineLevel="1" x14ac:dyDescent="0.2">
      <c r="A259" s="26">
        <v>6</v>
      </c>
      <c r="B259" s="25">
        <v>1564</v>
      </c>
      <c r="C259" s="25">
        <v>1259.1610019574728</v>
      </c>
      <c r="D259" s="24">
        <f t="shared" si="9"/>
        <v>304.83899804252724</v>
      </c>
      <c r="E259" s="18">
        <f t="shared" si="10"/>
        <v>0.57098783733879654</v>
      </c>
      <c r="F259"/>
    </row>
    <row r="260" spans="1:6" ht="15" hidden="1" outlineLevel="1" x14ac:dyDescent="0.2">
      <c r="A260" s="26">
        <v>7</v>
      </c>
      <c r="B260" s="25">
        <v>1569</v>
      </c>
      <c r="C260" s="25">
        <v>1268.1605547653271</v>
      </c>
      <c r="D260" s="24">
        <f t="shared" si="9"/>
        <v>300.83944523467289</v>
      </c>
      <c r="E260" s="18">
        <f t="shared" si="10"/>
        <v>0.56349635487512406</v>
      </c>
      <c r="F260"/>
    </row>
    <row r="261" spans="1:6" ht="15" hidden="1" outlineLevel="1" x14ac:dyDescent="0.2">
      <c r="A261" s="26">
        <v>87</v>
      </c>
      <c r="B261" s="25">
        <v>4686</v>
      </c>
      <c r="C261" s="25">
        <v>4986.4988782160208</v>
      </c>
      <c r="D261" s="24">
        <f t="shared" si="9"/>
        <v>-300.49887821602078</v>
      </c>
      <c r="E261" s="18">
        <f t="shared" si="10"/>
        <v>-0.56285844559613496</v>
      </c>
      <c r="F261"/>
    </row>
    <row r="262" spans="1:6" ht="15" hidden="1" outlineLevel="1" x14ac:dyDescent="0.2">
      <c r="A262" s="26">
        <v>57</v>
      </c>
      <c r="B262" s="25">
        <v>2026</v>
      </c>
      <c r="C262" s="25">
        <v>1725.9071876408941</v>
      </c>
      <c r="D262" s="24">
        <f t="shared" si="9"/>
        <v>300.09281235910589</v>
      </c>
      <c r="E262" s="18">
        <f t="shared" si="10"/>
        <v>0.56209785175169313</v>
      </c>
      <c r="F262"/>
    </row>
    <row r="263" spans="1:6" ht="15" hidden="1" outlineLevel="1" x14ac:dyDescent="0.2">
      <c r="A263" s="26">
        <v>74</v>
      </c>
      <c r="B263" s="25">
        <v>7443</v>
      </c>
      <c r="C263" s="25">
        <v>7152.2174829984178</v>
      </c>
      <c r="D263" s="24">
        <f t="shared" si="9"/>
        <v>290.78251700158216</v>
      </c>
      <c r="E263" s="18">
        <f t="shared" si="10"/>
        <v>0.54465892351313394</v>
      </c>
      <c r="F263"/>
    </row>
    <row r="264" spans="1:6" ht="15" hidden="1" outlineLevel="1" x14ac:dyDescent="0.2">
      <c r="A264" s="26">
        <v>2</v>
      </c>
      <c r="B264" s="25">
        <v>5397</v>
      </c>
      <c r="C264" s="25">
        <v>5118.1700219808736</v>
      </c>
      <c r="D264" s="24">
        <f t="shared" si="9"/>
        <v>278.82997801912643</v>
      </c>
      <c r="E264" s="18">
        <f t="shared" si="10"/>
        <v>0.52227086152590763</v>
      </c>
      <c r="F264"/>
    </row>
    <row r="265" spans="1:6" ht="15" hidden="1" outlineLevel="1" x14ac:dyDescent="0.2">
      <c r="A265" s="26">
        <v>102</v>
      </c>
      <c r="B265" s="25">
        <v>1853</v>
      </c>
      <c r="C265" s="25">
        <v>2123.1180715114892</v>
      </c>
      <c r="D265" s="24">
        <f t="shared" si="9"/>
        <v>-270.11807151148923</v>
      </c>
      <c r="E265" s="18">
        <f t="shared" si="10"/>
        <v>-0.50595276348780949</v>
      </c>
      <c r="F265"/>
    </row>
    <row r="266" spans="1:6" ht="15" hidden="1" outlineLevel="1" x14ac:dyDescent="0.2">
      <c r="A266" s="26">
        <v>82</v>
      </c>
      <c r="B266" s="25">
        <v>2352</v>
      </c>
      <c r="C266" s="25">
        <v>2619.4863609201811</v>
      </c>
      <c r="D266" s="24">
        <f t="shared" si="9"/>
        <v>-267.48636092018114</v>
      </c>
      <c r="E266" s="18">
        <f t="shared" si="10"/>
        <v>-0.50102335895400052</v>
      </c>
      <c r="F266"/>
    </row>
    <row r="267" spans="1:6" ht="15" hidden="1" outlineLevel="1" x14ac:dyDescent="0.2">
      <c r="A267" s="26">
        <v>162</v>
      </c>
      <c r="B267" s="25">
        <v>2930</v>
      </c>
      <c r="C267" s="25">
        <v>2663.0912399827494</v>
      </c>
      <c r="D267" s="24">
        <f t="shared" si="9"/>
        <v>266.90876001725064</v>
      </c>
      <c r="E267" s="18">
        <f t="shared" si="10"/>
        <v>0.49994146624169344</v>
      </c>
      <c r="F267"/>
    </row>
    <row r="268" spans="1:6" ht="15" hidden="1" outlineLevel="1" x14ac:dyDescent="0.2">
      <c r="A268" s="26">
        <v>111</v>
      </c>
      <c r="B268" s="25">
        <v>5153</v>
      </c>
      <c r="C268" s="25">
        <v>5418.6489364508852</v>
      </c>
      <c r="D268" s="24">
        <f t="shared" si="9"/>
        <v>-265.64893645088523</v>
      </c>
      <c r="E268" s="18">
        <f t="shared" si="10"/>
        <v>-0.49758171588755046</v>
      </c>
      <c r="F268"/>
    </row>
    <row r="269" spans="1:6" ht="15" hidden="1" outlineLevel="1" x14ac:dyDescent="0.2">
      <c r="A269" s="26">
        <v>69</v>
      </c>
      <c r="B269" s="25">
        <v>2285</v>
      </c>
      <c r="C269" s="25">
        <v>2019.9006413657353</v>
      </c>
      <c r="D269" s="24">
        <f t="shared" si="9"/>
        <v>265.09935863426472</v>
      </c>
      <c r="E269" s="18">
        <f t="shared" si="10"/>
        <v>0.49655231265838179</v>
      </c>
      <c r="F269"/>
    </row>
    <row r="270" spans="1:6" ht="15" hidden="1" outlineLevel="1" x14ac:dyDescent="0.2">
      <c r="A270" s="26">
        <v>77</v>
      </c>
      <c r="B270" s="25">
        <v>2602</v>
      </c>
      <c r="C270" s="25">
        <v>2338.6768250485161</v>
      </c>
      <c r="D270" s="24">
        <f t="shared" si="9"/>
        <v>263.32317495148391</v>
      </c>
      <c r="E270" s="18">
        <f t="shared" si="10"/>
        <v>0.49322537848572062</v>
      </c>
      <c r="F270"/>
    </row>
    <row r="271" spans="1:6" ht="15" hidden="1" outlineLevel="1" x14ac:dyDescent="0.2">
      <c r="A271" s="26">
        <v>100</v>
      </c>
      <c r="B271" s="25">
        <v>3161</v>
      </c>
      <c r="C271" s="25">
        <v>3418.9926946130868</v>
      </c>
      <c r="D271" s="24">
        <f t="shared" ref="D271:D302" si="11">B271 - C271</f>
        <v>-257.99269461308677</v>
      </c>
      <c r="E271" s="18">
        <f t="shared" ref="E271:E302" si="12">D271 /533.880020042617</f>
        <v>-0.48324096225307789</v>
      </c>
      <c r="F271"/>
    </row>
    <row r="272" spans="1:6" ht="15" hidden="1" outlineLevel="1" x14ac:dyDescent="0.2">
      <c r="A272" s="26">
        <v>55</v>
      </c>
      <c r="B272" s="25">
        <v>1958</v>
      </c>
      <c r="C272" s="25">
        <v>1700.1390895423353</v>
      </c>
      <c r="D272" s="24">
        <f t="shared" si="11"/>
        <v>257.86091045766466</v>
      </c>
      <c r="E272" s="18">
        <f t="shared" si="12"/>
        <v>0.48299411998426328</v>
      </c>
      <c r="F272"/>
    </row>
    <row r="273" spans="1:6" ht="15" hidden="1" outlineLevel="1" x14ac:dyDescent="0.2">
      <c r="A273" s="26">
        <v>114</v>
      </c>
      <c r="B273" s="25">
        <v>1977</v>
      </c>
      <c r="C273" s="25">
        <v>2231.1127052057409</v>
      </c>
      <c r="D273" s="24">
        <f t="shared" si="11"/>
        <v>-254.11270520574089</v>
      </c>
      <c r="E273" s="18">
        <f t="shared" si="12"/>
        <v>-0.47597343160633043</v>
      </c>
      <c r="F273"/>
    </row>
    <row r="274" spans="1:6" ht="15" hidden="1" outlineLevel="1" x14ac:dyDescent="0.2">
      <c r="A274" s="26">
        <v>96</v>
      </c>
      <c r="B274" s="25">
        <v>6241</v>
      </c>
      <c r="C274" s="25">
        <v>6483.7364831545128</v>
      </c>
      <c r="D274" s="24">
        <f t="shared" si="11"/>
        <v>-242.73648315451283</v>
      </c>
      <c r="E274" s="18">
        <f t="shared" si="12"/>
        <v>-0.45466485734966511</v>
      </c>
      <c r="F274"/>
    </row>
    <row r="275" spans="1:6" ht="15" hidden="1" outlineLevel="1" x14ac:dyDescent="0.2">
      <c r="A275" s="26">
        <v>14</v>
      </c>
      <c r="B275" s="25">
        <v>5606</v>
      </c>
      <c r="C275" s="25">
        <v>5845.3990565140648</v>
      </c>
      <c r="D275" s="24">
        <f t="shared" si="11"/>
        <v>-239.3990565140648</v>
      </c>
      <c r="E275" s="18">
        <f t="shared" si="12"/>
        <v>-0.44841359018259336</v>
      </c>
      <c r="F275"/>
    </row>
    <row r="276" spans="1:6" ht="15" hidden="1" outlineLevel="1" x14ac:dyDescent="0.2">
      <c r="A276" s="26">
        <v>53</v>
      </c>
      <c r="B276" s="25">
        <v>2488</v>
      </c>
      <c r="C276" s="25">
        <v>2255.6744289840944</v>
      </c>
      <c r="D276" s="24">
        <f t="shared" si="11"/>
        <v>232.32557101590555</v>
      </c>
      <c r="E276" s="18">
        <f t="shared" si="12"/>
        <v>0.43516438580593469</v>
      </c>
      <c r="F276"/>
    </row>
    <row r="277" spans="1:6" ht="15" hidden="1" outlineLevel="1" x14ac:dyDescent="0.2">
      <c r="A277" s="26">
        <v>21</v>
      </c>
      <c r="B277" s="25">
        <v>1624</v>
      </c>
      <c r="C277" s="25">
        <v>1397.8102905378055</v>
      </c>
      <c r="D277" s="24">
        <f t="shared" si="11"/>
        <v>226.18970946219451</v>
      </c>
      <c r="E277" s="18">
        <f t="shared" si="12"/>
        <v>0.42367142610832093</v>
      </c>
      <c r="F277"/>
    </row>
    <row r="278" spans="1:6" ht="15" hidden="1" outlineLevel="1" x14ac:dyDescent="0.2">
      <c r="A278" s="26">
        <v>158</v>
      </c>
      <c r="B278" s="25">
        <v>7396</v>
      </c>
      <c r="C278" s="25">
        <v>7176.523626796823</v>
      </c>
      <c r="D278" s="24">
        <f t="shared" si="11"/>
        <v>219.47637320317699</v>
      </c>
      <c r="E278" s="18">
        <f t="shared" si="12"/>
        <v>0.41109681007664839</v>
      </c>
      <c r="F278"/>
    </row>
    <row r="279" spans="1:6" ht="15" hidden="1" outlineLevel="1" x14ac:dyDescent="0.2">
      <c r="A279" s="26">
        <v>163</v>
      </c>
      <c r="B279" s="25">
        <v>2889</v>
      </c>
      <c r="C279" s="25">
        <v>2672.0907927906037</v>
      </c>
      <c r="D279" s="24">
        <f t="shared" si="11"/>
        <v>216.9092072093963</v>
      </c>
      <c r="E279" s="18">
        <f t="shared" si="12"/>
        <v>0.40628830273903394</v>
      </c>
      <c r="F279"/>
    </row>
    <row r="280" spans="1:6" ht="15" hidden="1" outlineLevel="1" x14ac:dyDescent="0.2">
      <c r="A280" s="26">
        <v>46</v>
      </c>
      <c r="B280" s="25">
        <v>2305</v>
      </c>
      <c r="C280" s="25">
        <v>2521.2602413978939</v>
      </c>
      <c r="D280" s="24">
        <f t="shared" si="11"/>
        <v>-216.26024139789388</v>
      </c>
      <c r="E280" s="18">
        <f t="shared" si="12"/>
        <v>-0.40507273784216702</v>
      </c>
      <c r="F280"/>
    </row>
    <row r="281" spans="1:6" ht="15" hidden="1" outlineLevel="1" x14ac:dyDescent="0.2">
      <c r="A281" s="26">
        <v>78</v>
      </c>
      <c r="B281" s="25">
        <v>2131</v>
      </c>
      <c r="C281" s="25">
        <v>1915.8117957214645</v>
      </c>
      <c r="D281" s="24">
        <f t="shared" si="11"/>
        <v>215.18820427853552</v>
      </c>
      <c r="E281" s="18">
        <f t="shared" si="12"/>
        <v>0.40306472653042552</v>
      </c>
      <c r="F281"/>
    </row>
    <row r="282" spans="1:6" ht="15" hidden="1" outlineLevel="1" x14ac:dyDescent="0.2">
      <c r="A282" s="26">
        <v>105</v>
      </c>
      <c r="B282" s="25">
        <v>2450</v>
      </c>
      <c r="C282" s="25">
        <v>2235.5756472464036</v>
      </c>
      <c r="D282" s="24">
        <f t="shared" si="11"/>
        <v>214.42435275359639</v>
      </c>
      <c r="E282" s="18">
        <f t="shared" si="12"/>
        <v>0.40163397149883967</v>
      </c>
      <c r="F282"/>
    </row>
    <row r="283" spans="1:6" ht="15" hidden="1" outlineLevel="1" x14ac:dyDescent="0.2">
      <c r="A283" s="26">
        <v>153</v>
      </c>
      <c r="B283" s="25">
        <v>2873</v>
      </c>
      <c r="C283" s="25">
        <v>2662.0701873296357</v>
      </c>
      <c r="D283" s="24">
        <f t="shared" si="11"/>
        <v>210.9298126703643</v>
      </c>
      <c r="E283" s="18">
        <f t="shared" si="12"/>
        <v>0.39508841828080921</v>
      </c>
      <c r="F283"/>
    </row>
    <row r="284" spans="1:6" ht="15" hidden="1" outlineLevel="1" x14ac:dyDescent="0.2">
      <c r="A284" s="26">
        <v>140</v>
      </c>
      <c r="B284" s="25">
        <v>2673</v>
      </c>
      <c r="C284" s="25">
        <v>2465.1010782099538</v>
      </c>
      <c r="D284" s="24">
        <f t="shared" si="11"/>
        <v>207.89892179004619</v>
      </c>
      <c r="E284" s="18">
        <f t="shared" si="12"/>
        <v>0.38941131712224525</v>
      </c>
      <c r="F284"/>
    </row>
    <row r="285" spans="1:6" ht="15" hidden="1" outlineLevel="1" x14ac:dyDescent="0.2">
      <c r="A285" s="26">
        <v>126</v>
      </c>
      <c r="B285" s="25">
        <v>2133</v>
      </c>
      <c r="C285" s="25">
        <v>2339.107338899993</v>
      </c>
      <c r="D285" s="24">
        <f t="shared" si="11"/>
        <v>-206.10733889999301</v>
      </c>
      <c r="E285" s="18">
        <f t="shared" si="12"/>
        <v>-0.38605553900207851</v>
      </c>
      <c r="F285"/>
    </row>
    <row r="286" spans="1:6" ht="15" hidden="1" outlineLevel="1" x14ac:dyDescent="0.2">
      <c r="A286" s="26">
        <v>155</v>
      </c>
      <c r="B286" s="25">
        <v>6415</v>
      </c>
      <c r="C286" s="25">
        <v>6613.464487056599</v>
      </c>
      <c r="D286" s="24">
        <f t="shared" si="11"/>
        <v>-198.46448705659895</v>
      </c>
      <c r="E286" s="18">
        <f t="shared" si="12"/>
        <v>-0.3717398658986274</v>
      </c>
      <c r="F286"/>
    </row>
    <row r="287" spans="1:6" ht="15" hidden="1" outlineLevel="1" x14ac:dyDescent="0.2">
      <c r="A287" s="26">
        <v>28</v>
      </c>
      <c r="B287" s="25">
        <v>3255</v>
      </c>
      <c r="C287" s="25">
        <v>3061.2196116599189</v>
      </c>
      <c r="D287" s="24">
        <f t="shared" si="11"/>
        <v>193.78038834008112</v>
      </c>
      <c r="E287" s="18">
        <f t="shared" si="12"/>
        <v>0.36296617416889393</v>
      </c>
      <c r="F287"/>
    </row>
    <row r="288" spans="1:6" ht="15" hidden="1" outlineLevel="1" x14ac:dyDescent="0.2">
      <c r="A288" s="26">
        <v>17</v>
      </c>
      <c r="B288" s="25">
        <v>1902</v>
      </c>
      <c r="C288" s="25">
        <v>2095.7533691568206</v>
      </c>
      <c r="D288" s="24">
        <f t="shared" si="11"/>
        <v>-193.75336915682055</v>
      </c>
      <c r="E288" s="18">
        <f t="shared" si="12"/>
        <v>-0.36291556507650197</v>
      </c>
      <c r="F288"/>
    </row>
    <row r="289" spans="1:6" ht="15" hidden="1" outlineLevel="1" x14ac:dyDescent="0.2">
      <c r="A289" s="26">
        <v>68</v>
      </c>
      <c r="B289" s="25">
        <v>2008</v>
      </c>
      <c r="C289" s="25">
        <v>1817.1332760444416</v>
      </c>
      <c r="D289" s="24">
        <f t="shared" si="11"/>
        <v>190.86672395555843</v>
      </c>
      <c r="E289" s="18">
        <f t="shared" si="12"/>
        <v>0.35750864761772216</v>
      </c>
      <c r="F289"/>
    </row>
    <row r="290" spans="1:6" ht="15" hidden="1" outlineLevel="1" x14ac:dyDescent="0.2">
      <c r="A290" s="26">
        <v>30</v>
      </c>
      <c r="B290" s="25">
        <v>1693</v>
      </c>
      <c r="C290" s="25">
        <v>1509.8822357398951</v>
      </c>
      <c r="D290" s="24">
        <f t="shared" si="11"/>
        <v>183.11776426010488</v>
      </c>
      <c r="E290" s="18">
        <f t="shared" si="12"/>
        <v>0.34299422601633878</v>
      </c>
      <c r="F290"/>
    </row>
    <row r="291" spans="1:6" ht="15" hidden="1" outlineLevel="1" x14ac:dyDescent="0.2">
      <c r="A291" s="26">
        <v>56</v>
      </c>
      <c r="B291" s="25">
        <v>1889</v>
      </c>
      <c r="C291" s="25">
        <v>1709.1386423501897</v>
      </c>
      <c r="D291" s="24">
        <f t="shared" si="11"/>
        <v>179.86135764981032</v>
      </c>
      <c r="E291" s="18">
        <f t="shared" si="12"/>
        <v>0.33689471584917685</v>
      </c>
      <c r="F291"/>
    </row>
    <row r="292" spans="1:6" ht="15" hidden="1" outlineLevel="1" x14ac:dyDescent="0.2">
      <c r="A292" s="26">
        <v>15</v>
      </c>
      <c r="B292" s="25">
        <v>4787</v>
      </c>
      <c r="C292" s="25">
        <v>4610.4458129502646</v>
      </c>
      <c r="D292" s="24">
        <f t="shared" si="11"/>
        <v>176.55418704973545</v>
      </c>
      <c r="E292" s="18">
        <f t="shared" si="12"/>
        <v>0.33070012066689064</v>
      </c>
      <c r="F292"/>
    </row>
    <row r="293" spans="1:6" ht="15" hidden="1" outlineLevel="1" x14ac:dyDescent="0.2">
      <c r="A293" s="26">
        <v>150</v>
      </c>
      <c r="B293" s="25">
        <v>2381</v>
      </c>
      <c r="C293" s="25">
        <v>2555.0966062884972</v>
      </c>
      <c r="D293" s="24">
        <f t="shared" si="11"/>
        <v>-174.09660628849724</v>
      </c>
      <c r="E293" s="18">
        <f t="shared" si="12"/>
        <v>-0.32609687523912201</v>
      </c>
      <c r="F293"/>
    </row>
    <row r="294" spans="1:6" ht="15" hidden="1" outlineLevel="1" x14ac:dyDescent="0.2">
      <c r="A294" s="26">
        <v>8</v>
      </c>
      <c r="B294" s="25">
        <v>1445</v>
      </c>
      <c r="C294" s="25">
        <v>1277.1601075731814</v>
      </c>
      <c r="D294" s="24">
        <f t="shared" si="11"/>
        <v>167.83989242681855</v>
      </c>
      <c r="E294" s="18">
        <f t="shared" si="12"/>
        <v>0.31437754949777053</v>
      </c>
      <c r="F294"/>
    </row>
    <row r="295" spans="1:6" ht="15" hidden="1" outlineLevel="1" x14ac:dyDescent="0.2">
      <c r="A295" s="26">
        <v>174</v>
      </c>
      <c r="B295" s="25">
        <v>2944</v>
      </c>
      <c r="C295" s="25">
        <v>2781.1398639489253</v>
      </c>
      <c r="D295" s="24">
        <f t="shared" si="11"/>
        <v>162.86013605107473</v>
      </c>
      <c r="E295" s="18">
        <f t="shared" si="12"/>
        <v>0.30505006731301615</v>
      </c>
      <c r="F295"/>
    </row>
    <row r="296" spans="1:6" ht="15" hidden="1" outlineLevel="1" x14ac:dyDescent="0.2">
      <c r="A296" s="26">
        <v>123</v>
      </c>
      <c r="B296" s="25">
        <v>5460</v>
      </c>
      <c r="C296" s="25">
        <v>5620.3284794971541</v>
      </c>
      <c r="D296" s="24">
        <f t="shared" si="11"/>
        <v>-160.32847949715415</v>
      </c>
      <c r="E296" s="18">
        <f t="shared" si="12"/>
        <v>-0.30030807199781684</v>
      </c>
      <c r="F296"/>
    </row>
    <row r="297" spans="1:6" ht="15" hidden="1" outlineLevel="1" x14ac:dyDescent="0.2">
      <c r="A297" s="26">
        <v>34</v>
      </c>
      <c r="B297" s="25">
        <v>2758</v>
      </c>
      <c r="C297" s="25">
        <v>2917.3361199732731</v>
      </c>
      <c r="D297" s="24">
        <f t="shared" si="11"/>
        <v>-159.33611997327307</v>
      </c>
      <c r="E297" s="18">
        <f t="shared" si="12"/>
        <v>-0.29844930319841156</v>
      </c>
      <c r="F297"/>
    </row>
    <row r="298" spans="1:6" ht="15" hidden="1" outlineLevel="1" x14ac:dyDescent="0.2">
      <c r="A298" s="26">
        <v>116</v>
      </c>
      <c r="B298" s="25">
        <v>2092</v>
      </c>
      <c r="C298" s="25">
        <v>2249.1118108214496</v>
      </c>
      <c r="D298" s="24">
        <f t="shared" si="11"/>
        <v>-157.11181082144958</v>
      </c>
      <c r="E298" s="18">
        <f t="shared" si="12"/>
        <v>-0.29428299416207432</v>
      </c>
      <c r="F298"/>
    </row>
    <row r="299" spans="1:6" ht="15" hidden="1" outlineLevel="1" x14ac:dyDescent="0.2">
      <c r="A299" s="26">
        <v>117</v>
      </c>
      <c r="B299" s="25">
        <v>2433</v>
      </c>
      <c r="C299" s="25">
        <v>2277.3053450575221</v>
      </c>
      <c r="D299" s="24">
        <f t="shared" si="11"/>
        <v>155.69465494247788</v>
      </c>
      <c r="E299" s="18">
        <f t="shared" si="12"/>
        <v>0.29162854779628117</v>
      </c>
      <c r="F299"/>
    </row>
    <row r="300" spans="1:6" ht="15" hidden="1" outlineLevel="1" x14ac:dyDescent="0.2">
      <c r="A300" s="26">
        <v>103</v>
      </c>
      <c r="B300" s="25">
        <v>1983</v>
      </c>
      <c r="C300" s="25">
        <v>2132.1176243193436</v>
      </c>
      <c r="D300" s="24">
        <f t="shared" si="11"/>
        <v>-149.11762431934358</v>
      </c>
      <c r="E300" s="18">
        <f t="shared" si="12"/>
        <v>-0.27930924312814748</v>
      </c>
      <c r="F300"/>
    </row>
    <row r="301" spans="1:6" ht="15" hidden="1" outlineLevel="1" x14ac:dyDescent="0.2">
      <c r="A301" s="26">
        <v>85</v>
      </c>
      <c r="B301" s="25">
        <v>7577</v>
      </c>
      <c r="C301" s="25">
        <v>7716.4381137401942</v>
      </c>
      <c r="D301" s="24">
        <f t="shared" si="11"/>
        <v>-139.43811374019424</v>
      </c>
      <c r="E301" s="18">
        <f t="shared" si="12"/>
        <v>-0.26117874523392648</v>
      </c>
      <c r="F301"/>
    </row>
    <row r="302" spans="1:6" ht="15" hidden="1" outlineLevel="1" x14ac:dyDescent="0.2">
      <c r="A302" s="26">
        <v>149</v>
      </c>
      <c r="B302" s="25">
        <v>3075</v>
      </c>
      <c r="C302" s="25">
        <v>3212.8594083323128</v>
      </c>
      <c r="D302" s="24">
        <f t="shared" si="11"/>
        <v>-137.8594083323128</v>
      </c>
      <c r="E302" s="18">
        <f t="shared" si="12"/>
        <v>-0.25822170367287417</v>
      </c>
      <c r="F302"/>
    </row>
    <row r="303" spans="1:6" ht="15" hidden="1" outlineLevel="1" x14ac:dyDescent="0.2">
      <c r="A303" s="26">
        <v>19</v>
      </c>
      <c r="B303" s="25">
        <v>1511</v>
      </c>
      <c r="C303" s="25">
        <v>1376.1551884595792</v>
      </c>
      <c r="D303" s="24">
        <f t="shared" ref="D303:D334" si="13">B303 - C303</f>
        <v>134.84481154042078</v>
      </c>
      <c r="E303" s="18">
        <f t="shared" ref="E303:E334" si="14">D303 /533.880020042617</f>
        <v>0.25257512264582738</v>
      </c>
      <c r="F303"/>
    </row>
    <row r="304" spans="1:6" ht="15" hidden="1" outlineLevel="1" x14ac:dyDescent="0.2">
      <c r="A304" s="26">
        <v>65</v>
      </c>
      <c r="B304" s="25">
        <v>2561</v>
      </c>
      <c r="C304" s="25">
        <v>2429.0199994458508</v>
      </c>
      <c r="D304" s="24">
        <f t="shared" si="13"/>
        <v>131.98000055414923</v>
      </c>
      <c r="E304" s="18">
        <f t="shared" si="14"/>
        <v>0.2472091024189553</v>
      </c>
      <c r="F304"/>
    </row>
    <row r="305" spans="1:6" ht="15" hidden="1" outlineLevel="1" x14ac:dyDescent="0.2">
      <c r="A305" s="26">
        <v>86</v>
      </c>
      <c r="B305" s="25">
        <v>6186</v>
      </c>
      <c r="C305" s="25">
        <v>6055.1042827352649</v>
      </c>
      <c r="D305" s="24">
        <f t="shared" si="13"/>
        <v>130.89571726473514</v>
      </c>
      <c r="E305" s="18">
        <f t="shared" si="14"/>
        <v>0.24517815305072921</v>
      </c>
      <c r="F305"/>
    </row>
    <row r="306" spans="1:6" ht="15" hidden="1" outlineLevel="1" x14ac:dyDescent="0.2">
      <c r="A306" s="26">
        <v>98</v>
      </c>
      <c r="B306" s="25">
        <v>6565</v>
      </c>
      <c r="C306" s="25">
        <v>6435.9276524449015</v>
      </c>
      <c r="D306" s="24">
        <f t="shared" si="13"/>
        <v>129.07234755509853</v>
      </c>
      <c r="E306" s="18">
        <f t="shared" si="14"/>
        <v>0.2417628356738192</v>
      </c>
      <c r="F306"/>
    </row>
    <row r="307" spans="1:6" ht="15" hidden="1" outlineLevel="1" x14ac:dyDescent="0.2">
      <c r="A307" s="26">
        <v>154</v>
      </c>
      <c r="B307" s="25">
        <v>3869</v>
      </c>
      <c r="C307" s="25">
        <v>3741.8197040973678</v>
      </c>
      <c r="D307" s="24">
        <f t="shared" si="13"/>
        <v>127.18029590263222</v>
      </c>
      <c r="E307" s="18">
        <f t="shared" si="14"/>
        <v>0.23821887152188245</v>
      </c>
      <c r="F307"/>
    </row>
    <row r="308" spans="1:6" ht="15" hidden="1" outlineLevel="1" x14ac:dyDescent="0.2">
      <c r="A308" s="26">
        <v>129</v>
      </c>
      <c r="B308" s="25">
        <v>2382</v>
      </c>
      <c r="C308" s="25">
        <v>2499.5498682054531</v>
      </c>
      <c r="D308" s="24">
        <f t="shared" si="13"/>
        <v>-117.54986820545309</v>
      </c>
      <c r="E308" s="18">
        <f t="shared" si="14"/>
        <v>-0.22018030979333084</v>
      </c>
      <c r="F308"/>
    </row>
    <row r="309" spans="1:6" ht="15" hidden="1" outlineLevel="1" x14ac:dyDescent="0.2">
      <c r="A309" s="26">
        <v>91</v>
      </c>
      <c r="B309" s="25">
        <v>1909</v>
      </c>
      <c r="C309" s="25">
        <v>2024.1229906250915</v>
      </c>
      <c r="D309" s="24">
        <f t="shared" si="13"/>
        <v>-115.12299062509146</v>
      </c>
      <c r="E309" s="18">
        <f t="shared" si="14"/>
        <v>-0.21563457388029197</v>
      </c>
      <c r="F309"/>
    </row>
    <row r="310" spans="1:6" ht="15" hidden="1" outlineLevel="1" x14ac:dyDescent="0.2">
      <c r="A310" s="26">
        <v>166</v>
      </c>
      <c r="B310" s="25">
        <v>3606</v>
      </c>
      <c r="C310" s="25">
        <v>3715.4564677940934</v>
      </c>
      <c r="D310" s="24">
        <f t="shared" si="13"/>
        <v>-109.45646779409344</v>
      </c>
      <c r="E310" s="18">
        <f t="shared" si="14"/>
        <v>-0.20502072316801828</v>
      </c>
      <c r="F310"/>
    </row>
    <row r="311" spans="1:6" ht="15" hidden="1" outlineLevel="1" x14ac:dyDescent="0.2">
      <c r="A311" s="26">
        <v>128</v>
      </c>
      <c r="B311" s="25">
        <v>2465</v>
      </c>
      <c r="C311" s="25">
        <v>2357.1064445157017</v>
      </c>
      <c r="D311" s="24">
        <f t="shared" si="13"/>
        <v>107.8935554842983</v>
      </c>
      <c r="E311" s="18">
        <f t="shared" si="14"/>
        <v>0.20209326334348621</v>
      </c>
      <c r="F311"/>
    </row>
    <row r="312" spans="1:6" ht="15" hidden="1" outlineLevel="1" x14ac:dyDescent="0.2">
      <c r="A312" s="26">
        <v>99</v>
      </c>
      <c r="B312" s="25">
        <v>5670</v>
      </c>
      <c r="C312" s="25">
        <v>5565.6600560172437</v>
      </c>
      <c r="D312" s="24">
        <f t="shared" si="13"/>
        <v>104.33994398275627</v>
      </c>
      <c r="E312" s="18">
        <f t="shared" si="14"/>
        <v>0.19543706463191357</v>
      </c>
      <c r="F312"/>
    </row>
    <row r="313" spans="1:6" ht="15" hidden="1" outlineLevel="1" x14ac:dyDescent="0.2">
      <c r="A313" s="26">
        <v>81</v>
      </c>
      <c r="B313" s="25">
        <v>2068</v>
      </c>
      <c r="C313" s="25">
        <v>1964.7464329201339</v>
      </c>
      <c r="D313" s="24">
        <f t="shared" si="13"/>
        <v>103.25356707986612</v>
      </c>
      <c r="E313" s="18">
        <f t="shared" si="14"/>
        <v>0.19340219375811046</v>
      </c>
      <c r="F313"/>
    </row>
    <row r="314" spans="1:6" ht="15" hidden="1" outlineLevel="1" x14ac:dyDescent="0.2">
      <c r="A314" s="26">
        <v>118</v>
      </c>
      <c r="B314" s="25">
        <v>3117</v>
      </c>
      <c r="C314" s="25">
        <v>3217.6699966917663</v>
      </c>
      <c r="D314" s="24">
        <f t="shared" si="13"/>
        <v>-100.6699966917663</v>
      </c>
      <c r="E314" s="18">
        <f t="shared" si="14"/>
        <v>-0.18856295967721418</v>
      </c>
      <c r="F314"/>
    </row>
    <row r="315" spans="1:6" ht="15" hidden="1" outlineLevel="1" x14ac:dyDescent="0.2">
      <c r="A315" s="26">
        <v>125</v>
      </c>
      <c r="B315" s="25">
        <v>2568</v>
      </c>
      <c r="C315" s="25">
        <v>2662.8034641812515</v>
      </c>
      <c r="D315" s="24">
        <f t="shared" si="13"/>
        <v>-94.803464181251456</v>
      </c>
      <c r="E315" s="18">
        <f t="shared" si="14"/>
        <v>-0.17757447482991356</v>
      </c>
      <c r="F315"/>
    </row>
    <row r="316" spans="1:6" ht="15" hidden="1" outlineLevel="1" x14ac:dyDescent="0.2">
      <c r="A316" s="26">
        <v>165</v>
      </c>
      <c r="B316" s="25">
        <v>2884</v>
      </c>
      <c r="C316" s="25">
        <v>2793.3717984724381</v>
      </c>
      <c r="D316" s="24">
        <f t="shared" si="13"/>
        <v>90.628201527561941</v>
      </c>
      <c r="E316" s="18">
        <f t="shared" si="14"/>
        <v>0.16975387376423551</v>
      </c>
      <c r="F316"/>
    </row>
    <row r="317" spans="1:6" ht="15" hidden="1" outlineLevel="1" x14ac:dyDescent="0.2">
      <c r="A317" s="26">
        <v>142</v>
      </c>
      <c r="B317" s="25">
        <v>4003</v>
      </c>
      <c r="C317" s="25">
        <v>3918.9927944794981</v>
      </c>
      <c r="D317" s="24">
        <f t="shared" si="13"/>
        <v>84.007205520501884</v>
      </c>
      <c r="E317" s="18">
        <f t="shared" si="14"/>
        <v>0.15735221841378516</v>
      </c>
      <c r="F317"/>
    </row>
    <row r="318" spans="1:6" ht="15" hidden="1" outlineLevel="1" x14ac:dyDescent="0.2">
      <c r="A318" s="26">
        <v>79</v>
      </c>
      <c r="B318" s="25">
        <v>1997</v>
      </c>
      <c r="C318" s="25">
        <v>1916.1283569308393</v>
      </c>
      <c r="D318" s="24">
        <f t="shared" si="13"/>
        <v>80.871643069160655</v>
      </c>
      <c r="E318" s="18">
        <f t="shared" si="14"/>
        <v>0.15147905902660502</v>
      </c>
      <c r="F318"/>
    </row>
    <row r="319" spans="1:6" ht="15" hidden="1" outlineLevel="1" x14ac:dyDescent="0.2">
      <c r="A319" s="26">
        <v>167</v>
      </c>
      <c r="B319" s="25">
        <v>6843</v>
      </c>
      <c r="C319" s="25">
        <v>6920.2539284002514</v>
      </c>
      <c r="D319" s="24">
        <f t="shared" si="13"/>
        <v>-77.253928400251425</v>
      </c>
      <c r="E319" s="18">
        <f t="shared" si="14"/>
        <v>-0.14470278995285235</v>
      </c>
      <c r="F319"/>
    </row>
    <row r="320" spans="1:6" ht="15" hidden="1" outlineLevel="1" x14ac:dyDescent="0.2">
      <c r="A320" s="26">
        <v>104</v>
      </c>
      <c r="B320" s="25">
        <v>2064</v>
      </c>
      <c r="C320" s="25">
        <v>2141.1171771271979</v>
      </c>
      <c r="D320" s="24">
        <f t="shared" si="13"/>
        <v>-77.11717712719792</v>
      </c>
      <c r="E320" s="18">
        <f t="shared" si="14"/>
        <v>-0.14444664387523254</v>
      </c>
      <c r="F320"/>
    </row>
    <row r="321" spans="1:6" ht="15" hidden="1" outlineLevel="1" x14ac:dyDescent="0.2">
      <c r="A321" s="26">
        <v>31</v>
      </c>
      <c r="B321" s="25">
        <v>1560</v>
      </c>
      <c r="C321" s="25">
        <v>1484.1498221538311</v>
      </c>
      <c r="D321" s="24">
        <f t="shared" si="13"/>
        <v>75.85017784616889</v>
      </c>
      <c r="E321" s="18">
        <f t="shared" si="14"/>
        <v>0.14207345283330539</v>
      </c>
      <c r="F321"/>
    </row>
    <row r="322" spans="1:6" ht="15" hidden="1" outlineLevel="1" x14ac:dyDescent="0.2">
      <c r="A322" s="26">
        <v>134</v>
      </c>
      <c r="B322" s="25">
        <v>6583</v>
      </c>
      <c r="C322" s="25">
        <v>6509.0187962873788</v>
      </c>
      <c r="D322" s="24">
        <f t="shared" si="13"/>
        <v>73.981203712621209</v>
      </c>
      <c r="E322" s="18">
        <f t="shared" si="14"/>
        <v>0.13857271472102597</v>
      </c>
      <c r="F322"/>
    </row>
    <row r="323" spans="1:6" ht="15" hidden="1" outlineLevel="1" x14ac:dyDescent="0.2">
      <c r="A323" s="26">
        <v>130</v>
      </c>
      <c r="B323" s="25">
        <v>3931</v>
      </c>
      <c r="C323" s="25">
        <v>4000.6529772783529</v>
      </c>
      <c r="D323" s="24">
        <f t="shared" si="13"/>
        <v>-69.652977278352864</v>
      </c>
      <c r="E323" s="18">
        <f t="shared" si="14"/>
        <v>-0.13046560025376638</v>
      </c>
      <c r="F323"/>
    </row>
    <row r="324" spans="1:6" ht="15" hidden="1" outlineLevel="1" x14ac:dyDescent="0.2">
      <c r="A324" s="26">
        <v>9</v>
      </c>
      <c r="B324" s="25">
        <v>1626</v>
      </c>
      <c r="C324" s="25">
        <v>1693.8032659517617</v>
      </c>
      <c r="D324" s="24">
        <f t="shared" si="13"/>
        <v>-67.803265951761659</v>
      </c>
      <c r="E324" s="18">
        <f t="shared" si="14"/>
        <v>-0.12700094292037611</v>
      </c>
      <c r="F324"/>
    </row>
    <row r="325" spans="1:6" ht="15" hidden="1" outlineLevel="1" x14ac:dyDescent="0.2">
      <c r="A325" s="26">
        <v>106</v>
      </c>
      <c r="B325" s="25">
        <v>3598</v>
      </c>
      <c r="C325" s="25">
        <v>3659.4458310486166</v>
      </c>
      <c r="D325" s="24">
        <f t="shared" si="13"/>
        <v>-61.445831048616583</v>
      </c>
      <c r="E325" s="18">
        <f t="shared" si="14"/>
        <v>-0.11509295860839981</v>
      </c>
      <c r="F325"/>
    </row>
    <row r="326" spans="1:6" ht="15" hidden="1" outlineLevel="1" x14ac:dyDescent="0.2">
      <c r="A326" s="26">
        <v>33</v>
      </c>
      <c r="B326" s="25">
        <v>1698</v>
      </c>
      <c r="C326" s="25">
        <v>1646.5607880389898</v>
      </c>
      <c r="D326" s="24">
        <f t="shared" si="13"/>
        <v>51.439211961010187</v>
      </c>
      <c r="E326" s="18">
        <f t="shared" si="14"/>
        <v>9.6349760301769755E-2</v>
      </c>
      <c r="F326"/>
    </row>
    <row r="327" spans="1:6" ht="15" hidden="1" outlineLevel="1" x14ac:dyDescent="0.2">
      <c r="A327" s="26">
        <v>20</v>
      </c>
      <c r="B327" s="25">
        <v>1437</v>
      </c>
      <c r="C327" s="25">
        <v>1386.5257399408777</v>
      </c>
      <c r="D327" s="24">
        <f t="shared" si="13"/>
        <v>50.474260059122344</v>
      </c>
      <c r="E327" s="18">
        <f t="shared" si="14"/>
        <v>9.4542328171586615E-2</v>
      </c>
      <c r="F327"/>
    </row>
    <row r="328" spans="1:6" ht="15" hidden="1" outlineLevel="1" x14ac:dyDescent="0.2">
      <c r="A328" s="26">
        <v>151</v>
      </c>
      <c r="B328" s="25">
        <v>2613</v>
      </c>
      <c r="C328" s="25">
        <v>2564.0961590963516</v>
      </c>
      <c r="D328" s="24">
        <f t="shared" si="13"/>
        <v>48.903840903648415</v>
      </c>
      <c r="E328" s="18">
        <f t="shared" si="14"/>
        <v>9.1600807424380967E-2</v>
      </c>
      <c r="F328"/>
    </row>
    <row r="329" spans="1:6" ht="15" hidden="1" outlineLevel="1" x14ac:dyDescent="0.2">
      <c r="A329" s="26">
        <v>62</v>
      </c>
      <c r="B329" s="25">
        <v>6464</v>
      </c>
      <c r="C329" s="25">
        <v>6415.8484573089318</v>
      </c>
      <c r="D329" s="24">
        <f t="shared" si="13"/>
        <v>48.151542691068244</v>
      </c>
      <c r="E329" s="18">
        <f t="shared" si="14"/>
        <v>9.0191692671369381E-2</v>
      </c>
      <c r="F329"/>
    </row>
    <row r="330" spans="1:6" ht="15" hidden="1" outlineLevel="1" x14ac:dyDescent="0.2">
      <c r="A330" s="26">
        <v>108</v>
      </c>
      <c r="B330" s="25">
        <v>8161</v>
      </c>
      <c r="C330" s="25">
        <v>8114.4536434873962</v>
      </c>
      <c r="D330" s="24">
        <f t="shared" si="13"/>
        <v>46.546356512603779</v>
      </c>
      <c r="E330" s="18">
        <f t="shared" si="14"/>
        <v>8.7185050507955345E-2</v>
      </c>
      <c r="F330"/>
    </row>
    <row r="331" spans="1:6" ht="15" hidden="1" outlineLevel="1" x14ac:dyDescent="0.2">
      <c r="A331" s="26">
        <v>80</v>
      </c>
      <c r="B331" s="25">
        <v>1965</v>
      </c>
      <c r="C331" s="25">
        <v>1925.1279097386937</v>
      </c>
      <c r="D331" s="24">
        <f t="shared" si="13"/>
        <v>39.872090261306312</v>
      </c>
      <c r="E331" s="18">
        <f t="shared" si="14"/>
        <v>7.4683615727225594E-2</v>
      </c>
      <c r="F331"/>
    </row>
    <row r="332" spans="1:6" ht="15" hidden="1" outlineLevel="1" x14ac:dyDescent="0.2">
      <c r="A332" s="26">
        <v>141</v>
      </c>
      <c r="B332" s="25">
        <v>2529</v>
      </c>
      <c r="C332" s="25">
        <v>2568.2425399276399</v>
      </c>
      <c r="D332" s="24">
        <f t="shared" si="13"/>
        <v>-39.242539927639882</v>
      </c>
      <c r="E332" s="18">
        <f t="shared" si="14"/>
        <v>-7.3504417574022235E-2</v>
      </c>
      <c r="F332"/>
    </row>
    <row r="333" spans="1:6" ht="15" hidden="1" outlineLevel="1" x14ac:dyDescent="0.2">
      <c r="A333" s="26">
        <v>101</v>
      </c>
      <c r="B333" s="25">
        <v>2464</v>
      </c>
      <c r="C333" s="25">
        <v>2424.8782180176413</v>
      </c>
      <c r="D333" s="24">
        <f t="shared" si="13"/>
        <v>39.121781982358698</v>
      </c>
      <c r="E333" s="18">
        <f t="shared" si="14"/>
        <v>7.3278228279147428E-2</v>
      </c>
      <c r="F333"/>
    </row>
    <row r="334" spans="1:6" ht="15" hidden="1" outlineLevel="1" x14ac:dyDescent="0.2">
      <c r="A334" s="26">
        <v>113</v>
      </c>
      <c r="B334" s="25">
        <v>2389</v>
      </c>
      <c r="C334" s="25">
        <v>2425.4779556254352</v>
      </c>
      <c r="D334" s="24">
        <f t="shared" si="13"/>
        <v>-36.477955625435243</v>
      </c>
      <c r="E334" s="18">
        <f t="shared" si="14"/>
        <v>-6.8326129946805994E-2</v>
      </c>
      <c r="F334"/>
    </row>
    <row r="335" spans="1:6" ht="15" hidden="1" outlineLevel="1" x14ac:dyDescent="0.2">
      <c r="A335" s="26">
        <v>122</v>
      </c>
      <c r="B335" s="25">
        <v>6169</v>
      </c>
      <c r="C335" s="25">
        <v>6134.5934203871484</v>
      </c>
      <c r="D335" s="24">
        <f t="shared" ref="D335:D347" si="15">B335 - C335</f>
        <v>34.406579612851601</v>
      </c>
      <c r="E335" s="18">
        <f t="shared" ref="E335:E347" si="16">D335 /533.880020042617</f>
        <v>6.4446276918370335E-2</v>
      </c>
      <c r="F335"/>
    </row>
    <row r="336" spans="1:6" ht="15" hidden="1" outlineLevel="1" x14ac:dyDescent="0.2">
      <c r="A336" s="26">
        <v>152</v>
      </c>
      <c r="B336" s="25">
        <v>2611</v>
      </c>
      <c r="C336" s="25">
        <v>2582.6927026183148</v>
      </c>
      <c r="D336" s="24">
        <f t="shared" si="15"/>
        <v>28.307297381685203</v>
      </c>
      <c r="E336" s="18">
        <f t="shared" si="16"/>
        <v>5.3021833219054668E-2</v>
      </c>
      <c r="F336"/>
    </row>
    <row r="337" spans="1:6" ht="15" hidden="1" outlineLevel="1" x14ac:dyDescent="0.2">
      <c r="A337" s="26">
        <v>32</v>
      </c>
      <c r="B337" s="25">
        <v>1521</v>
      </c>
      <c r="C337" s="25">
        <v>1493.1493749616855</v>
      </c>
      <c r="D337" s="24">
        <f t="shared" si="15"/>
        <v>27.850625038314547</v>
      </c>
      <c r="E337" s="18">
        <f t="shared" si="16"/>
        <v>5.2166449375819247E-2</v>
      </c>
      <c r="F337"/>
    </row>
    <row r="338" spans="1:6" ht="15" hidden="1" outlineLevel="1" x14ac:dyDescent="0.2">
      <c r="A338" s="26">
        <v>164</v>
      </c>
      <c r="B338" s="25">
        <v>2708</v>
      </c>
      <c r="C338" s="25">
        <v>2681.090345598458</v>
      </c>
      <c r="D338" s="24">
        <f t="shared" si="15"/>
        <v>26.909654401541957</v>
      </c>
      <c r="E338" s="18">
        <f t="shared" si="16"/>
        <v>5.0403936074239847E-2</v>
      </c>
      <c r="F338"/>
    </row>
    <row r="339" spans="1:6" ht="15" hidden="1" outlineLevel="1" x14ac:dyDescent="0.2">
      <c r="A339" s="26">
        <v>138</v>
      </c>
      <c r="B339" s="25">
        <v>2433</v>
      </c>
      <c r="C339" s="25">
        <v>2457.1559628661689</v>
      </c>
      <c r="D339" s="24">
        <f t="shared" si="15"/>
        <v>-24.15596286616892</v>
      </c>
      <c r="E339" s="18">
        <f t="shared" si="16"/>
        <v>-4.5246051470966581E-2</v>
      </c>
      <c r="F339"/>
    </row>
    <row r="340" spans="1:6" ht="15" hidden="1" outlineLevel="1" x14ac:dyDescent="0.2">
      <c r="A340" s="26">
        <v>92</v>
      </c>
      <c r="B340" s="25">
        <v>2010</v>
      </c>
      <c r="C340" s="25">
        <v>2033.1225434329458</v>
      </c>
      <c r="D340" s="24">
        <f t="shared" si="15"/>
        <v>-23.122543432945804</v>
      </c>
      <c r="E340" s="18">
        <f t="shared" si="16"/>
        <v>-4.3310374175643512E-2</v>
      </c>
      <c r="F340"/>
    </row>
    <row r="341" spans="1:6" ht="15" hidden="1" outlineLevel="1" x14ac:dyDescent="0.2">
      <c r="A341" s="26">
        <v>76</v>
      </c>
      <c r="B341" s="25">
        <v>3597</v>
      </c>
      <c r="C341" s="25">
        <v>3619.3300243937883</v>
      </c>
      <c r="D341" s="24">
        <f t="shared" si="15"/>
        <v>-22.330024393788335</v>
      </c>
      <c r="E341" s="18">
        <f t="shared" si="16"/>
        <v>-4.1825922595878071E-2</v>
      </c>
      <c r="F341"/>
    </row>
    <row r="342" spans="1:6" ht="15" hidden="1" outlineLevel="1" x14ac:dyDescent="0.2">
      <c r="A342" s="26">
        <v>90</v>
      </c>
      <c r="B342" s="25">
        <v>1998</v>
      </c>
      <c r="C342" s="25">
        <v>2015.1234378172371</v>
      </c>
      <c r="D342" s="24">
        <f t="shared" si="15"/>
        <v>-17.123437817237118</v>
      </c>
      <c r="E342" s="18">
        <f t="shared" si="16"/>
        <v>-3.2073569293472035E-2</v>
      </c>
      <c r="F342"/>
    </row>
    <row r="343" spans="1:6" ht="15" hidden="1" outlineLevel="1" x14ac:dyDescent="0.2">
      <c r="A343" s="26">
        <v>168</v>
      </c>
      <c r="B343" s="25">
        <v>7464</v>
      </c>
      <c r="C343" s="25">
        <v>7479.4809488170231</v>
      </c>
      <c r="D343" s="24">
        <f t="shared" si="15"/>
        <v>-15.480948817023091</v>
      </c>
      <c r="E343" s="18">
        <f t="shared" si="16"/>
        <v>-2.8997055959852781E-2</v>
      </c>
      <c r="F343"/>
    </row>
    <row r="344" spans="1:6" ht="15" hidden="1" outlineLevel="1" x14ac:dyDescent="0.2">
      <c r="A344" s="26">
        <v>147</v>
      </c>
      <c r="B344" s="25">
        <v>7253</v>
      </c>
      <c r="C344" s="25">
        <v>7243.4193853971665</v>
      </c>
      <c r="D344" s="24">
        <f t="shared" si="15"/>
        <v>9.5806146028335206</v>
      </c>
      <c r="E344" s="18">
        <f t="shared" si="16"/>
        <v>1.7945257816669644E-2</v>
      </c>
      <c r="F344"/>
    </row>
    <row r="345" spans="1:6" ht="15" hidden="1" outlineLevel="1" x14ac:dyDescent="0.2">
      <c r="A345" s="26">
        <v>73</v>
      </c>
      <c r="B345" s="25">
        <v>6772</v>
      </c>
      <c r="C345" s="25">
        <v>6762.5372985309059</v>
      </c>
      <c r="D345" s="24">
        <f t="shared" si="15"/>
        <v>9.4627014690940996</v>
      </c>
      <c r="E345" s="18">
        <f t="shared" si="16"/>
        <v>1.7724397081461746E-2</v>
      </c>
      <c r="F345"/>
    </row>
    <row r="346" spans="1:6" ht="15" hidden="1" outlineLevel="1" x14ac:dyDescent="0.2">
      <c r="A346" s="26">
        <v>35</v>
      </c>
      <c r="B346" s="25">
        <v>3854</v>
      </c>
      <c r="C346" s="25">
        <v>3845.8187831043347</v>
      </c>
      <c r="D346" s="24">
        <f t="shared" si="15"/>
        <v>8.1812168956653295</v>
      </c>
      <c r="E346" s="18">
        <f t="shared" si="16"/>
        <v>1.5324073927719308E-2</v>
      </c>
      <c r="F346"/>
    </row>
    <row r="347" spans="1:6" ht="15" hidden="1" outlineLevel="1" x14ac:dyDescent="0.2">
      <c r="A347" s="26">
        <v>89</v>
      </c>
      <c r="B347" s="25">
        <v>2280</v>
      </c>
      <c r="C347" s="25">
        <v>2278.0386219091383</v>
      </c>
      <c r="D347" s="24">
        <f t="shared" si="15"/>
        <v>1.9613780908616718</v>
      </c>
      <c r="E347" s="18">
        <f t="shared" si="16"/>
        <v>3.6738181187321909E-3</v>
      </c>
      <c r="F347"/>
    </row>
    <row r="348" spans="1:6" collapsed="1" x14ac:dyDescent="0.15"/>
  </sheetData>
  <sortState xmlns:xlrd2="http://schemas.microsoft.com/office/spreadsheetml/2017/richdata2" ref="A175:F347">
    <sortCondition descending="1" ref="F175"/>
    <sortCondition ref="A1"/>
  </sortState>
  <dataValidations count="1">
    <dataValidation type="decimal" allowBlank="1" showInputMessage="1" showErrorMessage="1" error="Please enter a confidence level between 0 and 1." prompt="Confidence level can be adjusted between 0 and 100% to dynamically change confidence limits on this sheet." sqref="I10" xr:uid="{00000000-0002-0000-0400-000000000000}">
      <formula1>0</formula1>
      <formula2>1</formula2>
    </dataValidation>
  </dataValidations>
  <pageMargins left="0.7" right="0.7" top="0.75" bottom="0.75" header="0.3" footer="0.3"/>
  <pageSetup fitToHeight="0" orientation="portrait" horizontalDpi="0"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CG252"/>
  <sheetViews>
    <sheetView showGridLines="0" showRowColHeaders="0" workbookViewId="0">
      <selection activeCell="B1" sqref="B1"/>
    </sheetView>
  </sheetViews>
  <sheetFormatPr baseColWidth="10" defaultColWidth="9.1640625" defaultRowHeight="11" outlineLevelRow="1" x14ac:dyDescent="0.15"/>
  <cols>
    <col min="1" max="1" width="19.5" style="18" customWidth="1"/>
    <col min="2" max="2" width="9.1640625" style="18"/>
    <col min="3" max="4" width="9.5" style="18" bestFit="1" customWidth="1"/>
    <col min="5" max="7" width="9.1640625" style="18"/>
    <col min="8" max="8" width="9.33203125" style="18" bestFit="1" customWidth="1"/>
    <col min="9" max="77" width="9.1640625" style="18"/>
    <col min="78" max="78" width="75" style="18" bestFit="1" customWidth="1"/>
    <col min="79" max="16384" width="9.1640625" style="18"/>
  </cols>
  <sheetData>
    <row r="1" spans="1:78" ht="15" x14ac:dyDescent="0.2">
      <c r="A1" s="19" t="s">
        <v>94</v>
      </c>
      <c r="B1" s="18" t="s">
        <v>181</v>
      </c>
      <c r="E1"/>
      <c r="U1" s="52"/>
      <c r="Z1" s="35" t="s">
        <v>182</v>
      </c>
      <c r="BZ1"/>
    </row>
    <row r="2" spans="1:78" x14ac:dyDescent="0.15">
      <c r="A2" s="19" t="s">
        <v>97</v>
      </c>
      <c r="C2" s="18" t="s">
        <v>49</v>
      </c>
      <c r="AA2" s="35" t="str">
        <f>"Forecasts and " &amp; TEXT($I$10, "0.0%") &amp; " confidence limits for means and forecasts
Com HDD trend model from 2009 for _Commercial_Natural_Gas    (2 variables, n=77)"</f>
        <v>Forecasts and 95.0% confidence limits for means and forecasts
Com HDD trend model from 2009 for _Commercial_Natural_Gas    (2 variables, n=77)</v>
      </c>
    </row>
    <row r="3" spans="1:78" ht="11.25" hidden="1" customHeight="1" outlineLevel="1" x14ac:dyDescent="0.15">
      <c r="A3" s="19" t="s">
        <v>98</v>
      </c>
      <c r="AA3" s="35" t="str">
        <f>IF($A$37 &lt;&gt; "","Actual and predicted -vs- Observation # with " &amp; TEXT($I$10, "0.0%") &amp; " confidence limits
Com HDD trend model from 2009 for _Commercial_Natural_Gas
(2 variables, n=77)","Actual and predicted -vs- Observation #
Com HDD trend model from 2009 for _Commercial_Natural_Gas
(2 variables, n=77)")</f>
        <v>Actual and predicted -vs- Observation # with 95.0% confidence limits
Com HDD trend model from 2009 for _Commercial_Natural_Gas
(2 variables, n=77)</v>
      </c>
    </row>
    <row r="4" spans="1:78" hidden="1" outlineLevel="1" x14ac:dyDescent="0.15">
      <c r="A4" s="18" t="s">
        <v>168</v>
      </c>
    </row>
    <row r="5" spans="1:78" hidden="1" outlineLevel="1" x14ac:dyDescent="0.15">
      <c r="A5" s="19" t="s">
        <v>99</v>
      </c>
    </row>
    <row r="6" spans="1:78" hidden="1" outlineLevel="1" x14ac:dyDescent="0.15">
      <c r="A6" s="18" t="s">
        <v>183</v>
      </c>
    </row>
    <row r="7" spans="1:78" collapsed="1" x14ac:dyDescent="0.15"/>
    <row r="8" spans="1:78" x14ac:dyDescent="0.15">
      <c r="A8" s="20" t="s">
        <v>184</v>
      </c>
    </row>
    <row r="9" spans="1:78" ht="12" outlineLevel="1" thickBot="1" x14ac:dyDescent="0.2">
      <c r="A9" s="21"/>
      <c r="B9" s="23" t="s">
        <v>102</v>
      </c>
      <c r="C9" s="23" t="s">
        <v>103</v>
      </c>
      <c r="D9" s="23" t="s">
        <v>104</v>
      </c>
      <c r="E9" s="23" t="s">
        <v>105</v>
      </c>
      <c r="F9" s="23" t="s">
        <v>39</v>
      </c>
      <c r="G9" s="23" t="s">
        <v>106</v>
      </c>
      <c r="H9" s="23" t="str">
        <f>"t("&amp;TEXT((1-I10)/2,"0.00%") &amp; ",74)"</f>
        <v>t(2.50%,74)</v>
      </c>
      <c r="I9" s="23" t="s">
        <v>107</v>
      </c>
    </row>
    <row r="10" spans="1:78" outlineLevel="1" x14ac:dyDescent="0.15">
      <c r="B10" s="24">
        <f xml:space="preserve"> 1 - C21 / C22</f>
        <v>0.97387650526161884</v>
      </c>
      <c r="C10" s="24">
        <f>1-D10^2/E10^2</f>
        <v>0.97317046486328418</v>
      </c>
      <c r="D10" s="24">
        <f xml:space="preserve"> SQRT(D21)</f>
        <v>420.11874207147218</v>
      </c>
      <c r="E10" s="25">
        <v>2564.8707359912892</v>
      </c>
      <c r="F10" s="26">
        <v>77</v>
      </c>
      <c r="G10" s="26">
        <v>13</v>
      </c>
      <c r="H10" s="18">
        <f>TINV(1 - $I$10, F10 - 2 - 1)</f>
        <v>1.992543495180934</v>
      </c>
      <c r="I10" s="27">
        <v>0.95</v>
      </c>
    </row>
    <row r="12" spans="1:78" x14ac:dyDescent="0.15">
      <c r="A12" s="20" t="s">
        <v>185</v>
      </c>
    </row>
    <row r="13" spans="1:78" ht="12" outlineLevel="1" thickBot="1" x14ac:dyDescent="0.2">
      <c r="A13" s="28" t="s">
        <v>38</v>
      </c>
      <c r="B13" s="23" t="s">
        <v>109</v>
      </c>
      <c r="C13" s="23" t="s">
        <v>110</v>
      </c>
      <c r="D13" s="23" t="s">
        <v>111</v>
      </c>
      <c r="E13" s="23" t="s">
        <v>112</v>
      </c>
      <c r="F13" s="23" t="str">
        <f>IF($I$10&gt;99%,("Lower"&amp;TEXT($I$10,"0.0%")),("Lower"&amp;TEXT($I$10,"0%")))</f>
        <v>Lower95%</v>
      </c>
      <c r="G13" s="23" t="str">
        <f>IF($I$10&gt;99%,("Upper"&amp;TEXT($I$10,"0.0%")),("Upper"&amp;TEXT($I$10,"0%")))</f>
        <v>Upper95%</v>
      </c>
      <c r="H13" s="23" t="s">
        <v>105</v>
      </c>
      <c r="I13" s="23" t="s">
        <v>113</v>
      </c>
    </row>
    <row r="14" spans="1:78" outlineLevel="1" x14ac:dyDescent="0.15">
      <c r="A14" s="18" t="s">
        <v>114</v>
      </c>
      <c r="B14" s="24">
        <v>809.49698835563618</v>
      </c>
      <c r="C14" s="24">
        <v>297.79630992563546</v>
      </c>
      <c r="D14" s="24">
        <f>(B14 - 0) / C14</f>
        <v>2.7182908631667755</v>
      </c>
      <c r="E14" s="24">
        <f>TDIST(ABS(D14),$F$10 - 3,2)</f>
        <v>8.1692088584533543E-3</v>
      </c>
      <c r="F14" s="24">
        <f>B14 - TINV(1 - $I$10, $F$10 - 3) * C14</f>
        <v>216.12488812442587</v>
      </c>
      <c r="G14" s="25">
        <f>B14 + TINV(1 - $I$10, $F$10 - 3) * C14</f>
        <v>1402.8690885868464</v>
      </c>
    </row>
    <row r="15" spans="1:78" outlineLevel="1" x14ac:dyDescent="0.15">
      <c r="A15" s="18" t="s">
        <v>78</v>
      </c>
      <c r="B15" s="24">
        <v>15.011934279643409</v>
      </c>
      <c r="C15" s="24">
        <v>0.286825366300342</v>
      </c>
      <c r="D15" s="24">
        <f t="shared" ref="D15:D16" si="0">(B15 - 0) / C15</f>
        <v>52.338237978310602</v>
      </c>
      <c r="E15" s="24">
        <f t="shared" ref="E15:E16" si="1">TDIST(ABS(D15),$F$10 - 3,2)</f>
        <v>3.2517824521412729E-60</v>
      </c>
      <c r="F15" s="24">
        <f t="shared" ref="F15:F16" si="2">B15 - TINV(1 - $I$10, $F$10 - 3) * C15</f>
        <v>14.440422261768774</v>
      </c>
      <c r="G15" s="24">
        <f t="shared" ref="G15:G16" si="3">B15 + TINV(1 - $I$10, $F$10 - 3) * C15</f>
        <v>15.583446297518044</v>
      </c>
      <c r="H15" s="24">
        <v>168.02028789630083</v>
      </c>
      <c r="I15" s="18">
        <f>B15*H15/$E$10</f>
        <v>0.98340609690460401</v>
      </c>
    </row>
    <row r="16" spans="1:78" outlineLevel="1" x14ac:dyDescent="0.15">
      <c r="A16" s="18" t="s">
        <v>1</v>
      </c>
      <c r="B16" s="24">
        <v>10.365064779614055</v>
      </c>
      <c r="C16" s="24">
        <v>2.1478167848222292</v>
      </c>
      <c r="D16" s="24">
        <f t="shared" si="0"/>
        <v>4.8258607777254863</v>
      </c>
      <c r="E16" s="24">
        <f t="shared" si="1"/>
        <v>7.2935390662778045E-6</v>
      </c>
      <c r="F16" s="24">
        <f t="shared" si="2"/>
        <v>6.0854464161760946</v>
      </c>
      <c r="G16" s="24">
        <f t="shared" si="3"/>
        <v>14.644683143052017</v>
      </c>
      <c r="H16" s="24">
        <v>22.437891798920024</v>
      </c>
      <c r="I16" s="18">
        <f>B16*H16/$E$10</f>
        <v>9.0675213666817259E-2</v>
      </c>
    </row>
    <row r="18" spans="1:9" x14ac:dyDescent="0.15">
      <c r="A18" s="20" t="s">
        <v>186</v>
      </c>
    </row>
    <row r="19" spans="1:9" ht="12" hidden="1" outlineLevel="1" thickBot="1" x14ac:dyDescent="0.2">
      <c r="A19" s="28" t="s">
        <v>116</v>
      </c>
      <c r="B19" s="23" t="s">
        <v>120</v>
      </c>
      <c r="C19" s="23" t="s">
        <v>121</v>
      </c>
      <c r="D19" s="23" t="s">
        <v>122</v>
      </c>
      <c r="E19" s="23" t="s">
        <v>123</v>
      </c>
      <c r="F19" s="23" t="s">
        <v>112</v>
      </c>
    </row>
    <row r="20" spans="1:9" hidden="1" outlineLevel="1" x14ac:dyDescent="0.15">
      <c r="A20" s="18" t="s">
        <v>117</v>
      </c>
      <c r="B20" s="26">
        <v>2</v>
      </c>
      <c r="C20" s="25">
        <f>C22 - C21</f>
        <v>486909721.7676428</v>
      </c>
      <c r="D20" s="25">
        <f>C20/B20</f>
        <v>243454860.8838214</v>
      </c>
      <c r="E20" s="24">
        <f>D20/D21</f>
        <v>1379.3495493441335</v>
      </c>
      <c r="F20" s="24">
        <f>FDIST(E20,2,74)</f>
        <v>2.6925091534675254E-59</v>
      </c>
    </row>
    <row r="21" spans="1:9" hidden="1" outlineLevel="1" x14ac:dyDescent="0.15">
      <c r="A21" s="18" t="s">
        <v>118</v>
      </c>
      <c r="B21" s="26">
        <v>74</v>
      </c>
      <c r="C21" s="25">
        <v>13060982.050538998</v>
      </c>
      <c r="D21" s="25">
        <f>C21/B21</f>
        <v>176499.7574397162</v>
      </c>
    </row>
    <row r="22" spans="1:9" hidden="1" outlineLevel="1" x14ac:dyDescent="0.15">
      <c r="A22" s="18" t="s">
        <v>119</v>
      </c>
      <c r="B22" s="26">
        <f>B20 + B21</f>
        <v>76</v>
      </c>
      <c r="C22" s="25">
        <v>499970703.81818181</v>
      </c>
    </row>
    <row r="23" spans="1:9" collapsed="1" x14ac:dyDescent="0.15"/>
    <row r="24" spans="1:9" x14ac:dyDescent="0.15">
      <c r="A24" s="20" t="s">
        <v>187</v>
      </c>
    </row>
    <row r="25" spans="1:9" ht="12" outlineLevel="1" thickBot="1" x14ac:dyDescent="0.2">
      <c r="A25" s="23" t="s">
        <v>129</v>
      </c>
      <c r="B25" s="23" t="s">
        <v>130</v>
      </c>
      <c r="C25" s="23" t="s">
        <v>131</v>
      </c>
      <c r="D25" s="23" t="s">
        <v>112</v>
      </c>
      <c r="E25" s="23" t="s">
        <v>133</v>
      </c>
      <c r="F25" s="23" t="s">
        <v>134</v>
      </c>
      <c r="G25" s="28" t="s">
        <v>135</v>
      </c>
    </row>
    <row r="26" spans="1:9" outlineLevel="1" x14ac:dyDescent="0.15">
      <c r="A26" s="26">
        <v>39</v>
      </c>
      <c r="B26" s="26">
        <v>38</v>
      </c>
      <c r="C26" s="18">
        <v>0.25844918530066502</v>
      </c>
      <c r="D26" s="18">
        <v>0.71663690938527536</v>
      </c>
      <c r="E26" s="24">
        <v>-2.4319598646432139</v>
      </c>
      <c r="F26" s="24">
        <v>3.0624679081324402</v>
      </c>
      <c r="G26" s="24">
        <v>1.6819963011179047</v>
      </c>
    </row>
    <row r="27" spans="1:9" outlineLevel="1" x14ac:dyDescent="0.15">
      <c r="A27" s="18" t="s">
        <v>132</v>
      </c>
    </row>
    <row r="29" spans="1:9" x14ac:dyDescent="0.15">
      <c r="A29" s="20" t="s">
        <v>188</v>
      </c>
    </row>
    <row r="30" spans="1:9" ht="12" outlineLevel="1" thickBot="1" x14ac:dyDescent="0.2">
      <c r="A30" s="22" t="s">
        <v>137</v>
      </c>
      <c r="B30" s="31">
        <v>1</v>
      </c>
      <c r="C30" s="31">
        <v>2</v>
      </c>
      <c r="D30" s="31">
        <v>3</v>
      </c>
      <c r="E30" s="31">
        <v>4</v>
      </c>
      <c r="F30" s="31">
        <v>5</v>
      </c>
      <c r="G30" s="31">
        <v>6</v>
      </c>
      <c r="H30" s="31">
        <v>7</v>
      </c>
      <c r="I30" s="31">
        <v>12</v>
      </c>
    </row>
    <row r="31" spans="1:9" outlineLevel="1" x14ac:dyDescent="0.15">
      <c r="A31" s="18" t="s">
        <v>138</v>
      </c>
      <c r="B31" s="24">
        <v>0.17120872407524146</v>
      </c>
      <c r="C31" s="24">
        <v>-0.12860197937092474</v>
      </c>
      <c r="D31" s="24">
        <v>-0.14230909618900248</v>
      </c>
      <c r="E31" s="24">
        <v>0.20363496295422162</v>
      </c>
      <c r="F31" s="45">
        <v>8.9025184579277661E-2</v>
      </c>
      <c r="G31" s="24">
        <v>-0.11975465099146251</v>
      </c>
      <c r="H31" s="45">
        <v>4.9031831192377529E-2</v>
      </c>
      <c r="I31" s="24">
        <v>0.29706720247628204</v>
      </c>
    </row>
    <row r="32" spans="1:9" outlineLevel="1" x14ac:dyDescent="0.15">
      <c r="A32" s="18" t="s">
        <v>140</v>
      </c>
    </row>
    <row r="33" spans="1:85" outlineLevel="1" x14ac:dyDescent="0.15">
      <c r="A33" s="32" t="s">
        <v>139</v>
      </c>
      <c r="B33" s="33">
        <f t="shared" ref="B33:I33" si="4" xml:space="preserve"> 1 / SQRT($F$10 - B30)</f>
        <v>0.11470786693528087</v>
      </c>
      <c r="C33" s="33">
        <f t="shared" si="4"/>
        <v>0.11547005383792514</v>
      </c>
      <c r="D33" s="33">
        <f t="shared" si="4"/>
        <v>0.11624763874381928</v>
      </c>
      <c r="E33" s="33">
        <f t="shared" si="4"/>
        <v>0.11704114719613057</v>
      </c>
      <c r="F33" s="33">
        <f t="shared" si="4"/>
        <v>0.11785113019775793</v>
      </c>
      <c r="G33" s="33">
        <f t="shared" si="4"/>
        <v>0.11867816581938533</v>
      </c>
      <c r="H33" s="33">
        <f t="shared" si="4"/>
        <v>0.11952286093343936</v>
      </c>
      <c r="I33" s="33">
        <f t="shared" si="4"/>
        <v>0.12403473458920847</v>
      </c>
    </row>
    <row r="35" spans="1:85" x14ac:dyDescent="0.15">
      <c r="A35" s="20" t="s">
        <v>189</v>
      </c>
    </row>
    <row r="36" spans="1:85" ht="12" hidden="1" outlineLevel="1" thickBot="1" x14ac:dyDescent="0.2">
      <c r="A36" s="23" t="s">
        <v>142</v>
      </c>
      <c r="B36" s="23" t="s">
        <v>143</v>
      </c>
      <c r="C36" s="23" t="s">
        <v>144</v>
      </c>
      <c r="D36" s="23" t="str">
        <f>IF($I$10&gt;99%,("Low"&amp;TEXT($I$10,"0.0%")&amp;"F"),("Lower"&amp;TEXT($I$10,"0%")&amp;"F"))</f>
        <v>Lower95%F</v>
      </c>
      <c r="E36" s="23" t="str">
        <f>IF($I$10&gt;99%,("Up"&amp;TEXT($I$10,"0.0%")&amp;"F"),("Upper"&amp;TEXT($I$10,"0%")&amp;"F"))</f>
        <v>Upper95%F</v>
      </c>
      <c r="F36" s="23" t="s">
        <v>145</v>
      </c>
      <c r="G36" s="23" t="str">
        <f>IF($I$10&gt;99%,("Low"&amp;TEXT($I$10,"0.0%")&amp;"M"),("Lower"&amp;TEXT($I$10,"0%")&amp;"M"))</f>
        <v>Lower95%M</v>
      </c>
      <c r="H36" s="23" t="str">
        <f>IF($I$10&gt;99%,("Up"&amp;TEXT($I$10,"0.0%")&amp;"M"),("Upper"&amp;TEXT($I$10,"0%")&amp;"M"))</f>
        <v>Upper95%M</v>
      </c>
      <c r="I36" s="28" t="s">
        <v>146</v>
      </c>
      <c r="J36" s="28" t="s">
        <v>176</v>
      </c>
    </row>
    <row r="37" spans="1:85" hidden="1" outlineLevel="1" x14ac:dyDescent="0.15">
      <c r="A37" s="26">
        <v>75</v>
      </c>
      <c r="B37" s="25">
        <v>5923.5796363182617</v>
      </c>
      <c r="C37" s="24">
        <v>430.25899525934744</v>
      </c>
      <c r="D37" s="25">
        <f xml:space="preserve"> B37 - $H$10 * C37</f>
        <v>5066.2698740711648</v>
      </c>
      <c r="E37" s="25">
        <f xml:space="preserve"> B37 + $H$10 * C37</f>
        <v>6780.8893985653585</v>
      </c>
      <c r="F37" s="24">
        <v>92.860355167676374</v>
      </c>
      <c r="G37" s="25">
        <f xml:space="preserve"> B37 - $H$10 * F37</f>
        <v>5738.5513396687165</v>
      </c>
      <c r="H37" s="25">
        <f xml:space="preserve"> B37 + $H$10 * F37</f>
        <v>6108.6079329678068</v>
      </c>
      <c r="I37" s="34">
        <v>222.6</v>
      </c>
      <c r="J37" s="34">
        <v>171</v>
      </c>
      <c r="K37" s="34"/>
      <c r="CG37" s="18">
        <f xml:space="preserve"> $C$37 * $H$10</f>
        <v>857.30976224709707</v>
      </c>
    </row>
    <row r="38" spans="1:85" hidden="1" outlineLevel="1" x14ac:dyDescent="0.15">
      <c r="I38" s="34"/>
      <c r="J38" s="34"/>
      <c r="K38" s="34"/>
    </row>
    <row r="39" spans="1:85" hidden="1" outlineLevel="1" x14ac:dyDescent="0.15"/>
    <row r="40" spans="1:85" hidden="1" outlineLevel="1" x14ac:dyDescent="0.15"/>
    <row r="41" spans="1:85" hidden="1" outlineLevel="1" x14ac:dyDescent="0.15"/>
    <row r="42" spans="1:85" hidden="1" outlineLevel="1" x14ac:dyDescent="0.15"/>
    <row r="43" spans="1:85" hidden="1" outlineLevel="1" x14ac:dyDescent="0.15"/>
    <row r="44" spans="1:85" hidden="1" outlineLevel="1" x14ac:dyDescent="0.15"/>
    <row r="45" spans="1:85" hidden="1" outlineLevel="1" x14ac:dyDescent="0.15"/>
    <row r="46" spans="1:85" hidden="1" outlineLevel="1" x14ac:dyDescent="0.15"/>
    <row r="47" spans="1:85" hidden="1" outlineLevel="1" x14ac:dyDescent="0.15"/>
    <row r="48" spans="1:85" hidden="1" outlineLevel="1" x14ac:dyDescent="0.15"/>
    <row r="49" spans="1:1" hidden="1" outlineLevel="1" x14ac:dyDescent="0.15"/>
    <row r="50" spans="1:1" hidden="1" outlineLevel="1" x14ac:dyDescent="0.15"/>
    <row r="51" spans="1:1" hidden="1" outlineLevel="1" x14ac:dyDescent="0.15"/>
    <row r="52" spans="1:1" hidden="1" outlineLevel="1" x14ac:dyDescent="0.15"/>
    <row r="53" spans="1:1" hidden="1" outlineLevel="1" x14ac:dyDescent="0.15"/>
    <row r="54" spans="1:1" hidden="1" outlineLevel="1" x14ac:dyDescent="0.15"/>
    <row r="55" spans="1:1" hidden="1" outlineLevel="1" x14ac:dyDescent="0.15"/>
    <row r="56" spans="1:1" hidden="1" outlineLevel="1" x14ac:dyDescent="0.15"/>
    <row r="57" spans="1:1" hidden="1" outlineLevel="1" x14ac:dyDescent="0.15"/>
    <row r="58" spans="1:1" hidden="1" outlineLevel="1" x14ac:dyDescent="0.15"/>
    <row r="59" spans="1:1" hidden="1" outlineLevel="1" x14ac:dyDescent="0.15"/>
    <row r="60" spans="1:1" hidden="1" outlineLevel="1" x14ac:dyDescent="0.15"/>
    <row r="61" spans="1:1" hidden="1" outlineLevel="1" x14ac:dyDescent="0.15"/>
    <row r="62" spans="1:1" collapsed="1" x14ac:dyDescent="0.15"/>
    <row r="63" spans="1:1" x14ac:dyDescent="0.15">
      <c r="A63" s="20" t="s">
        <v>147</v>
      </c>
    </row>
    <row r="64" spans="1:1" outlineLevel="1" x14ac:dyDescent="0.15"/>
    <row r="65" spans="3:3" outlineLevel="1" x14ac:dyDescent="0.15"/>
    <row r="66" spans="3:3" outlineLevel="1" x14ac:dyDescent="0.15">
      <c r="C66" s="32" t="b">
        <v>1</v>
      </c>
    </row>
    <row r="67" spans="3:3" outlineLevel="1" x14ac:dyDescent="0.15"/>
    <row r="68" spans="3:3" outlineLevel="1" x14ac:dyDescent="0.15"/>
    <row r="69" spans="3:3" outlineLevel="1" x14ac:dyDescent="0.15"/>
    <row r="70" spans="3:3" outlineLevel="1" x14ac:dyDescent="0.15"/>
    <row r="71" spans="3:3" outlineLevel="1" x14ac:dyDescent="0.15"/>
    <row r="72" spans="3:3" outlineLevel="1" x14ac:dyDescent="0.15"/>
    <row r="73" spans="3:3" outlineLevel="1" x14ac:dyDescent="0.15"/>
    <row r="74" spans="3:3" outlineLevel="1" x14ac:dyDescent="0.15"/>
    <row r="75" spans="3:3" outlineLevel="1" x14ac:dyDescent="0.15"/>
    <row r="76" spans="3:3" outlineLevel="1" x14ac:dyDescent="0.15"/>
    <row r="77" spans="3:3" outlineLevel="1" x14ac:dyDescent="0.15"/>
    <row r="78" spans="3:3" outlineLevel="1" x14ac:dyDescent="0.15"/>
    <row r="79" spans="3:3" outlineLevel="1" x14ac:dyDescent="0.15"/>
    <row r="80" spans="3:3" outlineLevel="1" x14ac:dyDescent="0.15"/>
    <row r="81" spans="1:1" outlineLevel="1" x14ac:dyDescent="0.15"/>
    <row r="82" spans="1:1" outlineLevel="1" x14ac:dyDescent="0.15"/>
    <row r="83" spans="1:1" outlineLevel="1" x14ac:dyDescent="0.15"/>
    <row r="85" spans="1:1" x14ac:dyDescent="0.15">
      <c r="A85" s="20" t="s">
        <v>148</v>
      </c>
    </row>
    <row r="86" spans="1:1" outlineLevel="1" x14ac:dyDescent="0.15"/>
    <row r="87" spans="1:1" outlineLevel="1" x14ac:dyDescent="0.15"/>
    <row r="88" spans="1:1" outlineLevel="1" x14ac:dyDescent="0.15"/>
    <row r="89" spans="1:1" outlineLevel="1" x14ac:dyDescent="0.15"/>
    <row r="90" spans="1:1" outlineLevel="1" x14ac:dyDescent="0.15"/>
    <row r="91" spans="1:1" outlineLevel="1" x14ac:dyDescent="0.15"/>
    <row r="92" spans="1:1" outlineLevel="1" x14ac:dyDescent="0.15"/>
    <row r="93" spans="1:1" outlineLevel="1" x14ac:dyDescent="0.15"/>
    <row r="94" spans="1:1" outlineLevel="1" x14ac:dyDescent="0.15"/>
    <row r="95" spans="1:1" outlineLevel="1" x14ac:dyDescent="0.15"/>
    <row r="96" spans="1:1" outlineLevel="1" x14ac:dyDescent="0.15"/>
    <row r="97" spans="1:1" outlineLevel="1" x14ac:dyDescent="0.15"/>
    <row r="98" spans="1:1" outlineLevel="1" x14ac:dyDescent="0.15"/>
    <row r="99" spans="1:1" outlineLevel="1" x14ac:dyDescent="0.15"/>
    <row r="100" spans="1:1" outlineLevel="1" x14ac:dyDescent="0.15"/>
    <row r="101" spans="1:1" outlineLevel="1" x14ac:dyDescent="0.15"/>
    <row r="102" spans="1:1" outlineLevel="1" x14ac:dyDescent="0.15"/>
    <row r="103" spans="1:1" outlineLevel="1" x14ac:dyDescent="0.15"/>
    <row r="104" spans="1:1" outlineLevel="1" x14ac:dyDescent="0.15"/>
    <row r="105" spans="1:1" outlineLevel="1" x14ac:dyDescent="0.15"/>
    <row r="107" spans="1:1" x14ac:dyDescent="0.15">
      <c r="A107" s="20" t="s">
        <v>149</v>
      </c>
    </row>
    <row r="108" spans="1:1" outlineLevel="1" x14ac:dyDescent="0.15"/>
    <row r="109" spans="1:1" outlineLevel="1" x14ac:dyDescent="0.15"/>
    <row r="110" spans="1:1" outlineLevel="1" x14ac:dyDescent="0.15"/>
    <row r="111" spans="1:1" outlineLevel="1" x14ac:dyDescent="0.15"/>
    <row r="112" spans="1:1" outlineLevel="1" x14ac:dyDescent="0.15"/>
    <row r="113" outlineLevel="1" x14ac:dyDescent="0.15"/>
    <row r="114" outlineLevel="1" x14ac:dyDescent="0.15"/>
    <row r="115" outlineLevel="1" x14ac:dyDescent="0.15"/>
    <row r="116" outlineLevel="1" x14ac:dyDescent="0.15"/>
    <row r="117" outlineLevel="1" x14ac:dyDescent="0.15"/>
    <row r="118" outlineLevel="1" x14ac:dyDescent="0.15"/>
    <row r="119" outlineLevel="1" x14ac:dyDescent="0.15"/>
    <row r="120" outlineLevel="1" x14ac:dyDescent="0.15"/>
    <row r="121" outlineLevel="1" x14ac:dyDescent="0.15"/>
    <row r="122" outlineLevel="1" x14ac:dyDescent="0.15"/>
    <row r="123" outlineLevel="1" x14ac:dyDescent="0.15"/>
    <row r="124" outlineLevel="1" x14ac:dyDescent="0.15"/>
    <row r="125" outlineLevel="1" x14ac:dyDescent="0.15"/>
    <row r="126" outlineLevel="1" x14ac:dyDescent="0.15"/>
    <row r="127" outlineLevel="1" x14ac:dyDescent="0.15"/>
    <row r="129" spans="1:1" x14ac:dyDescent="0.15">
      <c r="A129" s="20" t="s">
        <v>150</v>
      </c>
    </row>
    <row r="130" spans="1:1" outlineLevel="1" x14ac:dyDescent="0.15"/>
    <row r="131" spans="1:1" outlineLevel="1" x14ac:dyDescent="0.15"/>
    <row r="132" spans="1:1" outlineLevel="1" x14ac:dyDescent="0.15"/>
    <row r="133" spans="1:1" outlineLevel="1" x14ac:dyDescent="0.15"/>
    <row r="134" spans="1:1" outlineLevel="1" x14ac:dyDescent="0.15"/>
    <row r="135" spans="1:1" outlineLevel="1" x14ac:dyDescent="0.15"/>
    <row r="136" spans="1:1" outlineLevel="1" x14ac:dyDescent="0.15"/>
    <row r="137" spans="1:1" outlineLevel="1" x14ac:dyDescent="0.15"/>
    <row r="138" spans="1:1" outlineLevel="1" x14ac:dyDescent="0.15"/>
    <row r="139" spans="1:1" outlineLevel="1" x14ac:dyDescent="0.15"/>
    <row r="140" spans="1:1" outlineLevel="1" x14ac:dyDescent="0.15"/>
    <row r="141" spans="1:1" outlineLevel="1" x14ac:dyDescent="0.15"/>
    <row r="142" spans="1:1" outlineLevel="1" x14ac:dyDescent="0.15"/>
    <row r="143" spans="1:1" outlineLevel="1" x14ac:dyDescent="0.15"/>
    <row r="144" spans="1:1" outlineLevel="1" x14ac:dyDescent="0.15"/>
    <row r="145" spans="1:1" outlineLevel="1" x14ac:dyDescent="0.15"/>
    <row r="146" spans="1:1" outlineLevel="1" x14ac:dyDescent="0.15"/>
    <row r="147" spans="1:1" outlineLevel="1" x14ac:dyDescent="0.15"/>
    <row r="148" spans="1:1" outlineLevel="1" x14ac:dyDescent="0.15"/>
    <row r="149" spans="1:1" outlineLevel="1" x14ac:dyDescent="0.15"/>
    <row r="151" spans="1:1" x14ac:dyDescent="0.15">
      <c r="A151" s="20" t="s">
        <v>151</v>
      </c>
    </row>
    <row r="152" spans="1:1" outlineLevel="1" x14ac:dyDescent="0.15"/>
    <row r="153" spans="1:1" outlineLevel="1" x14ac:dyDescent="0.15"/>
    <row r="154" spans="1:1" outlineLevel="1" x14ac:dyDescent="0.15"/>
    <row r="155" spans="1:1" outlineLevel="1" x14ac:dyDescent="0.15"/>
    <row r="156" spans="1:1" outlineLevel="1" x14ac:dyDescent="0.15"/>
    <row r="157" spans="1:1" outlineLevel="1" x14ac:dyDescent="0.15"/>
    <row r="158" spans="1:1" outlineLevel="1" x14ac:dyDescent="0.15"/>
    <row r="159" spans="1:1" outlineLevel="1" x14ac:dyDescent="0.15"/>
    <row r="160" spans="1:1" outlineLevel="1" x14ac:dyDescent="0.15"/>
    <row r="161" spans="1:6" outlineLevel="1" x14ac:dyDescent="0.15"/>
    <row r="162" spans="1:6" outlineLevel="1" x14ac:dyDescent="0.15"/>
    <row r="163" spans="1:6" outlineLevel="1" x14ac:dyDescent="0.15"/>
    <row r="164" spans="1:6" outlineLevel="1" x14ac:dyDescent="0.15"/>
    <row r="165" spans="1:6" outlineLevel="1" x14ac:dyDescent="0.15"/>
    <row r="166" spans="1:6" outlineLevel="1" x14ac:dyDescent="0.15"/>
    <row r="167" spans="1:6" outlineLevel="1" x14ac:dyDescent="0.15"/>
    <row r="168" spans="1:6" outlineLevel="1" x14ac:dyDescent="0.15"/>
    <row r="169" spans="1:6" outlineLevel="1" x14ac:dyDescent="0.15"/>
    <row r="170" spans="1:6" outlineLevel="1" x14ac:dyDescent="0.15"/>
    <row r="171" spans="1:6" outlineLevel="1" x14ac:dyDescent="0.15"/>
    <row r="173" spans="1:6" x14ac:dyDescent="0.15">
      <c r="A173" s="20" t="s">
        <v>190</v>
      </c>
    </row>
    <row r="174" spans="1:6" ht="12" hidden="1" outlineLevel="1" thickBot="1" x14ac:dyDescent="0.2">
      <c r="A174" s="23" t="s">
        <v>142</v>
      </c>
      <c r="B174" s="23" t="s">
        <v>153</v>
      </c>
      <c r="C174" s="23" t="s">
        <v>127</v>
      </c>
      <c r="D174" s="23" t="s">
        <v>118</v>
      </c>
      <c r="E174" s="23" t="s">
        <v>154</v>
      </c>
    </row>
    <row r="175" spans="1:6" ht="15" hidden="1" outlineLevel="1" x14ac:dyDescent="0.2">
      <c r="A175" s="36">
        <v>61</v>
      </c>
      <c r="B175" s="37">
        <v>11381</v>
      </c>
      <c r="C175" s="37">
        <v>10094.399834801146</v>
      </c>
      <c r="D175" s="37">
        <f t="shared" ref="D175:D206" si="5">B175 - C175</f>
        <v>1286.6001651988536</v>
      </c>
      <c r="E175" s="19">
        <f t="shared" ref="E175:E206" si="6">D175 /420.118742071472</f>
        <v>3.0624679081324415</v>
      </c>
      <c r="F175"/>
    </row>
    <row r="176" spans="1:6" ht="15" hidden="1" outlineLevel="1" x14ac:dyDescent="0.2">
      <c r="A176" s="36">
        <v>74</v>
      </c>
      <c r="B176" s="37">
        <v>10511</v>
      </c>
      <c r="C176" s="37">
        <v>9459.0334483904226</v>
      </c>
      <c r="D176" s="37">
        <f t="shared" si="5"/>
        <v>1051.9665516095774</v>
      </c>
      <c r="E176" s="19">
        <f t="shared" si="6"/>
        <v>2.5039743440691664</v>
      </c>
      <c r="F176"/>
    </row>
    <row r="177" spans="1:6" ht="15" hidden="1" outlineLevel="1" x14ac:dyDescent="0.2">
      <c r="A177" s="26">
        <v>47</v>
      </c>
      <c r="B177" s="25">
        <v>5686</v>
      </c>
      <c r="C177" s="25">
        <v>6707.7119191022148</v>
      </c>
      <c r="D177" s="25">
        <f t="shared" si="5"/>
        <v>-1021.7119191022148</v>
      </c>
      <c r="E177" s="18">
        <f t="shared" si="6"/>
        <v>-2.4319598646432148</v>
      </c>
      <c r="F177"/>
    </row>
    <row r="178" spans="1:6" ht="15" hidden="1" outlineLevel="1" x14ac:dyDescent="0.2">
      <c r="A178" s="26">
        <v>49</v>
      </c>
      <c r="B178" s="25">
        <v>6935</v>
      </c>
      <c r="C178" s="25">
        <v>7730.7388607323019</v>
      </c>
      <c r="D178" s="24">
        <f t="shared" si="5"/>
        <v>-795.73886073230187</v>
      </c>
      <c r="E178" s="18">
        <f t="shared" si="6"/>
        <v>-1.8940808420228206</v>
      </c>
      <c r="F178"/>
    </row>
    <row r="179" spans="1:6" ht="15" hidden="1" outlineLevel="1" x14ac:dyDescent="0.2">
      <c r="A179" s="26">
        <v>35</v>
      </c>
      <c r="B179" s="25">
        <v>4446</v>
      </c>
      <c r="C179" s="25">
        <v>5228.2538741043691</v>
      </c>
      <c r="D179" s="24">
        <f t="shared" si="5"/>
        <v>-782.25387410436906</v>
      </c>
      <c r="E179" s="18">
        <f t="shared" si="6"/>
        <v>-1.8619828057356447</v>
      </c>
      <c r="F179"/>
    </row>
    <row r="180" spans="1:6" ht="15" hidden="1" outlineLevel="1" x14ac:dyDescent="0.2">
      <c r="A180" s="26">
        <v>60</v>
      </c>
      <c r="B180" s="25">
        <v>6700</v>
      </c>
      <c r="C180" s="25">
        <v>7436.9303587110762</v>
      </c>
      <c r="D180" s="24">
        <f t="shared" si="5"/>
        <v>-736.93035871107622</v>
      </c>
      <c r="E180" s="18">
        <f t="shared" si="6"/>
        <v>-1.7541001743400135</v>
      </c>
      <c r="F180"/>
    </row>
    <row r="181" spans="1:6" ht="15" hidden="1" outlineLevel="1" x14ac:dyDescent="0.2">
      <c r="A181" s="26">
        <v>48</v>
      </c>
      <c r="B181" s="25">
        <v>5878</v>
      </c>
      <c r="C181" s="25">
        <v>6602.9854877378966</v>
      </c>
      <c r="D181" s="24">
        <f t="shared" si="5"/>
        <v>-724.98548773789662</v>
      </c>
      <c r="E181" s="18">
        <f t="shared" si="6"/>
        <v>-1.7256680436659968</v>
      </c>
      <c r="F181"/>
    </row>
    <row r="182" spans="1:6" ht="15" hidden="1" outlineLevel="1" x14ac:dyDescent="0.2">
      <c r="A182" s="26">
        <v>24</v>
      </c>
      <c r="B182" s="25">
        <v>10645</v>
      </c>
      <c r="C182" s="25">
        <v>9984.610039654257</v>
      </c>
      <c r="D182" s="24">
        <f t="shared" si="5"/>
        <v>660.38996034574302</v>
      </c>
      <c r="E182" s="18">
        <f t="shared" si="6"/>
        <v>1.5719126385306448</v>
      </c>
      <c r="F182"/>
    </row>
    <row r="183" spans="1:6" ht="15" hidden="1" outlineLevel="1" x14ac:dyDescent="0.2">
      <c r="A183" s="26">
        <v>50</v>
      </c>
      <c r="B183" s="25">
        <v>7155</v>
      </c>
      <c r="C183" s="25">
        <v>7741.6043233212367</v>
      </c>
      <c r="D183" s="24">
        <f t="shared" si="5"/>
        <v>-586.60432332123673</v>
      </c>
      <c r="E183" s="18">
        <f t="shared" si="6"/>
        <v>-1.3962822044759946</v>
      </c>
      <c r="F183"/>
    </row>
    <row r="184" spans="1:6" ht="15" hidden="1" outlineLevel="1" x14ac:dyDescent="0.2">
      <c r="A184" s="26">
        <v>13</v>
      </c>
      <c r="B184" s="25">
        <v>9701</v>
      </c>
      <c r="C184" s="25">
        <v>9130.5059670920818</v>
      </c>
      <c r="D184" s="24">
        <f t="shared" si="5"/>
        <v>570.49403290791815</v>
      </c>
      <c r="E184" s="18">
        <f t="shared" si="6"/>
        <v>1.3579352115904026</v>
      </c>
      <c r="F184"/>
    </row>
    <row r="185" spans="1:6" ht="15" hidden="1" outlineLevel="1" x14ac:dyDescent="0.2">
      <c r="A185" s="26">
        <v>65</v>
      </c>
      <c r="B185" s="25">
        <v>3314</v>
      </c>
      <c r="C185" s="25">
        <v>2744.4840524325091</v>
      </c>
      <c r="D185" s="24">
        <f t="shared" si="5"/>
        <v>569.51594756749091</v>
      </c>
      <c r="E185" s="18">
        <f t="shared" si="6"/>
        <v>1.3556070951735901</v>
      </c>
      <c r="F185"/>
    </row>
    <row r="186" spans="1:6" ht="15" hidden="1" outlineLevel="1" x14ac:dyDescent="0.2">
      <c r="A186" s="26">
        <v>11</v>
      </c>
      <c r="B186" s="25">
        <v>4375</v>
      </c>
      <c r="C186" s="25">
        <v>4944.4644727411296</v>
      </c>
      <c r="D186" s="24">
        <f t="shared" si="5"/>
        <v>-569.46447274112961</v>
      </c>
      <c r="E186" s="18">
        <f t="shared" si="6"/>
        <v>-1.3554845707032284</v>
      </c>
      <c r="F186"/>
    </row>
    <row r="187" spans="1:6" ht="15" hidden="1" outlineLevel="1" x14ac:dyDescent="0.2">
      <c r="A187" s="26">
        <v>37</v>
      </c>
      <c r="B187" s="25">
        <v>8072</v>
      </c>
      <c r="C187" s="25">
        <v>7504.2769302753577</v>
      </c>
      <c r="D187" s="24">
        <f t="shared" si="5"/>
        <v>567.7230697246423</v>
      </c>
      <c r="E187" s="18">
        <f t="shared" si="6"/>
        <v>1.3513395449233716</v>
      </c>
      <c r="F187"/>
    </row>
    <row r="188" spans="1:6" ht="15" hidden="1" outlineLevel="1" x14ac:dyDescent="0.2">
      <c r="A188" s="26">
        <v>36</v>
      </c>
      <c r="B188" s="25">
        <v>6081</v>
      </c>
      <c r="C188" s="25">
        <v>6636.7304181281052</v>
      </c>
      <c r="D188" s="24">
        <f t="shared" si="5"/>
        <v>-555.73041812810516</v>
      </c>
      <c r="E188" s="18">
        <f t="shared" si="6"/>
        <v>-1.322793683014414</v>
      </c>
      <c r="F188"/>
    </row>
    <row r="189" spans="1:6" ht="15" hidden="1" outlineLevel="1" x14ac:dyDescent="0.2">
      <c r="A189" s="26">
        <v>14</v>
      </c>
      <c r="B189" s="25">
        <v>8911</v>
      </c>
      <c r="C189" s="25">
        <v>8362.2520405675259</v>
      </c>
      <c r="D189" s="24">
        <f t="shared" si="5"/>
        <v>548.74795943247409</v>
      </c>
      <c r="E189" s="18">
        <f t="shared" si="6"/>
        <v>1.3061734802088865</v>
      </c>
      <c r="F189"/>
    </row>
    <row r="190" spans="1:6" ht="15" hidden="1" outlineLevel="1" x14ac:dyDescent="0.2">
      <c r="A190" s="26">
        <v>1</v>
      </c>
      <c r="B190" s="25">
        <v>8960</v>
      </c>
      <c r="C190" s="25">
        <v>8463.6939644322647</v>
      </c>
      <c r="D190" s="24">
        <f t="shared" si="5"/>
        <v>496.30603556773531</v>
      </c>
      <c r="E190" s="18">
        <f t="shared" si="6"/>
        <v>1.1813470475528132</v>
      </c>
      <c r="F190"/>
    </row>
    <row r="191" spans="1:6" ht="15" hidden="1" outlineLevel="1" x14ac:dyDescent="0.2">
      <c r="A191" s="26">
        <v>64</v>
      </c>
      <c r="B191" s="25">
        <v>3372</v>
      </c>
      <c r="C191" s="25">
        <v>3865.0180367193652</v>
      </c>
      <c r="D191" s="24">
        <f t="shared" si="5"/>
        <v>-493.01803671936523</v>
      </c>
      <c r="E191" s="18">
        <f t="shared" si="6"/>
        <v>-1.1735206915274714</v>
      </c>
      <c r="F191"/>
    </row>
    <row r="192" spans="1:6" ht="15" hidden="1" outlineLevel="1" x14ac:dyDescent="0.2">
      <c r="A192" s="26">
        <v>52</v>
      </c>
      <c r="B192" s="25">
        <v>3390</v>
      </c>
      <c r="C192" s="25">
        <v>3856.2291533172502</v>
      </c>
      <c r="D192" s="24">
        <f t="shared" si="5"/>
        <v>-466.22915331725017</v>
      </c>
      <c r="E192" s="18">
        <f t="shared" si="6"/>
        <v>-1.1097556634070225</v>
      </c>
      <c r="F192"/>
    </row>
    <row r="193" spans="1:6" ht="15" hidden="1" outlineLevel="1" x14ac:dyDescent="0.2">
      <c r="A193" s="26">
        <v>28</v>
      </c>
      <c r="B193" s="25">
        <v>2761</v>
      </c>
      <c r="C193" s="25">
        <v>3224.6632744756062</v>
      </c>
      <c r="D193" s="24">
        <f t="shared" si="5"/>
        <v>-463.66327447560616</v>
      </c>
      <c r="E193" s="18">
        <f t="shared" si="6"/>
        <v>-1.1036481547798365</v>
      </c>
      <c r="F193"/>
    </row>
    <row r="194" spans="1:6" ht="15" hidden="1" outlineLevel="1" x14ac:dyDescent="0.2">
      <c r="A194" s="26">
        <v>9</v>
      </c>
      <c r="B194" s="25">
        <v>2450</v>
      </c>
      <c r="C194" s="25">
        <v>1991.4031805582224</v>
      </c>
      <c r="D194" s="24">
        <f t="shared" si="5"/>
        <v>458.5968194417776</v>
      </c>
      <c r="E194" s="18">
        <f t="shared" si="6"/>
        <v>1.0915885760787114</v>
      </c>
      <c r="F194"/>
    </row>
    <row r="195" spans="1:6" ht="15" hidden="1" outlineLevel="1" x14ac:dyDescent="0.2">
      <c r="A195" s="26">
        <v>66</v>
      </c>
      <c r="B195" s="25">
        <v>2930</v>
      </c>
      <c r="C195" s="25">
        <v>2488.6374826531132</v>
      </c>
      <c r="D195" s="24">
        <f t="shared" si="5"/>
        <v>441.36251734688676</v>
      </c>
      <c r="E195" s="18">
        <f t="shared" si="6"/>
        <v>1.0505661213081532</v>
      </c>
      <c r="F195"/>
    </row>
    <row r="196" spans="1:6" ht="15" hidden="1" outlineLevel="1" x14ac:dyDescent="0.2">
      <c r="A196" s="26">
        <v>44</v>
      </c>
      <c r="B196" s="25">
        <v>2673</v>
      </c>
      <c r="C196" s="25">
        <v>2260.606057501604</v>
      </c>
      <c r="D196" s="24">
        <f t="shared" si="5"/>
        <v>412.39394249839597</v>
      </c>
      <c r="E196" s="18">
        <f t="shared" si="6"/>
        <v>0.9816128184736832</v>
      </c>
      <c r="F196"/>
    </row>
    <row r="197" spans="1:6" ht="15" hidden="1" outlineLevel="1" x14ac:dyDescent="0.2">
      <c r="A197" s="26">
        <v>59</v>
      </c>
      <c r="B197" s="25">
        <v>6415</v>
      </c>
      <c r="C197" s="25">
        <v>6810.575590656762</v>
      </c>
      <c r="D197" s="24">
        <f t="shared" si="5"/>
        <v>-395.57559065676196</v>
      </c>
      <c r="E197" s="18">
        <f t="shared" si="6"/>
        <v>-0.94158044153494425</v>
      </c>
      <c r="F197"/>
    </row>
    <row r="198" spans="1:6" ht="15" hidden="1" outlineLevel="1" x14ac:dyDescent="0.2">
      <c r="A198" s="26">
        <v>23</v>
      </c>
      <c r="B198" s="25">
        <v>5190</v>
      </c>
      <c r="C198" s="25">
        <v>5583.2541980789456</v>
      </c>
      <c r="D198" s="24">
        <f t="shared" si="5"/>
        <v>-393.25419807894559</v>
      </c>
      <c r="E198" s="18">
        <f t="shared" si="6"/>
        <v>-0.93605487853251701</v>
      </c>
      <c r="F198"/>
    </row>
    <row r="199" spans="1:6" ht="15" hidden="1" outlineLevel="1" x14ac:dyDescent="0.2">
      <c r="A199" s="26">
        <v>57</v>
      </c>
      <c r="B199" s="25">
        <v>2873</v>
      </c>
      <c r="C199" s="25">
        <v>2482.9215162678402</v>
      </c>
      <c r="D199" s="24">
        <f t="shared" si="5"/>
        <v>390.07848373215984</v>
      </c>
      <c r="E199" s="18">
        <f t="shared" si="6"/>
        <v>0.92849579099662827</v>
      </c>
      <c r="F199"/>
    </row>
    <row r="200" spans="1:6" ht="15" hidden="1" outlineLevel="1" x14ac:dyDescent="0.2">
      <c r="A200" s="26">
        <v>67</v>
      </c>
      <c r="B200" s="25">
        <v>2889</v>
      </c>
      <c r="C200" s="25">
        <v>2499.0025474327272</v>
      </c>
      <c r="D200" s="24">
        <f t="shared" si="5"/>
        <v>389.99745256727283</v>
      </c>
      <c r="E200" s="18">
        <f t="shared" si="6"/>
        <v>0.92830291418164146</v>
      </c>
      <c r="F200"/>
    </row>
    <row r="201" spans="1:6" ht="15" hidden="1" outlineLevel="1" x14ac:dyDescent="0.2">
      <c r="A201" s="26">
        <v>21</v>
      </c>
      <c r="B201" s="25">
        <v>2433</v>
      </c>
      <c r="C201" s="25">
        <v>2043.2262755619815</v>
      </c>
      <c r="D201" s="24">
        <f t="shared" si="5"/>
        <v>389.77372443801846</v>
      </c>
      <c r="E201" s="18">
        <f t="shared" si="6"/>
        <v>0.92777037871761703</v>
      </c>
      <c r="F201"/>
    </row>
    <row r="202" spans="1:6" ht="15" hidden="1" outlineLevel="1" x14ac:dyDescent="0.2">
      <c r="A202" s="26">
        <v>40</v>
      </c>
      <c r="B202" s="25">
        <v>3370</v>
      </c>
      <c r="C202" s="25">
        <v>3758.8698576652396</v>
      </c>
      <c r="D202" s="24">
        <f t="shared" si="5"/>
        <v>-388.86985766523958</v>
      </c>
      <c r="E202" s="18">
        <f t="shared" si="6"/>
        <v>-0.92561892323071782</v>
      </c>
      <c r="F202"/>
    </row>
    <row r="203" spans="1:6" ht="15" hidden="1" outlineLevel="1" x14ac:dyDescent="0.2">
      <c r="A203" s="26">
        <v>73</v>
      </c>
      <c r="B203" s="25">
        <v>9500</v>
      </c>
      <c r="C203" s="25">
        <v>9131.4161725010108</v>
      </c>
      <c r="D203" s="24">
        <f t="shared" si="5"/>
        <v>368.58382749898919</v>
      </c>
      <c r="E203" s="18">
        <f t="shared" si="6"/>
        <v>0.87733250290529641</v>
      </c>
      <c r="F203"/>
    </row>
    <row r="204" spans="1:6" ht="15" hidden="1" outlineLevel="1" x14ac:dyDescent="0.2">
      <c r="A204" s="26">
        <v>32</v>
      </c>
      <c r="B204" s="25">
        <v>2465</v>
      </c>
      <c r="C204" s="25">
        <v>2136.2252801462355</v>
      </c>
      <c r="D204" s="24">
        <f t="shared" si="5"/>
        <v>328.77471985376451</v>
      </c>
      <c r="E204" s="18">
        <f t="shared" si="6"/>
        <v>0.78257570284220324</v>
      </c>
      <c r="F204"/>
    </row>
    <row r="205" spans="1:6" ht="15" hidden="1" outlineLevel="1" x14ac:dyDescent="0.2">
      <c r="A205" s="26">
        <v>15</v>
      </c>
      <c r="B205" s="25">
        <v>5153</v>
      </c>
      <c r="C205" s="25">
        <v>5479.8173696598533</v>
      </c>
      <c r="D205" s="24">
        <f t="shared" si="5"/>
        <v>-326.81736965985328</v>
      </c>
      <c r="E205" s="18">
        <f t="shared" si="6"/>
        <v>-0.77791666243791147</v>
      </c>
      <c r="F205"/>
    </row>
    <row r="206" spans="1:6" ht="15" hidden="1" outlineLevel="1" x14ac:dyDescent="0.2">
      <c r="A206" s="26">
        <v>78</v>
      </c>
      <c r="B206" s="25">
        <v>2944</v>
      </c>
      <c r="C206" s="25">
        <v>2624.0270118135536</v>
      </c>
      <c r="D206" s="24">
        <f t="shared" si="5"/>
        <v>319.9729881864464</v>
      </c>
      <c r="E206" s="18">
        <f t="shared" si="6"/>
        <v>0.76162512200422494</v>
      </c>
      <c r="F206"/>
    </row>
    <row r="207" spans="1:6" ht="15" hidden="1" outlineLevel="1" x14ac:dyDescent="0.2">
      <c r="A207" s="26">
        <v>76</v>
      </c>
      <c r="B207" s="25">
        <v>3543</v>
      </c>
      <c r="C207" s="25">
        <v>3860.2961792698006</v>
      </c>
      <c r="D207" s="24">
        <f t="shared" ref="D207:D238" si="7">B207 - C207</f>
        <v>-317.29617926980063</v>
      </c>
      <c r="E207" s="18">
        <f t="shared" ref="E207:E238" si="8">D207 /420.118742071472</f>
        <v>-0.75525356880132033</v>
      </c>
      <c r="F207"/>
    </row>
    <row r="208" spans="1:6" ht="15" hidden="1" outlineLevel="1" x14ac:dyDescent="0.2">
      <c r="A208" s="26">
        <v>71</v>
      </c>
      <c r="B208" s="25">
        <v>6843</v>
      </c>
      <c r="C208" s="25">
        <v>7152.6294150669601</v>
      </c>
      <c r="D208" s="24">
        <f t="shared" si="7"/>
        <v>-309.62941506696006</v>
      </c>
      <c r="E208" s="18">
        <f t="shared" si="8"/>
        <v>-0.73700452767299984</v>
      </c>
      <c r="F208"/>
    </row>
    <row r="209" spans="1:6" ht="15" hidden="1" outlineLevel="1" x14ac:dyDescent="0.2">
      <c r="A209" s="26">
        <v>72</v>
      </c>
      <c r="B209" s="25">
        <v>7464</v>
      </c>
      <c r="C209" s="25">
        <v>7765.4734422695965</v>
      </c>
      <c r="D209" s="24">
        <f t="shared" si="7"/>
        <v>-301.47344226959649</v>
      </c>
      <c r="E209" s="18">
        <f t="shared" si="8"/>
        <v>-0.71759103339005237</v>
      </c>
      <c r="F209"/>
    </row>
    <row r="210" spans="1:6" ht="15" hidden="1" outlineLevel="1" x14ac:dyDescent="0.2">
      <c r="A210" s="26">
        <v>43</v>
      </c>
      <c r="B210" s="25">
        <v>1976</v>
      </c>
      <c r="C210" s="25">
        <v>2250.2409927219896</v>
      </c>
      <c r="D210" s="24">
        <f t="shared" si="7"/>
        <v>-274.24099272198964</v>
      </c>
      <c r="E210" s="18">
        <f t="shared" si="8"/>
        <v>-0.65277019389755009</v>
      </c>
      <c r="F210"/>
    </row>
    <row r="211" spans="1:6" ht="15" hidden="1" outlineLevel="1" x14ac:dyDescent="0.2">
      <c r="A211" s="26">
        <v>12</v>
      </c>
      <c r="B211" s="25">
        <v>8161</v>
      </c>
      <c r="C211" s="25">
        <v>8430.0923232581936</v>
      </c>
      <c r="D211" s="24">
        <f t="shared" si="7"/>
        <v>-269.09232325819357</v>
      </c>
      <c r="E211" s="18">
        <f t="shared" si="8"/>
        <v>-0.64051492187990666</v>
      </c>
      <c r="F211"/>
    </row>
    <row r="212" spans="1:6" ht="15" hidden="1" outlineLevel="1" x14ac:dyDescent="0.2">
      <c r="A212" s="26">
        <v>5</v>
      </c>
      <c r="B212" s="25">
        <v>2464</v>
      </c>
      <c r="C212" s="25">
        <v>2196.63904143524</v>
      </c>
      <c r="D212" s="24">
        <f t="shared" si="7"/>
        <v>267.36095856476004</v>
      </c>
      <c r="E212" s="18">
        <f t="shared" si="8"/>
        <v>0.63639379011392849</v>
      </c>
      <c r="F212"/>
    </row>
    <row r="213" spans="1:6" ht="15" hidden="1" outlineLevel="1" x14ac:dyDescent="0.2">
      <c r="A213" s="26">
        <v>16</v>
      </c>
      <c r="B213" s="25">
        <v>2691</v>
      </c>
      <c r="C213" s="25">
        <v>2955.1671324170175</v>
      </c>
      <c r="D213" s="24">
        <f t="shared" si="7"/>
        <v>-264.16713241701746</v>
      </c>
      <c r="E213" s="18">
        <f t="shared" si="8"/>
        <v>-0.62879159143077801</v>
      </c>
      <c r="F213"/>
    </row>
    <row r="214" spans="1:6" ht="15" hidden="1" outlineLevel="1" x14ac:dyDescent="0.2">
      <c r="A214" s="26">
        <v>77</v>
      </c>
      <c r="B214" s="25">
        <v>2502</v>
      </c>
      <c r="C214" s="25">
        <v>2765.2824832583383</v>
      </c>
      <c r="D214" s="24">
        <f t="shared" si="7"/>
        <v>-263.28248325833829</v>
      </c>
      <c r="E214" s="18">
        <f t="shared" si="8"/>
        <v>-0.62668587923541819</v>
      </c>
      <c r="F214"/>
    </row>
    <row r="215" spans="1:6" ht="15" hidden="1" outlineLevel="1" x14ac:dyDescent="0.2">
      <c r="A215" s="26">
        <v>69</v>
      </c>
      <c r="B215" s="25">
        <v>2884</v>
      </c>
      <c r="C215" s="25">
        <v>2632.822581898602</v>
      </c>
      <c r="D215" s="24">
        <f t="shared" si="7"/>
        <v>251.17741810139796</v>
      </c>
      <c r="E215" s="18">
        <f t="shared" si="8"/>
        <v>0.59787244164095588</v>
      </c>
      <c r="F215"/>
    </row>
    <row r="216" spans="1:6" ht="15" hidden="1" outlineLevel="1" x14ac:dyDescent="0.2">
      <c r="A216" s="26">
        <v>27</v>
      </c>
      <c r="B216" s="25">
        <v>5460</v>
      </c>
      <c r="C216" s="25">
        <v>5706.7796979261193</v>
      </c>
      <c r="D216" s="24">
        <f t="shared" si="7"/>
        <v>-246.7796979261193</v>
      </c>
      <c r="E216" s="18">
        <f t="shared" si="8"/>
        <v>-0.58740463876790416</v>
      </c>
      <c r="F216"/>
    </row>
    <row r="217" spans="1:6" ht="15" hidden="1" outlineLevel="1" x14ac:dyDescent="0.2">
      <c r="A217" s="26">
        <v>39</v>
      </c>
      <c r="B217" s="25">
        <v>3545</v>
      </c>
      <c r="C217" s="25">
        <v>3790.5382088686274</v>
      </c>
      <c r="D217" s="24">
        <f t="shared" si="7"/>
        <v>-245.53820886862741</v>
      </c>
      <c r="E217" s="18">
        <f t="shared" si="8"/>
        <v>-0.58444954790152071</v>
      </c>
      <c r="F217"/>
    </row>
    <row r="218" spans="1:6" ht="15" hidden="1" outlineLevel="1" x14ac:dyDescent="0.2">
      <c r="A218" s="26">
        <v>51</v>
      </c>
      <c r="B218" s="25">
        <v>7253</v>
      </c>
      <c r="C218" s="25">
        <v>7496.2661075375918</v>
      </c>
      <c r="D218" s="24">
        <f t="shared" si="7"/>
        <v>-243.26610753759178</v>
      </c>
      <c r="E218" s="18">
        <f t="shared" si="8"/>
        <v>-0.57904131183989538</v>
      </c>
      <c r="F218"/>
    </row>
    <row r="219" spans="1:6" ht="15" hidden="1" outlineLevel="1" x14ac:dyDescent="0.2">
      <c r="A219" s="26">
        <v>55</v>
      </c>
      <c r="B219" s="25">
        <v>2613</v>
      </c>
      <c r="C219" s="25">
        <v>2374.6217700773586</v>
      </c>
      <c r="D219" s="24">
        <f t="shared" si="7"/>
        <v>238.37822992264137</v>
      </c>
      <c r="E219" s="18">
        <f t="shared" si="8"/>
        <v>0.5674067972956266</v>
      </c>
      <c r="F219"/>
    </row>
    <row r="220" spans="1:6" ht="15" hidden="1" outlineLevel="1" x14ac:dyDescent="0.2">
      <c r="A220" s="26">
        <v>56</v>
      </c>
      <c r="B220" s="25">
        <v>2611</v>
      </c>
      <c r="C220" s="25">
        <v>2395.495188852723</v>
      </c>
      <c r="D220" s="24">
        <f t="shared" si="7"/>
        <v>215.504811147277</v>
      </c>
      <c r="E220" s="18">
        <f t="shared" si="8"/>
        <v>0.51296166908596186</v>
      </c>
      <c r="F220"/>
    </row>
    <row r="221" spans="1:6" ht="15" hidden="1" outlineLevel="1" x14ac:dyDescent="0.2">
      <c r="A221" s="26">
        <v>58</v>
      </c>
      <c r="B221" s="25">
        <v>3869</v>
      </c>
      <c r="C221" s="25">
        <v>3665.7186482876041</v>
      </c>
      <c r="D221" s="24">
        <f t="shared" si="7"/>
        <v>203.28135171239592</v>
      </c>
      <c r="E221" s="18">
        <f t="shared" si="8"/>
        <v>0.48386642002706226</v>
      </c>
      <c r="F221"/>
    </row>
    <row r="222" spans="1:6" ht="15" hidden="1" outlineLevel="1" x14ac:dyDescent="0.2">
      <c r="A222" s="26">
        <v>68</v>
      </c>
      <c r="B222" s="25">
        <v>2708</v>
      </c>
      <c r="C222" s="25">
        <v>2509.3676122123416</v>
      </c>
      <c r="D222" s="24">
        <f t="shared" si="7"/>
        <v>198.63238778765844</v>
      </c>
      <c r="E222" s="18">
        <f t="shared" si="8"/>
        <v>0.47280058682520387</v>
      </c>
      <c r="F222"/>
    </row>
    <row r="223" spans="1:6" ht="15" hidden="1" outlineLevel="1" x14ac:dyDescent="0.2">
      <c r="A223" s="26">
        <v>25</v>
      </c>
      <c r="B223" s="25">
        <v>9522</v>
      </c>
      <c r="C223" s="25">
        <v>9330.9472114643122</v>
      </c>
      <c r="D223" s="24">
        <f t="shared" si="7"/>
        <v>191.0527885356878</v>
      </c>
      <c r="E223" s="18">
        <f t="shared" si="8"/>
        <v>0.45475902263647466</v>
      </c>
      <c r="F223"/>
    </row>
    <row r="224" spans="1:6" ht="15" hidden="1" outlineLevel="1" x14ac:dyDescent="0.2">
      <c r="A224" s="26">
        <v>17</v>
      </c>
      <c r="B224" s="25">
        <v>2389</v>
      </c>
      <c r="C224" s="25">
        <v>2203.4263336000686</v>
      </c>
      <c r="D224" s="24">
        <f t="shared" si="7"/>
        <v>185.57366639993143</v>
      </c>
      <c r="E224" s="18">
        <f t="shared" si="8"/>
        <v>0.44171718092110496</v>
      </c>
      <c r="F224"/>
    </row>
    <row r="225" spans="1:6" ht="15" hidden="1" outlineLevel="1" x14ac:dyDescent="0.2">
      <c r="A225" s="26">
        <v>42</v>
      </c>
      <c r="B225" s="25">
        <v>2433</v>
      </c>
      <c r="C225" s="25">
        <v>2250.8846797474475</v>
      </c>
      <c r="D225" s="24">
        <f t="shared" si="7"/>
        <v>182.11532025255246</v>
      </c>
      <c r="E225" s="18">
        <f t="shared" si="8"/>
        <v>0.43348535072393984</v>
      </c>
      <c r="F225"/>
    </row>
    <row r="226" spans="1:6" ht="15" hidden="1" outlineLevel="1" x14ac:dyDescent="0.2">
      <c r="A226" s="26">
        <v>8</v>
      </c>
      <c r="B226" s="25">
        <v>2064</v>
      </c>
      <c r="C226" s="25">
        <v>1887.463725435498</v>
      </c>
      <c r="D226" s="24">
        <f t="shared" si="7"/>
        <v>176.53627456450204</v>
      </c>
      <c r="E226" s="18">
        <f t="shared" si="8"/>
        <v>0.42020566303245072</v>
      </c>
      <c r="F226"/>
    </row>
    <row r="227" spans="1:6" ht="15" hidden="1" outlineLevel="1" x14ac:dyDescent="0.2">
      <c r="A227" s="26">
        <v>45</v>
      </c>
      <c r="B227" s="25">
        <v>2529</v>
      </c>
      <c r="C227" s="25">
        <v>2374.0530710014364</v>
      </c>
      <c r="D227" s="24">
        <f t="shared" si="7"/>
        <v>154.94692899856364</v>
      </c>
      <c r="E227" s="18">
        <f t="shared" si="8"/>
        <v>0.36881698787007111</v>
      </c>
      <c r="F227"/>
    </row>
    <row r="228" spans="1:6" ht="15" hidden="1" outlineLevel="1" x14ac:dyDescent="0.2">
      <c r="A228" s="26">
        <v>46</v>
      </c>
      <c r="B228" s="25">
        <v>4003</v>
      </c>
      <c r="C228" s="25">
        <v>3853.5861039488182</v>
      </c>
      <c r="D228" s="24">
        <f t="shared" si="7"/>
        <v>149.41389605118184</v>
      </c>
      <c r="E228" s="18">
        <f t="shared" si="8"/>
        <v>0.35564682335872327</v>
      </c>
      <c r="F228"/>
    </row>
    <row r="229" spans="1:6" ht="15" hidden="1" outlineLevel="1" x14ac:dyDescent="0.2">
      <c r="A229" s="26">
        <v>31</v>
      </c>
      <c r="B229" s="25">
        <v>1980</v>
      </c>
      <c r="C229" s="25">
        <v>2125.8602153666211</v>
      </c>
      <c r="D229" s="24">
        <f t="shared" si="7"/>
        <v>-145.86021536662111</v>
      </c>
      <c r="E229" s="18">
        <f t="shared" si="8"/>
        <v>-0.34718807032371546</v>
      </c>
      <c r="F229"/>
    </row>
    <row r="230" spans="1:6" ht="15" hidden="1" outlineLevel="1" x14ac:dyDescent="0.2">
      <c r="A230" s="26">
        <v>41</v>
      </c>
      <c r="B230" s="25">
        <v>2205</v>
      </c>
      <c r="C230" s="25">
        <v>2347.1043483533022</v>
      </c>
      <c r="D230" s="24">
        <f t="shared" si="7"/>
        <v>-142.10434835330216</v>
      </c>
      <c r="E230" s="18">
        <f t="shared" si="8"/>
        <v>-0.33824805732929403</v>
      </c>
      <c r="F230"/>
    </row>
    <row r="231" spans="1:6" ht="15" hidden="1" outlineLevel="1" x14ac:dyDescent="0.2">
      <c r="A231" s="26">
        <v>4</v>
      </c>
      <c r="B231" s="25">
        <v>3161</v>
      </c>
      <c r="C231" s="25">
        <v>3284.647168116202</v>
      </c>
      <c r="D231" s="24">
        <f t="shared" si="7"/>
        <v>-123.64716811620201</v>
      </c>
      <c r="E231" s="18">
        <f t="shared" si="8"/>
        <v>-0.29431481087117684</v>
      </c>
      <c r="F231"/>
    </row>
    <row r="232" spans="1:6" ht="15" hidden="1" outlineLevel="1" x14ac:dyDescent="0.2">
      <c r="A232" s="26">
        <v>7</v>
      </c>
      <c r="B232" s="25">
        <v>1983</v>
      </c>
      <c r="C232" s="25">
        <v>1877.0986606558838</v>
      </c>
      <c r="D232" s="24">
        <f t="shared" si="7"/>
        <v>105.9013393441162</v>
      </c>
      <c r="E232" s="18">
        <f t="shared" si="8"/>
        <v>0.25207477967288566</v>
      </c>
      <c r="F232"/>
    </row>
    <row r="233" spans="1:6" ht="15" hidden="1" outlineLevel="1" x14ac:dyDescent="0.2">
      <c r="A233" s="26">
        <v>38</v>
      </c>
      <c r="B233" s="25">
        <v>6583</v>
      </c>
      <c r="C233" s="25">
        <v>6685.4828250093333</v>
      </c>
      <c r="D233" s="24">
        <f t="shared" si="7"/>
        <v>-102.48282500933328</v>
      </c>
      <c r="E233" s="18">
        <f t="shared" si="8"/>
        <v>-0.24393776031991107</v>
      </c>
      <c r="F233"/>
    </row>
    <row r="234" spans="1:6" ht="15" hidden="1" outlineLevel="1" x14ac:dyDescent="0.2">
      <c r="A234" s="26">
        <v>26</v>
      </c>
      <c r="B234" s="25">
        <v>6169</v>
      </c>
      <c r="C234" s="25">
        <v>6269.3701248195621</v>
      </c>
      <c r="D234" s="24">
        <f t="shared" si="7"/>
        <v>-100.37012481956208</v>
      </c>
      <c r="E234" s="18">
        <f t="shared" si="8"/>
        <v>-0.23890894351599001</v>
      </c>
      <c r="F234"/>
    </row>
    <row r="235" spans="1:6" ht="15" hidden="1" outlineLevel="1" x14ac:dyDescent="0.2">
      <c r="A235" s="26">
        <v>29</v>
      </c>
      <c r="B235" s="25">
        <v>2568</v>
      </c>
      <c r="C235" s="25">
        <v>2469.4196909934062</v>
      </c>
      <c r="D235" s="24">
        <f t="shared" si="7"/>
        <v>98.580309006593779</v>
      </c>
      <c r="E235" s="18">
        <f t="shared" si="8"/>
        <v>0.23464868175251025</v>
      </c>
      <c r="F235"/>
    </row>
    <row r="236" spans="1:6" ht="15" hidden="1" outlineLevel="1" x14ac:dyDescent="0.2">
      <c r="A236" s="26">
        <v>33</v>
      </c>
      <c r="B236" s="25">
        <v>2382</v>
      </c>
      <c r="C236" s="25">
        <v>2292.7065052477119</v>
      </c>
      <c r="D236" s="24">
        <f t="shared" si="7"/>
        <v>89.293494752288098</v>
      </c>
      <c r="E236" s="18">
        <f t="shared" si="8"/>
        <v>0.21254346881077063</v>
      </c>
      <c r="F236"/>
    </row>
    <row r="237" spans="1:6" ht="15" hidden="1" outlineLevel="1" x14ac:dyDescent="0.2">
      <c r="A237" s="26">
        <v>20</v>
      </c>
      <c r="B237" s="25">
        <v>2092</v>
      </c>
      <c r="C237" s="25">
        <v>2011.8445027908665</v>
      </c>
      <c r="D237" s="24">
        <f t="shared" si="7"/>
        <v>80.1554972091335</v>
      </c>
      <c r="E237" s="18">
        <f t="shared" si="8"/>
        <v>0.19079248122545597</v>
      </c>
      <c r="F237"/>
    </row>
    <row r="238" spans="1:6" ht="15" hidden="1" outlineLevel="1" x14ac:dyDescent="0.2">
      <c r="A238" s="26">
        <v>19</v>
      </c>
      <c r="B238" s="25">
        <v>1926</v>
      </c>
      <c r="C238" s="25">
        <v>2001.4794380112526</v>
      </c>
      <c r="D238" s="24">
        <f t="shared" si="7"/>
        <v>-75.479438011252569</v>
      </c>
      <c r="E238" s="18">
        <f t="shared" si="8"/>
        <v>-0.17966215370227817</v>
      </c>
      <c r="F238"/>
    </row>
    <row r="239" spans="1:6" ht="15" hidden="1" outlineLevel="1" x14ac:dyDescent="0.2">
      <c r="A239" s="26">
        <v>63</v>
      </c>
      <c r="B239" s="25">
        <v>7426</v>
      </c>
      <c r="C239" s="25">
        <v>7365.4440021390228</v>
      </c>
      <c r="D239" s="24">
        <f t="shared" ref="D239:D251" si="9">B239 - C239</f>
        <v>60.555997860977186</v>
      </c>
      <c r="E239" s="18">
        <f t="shared" ref="E239:E251" si="10">D239 /420.118742071472</f>
        <v>0.14414019608455172</v>
      </c>
      <c r="F239"/>
    </row>
    <row r="240" spans="1:6" ht="15" hidden="1" outlineLevel="1" x14ac:dyDescent="0.2">
      <c r="A240" s="26">
        <v>10</v>
      </c>
      <c r="B240" s="25">
        <v>3598</v>
      </c>
      <c r="C240" s="25">
        <v>3550.999862997036</v>
      </c>
      <c r="D240" s="24">
        <f t="shared" si="9"/>
        <v>47.000137002964038</v>
      </c>
      <c r="E240" s="18">
        <f t="shared" si="10"/>
        <v>0.11187345932538334</v>
      </c>
      <c r="F240"/>
    </row>
    <row r="241" spans="1:6" ht="15" hidden="1" outlineLevel="1" x14ac:dyDescent="0.2">
      <c r="A241" s="26">
        <v>22</v>
      </c>
      <c r="B241" s="25">
        <v>3117</v>
      </c>
      <c r="C241" s="25">
        <v>3073.4020757387043</v>
      </c>
      <c r="D241" s="24">
        <f t="shared" si="9"/>
        <v>43.597924261295702</v>
      </c>
      <c r="E241" s="18">
        <f t="shared" si="10"/>
        <v>0.10377524231917908</v>
      </c>
      <c r="F241"/>
    </row>
    <row r="242" spans="1:6" ht="15" hidden="1" outlineLevel="1" x14ac:dyDescent="0.2">
      <c r="A242" s="26">
        <v>70</v>
      </c>
      <c r="B242" s="25">
        <v>3606</v>
      </c>
      <c r="C242" s="25">
        <v>3642.9824697024678</v>
      </c>
      <c r="D242" s="24">
        <f t="shared" si="9"/>
        <v>-36.982469702467824</v>
      </c>
      <c r="E242" s="18">
        <f t="shared" si="10"/>
        <v>-8.8028611911287316E-2</v>
      </c>
      <c r="F242"/>
    </row>
    <row r="243" spans="1:6" ht="15" hidden="1" outlineLevel="1" x14ac:dyDescent="0.2">
      <c r="A243" s="26">
        <v>3</v>
      </c>
      <c r="B243" s="25">
        <v>5670</v>
      </c>
      <c r="C243" s="25">
        <v>5634.6585699058533</v>
      </c>
      <c r="D243" s="24">
        <f t="shared" si="9"/>
        <v>35.341430094146745</v>
      </c>
      <c r="E243" s="18">
        <f t="shared" si="10"/>
        <v>8.4122479087434629E-2</v>
      </c>
      <c r="F243"/>
    </row>
    <row r="244" spans="1:6" ht="15" hidden="1" outlineLevel="1" x14ac:dyDescent="0.2">
      <c r="A244" s="26">
        <v>62</v>
      </c>
      <c r="B244" s="25">
        <v>7396</v>
      </c>
      <c r="C244" s="25">
        <v>7428.6374153296611</v>
      </c>
      <c r="D244" s="24">
        <f t="shared" si="9"/>
        <v>-32.637415329661053</v>
      </c>
      <c r="E244" s="18">
        <f t="shared" si="10"/>
        <v>-7.7686168364535055E-2</v>
      </c>
      <c r="F244"/>
    </row>
    <row r="245" spans="1:6" ht="15" hidden="1" outlineLevel="1" x14ac:dyDescent="0.2">
      <c r="A245" s="26">
        <v>2</v>
      </c>
      <c r="B245" s="25">
        <v>6565</v>
      </c>
      <c r="C245" s="25">
        <v>6587.0588902607024</v>
      </c>
      <c r="D245" s="24">
        <f t="shared" si="9"/>
        <v>-22.058890260702356</v>
      </c>
      <c r="E245" s="18">
        <f t="shared" si="10"/>
        <v>-5.2506322740892203E-2</v>
      </c>
      <c r="F245"/>
    </row>
    <row r="246" spans="1:6" ht="15" hidden="1" outlineLevel="1" x14ac:dyDescent="0.2">
      <c r="A246" s="26">
        <v>30</v>
      </c>
      <c r="B246" s="25">
        <v>2133</v>
      </c>
      <c r="C246" s="25">
        <v>2115.4951505870072</v>
      </c>
      <c r="D246" s="24">
        <f t="shared" si="9"/>
        <v>17.504849412992826</v>
      </c>
      <c r="E246" s="18">
        <f t="shared" si="10"/>
        <v>4.1666432986736029E-2</v>
      </c>
      <c r="F246"/>
    </row>
    <row r="247" spans="1:6" ht="15" hidden="1" outlineLevel="1" x14ac:dyDescent="0.2">
      <c r="A247" s="26">
        <v>54</v>
      </c>
      <c r="B247" s="25">
        <v>2381</v>
      </c>
      <c r="C247" s="25">
        <v>2364.2567052977447</v>
      </c>
      <c r="D247" s="24">
        <f t="shared" si="9"/>
        <v>16.743294702255298</v>
      </c>
      <c r="E247" s="18">
        <f t="shared" si="10"/>
        <v>3.9853719973785111E-2</v>
      </c>
      <c r="F247"/>
    </row>
    <row r="248" spans="1:6" ht="15" hidden="1" outlineLevel="1" x14ac:dyDescent="0.2">
      <c r="A248" s="26">
        <v>18</v>
      </c>
      <c r="B248" s="25">
        <v>1977</v>
      </c>
      <c r="C248" s="25">
        <v>1991.1143732316384</v>
      </c>
      <c r="D248" s="24">
        <f t="shared" si="9"/>
        <v>-14.11437323163841</v>
      </c>
      <c r="E248" s="18">
        <f t="shared" si="10"/>
        <v>-3.359615227362845E-2</v>
      </c>
      <c r="F248"/>
    </row>
    <row r="249" spans="1:6" ht="15" hidden="1" outlineLevel="1" x14ac:dyDescent="0.2">
      <c r="A249" s="26">
        <v>6</v>
      </c>
      <c r="B249" s="25">
        <v>1853</v>
      </c>
      <c r="C249" s="25">
        <v>1866.7335958762699</v>
      </c>
      <c r="D249" s="24">
        <f t="shared" si="9"/>
        <v>-13.733595876269874</v>
      </c>
      <c r="E249" s="18">
        <f t="shared" si="10"/>
        <v>-3.2689795767153536E-2</v>
      </c>
      <c r="F249"/>
    </row>
    <row r="250" spans="1:6" ht="15" hidden="1" outlineLevel="1" x14ac:dyDescent="0.2">
      <c r="A250" s="26">
        <v>53</v>
      </c>
      <c r="B250" s="25">
        <v>3075</v>
      </c>
      <c r="C250" s="25">
        <v>3083.9720443181213</v>
      </c>
      <c r="D250" s="24">
        <f t="shared" si="9"/>
        <v>-8.9720443181213341</v>
      </c>
      <c r="E250" s="18">
        <f t="shared" si="10"/>
        <v>-2.1355972537390345E-2</v>
      </c>
      <c r="F250"/>
    </row>
    <row r="251" spans="1:6" ht="15" hidden="1" outlineLevel="1" x14ac:dyDescent="0.2">
      <c r="A251" s="26">
        <v>34</v>
      </c>
      <c r="B251" s="25">
        <v>3931</v>
      </c>
      <c r="C251" s="25">
        <v>3936.8704174618506</v>
      </c>
      <c r="D251" s="24">
        <f t="shared" si="9"/>
        <v>-5.8704174618505931</v>
      </c>
      <c r="E251" s="18">
        <f t="shared" si="10"/>
        <v>-1.3973233931210567E-2</v>
      </c>
      <c r="F251"/>
    </row>
    <row r="252" spans="1:6" collapsed="1" x14ac:dyDescent="0.15"/>
  </sheetData>
  <sortState xmlns:xlrd2="http://schemas.microsoft.com/office/spreadsheetml/2017/richdata2" ref="A175:F251">
    <sortCondition descending="1" ref="F175"/>
    <sortCondition ref="A1"/>
  </sortState>
  <dataValidations count="1">
    <dataValidation type="decimal" allowBlank="1" showInputMessage="1" showErrorMessage="1" error="Please enter a confidence level between 0 and 1." prompt="Confidence level can be adjusted between 0 and 100% to dynamically change confidence limits on this sheet." sqref="I10" xr:uid="{00000000-0002-0000-0500-000000000000}">
      <formula1>0</formula1>
      <formula2>1</formula2>
    </dataValidation>
  </dataValidations>
  <pageMargins left="0.7" right="0.7" top="0.75" bottom="0.75" header="0.3" footer="0.3"/>
  <pageSetup fitToHeight="0" orientation="portrait" horizontalDpi="0"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CG253"/>
  <sheetViews>
    <sheetView showGridLines="0" showRowColHeaders="0" workbookViewId="0">
      <selection activeCell="B1" sqref="B1"/>
    </sheetView>
  </sheetViews>
  <sheetFormatPr baseColWidth="10" defaultColWidth="9.1640625" defaultRowHeight="11" outlineLevelRow="1" x14ac:dyDescent="0.15"/>
  <cols>
    <col min="1" max="1" width="22" style="18" customWidth="1"/>
    <col min="2" max="2" width="9.1640625" style="18"/>
    <col min="3" max="4" width="9.5" style="18" bestFit="1" customWidth="1"/>
    <col min="5" max="7" width="9.1640625" style="18"/>
    <col min="8" max="8" width="9.33203125" style="18" bestFit="1" customWidth="1"/>
    <col min="9" max="77" width="9.1640625" style="18"/>
    <col min="78" max="78" width="70.5" style="18" bestFit="1" customWidth="1"/>
    <col min="79" max="16384" width="9.1640625" style="18"/>
  </cols>
  <sheetData>
    <row r="1" spans="1:78" ht="15" x14ac:dyDescent="0.2">
      <c r="A1" s="19" t="s">
        <v>94</v>
      </c>
      <c r="B1" s="18" t="s">
        <v>194</v>
      </c>
      <c r="E1"/>
      <c r="U1" s="52"/>
      <c r="Z1" s="35" t="s">
        <v>195</v>
      </c>
      <c r="BZ1"/>
    </row>
    <row r="2" spans="1:78" x14ac:dyDescent="0.15">
      <c r="A2" s="19" t="s">
        <v>97</v>
      </c>
      <c r="C2" s="18" t="s">
        <v>49</v>
      </c>
      <c r="AA2" s="35" t="str">
        <f>"Forecasts and " &amp; TEXT($I$10, "0.0%") &amp; " confidence limits for means and forecasts
Com HDD quadratic model for _Commercial_Natural_Gas    (3 variables, n=77)"</f>
        <v>Forecasts and 95.0% confidence limits for means and forecasts
Com HDD quadratic model for _Commercial_Natural_Gas    (3 variables, n=77)</v>
      </c>
    </row>
    <row r="3" spans="1:78" ht="11.25" hidden="1" customHeight="1" outlineLevel="1" x14ac:dyDescent="0.15">
      <c r="A3" s="19" t="s">
        <v>98</v>
      </c>
      <c r="AA3" s="35" t="str">
        <f>IF($A$38 &lt;&gt; "","Actual and predicted -vs- Observation # with " &amp; TEXT($I$10, "0.0%") &amp; " confidence limits
Com HDD quadratic model for _Commercial_Natural_Gas    (3 variables, n=77)","Actual and predicted -vs- Observation #
Com HDD quadratic model for _Commercial_Natural_Gas    (3 variables, n=77)")</f>
        <v>Actual and predicted -vs- Observation # with 95.0% confidence limits
Com HDD quadratic model for _Commercial_Natural_Gas    (3 variables, n=77)</v>
      </c>
    </row>
    <row r="4" spans="1:78" hidden="1" outlineLevel="1" x14ac:dyDescent="0.15">
      <c r="A4" s="18" t="s">
        <v>196</v>
      </c>
    </row>
    <row r="5" spans="1:78" hidden="1" outlineLevel="1" x14ac:dyDescent="0.15">
      <c r="A5" s="19" t="s">
        <v>99</v>
      </c>
    </row>
    <row r="6" spans="1:78" hidden="1" outlineLevel="1" x14ac:dyDescent="0.15">
      <c r="A6" s="18" t="s">
        <v>197</v>
      </c>
    </row>
    <row r="7" spans="1:78" collapsed="1" x14ac:dyDescent="0.15"/>
    <row r="8" spans="1:78" x14ac:dyDescent="0.15">
      <c r="A8" s="20" t="s">
        <v>198</v>
      </c>
    </row>
    <row r="9" spans="1:78" ht="12" outlineLevel="1" thickBot="1" x14ac:dyDescent="0.2">
      <c r="A9" s="21"/>
      <c r="B9" s="23" t="s">
        <v>102</v>
      </c>
      <c r="C9" s="23" t="s">
        <v>103</v>
      </c>
      <c r="D9" s="23" t="s">
        <v>104</v>
      </c>
      <c r="E9" s="23" t="s">
        <v>105</v>
      </c>
      <c r="F9" s="23" t="s">
        <v>39</v>
      </c>
      <c r="G9" s="23" t="s">
        <v>106</v>
      </c>
      <c r="H9" s="23" t="str">
        <f>"t("&amp;TEXT((1-I10)/2,"0.00%") &amp; ",73)"</f>
        <v>t(2.50%,73)</v>
      </c>
      <c r="I9" s="23" t="s">
        <v>107</v>
      </c>
    </row>
    <row r="10" spans="1:78" outlineLevel="1" x14ac:dyDescent="0.15">
      <c r="B10" s="24">
        <f xml:space="preserve"> 1 - C22 / C23</f>
        <v>0.9870560778862626</v>
      </c>
      <c r="C10" s="24">
        <f>1-D10^2/E10^2</f>
        <v>0.98652413588158849</v>
      </c>
      <c r="D10" s="24">
        <f xml:space="preserve"> SQRT(D22)</f>
        <v>297.74453169755236</v>
      </c>
      <c r="E10" s="25">
        <v>2564.8707359912892</v>
      </c>
      <c r="F10" s="26">
        <v>77</v>
      </c>
      <c r="G10" s="26">
        <v>13</v>
      </c>
      <c r="H10" s="18">
        <f>TINV(1 - $I$10, F10 - 3 - 1)</f>
        <v>1.9929971258898527</v>
      </c>
      <c r="I10" s="27">
        <v>0.95</v>
      </c>
    </row>
    <row r="12" spans="1:78" x14ac:dyDescent="0.15">
      <c r="A12" s="20" t="s">
        <v>199</v>
      </c>
    </row>
    <row r="13" spans="1:78" ht="12" outlineLevel="1" thickBot="1" x14ac:dyDescent="0.2">
      <c r="A13" s="28" t="s">
        <v>38</v>
      </c>
      <c r="B13" s="23" t="s">
        <v>109</v>
      </c>
      <c r="C13" s="23" t="s">
        <v>110</v>
      </c>
      <c r="D13" s="23" t="s">
        <v>111</v>
      </c>
      <c r="E13" s="23" t="s">
        <v>112</v>
      </c>
      <c r="F13" s="23" t="str">
        <f>IF($I$10&gt;99%,("Lower"&amp;TEXT($I$10,"0.0%")),("Lower"&amp;TEXT($I$10,"0%")))</f>
        <v>Lower95%</v>
      </c>
      <c r="G13" s="23" t="str">
        <f>IF($I$10&gt;99%,("Upper"&amp;TEXT($I$10,"0.0%")),("Upper"&amp;TEXT($I$10,"0%")))</f>
        <v>Upper95%</v>
      </c>
      <c r="H13" s="23" t="s">
        <v>105</v>
      </c>
      <c r="I13" s="23" t="s">
        <v>113</v>
      </c>
    </row>
    <row r="14" spans="1:78" outlineLevel="1" x14ac:dyDescent="0.15">
      <c r="A14" s="18" t="s">
        <v>114</v>
      </c>
      <c r="B14" s="24">
        <v>998.9806407252679</v>
      </c>
      <c r="C14" s="24">
        <v>212.19404481110155</v>
      </c>
      <c r="D14" s="24">
        <f>(B14 - 0) / C14</f>
        <v>4.7078636990711784</v>
      </c>
      <c r="E14" s="24">
        <f>TDIST(ABS(D14),$F$10 - 4,2)</f>
        <v>1.1610984274637179E-5</v>
      </c>
      <c r="F14" s="24">
        <f>B14 - TINV(1 - $I$10, $F$10 - 4) * C14</f>
        <v>576.07851928579998</v>
      </c>
      <c r="G14" s="25">
        <f>B14 + TINV(1 - $I$10, $F$10 - 4) * C14</f>
        <v>1421.8827621647358</v>
      </c>
    </row>
    <row r="15" spans="1:78" outlineLevel="1" x14ac:dyDescent="0.15">
      <c r="A15" s="18" t="s">
        <v>78</v>
      </c>
      <c r="B15" s="24">
        <v>9.1194759425895171</v>
      </c>
      <c r="C15" s="24">
        <v>0.713055745272974</v>
      </c>
      <c r="D15" s="24">
        <f t="shared" ref="D15:D17" si="0">(B15 - 0) / C15</f>
        <v>12.789288920319089</v>
      </c>
      <c r="E15" s="24">
        <f t="shared" ref="E15:E17" si="1">TDIST(ABS(D15),$F$10 - 4,2)</f>
        <v>2.5609634236231716E-20</v>
      </c>
      <c r="F15" s="24">
        <f t="shared" ref="F15:F17" si="2">B15 - TINV(1 - $I$10, $F$10 - 4) * C15</f>
        <v>7.6983578916612334</v>
      </c>
      <c r="G15" s="24">
        <f t="shared" ref="G15:G17" si="3">B15 + TINV(1 - $I$10, $F$10 - 4) * C15</f>
        <v>10.540593993517801</v>
      </c>
      <c r="H15" s="24">
        <v>168.02028789630083</v>
      </c>
      <c r="I15" s="18">
        <f>B15*H15/$E$10</f>
        <v>0.59740124593260746</v>
      </c>
    </row>
    <row r="16" spans="1:78" outlineLevel="1" x14ac:dyDescent="0.15">
      <c r="A16" s="18" t="s">
        <v>36</v>
      </c>
      <c r="B16" s="24">
        <v>1.3881505339383936E-2</v>
      </c>
      <c r="C16" s="46">
        <v>1.6101169285450705E-3</v>
      </c>
      <c r="D16" s="24">
        <f t="shared" si="0"/>
        <v>8.6214268624127222</v>
      </c>
      <c r="E16" s="24">
        <f t="shared" si="1"/>
        <v>9.563194511197703E-13</v>
      </c>
      <c r="F16" s="24">
        <f t="shared" si="2"/>
        <v>1.0672546928447013E-2</v>
      </c>
      <c r="G16" s="24">
        <f t="shared" si="3"/>
        <v>1.7090463750320858E-2</v>
      </c>
      <c r="H16" s="25">
        <v>74410.039515540513</v>
      </c>
      <c r="I16" s="18">
        <f>B16*H16/$E$10</f>
        <v>0.40271946119714835</v>
      </c>
    </row>
    <row r="17" spans="1:9" outlineLevel="1" x14ac:dyDescent="0.15">
      <c r="A17" s="18" t="s">
        <v>1</v>
      </c>
      <c r="B17" s="24">
        <v>10.426876693026436</v>
      </c>
      <c r="C17" s="24">
        <v>1.5222072527723083</v>
      </c>
      <c r="D17" s="24">
        <f t="shared" si="0"/>
        <v>6.8498403709721964</v>
      </c>
      <c r="E17" s="24">
        <f t="shared" si="1"/>
        <v>1.9754272877057461E-9</v>
      </c>
      <c r="F17" s="24">
        <f t="shared" si="2"/>
        <v>7.3931220132425377</v>
      </c>
      <c r="G17" s="24">
        <f t="shared" si="3"/>
        <v>13.460631372810335</v>
      </c>
      <c r="H17" s="24">
        <v>22.437891798920024</v>
      </c>
      <c r="I17" s="18">
        <f>B17*H17/$E$10</f>
        <v>9.1215953987789117E-2</v>
      </c>
    </row>
    <row r="19" spans="1:9" x14ac:dyDescent="0.15">
      <c r="A19" s="20" t="s">
        <v>200</v>
      </c>
    </row>
    <row r="20" spans="1:9" ht="12" hidden="1" outlineLevel="1" thickBot="1" x14ac:dyDescent="0.2">
      <c r="A20" s="28" t="s">
        <v>116</v>
      </c>
      <c r="B20" s="23" t="s">
        <v>120</v>
      </c>
      <c r="C20" s="23" t="s">
        <v>121</v>
      </c>
      <c r="D20" s="23" t="s">
        <v>122</v>
      </c>
      <c r="E20" s="23" t="s">
        <v>123</v>
      </c>
      <c r="F20" s="23" t="s">
        <v>112</v>
      </c>
    </row>
    <row r="21" spans="1:9" hidden="1" outlineLevel="1" x14ac:dyDescent="0.15">
      <c r="A21" s="18" t="s">
        <v>117</v>
      </c>
      <c r="B21" s="26">
        <v>3</v>
      </c>
      <c r="C21" s="25">
        <f>C23 - C22</f>
        <v>493499121.96880877</v>
      </c>
      <c r="D21" s="25">
        <f>C21/B21</f>
        <v>164499707.32293627</v>
      </c>
      <c r="E21" s="24">
        <f>D21/D22</f>
        <v>1855.570850230034</v>
      </c>
      <c r="F21" s="24">
        <f>FDIST(E21,3,73)</f>
        <v>8.4270377707727584E-69</v>
      </c>
    </row>
    <row r="22" spans="1:9" hidden="1" outlineLevel="1" x14ac:dyDescent="0.15">
      <c r="A22" s="18" t="s">
        <v>118</v>
      </c>
      <c r="B22" s="26">
        <v>73</v>
      </c>
      <c r="C22" s="25">
        <v>6471581.8493730184</v>
      </c>
      <c r="D22" s="25">
        <f>C22/B22</f>
        <v>88651.806155794766</v>
      </c>
    </row>
    <row r="23" spans="1:9" hidden="1" outlineLevel="1" x14ac:dyDescent="0.15">
      <c r="A23" s="18" t="s">
        <v>119</v>
      </c>
      <c r="B23" s="26">
        <f>B21 + B22</f>
        <v>76</v>
      </c>
      <c r="C23" s="25">
        <v>499970703.81818181</v>
      </c>
    </row>
    <row r="24" spans="1:9" collapsed="1" x14ac:dyDescent="0.15"/>
    <row r="25" spans="1:9" x14ac:dyDescent="0.15">
      <c r="A25" s="20" t="s">
        <v>201</v>
      </c>
    </row>
    <row r="26" spans="1:9" ht="12" outlineLevel="1" thickBot="1" x14ac:dyDescent="0.2">
      <c r="A26" s="23" t="s">
        <v>129</v>
      </c>
      <c r="B26" s="23" t="s">
        <v>130</v>
      </c>
      <c r="C26" s="23" t="s">
        <v>131</v>
      </c>
      <c r="D26" s="23" t="s">
        <v>112</v>
      </c>
      <c r="E26" s="23" t="s">
        <v>133</v>
      </c>
      <c r="F26" s="23" t="s">
        <v>134</v>
      </c>
      <c r="G26" s="28" t="s">
        <v>135</v>
      </c>
    </row>
    <row r="27" spans="1:9" outlineLevel="1" x14ac:dyDescent="0.15">
      <c r="A27" s="26">
        <v>40</v>
      </c>
      <c r="B27" s="26">
        <v>37</v>
      </c>
      <c r="C27" s="18">
        <v>0.18322801717157775</v>
      </c>
      <c r="D27" s="18">
        <v>0.91067690237570864</v>
      </c>
      <c r="E27" s="24">
        <v>-2.3103444161347104</v>
      </c>
      <c r="F27" s="24">
        <v>2.4042388191713711</v>
      </c>
      <c r="G27" s="24">
        <v>1.7382577645702655</v>
      </c>
    </row>
    <row r="28" spans="1:9" outlineLevel="1" x14ac:dyDescent="0.15">
      <c r="A28" s="18" t="s">
        <v>132</v>
      </c>
    </row>
    <row r="30" spans="1:9" x14ac:dyDescent="0.15">
      <c r="A30" s="20" t="s">
        <v>202</v>
      </c>
    </row>
    <row r="31" spans="1:9" ht="12" outlineLevel="1" thickBot="1" x14ac:dyDescent="0.2">
      <c r="A31" s="22" t="s">
        <v>137</v>
      </c>
      <c r="B31" s="31">
        <v>1</v>
      </c>
      <c r="C31" s="31">
        <v>2</v>
      </c>
      <c r="D31" s="31">
        <v>3</v>
      </c>
      <c r="E31" s="31">
        <v>4</v>
      </c>
      <c r="F31" s="31">
        <v>5</v>
      </c>
      <c r="G31" s="31">
        <v>6</v>
      </c>
      <c r="H31" s="31">
        <v>7</v>
      </c>
      <c r="I31" s="31">
        <v>12</v>
      </c>
    </row>
    <row r="32" spans="1:9" outlineLevel="1" x14ac:dyDescent="0.15">
      <c r="A32" s="18" t="s">
        <v>138</v>
      </c>
      <c r="B32" s="24">
        <v>0.13858455915541712</v>
      </c>
      <c r="C32" s="45">
        <v>-4.2512901170349726E-2</v>
      </c>
      <c r="D32" s="24">
        <v>-0.16708139408900957</v>
      </c>
      <c r="E32" s="24">
        <v>0.11989570588207599</v>
      </c>
      <c r="F32" s="24">
        <v>0.13574498547825517</v>
      </c>
      <c r="G32" s="45">
        <v>3.8737576766664887E-2</v>
      </c>
      <c r="H32" s="24">
        <v>0.1236231970574633</v>
      </c>
      <c r="I32" s="24">
        <v>0.13592600501476923</v>
      </c>
    </row>
    <row r="33" spans="1:85" outlineLevel="1" x14ac:dyDescent="0.15">
      <c r="A33" s="18" t="s">
        <v>140</v>
      </c>
    </row>
    <row r="34" spans="1:85" outlineLevel="1" x14ac:dyDescent="0.15">
      <c r="A34" s="32" t="s">
        <v>139</v>
      </c>
      <c r="B34" s="33">
        <f t="shared" ref="B34:I34" si="4" xml:space="preserve"> 1 / SQRT($F$10 - B31)</f>
        <v>0.11470786693528087</v>
      </c>
      <c r="C34" s="33">
        <f t="shared" si="4"/>
        <v>0.11547005383792514</v>
      </c>
      <c r="D34" s="33">
        <f t="shared" si="4"/>
        <v>0.11624763874381928</v>
      </c>
      <c r="E34" s="33">
        <f t="shared" si="4"/>
        <v>0.11704114719613057</v>
      </c>
      <c r="F34" s="33">
        <f t="shared" si="4"/>
        <v>0.11785113019775793</v>
      </c>
      <c r="G34" s="33">
        <f t="shared" si="4"/>
        <v>0.11867816581938533</v>
      </c>
      <c r="H34" s="33">
        <f t="shared" si="4"/>
        <v>0.11952286093343936</v>
      </c>
      <c r="I34" s="33">
        <f t="shared" si="4"/>
        <v>0.12403473458920847</v>
      </c>
    </row>
    <row r="36" spans="1:85" x14ac:dyDescent="0.15">
      <c r="A36" s="20" t="s">
        <v>203</v>
      </c>
    </row>
    <row r="37" spans="1:85" ht="12" hidden="1" outlineLevel="1" thickBot="1" x14ac:dyDescent="0.2">
      <c r="A37" s="23" t="s">
        <v>142</v>
      </c>
      <c r="B37" s="23" t="s">
        <v>143</v>
      </c>
      <c r="C37" s="23" t="s">
        <v>144</v>
      </c>
      <c r="D37" s="23" t="str">
        <f>IF($I$10&gt;99%,("Low"&amp;TEXT($I$10,"0.0%")&amp;"F"),("Lower"&amp;TEXT($I$10,"0%")&amp;"F"))</f>
        <v>Lower95%F</v>
      </c>
      <c r="E37" s="23" t="str">
        <f>IF($I$10&gt;99%,("Up"&amp;TEXT($I$10,"0.0%")&amp;"F"),("Upper"&amp;TEXT($I$10,"0%")&amp;"F"))</f>
        <v>Upper95%F</v>
      </c>
      <c r="F37" s="23" t="s">
        <v>145</v>
      </c>
      <c r="G37" s="23" t="str">
        <f>IF($I$10&gt;99%,("Low"&amp;TEXT($I$10,"0.0%")&amp;"M"),("Lower"&amp;TEXT($I$10,"0%")&amp;"M"))</f>
        <v>Lower95%M</v>
      </c>
      <c r="H37" s="23" t="str">
        <f>IF($I$10&gt;99%,("Up"&amp;TEXT($I$10,"0.0%")&amp;"M"),("Upper"&amp;TEXT($I$10,"0%")&amp;"M"))</f>
        <v>Upper95%M</v>
      </c>
      <c r="I37" s="28" t="s">
        <v>146</v>
      </c>
      <c r="J37" s="28" t="s">
        <v>204</v>
      </c>
      <c r="K37" s="28" t="s">
        <v>176</v>
      </c>
    </row>
    <row r="38" spans="1:85" hidden="1" outlineLevel="1" x14ac:dyDescent="0.15">
      <c r="A38" s="26">
        <v>75</v>
      </c>
      <c r="B38" s="25">
        <v>5499.8110395637468</v>
      </c>
      <c r="C38" s="24">
        <v>308.86725031300386</v>
      </c>
      <c r="D38" s="25">
        <f xml:space="preserve"> B38 - $H$10 * C38</f>
        <v>4884.2394974084282</v>
      </c>
      <c r="E38" s="25">
        <f xml:space="preserve"> B38 + $H$10 * C38</f>
        <v>6115.3825817190655</v>
      </c>
      <c r="F38" s="24">
        <v>82.141172137491722</v>
      </c>
      <c r="G38" s="25">
        <f xml:space="preserve"> B38 - $H$10 * F38</f>
        <v>5336.1039195765024</v>
      </c>
      <c r="H38" s="25">
        <f xml:space="preserve"> B38 + $H$10 * F38</f>
        <v>5663.5181595509912</v>
      </c>
      <c r="I38" s="34">
        <v>222.6</v>
      </c>
      <c r="J38" s="34">
        <v>49550.759999999995</v>
      </c>
      <c r="K38" s="34">
        <v>171</v>
      </c>
      <c r="L38" s="34"/>
      <c r="CG38" s="18">
        <f xml:space="preserve"> $C$38 * $H$10</f>
        <v>615.57154215531841</v>
      </c>
    </row>
    <row r="39" spans="1:85" hidden="1" outlineLevel="1" x14ac:dyDescent="0.15">
      <c r="I39" s="34"/>
      <c r="J39" s="34"/>
      <c r="K39" s="34"/>
      <c r="L39" s="34"/>
    </row>
    <row r="40" spans="1:85" hidden="1" outlineLevel="1" x14ac:dyDescent="0.15"/>
    <row r="41" spans="1:85" hidden="1" outlineLevel="1" x14ac:dyDescent="0.15"/>
    <row r="42" spans="1:85" hidden="1" outlineLevel="1" x14ac:dyDescent="0.15"/>
    <row r="43" spans="1:85" hidden="1" outlineLevel="1" x14ac:dyDescent="0.15"/>
    <row r="44" spans="1:85" hidden="1" outlineLevel="1" x14ac:dyDescent="0.15"/>
    <row r="45" spans="1:85" hidden="1" outlineLevel="1" x14ac:dyDescent="0.15"/>
    <row r="46" spans="1:85" hidden="1" outlineLevel="1" x14ac:dyDescent="0.15"/>
    <row r="47" spans="1:85" hidden="1" outlineLevel="1" x14ac:dyDescent="0.15"/>
    <row r="48" spans="1:85" hidden="1" outlineLevel="1" x14ac:dyDescent="0.15"/>
    <row r="49" spans="1:1" hidden="1" outlineLevel="1" x14ac:dyDescent="0.15"/>
    <row r="50" spans="1:1" hidden="1" outlineLevel="1" x14ac:dyDescent="0.15"/>
    <row r="51" spans="1:1" hidden="1" outlineLevel="1" x14ac:dyDescent="0.15"/>
    <row r="52" spans="1:1" hidden="1" outlineLevel="1" x14ac:dyDescent="0.15"/>
    <row r="53" spans="1:1" hidden="1" outlineLevel="1" x14ac:dyDescent="0.15"/>
    <row r="54" spans="1:1" hidden="1" outlineLevel="1" x14ac:dyDescent="0.15"/>
    <row r="55" spans="1:1" hidden="1" outlineLevel="1" x14ac:dyDescent="0.15"/>
    <row r="56" spans="1:1" hidden="1" outlineLevel="1" x14ac:dyDescent="0.15"/>
    <row r="57" spans="1:1" hidden="1" outlineLevel="1" x14ac:dyDescent="0.15"/>
    <row r="58" spans="1:1" hidden="1" outlineLevel="1" x14ac:dyDescent="0.15"/>
    <row r="59" spans="1:1" hidden="1" outlineLevel="1" x14ac:dyDescent="0.15"/>
    <row r="60" spans="1:1" hidden="1" outlineLevel="1" x14ac:dyDescent="0.15"/>
    <row r="61" spans="1:1" hidden="1" outlineLevel="1" x14ac:dyDescent="0.15"/>
    <row r="62" spans="1:1" hidden="1" outlineLevel="1" x14ac:dyDescent="0.15"/>
    <row r="63" spans="1:1" collapsed="1" x14ac:dyDescent="0.15"/>
    <row r="64" spans="1:1" x14ac:dyDescent="0.15">
      <c r="A64" s="20" t="s">
        <v>147</v>
      </c>
    </row>
    <row r="65" spans="3:3" outlineLevel="1" x14ac:dyDescent="0.15"/>
    <row r="66" spans="3:3" outlineLevel="1" x14ac:dyDescent="0.15"/>
    <row r="67" spans="3:3" outlineLevel="1" x14ac:dyDescent="0.15">
      <c r="C67" s="32" t="b">
        <v>1</v>
      </c>
    </row>
    <row r="68" spans="3:3" outlineLevel="1" x14ac:dyDescent="0.15"/>
    <row r="69" spans="3:3" outlineLevel="1" x14ac:dyDescent="0.15"/>
    <row r="70" spans="3:3" outlineLevel="1" x14ac:dyDescent="0.15"/>
    <row r="71" spans="3:3" outlineLevel="1" x14ac:dyDescent="0.15"/>
    <row r="72" spans="3:3" outlineLevel="1" x14ac:dyDescent="0.15"/>
    <row r="73" spans="3:3" outlineLevel="1" x14ac:dyDescent="0.15"/>
    <row r="74" spans="3:3" outlineLevel="1" x14ac:dyDescent="0.15"/>
    <row r="75" spans="3:3" outlineLevel="1" x14ac:dyDescent="0.15"/>
    <row r="76" spans="3:3" outlineLevel="1" x14ac:dyDescent="0.15"/>
    <row r="77" spans="3:3" outlineLevel="1" x14ac:dyDescent="0.15"/>
    <row r="78" spans="3:3" outlineLevel="1" x14ac:dyDescent="0.15"/>
    <row r="79" spans="3:3" outlineLevel="1" x14ac:dyDescent="0.15"/>
    <row r="80" spans="3:3" outlineLevel="1" x14ac:dyDescent="0.15"/>
    <row r="81" spans="1:1" outlineLevel="1" x14ac:dyDescent="0.15"/>
    <row r="82" spans="1:1" outlineLevel="1" x14ac:dyDescent="0.15"/>
    <row r="83" spans="1:1" outlineLevel="1" x14ac:dyDescent="0.15"/>
    <row r="84" spans="1:1" outlineLevel="1" x14ac:dyDescent="0.15"/>
    <row r="86" spans="1:1" x14ac:dyDescent="0.15">
      <c r="A86" s="20" t="s">
        <v>148</v>
      </c>
    </row>
    <row r="87" spans="1:1" outlineLevel="1" x14ac:dyDescent="0.15"/>
    <row r="88" spans="1:1" outlineLevel="1" x14ac:dyDescent="0.15"/>
    <row r="89" spans="1:1" outlineLevel="1" x14ac:dyDescent="0.15"/>
    <row r="90" spans="1:1" outlineLevel="1" x14ac:dyDescent="0.15"/>
    <row r="91" spans="1:1" outlineLevel="1" x14ac:dyDescent="0.15"/>
    <row r="92" spans="1:1" outlineLevel="1" x14ac:dyDescent="0.15"/>
    <row r="93" spans="1:1" outlineLevel="1" x14ac:dyDescent="0.15"/>
    <row r="94" spans="1:1" outlineLevel="1" x14ac:dyDescent="0.15"/>
    <row r="95" spans="1:1" outlineLevel="1" x14ac:dyDescent="0.15"/>
    <row r="96" spans="1:1" outlineLevel="1" x14ac:dyDescent="0.15"/>
    <row r="97" spans="1:1" outlineLevel="1" x14ac:dyDescent="0.15"/>
    <row r="98" spans="1:1" outlineLevel="1" x14ac:dyDescent="0.15"/>
    <row r="99" spans="1:1" outlineLevel="1" x14ac:dyDescent="0.15"/>
    <row r="100" spans="1:1" outlineLevel="1" x14ac:dyDescent="0.15"/>
    <row r="101" spans="1:1" outlineLevel="1" x14ac:dyDescent="0.15"/>
    <row r="102" spans="1:1" outlineLevel="1" x14ac:dyDescent="0.15"/>
    <row r="103" spans="1:1" outlineLevel="1" x14ac:dyDescent="0.15"/>
    <row r="104" spans="1:1" outlineLevel="1" x14ac:dyDescent="0.15"/>
    <row r="105" spans="1:1" outlineLevel="1" x14ac:dyDescent="0.15"/>
    <row r="106" spans="1:1" outlineLevel="1" x14ac:dyDescent="0.15"/>
    <row r="108" spans="1:1" x14ac:dyDescent="0.15">
      <c r="A108" s="20" t="s">
        <v>149</v>
      </c>
    </row>
    <row r="109" spans="1:1" outlineLevel="1" x14ac:dyDescent="0.15"/>
    <row r="110" spans="1:1" outlineLevel="1" x14ac:dyDescent="0.15"/>
    <row r="111" spans="1:1" outlineLevel="1" x14ac:dyDescent="0.15"/>
    <row r="112" spans="1:1" outlineLevel="1" x14ac:dyDescent="0.15"/>
    <row r="113" outlineLevel="1" x14ac:dyDescent="0.15"/>
    <row r="114" outlineLevel="1" x14ac:dyDescent="0.15"/>
    <row r="115" outlineLevel="1" x14ac:dyDescent="0.15"/>
    <row r="116" outlineLevel="1" x14ac:dyDescent="0.15"/>
    <row r="117" outlineLevel="1" x14ac:dyDescent="0.15"/>
    <row r="118" outlineLevel="1" x14ac:dyDescent="0.15"/>
    <row r="119" outlineLevel="1" x14ac:dyDescent="0.15"/>
    <row r="120" outlineLevel="1" x14ac:dyDescent="0.15"/>
    <row r="121" outlineLevel="1" x14ac:dyDescent="0.15"/>
    <row r="122" outlineLevel="1" x14ac:dyDescent="0.15"/>
    <row r="123" outlineLevel="1" x14ac:dyDescent="0.15"/>
    <row r="124" outlineLevel="1" x14ac:dyDescent="0.15"/>
    <row r="125" outlineLevel="1" x14ac:dyDescent="0.15"/>
    <row r="126" outlineLevel="1" x14ac:dyDescent="0.15"/>
    <row r="127" outlineLevel="1" x14ac:dyDescent="0.15"/>
    <row r="128" outlineLevel="1" x14ac:dyDescent="0.15"/>
    <row r="130" spans="1:1" x14ac:dyDescent="0.15">
      <c r="A130" s="20" t="s">
        <v>150</v>
      </c>
    </row>
    <row r="131" spans="1:1" outlineLevel="1" x14ac:dyDescent="0.15"/>
    <row r="132" spans="1:1" outlineLevel="1" x14ac:dyDescent="0.15"/>
    <row r="133" spans="1:1" outlineLevel="1" x14ac:dyDescent="0.15"/>
    <row r="134" spans="1:1" outlineLevel="1" x14ac:dyDescent="0.15"/>
    <row r="135" spans="1:1" outlineLevel="1" x14ac:dyDescent="0.15"/>
    <row r="136" spans="1:1" outlineLevel="1" x14ac:dyDescent="0.15"/>
    <row r="137" spans="1:1" outlineLevel="1" x14ac:dyDescent="0.15"/>
    <row r="138" spans="1:1" outlineLevel="1" x14ac:dyDescent="0.15"/>
    <row r="139" spans="1:1" outlineLevel="1" x14ac:dyDescent="0.15"/>
    <row r="140" spans="1:1" outlineLevel="1" x14ac:dyDescent="0.15"/>
    <row r="141" spans="1:1" outlineLevel="1" x14ac:dyDescent="0.15"/>
    <row r="142" spans="1:1" outlineLevel="1" x14ac:dyDescent="0.15"/>
    <row r="143" spans="1:1" outlineLevel="1" x14ac:dyDescent="0.15"/>
    <row r="144" spans="1:1" outlineLevel="1" x14ac:dyDescent="0.15"/>
    <row r="145" spans="1:1" outlineLevel="1" x14ac:dyDescent="0.15"/>
    <row r="146" spans="1:1" outlineLevel="1" x14ac:dyDescent="0.15"/>
    <row r="147" spans="1:1" outlineLevel="1" x14ac:dyDescent="0.15"/>
    <row r="148" spans="1:1" outlineLevel="1" x14ac:dyDescent="0.15"/>
    <row r="149" spans="1:1" outlineLevel="1" x14ac:dyDescent="0.15"/>
    <row r="150" spans="1:1" outlineLevel="1" x14ac:dyDescent="0.15"/>
    <row r="152" spans="1:1" x14ac:dyDescent="0.15">
      <c r="A152" s="20" t="s">
        <v>151</v>
      </c>
    </row>
    <row r="153" spans="1:1" outlineLevel="1" x14ac:dyDescent="0.15"/>
    <row r="154" spans="1:1" outlineLevel="1" x14ac:dyDescent="0.15"/>
    <row r="155" spans="1:1" outlineLevel="1" x14ac:dyDescent="0.15"/>
    <row r="156" spans="1:1" outlineLevel="1" x14ac:dyDescent="0.15"/>
    <row r="157" spans="1:1" outlineLevel="1" x14ac:dyDescent="0.15"/>
    <row r="158" spans="1:1" outlineLevel="1" x14ac:dyDescent="0.15"/>
    <row r="159" spans="1:1" outlineLevel="1" x14ac:dyDescent="0.15"/>
    <row r="160" spans="1:1" outlineLevel="1" x14ac:dyDescent="0.15"/>
    <row r="161" spans="1:6" outlineLevel="1" x14ac:dyDescent="0.15"/>
    <row r="162" spans="1:6" outlineLevel="1" x14ac:dyDescent="0.15"/>
    <row r="163" spans="1:6" outlineLevel="1" x14ac:dyDescent="0.15"/>
    <row r="164" spans="1:6" outlineLevel="1" x14ac:dyDescent="0.15"/>
    <row r="165" spans="1:6" outlineLevel="1" x14ac:dyDescent="0.15"/>
    <row r="166" spans="1:6" outlineLevel="1" x14ac:dyDescent="0.15"/>
    <row r="167" spans="1:6" outlineLevel="1" x14ac:dyDescent="0.15"/>
    <row r="168" spans="1:6" outlineLevel="1" x14ac:dyDescent="0.15"/>
    <row r="169" spans="1:6" outlineLevel="1" x14ac:dyDescent="0.15"/>
    <row r="170" spans="1:6" outlineLevel="1" x14ac:dyDescent="0.15"/>
    <row r="171" spans="1:6" outlineLevel="1" x14ac:dyDescent="0.15"/>
    <row r="172" spans="1:6" outlineLevel="1" x14ac:dyDescent="0.15"/>
    <row r="174" spans="1:6" x14ac:dyDescent="0.15">
      <c r="A174" s="20" t="s">
        <v>205</v>
      </c>
    </row>
    <row r="175" spans="1:6" ht="12" hidden="1" outlineLevel="1" thickBot="1" x14ac:dyDescent="0.2">
      <c r="A175" s="23" t="s">
        <v>142</v>
      </c>
      <c r="B175" s="23" t="s">
        <v>153</v>
      </c>
      <c r="C175" s="23" t="s">
        <v>127</v>
      </c>
      <c r="D175" s="23" t="s">
        <v>118</v>
      </c>
      <c r="E175" s="23" t="s">
        <v>154</v>
      </c>
    </row>
    <row r="176" spans="1:6" ht="15" hidden="1" outlineLevel="1" x14ac:dyDescent="0.2">
      <c r="A176" s="26">
        <v>37</v>
      </c>
      <c r="B176" s="25">
        <v>8072</v>
      </c>
      <c r="C176" s="25">
        <v>7356.1510386967439</v>
      </c>
      <c r="D176" s="24">
        <f t="shared" ref="D176:D207" si="5">B176 - C176</f>
        <v>715.84896130325615</v>
      </c>
      <c r="E176" s="18">
        <f t="shared" ref="E176:E207" si="6">D176 /297.744531697552</f>
        <v>2.4042388191713737</v>
      </c>
      <c r="F176"/>
    </row>
    <row r="177" spans="1:6" ht="15" hidden="1" outlineLevel="1" x14ac:dyDescent="0.2">
      <c r="A177" s="26">
        <v>47</v>
      </c>
      <c r="B177" s="25">
        <v>5686</v>
      </c>
      <c r="C177" s="25">
        <v>6373.8924162420844</v>
      </c>
      <c r="D177" s="24">
        <f t="shared" si="5"/>
        <v>-687.89241624208444</v>
      </c>
      <c r="E177" s="18">
        <f t="shared" si="6"/>
        <v>-2.3103444161347131</v>
      </c>
      <c r="F177"/>
    </row>
    <row r="178" spans="1:6" ht="15" hidden="1" outlineLevel="1" x14ac:dyDescent="0.2">
      <c r="A178" s="26">
        <v>49</v>
      </c>
      <c r="B178" s="25">
        <v>6935</v>
      </c>
      <c r="C178" s="25">
        <v>7610.7841673318417</v>
      </c>
      <c r="D178" s="24">
        <f t="shared" si="5"/>
        <v>-675.78416733184167</v>
      </c>
      <c r="E178" s="18">
        <f t="shared" si="6"/>
        <v>-2.2696778459001261</v>
      </c>
      <c r="F178"/>
    </row>
    <row r="179" spans="1:6" ht="15" hidden="1" outlineLevel="1" x14ac:dyDescent="0.2">
      <c r="A179" s="26">
        <v>74</v>
      </c>
      <c r="B179" s="25">
        <v>10511</v>
      </c>
      <c r="C179" s="25">
        <v>9877.5865782864803</v>
      </c>
      <c r="D179" s="24">
        <f t="shared" si="5"/>
        <v>633.41342171351971</v>
      </c>
      <c r="E179" s="18">
        <f t="shared" si="6"/>
        <v>2.1273721404796078</v>
      </c>
      <c r="F179"/>
    </row>
    <row r="180" spans="1:6" ht="15" hidden="1" outlineLevel="1" x14ac:dyDescent="0.2">
      <c r="A180" s="26">
        <v>12</v>
      </c>
      <c r="B180" s="25">
        <v>8161</v>
      </c>
      <c r="C180" s="25">
        <v>8677.8554136224848</v>
      </c>
      <c r="D180" s="24">
        <f t="shared" si="5"/>
        <v>-516.85541362248478</v>
      </c>
      <c r="E180" s="18">
        <f t="shared" si="6"/>
        <v>-1.7359022873592349</v>
      </c>
      <c r="F180"/>
    </row>
    <row r="181" spans="1:6" ht="15" hidden="1" outlineLevel="1" x14ac:dyDescent="0.2">
      <c r="A181" s="26">
        <v>60</v>
      </c>
      <c r="B181" s="25">
        <v>6700</v>
      </c>
      <c r="C181" s="25">
        <v>7215.7527933879483</v>
      </c>
      <c r="D181" s="24">
        <f t="shared" si="5"/>
        <v>-515.75279338794826</v>
      </c>
      <c r="E181" s="18">
        <f t="shared" si="6"/>
        <v>-1.7321990447564235</v>
      </c>
      <c r="F181"/>
    </row>
    <row r="182" spans="1:6" ht="15" hidden="1" outlineLevel="1" x14ac:dyDescent="0.2">
      <c r="A182" s="26">
        <v>61</v>
      </c>
      <c r="B182" s="25">
        <v>11381</v>
      </c>
      <c r="C182" s="25">
        <v>10899.840550978763</v>
      </c>
      <c r="D182" s="24">
        <f t="shared" si="5"/>
        <v>481.15944902123738</v>
      </c>
      <c r="E182" s="18">
        <f t="shared" si="6"/>
        <v>1.6160143942122762</v>
      </c>
      <c r="F182"/>
    </row>
    <row r="183" spans="1:6" ht="15" hidden="1" outlineLevel="1" x14ac:dyDescent="0.2">
      <c r="A183" s="26">
        <v>43</v>
      </c>
      <c r="B183" s="25">
        <v>1976</v>
      </c>
      <c r="C183" s="25">
        <v>2448.3165010559424</v>
      </c>
      <c r="D183" s="24">
        <f t="shared" si="5"/>
        <v>-472.31650105594235</v>
      </c>
      <c r="E183" s="18">
        <f t="shared" si="6"/>
        <v>-1.5863146112645319</v>
      </c>
      <c r="F183"/>
    </row>
    <row r="184" spans="1:6" ht="15" hidden="1" outlineLevel="1" x14ac:dyDescent="0.2">
      <c r="A184" s="26">
        <v>65</v>
      </c>
      <c r="B184" s="25">
        <v>3314</v>
      </c>
      <c r="C184" s="25">
        <v>2843.791827425749</v>
      </c>
      <c r="D184" s="24">
        <f t="shared" si="5"/>
        <v>470.20817257425097</v>
      </c>
      <c r="E184" s="18">
        <f t="shared" si="6"/>
        <v>1.5792336131025473</v>
      </c>
      <c r="F184"/>
    </row>
    <row r="185" spans="1:6" ht="15" hidden="1" outlineLevel="1" x14ac:dyDescent="0.2">
      <c r="A185" s="26">
        <v>50</v>
      </c>
      <c r="B185" s="25">
        <v>7155</v>
      </c>
      <c r="C185" s="25">
        <v>7621.8490618464375</v>
      </c>
      <c r="D185" s="24">
        <f t="shared" si="5"/>
        <v>-466.84906184643751</v>
      </c>
      <c r="E185" s="18">
        <f t="shared" si="6"/>
        <v>-1.5679517577863071</v>
      </c>
      <c r="F185"/>
    </row>
    <row r="186" spans="1:6" ht="15" hidden="1" outlineLevel="1" x14ac:dyDescent="0.2">
      <c r="A186" s="26">
        <v>3</v>
      </c>
      <c r="B186" s="25">
        <v>5670</v>
      </c>
      <c r="C186" s="25">
        <v>5228.0864182838604</v>
      </c>
      <c r="D186" s="24">
        <f t="shared" si="5"/>
        <v>441.91358171613956</v>
      </c>
      <c r="E186" s="18">
        <f t="shared" si="6"/>
        <v>1.4842038548840051</v>
      </c>
      <c r="F186"/>
    </row>
    <row r="187" spans="1:6" ht="15" hidden="1" outlineLevel="1" x14ac:dyDescent="0.2">
      <c r="A187" s="26">
        <v>46</v>
      </c>
      <c r="B187" s="25">
        <v>4003</v>
      </c>
      <c r="C187" s="25">
        <v>3586.9774640525347</v>
      </c>
      <c r="D187" s="24">
        <f t="shared" si="5"/>
        <v>416.02253594746526</v>
      </c>
      <c r="E187" s="18">
        <f t="shared" si="6"/>
        <v>1.3972466045826819</v>
      </c>
      <c r="F187"/>
    </row>
    <row r="188" spans="1:6" ht="15" hidden="1" outlineLevel="1" x14ac:dyDescent="0.2">
      <c r="A188" s="26">
        <v>25</v>
      </c>
      <c r="B188" s="25">
        <v>9522</v>
      </c>
      <c r="C188" s="25">
        <v>9928.5408077036791</v>
      </c>
      <c r="D188" s="24">
        <f t="shared" si="5"/>
        <v>-406.54080770367909</v>
      </c>
      <c r="E188" s="18">
        <f t="shared" si="6"/>
        <v>-1.3654014244555195</v>
      </c>
      <c r="F188"/>
    </row>
    <row r="189" spans="1:6" ht="15" hidden="1" outlineLevel="1" x14ac:dyDescent="0.2">
      <c r="A189" s="26">
        <v>77</v>
      </c>
      <c r="B189" s="25">
        <v>2502</v>
      </c>
      <c r="C189" s="25">
        <v>2903.2537802207526</v>
      </c>
      <c r="D189" s="24">
        <f t="shared" si="5"/>
        <v>-401.25378022075256</v>
      </c>
      <c r="E189" s="18">
        <f t="shared" si="6"/>
        <v>-1.3476444989033247</v>
      </c>
      <c r="F189"/>
    </row>
    <row r="190" spans="1:6" ht="15" hidden="1" outlineLevel="1" x14ac:dyDescent="0.2">
      <c r="A190" s="26">
        <v>58</v>
      </c>
      <c r="B190" s="25">
        <v>3869</v>
      </c>
      <c r="C190" s="25">
        <v>3467.9401560764909</v>
      </c>
      <c r="D190" s="24">
        <f t="shared" si="5"/>
        <v>401.05984392350911</v>
      </c>
      <c r="E190" s="18">
        <f t="shared" si="6"/>
        <v>1.3469931475715713</v>
      </c>
      <c r="F190"/>
    </row>
    <row r="191" spans="1:6" ht="15" hidden="1" outlineLevel="1" x14ac:dyDescent="0.2">
      <c r="A191" s="26">
        <v>48</v>
      </c>
      <c r="B191" s="25">
        <v>5878</v>
      </c>
      <c r="C191" s="25">
        <v>6252.6059337166189</v>
      </c>
      <c r="D191" s="24">
        <f t="shared" si="5"/>
        <v>-374.60593371661889</v>
      </c>
      <c r="E191" s="18">
        <f t="shared" si="6"/>
        <v>-1.2581454698121626</v>
      </c>
      <c r="F191"/>
    </row>
    <row r="192" spans="1:6" ht="15" hidden="1" outlineLevel="1" x14ac:dyDescent="0.2">
      <c r="A192" s="26">
        <v>35</v>
      </c>
      <c r="B192" s="25">
        <v>4446</v>
      </c>
      <c r="C192" s="25">
        <v>4801.4891318067421</v>
      </c>
      <c r="D192" s="24">
        <f t="shared" si="5"/>
        <v>-355.48913180674208</v>
      </c>
      <c r="E192" s="18">
        <f t="shared" si="6"/>
        <v>-1.1939400860864402</v>
      </c>
      <c r="F192"/>
    </row>
    <row r="193" spans="1:6" ht="15" hidden="1" outlineLevel="1" x14ac:dyDescent="0.2">
      <c r="A193" s="26">
        <v>31</v>
      </c>
      <c r="B193" s="25">
        <v>1980</v>
      </c>
      <c r="C193" s="25">
        <v>2323.1939807396252</v>
      </c>
      <c r="D193" s="24">
        <f t="shared" si="5"/>
        <v>-343.1939807396252</v>
      </c>
      <c r="E193" s="18">
        <f t="shared" si="6"/>
        <v>-1.1526457892709197</v>
      </c>
      <c r="F193"/>
    </row>
    <row r="194" spans="1:6" ht="15" hidden="1" outlineLevel="1" x14ac:dyDescent="0.2">
      <c r="A194" s="26">
        <v>14</v>
      </c>
      <c r="B194" s="25">
        <v>8911</v>
      </c>
      <c r="C194" s="25">
        <v>8574.4503906495411</v>
      </c>
      <c r="D194" s="24">
        <f t="shared" si="5"/>
        <v>336.54960935045892</v>
      </c>
      <c r="E194" s="18">
        <f t="shared" si="6"/>
        <v>1.1303301102850312</v>
      </c>
      <c r="F194"/>
    </row>
    <row r="195" spans="1:6" ht="15" hidden="1" outlineLevel="1" x14ac:dyDescent="0.2">
      <c r="A195" s="26">
        <v>10</v>
      </c>
      <c r="B195" s="25">
        <v>3598</v>
      </c>
      <c r="C195" s="25">
        <v>3268.4443319499551</v>
      </c>
      <c r="D195" s="24">
        <f t="shared" si="5"/>
        <v>329.55566805004491</v>
      </c>
      <c r="E195" s="18">
        <f t="shared" si="6"/>
        <v>1.1068403714121156</v>
      </c>
      <c r="F195"/>
    </row>
    <row r="196" spans="1:6" ht="15" hidden="1" outlineLevel="1" x14ac:dyDescent="0.2">
      <c r="A196" s="26">
        <v>63</v>
      </c>
      <c r="B196" s="25">
        <v>7426</v>
      </c>
      <c r="C196" s="25">
        <v>7122.0450155781718</v>
      </c>
      <c r="D196" s="24">
        <f t="shared" si="5"/>
        <v>303.95498442182816</v>
      </c>
      <c r="E196" s="18">
        <f t="shared" si="6"/>
        <v>1.0208583267301941</v>
      </c>
      <c r="F196"/>
    </row>
    <row r="197" spans="1:6" ht="15" hidden="1" outlineLevel="1" x14ac:dyDescent="0.2">
      <c r="A197" s="26">
        <v>34</v>
      </c>
      <c r="B197" s="25">
        <v>3931</v>
      </c>
      <c r="C197" s="25">
        <v>3630.8874329103073</v>
      </c>
      <c r="D197" s="24">
        <f t="shared" si="5"/>
        <v>300.11256708969267</v>
      </c>
      <c r="E197" s="18">
        <f t="shared" si="6"/>
        <v>1.0079532456184488</v>
      </c>
      <c r="F197"/>
    </row>
    <row r="198" spans="1:6" ht="15" hidden="1" outlineLevel="1" x14ac:dyDescent="0.2">
      <c r="A198" s="26">
        <v>9</v>
      </c>
      <c r="B198" s="25">
        <v>2450</v>
      </c>
      <c r="C198" s="25">
        <v>2151.1867850465328</v>
      </c>
      <c r="D198" s="24">
        <f t="shared" si="5"/>
        <v>298.8132149534672</v>
      </c>
      <c r="E198" s="18">
        <f t="shared" si="6"/>
        <v>1.0035892624117133</v>
      </c>
      <c r="F198"/>
    </row>
    <row r="199" spans="1:6" ht="15" hidden="1" outlineLevel="1" x14ac:dyDescent="0.2">
      <c r="A199" s="26">
        <v>24</v>
      </c>
      <c r="B199" s="25">
        <v>10645</v>
      </c>
      <c r="C199" s="25">
        <v>10943.158383693655</v>
      </c>
      <c r="D199" s="24">
        <f t="shared" si="5"/>
        <v>-298.1583836936552</v>
      </c>
      <c r="E199" s="18">
        <f t="shared" si="6"/>
        <v>-1.0013899566643378</v>
      </c>
      <c r="F199"/>
    </row>
    <row r="200" spans="1:6" ht="15" hidden="1" outlineLevel="1" x14ac:dyDescent="0.2">
      <c r="A200" s="26">
        <v>28</v>
      </c>
      <c r="B200" s="25">
        <v>2761</v>
      </c>
      <c r="C200" s="25">
        <v>3056.9456214829952</v>
      </c>
      <c r="D200" s="24">
        <f t="shared" si="5"/>
        <v>-295.94562148299519</v>
      </c>
      <c r="E200" s="18">
        <f t="shared" si="6"/>
        <v>-0.99395820905828036</v>
      </c>
      <c r="F200"/>
    </row>
    <row r="201" spans="1:6" ht="15" hidden="1" outlineLevel="1" x14ac:dyDescent="0.2">
      <c r="A201" s="26">
        <v>41</v>
      </c>
      <c r="B201" s="25">
        <v>2205</v>
      </c>
      <c r="C201" s="25">
        <v>2499.7504271450271</v>
      </c>
      <c r="D201" s="24">
        <f t="shared" si="5"/>
        <v>-294.75042714502706</v>
      </c>
      <c r="E201" s="18">
        <f t="shared" si="6"/>
        <v>-0.98994404855916429</v>
      </c>
      <c r="F201"/>
    </row>
    <row r="202" spans="1:6" ht="15" hidden="1" outlineLevel="1" x14ac:dyDescent="0.2">
      <c r="A202" s="26">
        <v>19</v>
      </c>
      <c r="B202" s="25">
        <v>1926</v>
      </c>
      <c r="C202" s="25">
        <v>2198.0714604233081</v>
      </c>
      <c r="D202" s="24">
        <f t="shared" si="5"/>
        <v>-272.07146042330805</v>
      </c>
      <c r="E202" s="18">
        <f t="shared" si="6"/>
        <v>-0.9137748353332561</v>
      </c>
      <c r="F202"/>
    </row>
    <row r="203" spans="1:6" ht="15" hidden="1" outlineLevel="1" x14ac:dyDescent="0.2">
      <c r="A203" s="26">
        <v>26</v>
      </c>
      <c r="B203" s="25">
        <v>6169</v>
      </c>
      <c r="C203" s="25">
        <v>5903.8171648935886</v>
      </c>
      <c r="D203" s="24">
        <f t="shared" si="5"/>
        <v>265.1828351064114</v>
      </c>
      <c r="E203" s="18">
        <f t="shared" si="6"/>
        <v>0.89063880903036474</v>
      </c>
      <c r="F203"/>
    </row>
    <row r="204" spans="1:6" ht="15" hidden="1" outlineLevel="1" x14ac:dyDescent="0.2">
      <c r="A204" s="26">
        <v>64</v>
      </c>
      <c r="B204" s="25">
        <v>3372</v>
      </c>
      <c r="C204" s="25">
        <v>3636.2334713752816</v>
      </c>
      <c r="D204" s="24">
        <f t="shared" si="5"/>
        <v>-264.23347137528162</v>
      </c>
      <c r="E204" s="18">
        <f t="shared" si="6"/>
        <v>-0.88745029125736952</v>
      </c>
      <c r="F204"/>
    </row>
    <row r="205" spans="1:6" ht="15" hidden="1" outlineLevel="1" x14ac:dyDescent="0.2">
      <c r="A205" s="26">
        <v>2</v>
      </c>
      <c r="B205" s="25">
        <v>6565</v>
      </c>
      <c r="C205" s="25">
        <v>6310.2116458178534</v>
      </c>
      <c r="D205" s="24">
        <f t="shared" si="5"/>
        <v>254.78835418214658</v>
      </c>
      <c r="E205" s="18">
        <f t="shared" si="6"/>
        <v>0.85572807241665749</v>
      </c>
      <c r="F205"/>
    </row>
    <row r="206" spans="1:6" ht="15" hidden="1" outlineLevel="1" x14ac:dyDescent="0.2">
      <c r="A206" s="26">
        <v>66</v>
      </c>
      <c r="B206" s="25">
        <v>2930</v>
      </c>
      <c r="C206" s="25">
        <v>2688.1346649955503</v>
      </c>
      <c r="D206" s="24">
        <f t="shared" si="5"/>
        <v>241.86533500444966</v>
      </c>
      <c r="E206" s="18">
        <f t="shared" si="6"/>
        <v>0.81232502785352823</v>
      </c>
      <c r="F206"/>
    </row>
    <row r="207" spans="1:6" ht="15" hidden="1" outlineLevel="1" x14ac:dyDescent="0.2">
      <c r="A207" s="26">
        <v>36</v>
      </c>
      <c r="B207" s="25">
        <v>6081</v>
      </c>
      <c r="C207" s="25">
        <v>6308.8652753965971</v>
      </c>
      <c r="D207" s="24">
        <f t="shared" si="5"/>
        <v>-227.8652753965971</v>
      </c>
      <c r="E207" s="18">
        <f t="shared" si="6"/>
        <v>-0.76530465260756475</v>
      </c>
      <c r="F207"/>
    </row>
    <row r="208" spans="1:6" ht="15" hidden="1" outlineLevel="1" x14ac:dyDescent="0.2">
      <c r="A208" s="26">
        <v>57</v>
      </c>
      <c r="B208" s="25">
        <v>2873</v>
      </c>
      <c r="C208" s="25">
        <v>2647.962074535661</v>
      </c>
      <c r="D208" s="24">
        <f t="shared" ref="D208:D239" si="7">B208 - C208</f>
        <v>225.03792546433897</v>
      </c>
      <c r="E208" s="18">
        <f t="shared" ref="E208:E239" si="8">D208 /297.744531697552</f>
        <v>0.75580876055494384</v>
      </c>
      <c r="F208"/>
    </row>
    <row r="209" spans="1:6" ht="15" hidden="1" outlineLevel="1" x14ac:dyDescent="0.2">
      <c r="A209" s="26">
        <v>38</v>
      </c>
      <c r="B209" s="25">
        <v>6583</v>
      </c>
      <c r="C209" s="25">
        <v>6362.1839604728384</v>
      </c>
      <c r="D209" s="24">
        <f t="shared" si="7"/>
        <v>220.81603952716159</v>
      </c>
      <c r="E209" s="18">
        <f t="shared" si="8"/>
        <v>0.74162920228360685</v>
      </c>
      <c r="F209"/>
    </row>
    <row r="210" spans="1:6" ht="15" hidden="1" outlineLevel="1" x14ac:dyDescent="0.2">
      <c r="A210" s="26">
        <v>44</v>
      </c>
      <c r="B210" s="25">
        <v>2673</v>
      </c>
      <c r="C210" s="25">
        <v>2458.7433777489687</v>
      </c>
      <c r="D210" s="24">
        <f t="shared" si="7"/>
        <v>214.25662225103133</v>
      </c>
      <c r="E210" s="18">
        <f t="shared" si="8"/>
        <v>0.71959884881671832</v>
      </c>
      <c r="F210"/>
    </row>
    <row r="211" spans="1:6" ht="15" hidden="1" outlineLevel="1" x14ac:dyDescent="0.2">
      <c r="A211" s="26">
        <v>52</v>
      </c>
      <c r="B211" s="25">
        <v>3390</v>
      </c>
      <c r="C211" s="25">
        <v>3602.0492938943562</v>
      </c>
      <c r="D211" s="24">
        <f t="shared" si="7"/>
        <v>-212.0492938943562</v>
      </c>
      <c r="E211" s="18">
        <f t="shared" si="8"/>
        <v>-0.71218535126534321</v>
      </c>
      <c r="F211"/>
    </row>
    <row r="212" spans="1:6" ht="15" hidden="1" outlineLevel="1" x14ac:dyDescent="0.2">
      <c r="A212" s="26">
        <v>18</v>
      </c>
      <c r="B212" s="25">
        <v>1977</v>
      </c>
      <c r="C212" s="25">
        <v>2187.6445837302817</v>
      </c>
      <c r="D212" s="24">
        <f t="shared" si="7"/>
        <v>-210.64458373028174</v>
      </c>
      <c r="E212" s="18">
        <f t="shared" si="8"/>
        <v>-0.70746751427916688</v>
      </c>
      <c r="F212"/>
    </row>
    <row r="213" spans="1:6" ht="15" hidden="1" outlineLevel="1" x14ac:dyDescent="0.2">
      <c r="A213" s="26">
        <v>6</v>
      </c>
      <c r="B213" s="25">
        <v>1853</v>
      </c>
      <c r="C213" s="25">
        <v>2062.5220634139641</v>
      </c>
      <c r="D213" s="24">
        <f t="shared" si="7"/>
        <v>-209.52206341396413</v>
      </c>
      <c r="E213" s="18">
        <f t="shared" si="8"/>
        <v>-0.70369743558144005</v>
      </c>
      <c r="F213"/>
    </row>
    <row r="214" spans="1:6" ht="15" hidden="1" outlineLevel="1" x14ac:dyDescent="0.2">
      <c r="A214" s="26">
        <v>21</v>
      </c>
      <c r="B214" s="25">
        <v>2433</v>
      </c>
      <c r="C214" s="25">
        <v>2231.7196878794512</v>
      </c>
      <c r="D214" s="24">
        <f t="shared" si="7"/>
        <v>201.28031212054884</v>
      </c>
      <c r="E214" s="18">
        <f t="shared" si="8"/>
        <v>0.67601682211584246</v>
      </c>
      <c r="F214"/>
    </row>
    <row r="215" spans="1:6" ht="15" hidden="1" outlineLevel="1" x14ac:dyDescent="0.2">
      <c r="A215" s="26">
        <v>5</v>
      </c>
      <c r="B215" s="25">
        <v>2464</v>
      </c>
      <c r="C215" s="25">
        <v>2265.9353170517797</v>
      </c>
      <c r="D215" s="24">
        <f t="shared" si="7"/>
        <v>198.06468294822025</v>
      </c>
      <c r="E215" s="18">
        <f t="shared" si="8"/>
        <v>0.66521686164639204</v>
      </c>
      <c r="F215"/>
    </row>
    <row r="216" spans="1:6" ht="15" hidden="1" outlineLevel="1" x14ac:dyDescent="0.2">
      <c r="A216" s="26">
        <v>62</v>
      </c>
      <c r="B216" s="25">
        <v>7396</v>
      </c>
      <c r="C216" s="25">
        <v>7201.112468707468</v>
      </c>
      <c r="D216" s="24">
        <f t="shared" si="7"/>
        <v>194.887531292532</v>
      </c>
      <c r="E216" s="18">
        <f t="shared" si="8"/>
        <v>0.65454613114607307</v>
      </c>
      <c r="F216"/>
    </row>
    <row r="217" spans="1:6" ht="15" hidden="1" outlineLevel="1" x14ac:dyDescent="0.2">
      <c r="A217" s="26">
        <v>67</v>
      </c>
      <c r="B217" s="25">
        <v>2889</v>
      </c>
      <c r="C217" s="25">
        <v>2698.5615416885771</v>
      </c>
      <c r="D217" s="24">
        <f t="shared" si="7"/>
        <v>190.43845831142289</v>
      </c>
      <c r="E217" s="18">
        <f t="shared" si="8"/>
        <v>0.6396035461194286</v>
      </c>
      <c r="F217"/>
    </row>
    <row r="218" spans="1:6" ht="15" hidden="1" outlineLevel="1" x14ac:dyDescent="0.2">
      <c r="A218" s="26">
        <v>22</v>
      </c>
      <c r="B218" s="25">
        <v>3117</v>
      </c>
      <c r="C218" s="25">
        <v>2928.3656944111617</v>
      </c>
      <c r="D218" s="24">
        <f t="shared" si="7"/>
        <v>188.63430558883829</v>
      </c>
      <c r="E218" s="18">
        <f t="shared" si="8"/>
        <v>0.63354414777448353</v>
      </c>
      <c r="F218"/>
    </row>
    <row r="219" spans="1:6" ht="15" hidden="1" outlineLevel="1" x14ac:dyDescent="0.2">
      <c r="A219" s="26">
        <v>1</v>
      </c>
      <c r="B219" s="25">
        <v>8960</v>
      </c>
      <c r="C219" s="25">
        <v>8772.405353712471</v>
      </c>
      <c r="D219" s="24">
        <f t="shared" si="7"/>
        <v>187.59464628752903</v>
      </c>
      <c r="E219" s="18">
        <f t="shared" si="8"/>
        <v>0.63005236475035287</v>
      </c>
      <c r="F219"/>
    </row>
    <row r="220" spans="1:6" ht="15" hidden="1" outlineLevel="1" x14ac:dyDescent="0.2">
      <c r="A220" s="26">
        <v>54</v>
      </c>
      <c r="B220" s="25">
        <v>2381</v>
      </c>
      <c r="C220" s="25">
        <v>2563.0121446792336</v>
      </c>
      <c r="D220" s="24">
        <f t="shared" si="7"/>
        <v>-182.01214467923364</v>
      </c>
      <c r="E220" s="18">
        <f t="shared" si="8"/>
        <v>-0.61130306454837269</v>
      </c>
      <c r="F220"/>
    </row>
    <row r="221" spans="1:6" ht="15" hidden="1" outlineLevel="1" x14ac:dyDescent="0.2">
      <c r="A221" s="26">
        <v>30</v>
      </c>
      <c r="B221" s="25">
        <v>2133</v>
      </c>
      <c r="C221" s="25">
        <v>2312.7671040465989</v>
      </c>
      <c r="D221" s="24">
        <f t="shared" si="7"/>
        <v>-179.76710404659889</v>
      </c>
      <c r="E221" s="18">
        <f t="shared" si="8"/>
        <v>-0.60376290715292047</v>
      </c>
      <c r="F221"/>
    </row>
    <row r="222" spans="1:6" ht="15" hidden="1" outlineLevel="1" x14ac:dyDescent="0.2">
      <c r="A222" s="26">
        <v>27</v>
      </c>
      <c r="B222" s="25">
        <v>5460</v>
      </c>
      <c r="C222" s="25">
        <v>5290.2762455386837</v>
      </c>
      <c r="D222" s="24">
        <f t="shared" si="7"/>
        <v>169.72375446131628</v>
      </c>
      <c r="E222" s="18">
        <f t="shared" si="8"/>
        <v>0.57003147461234027</v>
      </c>
      <c r="F222"/>
    </row>
    <row r="223" spans="1:6" ht="15" hidden="1" outlineLevel="1" x14ac:dyDescent="0.2">
      <c r="A223" s="26">
        <v>11</v>
      </c>
      <c r="B223" s="25">
        <v>4375</v>
      </c>
      <c r="C223" s="25">
        <v>4516.8321760120889</v>
      </c>
      <c r="D223" s="24">
        <f t="shared" si="7"/>
        <v>-141.83217601208889</v>
      </c>
      <c r="E223" s="18">
        <f t="shared" si="8"/>
        <v>-0.47635526739467238</v>
      </c>
      <c r="F223"/>
    </row>
    <row r="224" spans="1:6" ht="15" hidden="1" outlineLevel="1" x14ac:dyDescent="0.2">
      <c r="A224" s="26">
        <v>16</v>
      </c>
      <c r="B224" s="25">
        <v>2691</v>
      </c>
      <c r="C224" s="25">
        <v>2824.7655669953924</v>
      </c>
      <c r="D224" s="24">
        <f t="shared" si="7"/>
        <v>-133.76556699539242</v>
      </c>
      <c r="E224" s="18">
        <f t="shared" si="8"/>
        <v>-0.44926288396547637</v>
      </c>
      <c r="F224"/>
    </row>
    <row r="225" spans="1:6" ht="15" hidden="1" outlineLevel="1" x14ac:dyDescent="0.2">
      <c r="A225" s="26">
        <v>32</v>
      </c>
      <c r="B225" s="25">
        <v>2465</v>
      </c>
      <c r="C225" s="25">
        <v>2333.620857432652</v>
      </c>
      <c r="D225" s="24">
        <f t="shared" si="7"/>
        <v>131.37914256734803</v>
      </c>
      <c r="E225" s="18">
        <f t="shared" si="8"/>
        <v>0.44124787722651632</v>
      </c>
      <c r="F225"/>
    </row>
    <row r="226" spans="1:6" ht="15" hidden="1" outlineLevel="1" x14ac:dyDescent="0.2">
      <c r="A226" s="26">
        <v>72</v>
      </c>
      <c r="B226" s="25">
        <v>7464</v>
      </c>
      <c r="C226" s="25">
        <v>7593.49030817107</v>
      </c>
      <c r="D226" s="24">
        <f t="shared" si="7"/>
        <v>-129.49030817106996</v>
      </c>
      <c r="E226" s="18">
        <f t="shared" si="8"/>
        <v>-0.43490406837296952</v>
      </c>
      <c r="F226"/>
    </row>
    <row r="227" spans="1:6" ht="15" hidden="1" outlineLevel="1" x14ac:dyDescent="0.2">
      <c r="A227" s="26">
        <v>40</v>
      </c>
      <c r="B227" s="25">
        <v>3370</v>
      </c>
      <c r="C227" s="25">
        <v>3498.4224612289145</v>
      </c>
      <c r="D227" s="24">
        <f t="shared" si="7"/>
        <v>-128.42246122891447</v>
      </c>
      <c r="E227" s="18">
        <f t="shared" si="8"/>
        <v>-0.43131761479121172</v>
      </c>
      <c r="F227"/>
    </row>
    <row r="228" spans="1:6" ht="15" hidden="1" outlineLevel="1" x14ac:dyDescent="0.2">
      <c r="A228" s="26">
        <v>78</v>
      </c>
      <c r="B228" s="25">
        <v>2944</v>
      </c>
      <c r="C228" s="25">
        <v>2819.9522661681935</v>
      </c>
      <c r="D228" s="24">
        <f t="shared" si="7"/>
        <v>124.04773383180645</v>
      </c>
      <c r="E228" s="18">
        <f t="shared" si="8"/>
        <v>0.41662472564840841</v>
      </c>
      <c r="F228"/>
    </row>
    <row r="229" spans="1:6" ht="15" hidden="1" outlineLevel="1" x14ac:dyDescent="0.2">
      <c r="A229" s="26">
        <v>70</v>
      </c>
      <c r="B229" s="25">
        <v>3606</v>
      </c>
      <c r="C229" s="25">
        <v>3482.188620037773</v>
      </c>
      <c r="D229" s="24">
        <f t="shared" si="7"/>
        <v>123.81137996222697</v>
      </c>
      <c r="E229" s="18">
        <f t="shared" si="8"/>
        <v>0.41583091133977296</v>
      </c>
      <c r="F229"/>
    </row>
    <row r="230" spans="1:6" ht="15" hidden="1" outlineLevel="1" x14ac:dyDescent="0.2">
      <c r="A230" s="26">
        <v>76</v>
      </c>
      <c r="B230" s="25">
        <v>3543</v>
      </c>
      <c r="C230" s="25">
        <v>3661.7344013198954</v>
      </c>
      <c r="D230" s="24">
        <f t="shared" si="7"/>
        <v>-118.73440131989537</v>
      </c>
      <c r="E230" s="18">
        <f t="shared" si="8"/>
        <v>-0.39877945244853535</v>
      </c>
      <c r="F230"/>
    </row>
    <row r="231" spans="1:6" ht="15" hidden="1" outlineLevel="1" x14ac:dyDescent="0.2">
      <c r="A231" s="26">
        <v>4</v>
      </c>
      <c r="B231" s="25">
        <v>3161</v>
      </c>
      <c r="C231" s="25">
        <v>3043.1062184936795</v>
      </c>
      <c r="D231" s="24">
        <f t="shared" si="7"/>
        <v>117.89378150632047</v>
      </c>
      <c r="E231" s="18">
        <f t="shared" si="8"/>
        <v>0.39595616024974256</v>
      </c>
      <c r="F231"/>
    </row>
    <row r="232" spans="1:6" ht="15" hidden="1" outlineLevel="1" x14ac:dyDescent="0.2">
      <c r="A232" s="26">
        <v>20</v>
      </c>
      <c r="B232" s="25">
        <v>2092</v>
      </c>
      <c r="C232" s="25">
        <v>2208.4983371163344</v>
      </c>
      <c r="D232" s="24">
        <f t="shared" si="7"/>
        <v>-116.49833711633437</v>
      </c>
      <c r="E232" s="18">
        <f t="shared" si="8"/>
        <v>-0.39126944314353695</v>
      </c>
      <c r="F232"/>
    </row>
    <row r="233" spans="1:6" ht="15" hidden="1" outlineLevel="1" x14ac:dyDescent="0.2">
      <c r="A233" s="26">
        <v>15</v>
      </c>
      <c r="B233" s="25">
        <v>5153</v>
      </c>
      <c r="C233" s="25">
        <v>5057.7075298698373</v>
      </c>
      <c r="D233" s="24">
        <f t="shared" si="7"/>
        <v>95.292470130162656</v>
      </c>
      <c r="E233" s="18">
        <f t="shared" si="8"/>
        <v>0.32004775901967009</v>
      </c>
      <c r="F233"/>
    </row>
    <row r="234" spans="1:6" ht="15" hidden="1" outlineLevel="1" x14ac:dyDescent="0.2">
      <c r="A234" s="26">
        <v>69</v>
      </c>
      <c r="B234" s="25">
        <v>2884</v>
      </c>
      <c r="C234" s="25">
        <v>2788.9031380273759</v>
      </c>
      <c r="D234" s="24">
        <f t="shared" si="7"/>
        <v>95.096861972624083</v>
      </c>
      <c r="E234" s="18">
        <f t="shared" si="8"/>
        <v>0.31939079260479308</v>
      </c>
      <c r="F234"/>
    </row>
    <row r="235" spans="1:6" ht="15" hidden="1" outlineLevel="1" x14ac:dyDescent="0.2">
      <c r="A235" s="26">
        <v>7</v>
      </c>
      <c r="B235" s="25">
        <v>1983</v>
      </c>
      <c r="C235" s="25">
        <v>2072.9489401069909</v>
      </c>
      <c r="D235" s="24">
        <f t="shared" si="7"/>
        <v>-89.948940106990904</v>
      </c>
      <c r="E235" s="18">
        <f t="shared" si="8"/>
        <v>-0.3021010649436906</v>
      </c>
      <c r="F235"/>
    </row>
    <row r="236" spans="1:6" ht="15" hidden="1" outlineLevel="1" x14ac:dyDescent="0.2">
      <c r="A236" s="26">
        <v>73</v>
      </c>
      <c r="B236" s="25">
        <v>9500</v>
      </c>
      <c r="C236" s="25">
        <v>9411.4450925459023</v>
      </c>
      <c r="D236" s="24">
        <f t="shared" si="7"/>
        <v>88.554907454097702</v>
      </c>
      <c r="E236" s="18">
        <f t="shared" si="8"/>
        <v>0.29741908927500138</v>
      </c>
      <c r="F236"/>
    </row>
    <row r="237" spans="1:6" ht="15" hidden="1" outlineLevel="1" x14ac:dyDescent="0.2">
      <c r="A237" s="26">
        <v>17</v>
      </c>
      <c r="B237" s="25">
        <v>2389</v>
      </c>
      <c r="C237" s="25">
        <v>2315.5442502910346</v>
      </c>
      <c r="D237" s="24">
        <f t="shared" si="7"/>
        <v>73.455749708965413</v>
      </c>
      <c r="E237" s="18">
        <f t="shared" si="8"/>
        <v>0.24670730068548005</v>
      </c>
      <c r="F237"/>
    </row>
    <row r="238" spans="1:6" ht="15" hidden="1" outlineLevel="1" x14ac:dyDescent="0.2">
      <c r="A238" s="26">
        <v>59</v>
      </c>
      <c r="B238" s="25">
        <v>6415</v>
      </c>
      <c r="C238" s="25">
        <v>6474.2662415140758</v>
      </c>
      <c r="D238" s="24">
        <f t="shared" si="7"/>
        <v>-59.266241514075773</v>
      </c>
      <c r="E238" s="18">
        <f t="shared" si="8"/>
        <v>-0.19905064645915391</v>
      </c>
      <c r="F238"/>
    </row>
    <row r="239" spans="1:6" ht="15" hidden="1" outlineLevel="1" x14ac:dyDescent="0.2">
      <c r="A239" s="26">
        <v>51</v>
      </c>
      <c r="B239" s="25">
        <v>7253</v>
      </c>
      <c r="C239" s="25">
        <v>7310.2684529467924</v>
      </c>
      <c r="D239" s="24">
        <f t="shared" si="7"/>
        <v>-57.268452946792422</v>
      </c>
      <c r="E239" s="18">
        <f t="shared" si="8"/>
        <v>-0.19234090587754452</v>
      </c>
      <c r="F239"/>
    </row>
    <row r="240" spans="1:6" ht="15" hidden="1" outlineLevel="1" x14ac:dyDescent="0.2">
      <c r="A240" s="26">
        <v>33</v>
      </c>
      <c r="B240" s="25">
        <v>2382</v>
      </c>
      <c r="C240" s="25">
        <v>2434.12573626828</v>
      </c>
      <c r="D240" s="24">
        <f t="shared" ref="D240:D252" si="9">B240 - C240</f>
        <v>-52.125736268279979</v>
      </c>
      <c r="E240" s="18">
        <f t="shared" ref="E240:E252" si="10">D240 /297.744531697552</f>
        <v>-0.17506866027426876</v>
      </c>
      <c r="F240"/>
    </row>
    <row r="241" spans="1:6" ht="15" hidden="1" outlineLevel="1" x14ac:dyDescent="0.2">
      <c r="A241" s="26">
        <v>53</v>
      </c>
      <c r="B241" s="25">
        <v>3075</v>
      </c>
      <c r="C241" s="25">
        <v>3028.9283331800825</v>
      </c>
      <c r="D241" s="24">
        <f t="shared" si="9"/>
        <v>46.071666819917482</v>
      </c>
      <c r="E241" s="18">
        <f t="shared" si="10"/>
        <v>0.15473555990179172</v>
      </c>
      <c r="F241"/>
    </row>
    <row r="242" spans="1:6" ht="15" hidden="1" outlineLevel="1" x14ac:dyDescent="0.2">
      <c r="A242" s="26">
        <v>55</v>
      </c>
      <c r="B242" s="25">
        <v>2613</v>
      </c>
      <c r="C242" s="25">
        <v>2573.43902137226</v>
      </c>
      <c r="D242" s="24">
        <f t="shared" si="9"/>
        <v>39.560978627740042</v>
      </c>
      <c r="E242" s="18">
        <f t="shared" si="10"/>
        <v>0.13286886715328819</v>
      </c>
      <c r="F242"/>
    </row>
    <row r="243" spans="1:6" ht="15" hidden="1" outlineLevel="1" x14ac:dyDescent="0.2">
      <c r="A243" s="26">
        <v>29</v>
      </c>
      <c r="B243" s="25">
        <v>2568</v>
      </c>
      <c r="C243" s="25">
        <v>2531.8139277001756</v>
      </c>
      <c r="D243" s="24">
        <f t="shared" si="9"/>
        <v>36.186072299824446</v>
      </c>
      <c r="E243" s="18">
        <f t="shared" si="10"/>
        <v>0.12153396098834872</v>
      </c>
      <c r="F243"/>
    </row>
    <row r="244" spans="1:6" ht="15" hidden="1" outlineLevel="1" x14ac:dyDescent="0.2">
      <c r="A244" s="26">
        <v>23</v>
      </c>
      <c r="B244" s="25">
        <v>5190</v>
      </c>
      <c r="C244" s="25">
        <v>5162.5080722157754</v>
      </c>
      <c r="D244" s="24">
        <f t="shared" si="9"/>
        <v>27.491927784224572</v>
      </c>
      <c r="E244" s="18">
        <f t="shared" si="10"/>
        <v>9.2333946915776732E-2</v>
      </c>
      <c r="F244"/>
    </row>
    <row r="245" spans="1:6" ht="15" hidden="1" outlineLevel="1" x14ac:dyDescent="0.2">
      <c r="A245" s="26">
        <v>39</v>
      </c>
      <c r="B245" s="25">
        <v>3545</v>
      </c>
      <c r="C245" s="25">
        <v>3521.6121146704663</v>
      </c>
      <c r="D245" s="24">
        <f t="shared" si="9"/>
        <v>23.387885329533674</v>
      </c>
      <c r="E245" s="18">
        <f t="shared" si="10"/>
        <v>7.8550175871209674E-2</v>
      </c>
      <c r="F245"/>
    </row>
    <row r="246" spans="1:6" ht="15" hidden="1" outlineLevel="1" x14ac:dyDescent="0.2">
      <c r="A246" s="26">
        <v>56</v>
      </c>
      <c r="B246" s="25">
        <v>2611</v>
      </c>
      <c r="C246" s="25">
        <v>2590.2563331627152</v>
      </c>
      <c r="D246" s="24">
        <f t="shared" si="9"/>
        <v>20.743666837284763</v>
      </c>
      <c r="E246" s="18">
        <f t="shared" si="10"/>
        <v>6.9669346130447549E-2</v>
      </c>
      <c r="F246"/>
    </row>
    <row r="247" spans="1:6" ht="15" hidden="1" outlineLevel="1" x14ac:dyDescent="0.2">
      <c r="A247" s="26">
        <v>8</v>
      </c>
      <c r="B247" s="25">
        <v>2064</v>
      </c>
      <c r="C247" s="25">
        <v>2083.3758168000172</v>
      </c>
      <c r="D247" s="24">
        <f t="shared" si="9"/>
        <v>-19.375816800017219</v>
      </c>
      <c r="E247" s="18">
        <f t="shared" si="10"/>
        <v>-6.507530697389638E-2</v>
      </c>
      <c r="F247"/>
    </row>
    <row r="248" spans="1:6" ht="15" hidden="1" outlineLevel="1" x14ac:dyDescent="0.2">
      <c r="A248" s="26">
        <v>42</v>
      </c>
      <c r="B248" s="25">
        <v>2433</v>
      </c>
      <c r="C248" s="25">
        <v>2444.5847052192421</v>
      </c>
      <c r="D248" s="24">
        <f t="shared" si="9"/>
        <v>-11.584705219242096</v>
      </c>
      <c r="E248" s="18">
        <f t="shared" si="10"/>
        <v>-3.8908204806292812E-2</v>
      </c>
      <c r="F248"/>
    </row>
    <row r="249" spans="1:6" ht="15" hidden="1" outlineLevel="1" x14ac:dyDescent="0.2">
      <c r="A249" s="26">
        <v>13</v>
      </c>
      <c r="B249" s="25">
        <v>9701</v>
      </c>
      <c r="C249" s="25">
        <v>9689.4729240316028</v>
      </c>
      <c r="D249" s="24">
        <f t="shared" si="9"/>
        <v>11.527075968397185</v>
      </c>
      <c r="E249" s="18">
        <f t="shared" si="10"/>
        <v>3.8714652130391949E-2</v>
      </c>
      <c r="F249"/>
    </row>
    <row r="250" spans="1:6" ht="15" hidden="1" outlineLevel="1" x14ac:dyDescent="0.2">
      <c r="A250" s="26">
        <v>71</v>
      </c>
      <c r="B250" s="25">
        <v>6843</v>
      </c>
      <c r="C250" s="25">
        <v>6852.3835500563346</v>
      </c>
      <c r="D250" s="24">
        <f t="shared" si="9"/>
        <v>-9.3835500563345704</v>
      </c>
      <c r="E250" s="18">
        <f t="shared" si="10"/>
        <v>-3.1515440444314695E-2</v>
      </c>
      <c r="F250"/>
    </row>
    <row r="251" spans="1:6" ht="15" hidden="1" outlineLevel="1" x14ac:dyDescent="0.2">
      <c r="A251" s="26">
        <v>45</v>
      </c>
      <c r="B251" s="25">
        <v>2529</v>
      </c>
      <c r="C251" s="25">
        <v>2532.44518431509</v>
      </c>
      <c r="D251" s="24">
        <f t="shared" si="9"/>
        <v>-3.4451843150900459</v>
      </c>
      <c r="E251" s="18">
        <f t="shared" si="10"/>
        <v>-1.1570940683436811E-2</v>
      </c>
      <c r="F251"/>
    </row>
    <row r="252" spans="1:6" ht="15" hidden="1" outlineLevel="1" x14ac:dyDescent="0.2">
      <c r="A252" s="26">
        <v>68</v>
      </c>
      <c r="B252" s="25">
        <v>2708</v>
      </c>
      <c r="C252" s="25">
        <v>2708.9884183816034</v>
      </c>
      <c r="D252" s="24">
        <f t="shared" si="9"/>
        <v>-0.98841838160342377</v>
      </c>
      <c r="E252" s="18">
        <f t="shared" si="10"/>
        <v>-3.3196860945458309E-3</v>
      </c>
      <c r="F252"/>
    </row>
    <row r="253" spans="1:6" collapsed="1" x14ac:dyDescent="0.15"/>
  </sheetData>
  <sortState xmlns:xlrd2="http://schemas.microsoft.com/office/spreadsheetml/2017/richdata2" ref="A176:F252">
    <sortCondition descending="1" ref="F176"/>
    <sortCondition ref="A1"/>
  </sortState>
  <dataValidations count="1">
    <dataValidation type="decimal" allowBlank="1" showInputMessage="1" showErrorMessage="1" error="Please enter a confidence level between 0 and 1." prompt="Confidence level can be adjusted between 0 and 100% to dynamically change confidence limits on this sheet." sqref="I10" xr:uid="{00000000-0002-0000-0600-000000000000}">
      <formula1>0</formula1>
      <formula2>1</formula2>
    </dataValidation>
  </dataValidations>
  <pageMargins left="0.7" right="0.7" top="0.75" bottom="0.75" header="0.3" footer="0.3"/>
  <pageSetup fitToHeight="0"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6" baseType="variant">
      <vt:variant>
        <vt:lpstr>Worksheets</vt:lpstr>
      </vt:variant>
      <vt:variant>
        <vt:i4>14</vt:i4>
      </vt:variant>
      <vt:variant>
        <vt:lpstr>Charts</vt:lpstr>
      </vt:variant>
      <vt:variant>
        <vt:i4>1</vt:i4>
      </vt:variant>
      <vt:variant>
        <vt:lpstr>Named Ranges</vt:lpstr>
      </vt:variant>
      <vt:variant>
        <vt:i4>36</vt:i4>
      </vt:variant>
    </vt:vector>
  </HeadingPairs>
  <TitlesOfParts>
    <vt:vector size="51" baseType="lpstr">
      <vt:lpstr>Sheet1</vt:lpstr>
      <vt:lpstr>Sheet2</vt:lpstr>
      <vt:lpstr>Gas and temperature data</vt:lpstr>
      <vt:lpstr>All gas statistics</vt:lpstr>
      <vt:lpstr>Commercial gas and temp stats</vt:lpstr>
      <vt:lpstr>Com HDD linear model</vt:lpstr>
      <vt:lpstr>Com HDD plus trend model</vt:lpstr>
      <vt:lpstr>Com HDD trend model from 2009</vt:lpstr>
      <vt:lpstr>Com HDD quadratic model</vt:lpstr>
      <vt:lpstr>Com HDD model with dummies</vt:lpstr>
      <vt:lpstr>Elec HDD model with dummies</vt:lpstr>
      <vt:lpstr>Elec CDD model with dummies</vt:lpstr>
      <vt:lpstr>Elec dummy only model</vt:lpstr>
      <vt:lpstr>Model Summaries</vt:lpstr>
      <vt:lpstr>Chart66</vt:lpstr>
      <vt:lpstr>_Commercial_Natural_Gas</vt:lpstr>
      <vt:lpstr>_Electric_Natural_Gas</vt:lpstr>
      <vt:lpstr>_Industrial_Natural_Gas</vt:lpstr>
      <vt:lpstr>_Residential_Natural_Gas</vt:lpstr>
      <vt:lpstr>_Total_NC_Natural_Gas</vt:lpstr>
      <vt:lpstr>Cooling_Degree_Days</vt:lpstr>
      <vt:lpstr>Cooling_Degree_Days_POW2</vt:lpstr>
      <vt:lpstr>Heating_Degree_Days</vt:lpstr>
      <vt:lpstr>Heating_Degree_Days_POW2</vt:lpstr>
      <vt:lpstr>Mean_Maximum_Temp</vt:lpstr>
      <vt:lpstr>Mean_MinimumTemp</vt:lpstr>
      <vt:lpstr>Mean_Temp</vt:lpstr>
      <vt:lpstr>Month</vt:lpstr>
      <vt:lpstr>Month_EQ__01</vt:lpstr>
      <vt:lpstr>Month_EQ__02</vt:lpstr>
      <vt:lpstr>Month_EQ__03</vt:lpstr>
      <vt:lpstr>Month_EQ__04</vt:lpstr>
      <vt:lpstr>Month_EQ__05</vt:lpstr>
      <vt:lpstr>Month_EQ__06</vt:lpstr>
      <vt:lpstr>Month_EQ__07</vt:lpstr>
      <vt:lpstr>Month_EQ__08</vt:lpstr>
      <vt:lpstr>Month_EQ__09</vt:lpstr>
      <vt:lpstr>Month_EQ__10</vt:lpstr>
      <vt:lpstr>Month_EQ__11</vt:lpstr>
      <vt:lpstr>Month_EQ__12</vt:lpstr>
      <vt:lpstr>'All gas statistics'!Print_Area</vt:lpstr>
      <vt:lpstr>'Com HDD linear model'!Print_Area</vt:lpstr>
      <vt:lpstr>'Com HDD model with dummies'!Print_Area</vt:lpstr>
      <vt:lpstr>'Com HDD plus trend model'!Print_Area</vt:lpstr>
      <vt:lpstr>'Com HDD quadratic model'!Print_Area</vt:lpstr>
      <vt:lpstr>'Com HDD trend model from 2009'!Print_Area</vt:lpstr>
      <vt:lpstr>'Commercial gas and temp stats'!Print_Area</vt:lpstr>
      <vt:lpstr>'Elec CDD model with dummies'!Print_Area</vt:lpstr>
      <vt:lpstr>'Elec dummy only model'!Print_Area</vt:lpstr>
      <vt:lpstr>'Elec HDD model with dummies'!Print_Area</vt:lpstr>
      <vt:lpstr>Trend</vt:lpstr>
    </vt:vector>
  </TitlesOfParts>
  <Company>Duke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Bob Nau</dc:creator>
  <cp:lastModifiedBy>Srujana Marne Shiva Rao</cp:lastModifiedBy>
  <dcterms:created xsi:type="dcterms:W3CDTF">2015-09-28T19:19:58Z</dcterms:created>
  <dcterms:modified xsi:type="dcterms:W3CDTF">2022-03-15T02:36:08Z</dcterms:modified>
</cp:coreProperties>
</file>