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definedNames>
    <definedName function="false" hidden="true" localSheetId="0" name="_xlnm._FilterDatabase" vbProcedure="false">Sheet1!$A$2:$AP$27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<sst xmlns="http://schemas.openxmlformats.org/spreadsheetml/2006/main" count="465" uniqueCount="132">
  <si>
    <t xml:space="preserve">Study Key</t>
  </si>
  <si>
    <t xml:space="preserve">Year</t>
  </si>
  <si>
    <t xml:space="preserve">URL</t>
  </si>
  <si>
    <t xml:space="preserve">Description</t>
  </si>
  <si>
    <t xml:space="preserve">ExamType</t>
  </si>
  <si>
    <t xml:space="preserve">EvidenceType</t>
  </si>
  <si>
    <t xml:space="preserve">Volunteers</t>
  </si>
  <si>
    <t xml:space="preserve">Data_Available</t>
  </si>
  <si>
    <t xml:space="preserve">Open</t>
  </si>
  <si>
    <t xml:space="preserve">StudyType</t>
  </si>
  <si>
    <t xml:space="preserve">Drop_Out_Rate</t>
  </si>
  <si>
    <t xml:space="preserve">Item_Nonresponse_Rate</t>
  </si>
  <si>
    <t xml:space="preserve">Algorithm</t>
  </si>
  <si>
    <t xml:space="preserve">Set_SS_Comparisons</t>
  </si>
  <si>
    <t xml:space="preserve">Set_DS_Comparisons</t>
  </si>
  <si>
    <t xml:space="preserve">Set_US_Comparisons</t>
  </si>
  <si>
    <t xml:space="preserve">Kit_Knowns</t>
  </si>
  <si>
    <t xml:space="preserve">Kit_Unknowns</t>
  </si>
  <si>
    <t xml:space="preserve">Participants</t>
  </si>
  <si>
    <t xml:space="preserve">SS_ID</t>
  </si>
  <si>
    <t xml:space="preserve">SS_IN</t>
  </si>
  <si>
    <t xml:space="preserve">SS_EL</t>
  </si>
  <si>
    <t xml:space="preserve">SS_NS</t>
  </si>
  <si>
    <t xml:space="preserve">SS_Tot</t>
  </si>
  <si>
    <t xml:space="preserve">DS_ID</t>
  </si>
  <si>
    <t xml:space="preserve">DS_IN</t>
  </si>
  <si>
    <t xml:space="preserve">DS_EL</t>
  </si>
  <si>
    <t xml:space="preserve">DS_NS</t>
  </si>
  <si>
    <t xml:space="preserve">DS_Tot</t>
  </si>
  <si>
    <t xml:space="preserve">JournalType</t>
  </si>
  <si>
    <t xml:space="preserve">PeerReview</t>
  </si>
  <si>
    <t xml:space="preserve">Notes</t>
  </si>
  <si>
    <t xml:space="preserve">CSDR</t>
  </si>
  <si>
    <t xml:space="preserve">Overall_Error</t>
  </si>
  <si>
    <t xml:space="preserve">Inconclusive_Rate</t>
  </si>
  <si>
    <t xml:space="preserve">FPR</t>
  </si>
  <si>
    <t xml:space="preserve">FNR</t>
  </si>
  <si>
    <t xml:space="preserve">Sensitivity</t>
  </si>
  <si>
    <t xml:space="preserve">Specificity</t>
  </si>
  <si>
    <t xml:space="preserve">Inconclusives_as_Errors</t>
  </si>
  <si>
    <t xml:space="preserve">Reliable</t>
  </si>
  <si>
    <t xml:space="preserve">baldwinStudyFalsePositiveFalseNegative2014</t>
  </si>
  <si>
    <t xml:space="preserve">Ames I</t>
  </si>
  <si>
    <t xml:space="preserve">https://www.ojp.gov/pdffiles1/nij/249874.pdf</t>
  </si>
  <si>
    <t xml:space="preserve">The Baldwin study  was designed such that each test kit consists of 15 sets of 3 known cartridge cases and 1 questioned cartridge case. In 5 of the 15 sets the questioned cartridge was from the same source as the knowns, while the other 10 questioned cartridges were from different sources as their respective knowns. 25 firearms were used for the study, such that within each kit no firearm was re-used for either knowns or questioned cartridge cases, i.e. no additional information could be gained by comparing any cartridge cases across sets.</t>
  </si>
  <si>
    <t xml:space="preserve">Cartridge</t>
  </si>
  <si>
    <t xml:space="preserve">Physical</t>
  </si>
  <si>
    <t xml:space="preserve">T</t>
  </si>
  <si>
    <t xml:space="preserve">F</t>
  </si>
  <si>
    <t xml:space="preserve">Pair</t>
  </si>
  <si>
    <t xml:space="preserve">Report</t>
  </si>
  <si>
    <t xml:space="preserve">No</t>
  </si>
  <si>
    <t xml:space="preserve">hicklinAccuracyReproducibilityBullet2024</t>
  </si>
  <si>
    <t xml:space="preserve">Hicklin-KQ</t>
  </si>
  <si>
    <t xml:space="preserve">Bullet</t>
  </si>
  <si>
    <t xml:space="preserve">Research</t>
  </si>
  <si>
    <t xml:space="preserve">Yes</t>
  </si>
  <si>
    <t xml:space="preserve">Hicklin-QQ</t>
  </si>
  <si>
    <t xml:space="preserve">monsonAccuracyComparisonDecisions2023</t>
  </si>
  <si>
    <t xml:space="preserve">Ames II – Reliability</t>
  </si>
  <si>
    <t xml:space="preserve">https://onlinelibrary.wiley.com/doi/full/10.1111/1556-4029.15152</t>
  </si>
  <si>
    <t xml:space="preserve">Ames II accuracy study writeup</t>
  </si>
  <si>
    <t xml:space="preserve">Partially [^ames2-data]</t>
  </si>
  <si>
    <t xml:space="preserve">Unreported</t>
  </si>
  <si>
    <t xml:space="preserve">0.356 [^ames2-nonresponse]</t>
  </si>
  <si>
    <t xml:space="preserve">baldwinStudyExaminerAccuracy2023</t>
  </si>
  <si>
    <t xml:space="preserve">Baldwin 2023</t>
  </si>
  <si>
    <t xml:space="preserve">https://doi.org/10.1016/j.forsciint.2023.111733</t>
  </si>
  <si>
    <t xml:space="preserve">guyllValidityForensicCartridgecase2023</t>
  </si>
  <si>
    <t xml:space="preserve">Guyll</t>
  </si>
  <si>
    <t xml:space="preserve">https://www.pnas.org/doi/abs/10.1073/pnas.2210428120</t>
  </si>
  <si>
    <t xml:space="preserve">keislerIsolatedPairsResearch2018</t>
  </si>
  <si>
    <t xml:space="preserve">Keisler</t>
  </si>
  <si>
    <t xml:space="preserve">The Keisler Study  was designed so that each test kit consisted of sets of 20 pairs of cartridge cases from Smith &amp; Wesson pistols, where 12 of the pairs were from the same source and 8 pairs were from different sources.  Kits were assembled using only 9 Smith &amp; Wesson pistols (i.e. there is a potential to gain additional information by making comparisons across sets). However, participants were instructed to only compare single pairs.</t>
  </si>
  <si>
    <t xml:space="preserve">Trade</t>
  </si>
  <si>
    <t xml:space="preserve">neumanBlindTestingFirearms2022</t>
  </si>
  <si>
    <t xml:space="preserve">https://onlinelibrary.wiley.com/doi/abs/10.1111/1556-4029.15031</t>
  </si>
  <si>
    <t xml:space="preserve">The Houston Forensic Science Center blind firearms proficiency study consisted of 272 bullet and 265 cartridge comparisons conducted as blind proficiency tests by 11 HFSC examiners. </t>
  </si>
  <si>
    <t xml:space="preserve">Kit</t>
  </si>
  <si>
    <t xml:space="preserve">chapnickResults3DVirtual2021</t>
  </si>
  <si>
    <t xml:space="preserve">https://onlinelibrary.wiley.com/doi/abs/10.1111/1556-4029.14602</t>
  </si>
  <si>
    <t xml:space="preserve">The VCMER study [used virtual microscopy to evaluate scans of cartridge cases. Each participant was asked to make sixteen evaluations of breech face impressions, selected from a total of forty sets in a balanced incomplete block design. Each set consisted of two exemplars and one questioned bullet. Data from this study was also reported in lilienFirearmForensicsBlackBox2019.</t>
  </si>
  <si>
    <t xml:space="preserve">Breech Face</t>
  </si>
  <si>
    <t xml:space="preserve">Virtual</t>
  </si>
  <si>
    <t xml:space="preserve">$\geq$ 0.29 [^chapnick-dropout]</t>
  </si>
  <si>
    <t xml:space="preserve">lawEvaluatingFirearmExaminer2021</t>
  </si>
  <si>
    <t xml:space="preserve">https://onlinelibrary.wiley.com/doi/abs/10.1111/1556-4029.14758</t>
  </si>
  <si>
    <t xml:space="preserve">Casting</t>
  </si>
  <si>
    <t xml:space="preserve">Partially </t>
  </si>
  <si>
    <t xml:space="preserve">One participant dropped out after completing all 20 kits; this participant made 5 FP errors</t>
  </si>
  <si>
    <t xml:space="preserve">smithBerettaBarrelFired2021</t>
  </si>
  <si>
    <t xml:space="preserve">https://onlinelibrary.wiley.com/doi/abs/10.1111/1556-4029.14604</t>
  </si>
  <si>
    <t xml:space="preserve">The Smith 2021 study consists of kits containing 15 knowns and 20 unknown bullets. Kits included unknowns from two same-model barrels not included as knowns in the kit as well as three different-model barrels. The format of the answer sheet does not allow us to calculate the number of comparisons performed; the study reports only missed identifications and incorrect identifications and eliminations; this does not allow us to separate responses into inconclusive comparisons. </t>
  </si>
  <si>
    <t xml:space="preserve">NA</t>
  </si>
  <si>
    <t xml:space="preserve">mattijssenValidityReliabilityForensic2020</t>
  </si>
  <si>
    <t xml:space="preserve">http://www.sciencedirect.com/science/article/pii/S0379073819305249</t>
  </si>
  <si>
    <t xml:space="preserve">The Mattijssen study examined firing pin aperture shear marks made by 200 9mm Luger Glock pistols confiscated in the Netherlands. The study considered both 3D scans and 2D images; examinations were of the resulting digital representations rather than the actual physical objects. Seventy-seven examiners from 5 continents participated in the study; of these, 75 were fully qualified examiners. Of the participants, 58 indicated that they provided categorical conclusions (exclusion/inclusion/inconclusive), 13 provided probabilistic conclusions, and 6 used a 5-step reporting scale as in FAID09.</t>
  </si>
  <si>
    <t xml:space="preserve">Aperture shear</t>
  </si>
  <si>
    <t xml:space="preserve">Image</t>
  </si>
  <si>
    <t xml:space="preserve">hambyWorldwideStudyBullets2019</t>
  </si>
  <si>
    <t xml:space="preserve">https://onlinelibrary.wiley.com/doi/abs/10.1111/1556-4029.13916</t>
  </si>
  <si>
    <t xml:space="preserve">The Brundage-Hamby study consists of sets of 20 test fires from known barrels and 15 questioned bullets. The 20 known test fires are 2 bullets from each of ten consecutively manufactured barrels. The Brundage-Hamby study is a closed set study, i.e. the 15 questioned bullets are known to be fired from one of these ten barrels. Participants (firearm examiners) are asked to identify which of the knowns a questioned bullet matches. The study was originally reported on by Brundage in 1998. Updates on the study with increasing number of responses have been published several times since.</t>
  </si>
  <si>
    <t xml:space="preserve">duezDevelopmentValidationVirtual2018</t>
  </si>
  <si>
    <t xml:space="preserve">https://onlinelibrary.wiley.com/doi/abs/10.1111/1556-4029.13668</t>
  </si>
  <si>
    <t xml:space="preserve">The Duez study used virtual microscopy to evaluate scans of cartridge cases. Each participant was asked to make eight evaluations of breech face impressions. These consisted of two sets: CCTS1, a set of three knowns, four questioned breech face impressions. All questioned breech face impressions are from the same source as the knowns. CCTS2, a set of three knowns, four questioned breech face impressions. Two questioned breech face impressions are from the same source, two are from different sources. Both sets were evaluated by 56 participants (46 fully certified examiners and 10 trainees). CCTS1 resulted in 56 x 4 correct identifications. The design of the experiment does not allow us to quantify all of the quantities to evaluate examiner performance unless we aggregate performance over both sets. </t>
  </si>
  <si>
    <t xml:space="preserve">smithValidationStudyBullet2016</t>
  </si>
  <si>
    <t xml:space="preserve">stromanEmpiricallyDeterminedFrequency2014</t>
  </si>
  <si>
    <t xml:space="preserve">fadul</t>
  </si>
  <si>
    <t xml:space="preserve">Slide</t>
  </si>
  <si>
    <t xml:space="preserve">0.23 [^fadul-dropout]</t>
  </si>
  <si>
    <t xml:space="preserve">pauw2013faid</t>
  </si>
  <si>
    <t xml:space="preserve">The FAID09 study consists of 10 sets of 3 knowns and 1 unknown, in both bullets and cartridge cases. Test sets were castings of the original fired bullets and cases, rather than the objects themselves. Examiners reported conclusions on a 5-point (+ unsuitable) scale, where A corresponds to identification, B corresponds to probable identification or AFTE Inconclusive-A, C corresponds to inconclusive or AFTE Inconclusive B, D corresponds to probable exclusion, or AFTE Inconclusive C, and E corresponds to Exclusion; Z corresponds to unsuitable. There were between 62 and 64 evaluations of each set.</t>
  </si>
  <si>
    <t xml:space="preserve">mayland2012validation</t>
  </si>
  <si>
    <t xml:space="preserve">Extractor</t>
  </si>
  <si>
    <t xml:space="preserve">Unreported [^mayland-partial]</t>
  </si>
  <si>
    <t xml:space="preserve">lyonsIdentificationConsecutivelyManufactured2009</t>
  </si>
  <si>
    <t xml:space="preserve">https://unl.illiad.oclc.org/illiad/illiad.dll?Action=10&amp;Form=75&amp;Value=1315162</t>
  </si>
  <si>
    <t xml:space="preserve"> The Lyons study examined marks made by 10 consecutively manufactured extractors (manufactured by Caspian Arms Ltd). Kits were assembled from 32 cartridge cases: 20 known cartridge cases from pairs of 2 cartridges from each of the 10 extractors (the knowns) and 12 questioned cartridges, such that each known corresponded to at least one questioned, with some replication in most of the kits (one kit accidentally only had ten questioned cartridges). Thus, the setup of this study is similar to the Brundage-Hamby study. This study suffers from the same problems as the Brundage-Hamby study: it is a closed set study with multiple knowns and asks for identifications only. We can therefore only estimate a fraction of the relevant error rates. It is also not possible to determine the total number of independent different source comparisons. </t>
  </si>
  <si>
    <t xml:space="preserve">bunch2003comprehensive</t>
  </si>
  <si>
    <t xml:space="preserve">Bunch used a study design that is not conducive to a quick summary. The study consisted of 8 test kits of varying composition; the test kits were evaluated by 8 examiners at the FBI laboratory. </t>
  </si>
  <si>
    <t xml:space="preserve">Varies</t>
  </si>
  <si>
    <t xml:space="preserve">?</t>
  </si>
  <si>
    <t xml:space="preserve">Study</t>
  </si>
  <si>
    <t xml:space="preserve">Nickname</t>
  </si>
  <si>
    <t xml:space="preserve">Type</t>
  </si>
  <si>
    <t xml:space="preserve">Same Source 
Incl Rate</t>
  </si>
  <si>
    <t xml:space="preserve">Diff Source 
Inconcl Rate</t>
  </si>
  <si>
    <t xml:space="preserve">Overall 
Inconcl Rate</t>
  </si>
  <si>
    <t xml:space="preserve">AFTE 
Error Rate</t>
  </si>
  <si>
    <t xml:space="preserve">PCAST 
Error Rate</t>
  </si>
  <si>
    <t xml:space="preserve">Inconcl as Errors
Error Rate</t>
  </si>
  <si>
    <t xml:space="preserve">Errors_w_Inconclusives</t>
  </si>
</sst>
</file>

<file path=xl/styles.xml><?xml version="1.0" encoding="utf-8"?>
<styleSheet xmlns="http://schemas.openxmlformats.org/spreadsheetml/2006/main">
  <numFmts count="4">
    <numFmt numFmtId="164" formatCode="General"/>
    <numFmt numFmtId="165" formatCode="0.0000"/>
    <numFmt numFmtId="166" formatCode="General"/>
    <numFmt numFmtId="167" formatCode="0.00%"/>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AS27"/>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15" ySplit="1" topLeftCell="P2" activePane="bottomRight" state="frozen"/>
      <selection pane="topLeft" activeCell="A1" activeCellId="0" sqref="A1"/>
      <selection pane="topRight" activeCell="P1" activeCellId="0" sqref="P1"/>
      <selection pane="bottomLeft" activeCell="A2" activeCellId="0" sqref="A2"/>
      <selection pane="bottomRight" activeCell="A22" activeCellId="0" sqref="A22"/>
    </sheetView>
  </sheetViews>
  <sheetFormatPr defaultColWidth="11.53515625" defaultRowHeight="12.8" zeroHeight="false" outlineLevelRow="0" outlineLevelCol="0"/>
  <cols>
    <col collapsed="false" customWidth="true" hidden="false" outlineLevel="0" max="1" min="1" style="1" width="38.7"/>
    <col collapsed="false" customWidth="false" hidden="true" outlineLevel="0" max="5" min="4" style="1" width="11.53"/>
    <col collapsed="false" customWidth="true" hidden="false" outlineLevel="0" max="8" min="8" style="1" width="10.06"/>
    <col collapsed="false" customWidth="true" hidden="false" outlineLevel="0" max="9" min="9" style="1" width="9.99"/>
    <col collapsed="false" customWidth="true" hidden="false" outlineLevel="0" max="10" min="10" style="1" width="5.56"/>
    <col collapsed="false" customWidth="true" hidden="false" outlineLevel="0" max="12" min="12" style="1" width="21.74"/>
    <col collapsed="false" customWidth="true" hidden="false" outlineLevel="0" max="13" min="13" style="1" width="18.54"/>
    <col collapsed="false" customWidth="true" hidden="false" outlineLevel="0" max="14" min="14" style="1" width="7.93"/>
    <col collapsed="false" customWidth="false" hidden="true" outlineLevel="0" max="33" min="33" style="1" width="11.53"/>
    <col collapsed="false" customWidth="false" hidden="false" outlineLevel="0" max="35" min="34" style="2" width="11.53"/>
    <col collapsed="false" customWidth="true" hidden="false" outlineLevel="0" max="36" min="36" style="2" width="16.45"/>
    <col collapsed="false" customWidth="false" hidden="false" outlineLevel="0" max="40" min="37" style="2" width="11.53"/>
  </cols>
  <sheetData>
    <row r="1" customFormat="false" ht="12.8" hidden="false" customHeight="false" outlineLevel="0" collapsed="false">
      <c r="A1" s="1" t="s">
        <v>0</v>
      </c>
      <c r="B1" s="1" t="s">
        <v>1</v>
      </c>
      <c r="C1" s="1"/>
      <c r="D1" s="1" t="s">
        <v>2</v>
      </c>
      <c r="E1" s="1" t="s">
        <v>3</v>
      </c>
      <c r="F1" s="1" t="s">
        <v>4</v>
      </c>
      <c r="G1" s="1" t="s">
        <v>5</v>
      </c>
      <c r="H1" s="1" t="s">
        <v>6</v>
      </c>
      <c r="I1" s="1" t="s">
        <v>7</v>
      </c>
      <c r="J1" s="1" t="s">
        <v>8</v>
      </c>
      <c r="K1" s="1" t="s">
        <v>9</v>
      </c>
      <c r="L1" s="2" t="s">
        <v>10</v>
      </c>
      <c r="M1" s="2"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2" t="s">
        <v>32</v>
      </c>
      <c r="AI1" s="2" t="s">
        <v>33</v>
      </c>
      <c r="AJ1" s="2" t="s">
        <v>34</v>
      </c>
      <c r="AK1" s="2" t="s">
        <v>35</v>
      </c>
      <c r="AL1" s="2" t="s">
        <v>36</v>
      </c>
      <c r="AM1" s="2" t="s">
        <v>37</v>
      </c>
      <c r="AN1" s="2" t="s">
        <v>38</v>
      </c>
      <c r="AO1" s="1" t="s">
        <v>39</v>
      </c>
      <c r="AP1" s="1" t="s">
        <v>40</v>
      </c>
    </row>
    <row r="2" customFormat="false" ht="12.8" hidden="false" customHeight="false" outlineLevel="0" collapsed="false">
      <c r="A2" s="3" t="s">
        <v>41</v>
      </c>
      <c r="B2" s="3" t="n">
        <v>2014</v>
      </c>
      <c r="C2" s="3" t="s">
        <v>42</v>
      </c>
      <c r="D2" s="3" t="s">
        <v>43</v>
      </c>
      <c r="E2" s="3" t="s">
        <v>44</v>
      </c>
      <c r="F2" s="3" t="s">
        <v>45</v>
      </c>
      <c r="G2" s="3" t="s">
        <v>46</v>
      </c>
      <c r="H2" s="3" t="s">
        <v>47</v>
      </c>
      <c r="I2" s="3" t="s">
        <v>48</v>
      </c>
      <c r="J2" s="3" t="s">
        <v>47</v>
      </c>
      <c r="K2" s="3" t="s">
        <v>49</v>
      </c>
      <c r="L2" s="2" t="n">
        <v>0.23</v>
      </c>
      <c r="M2" s="2" t="n">
        <v>0.0006</v>
      </c>
      <c r="N2" s="3" t="s">
        <v>48</v>
      </c>
      <c r="O2" s="3" t="n">
        <v>5</v>
      </c>
      <c r="P2" s="3" t="n">
        <v>10</v>
      </c>
      <c r="T2" s="3" t="n">
        <v>218</v>
      </c>
      <c r="U2" s="3" t="n">
        <v>1075</v>
      </c>
      <c r="V2" s="3" t="n">
        <v>11</v>
      </c>
      <c r="W2" s="3" t="n">
        <v>4</v>
      </c>
      <c r="X2" s="3"/>
      <c r="Y2" s="3" t="n">
        <v>1090</v>
      </c>
      <c r="Z2" s="3" t="n">
        <v>22</v>
      </c>
      <c r="AA2" s="3" t="n">
        <v>737</v>
      </c>
      <c r="AB2" s="3" t="n">
        <v>1421</v>
      </c>
      <c r="AC2" s="3"/>
      <c r="AD2" s="3" t="n">
        <v>2180</v>
      </c>
      <c r="AE2" s="3" t="s">
        <v>50</v>
      </c>
      <c r="AF2" s="3" t="s">
        <v>51</v>
      </c>
      <c r="AG2" s="3"/>
      <c r="AH2" s="2" t="n">
        <f aca="false">(U2+AB2)/(Y2+AD2)</f>
        <v>0.763302752293578</v>
      </c>
      <c r="AI2" s="2" t="n">
        <f aca="false">(W2+Z2)/(Y2-X2 +AD2-AC2)</f>
        <v>0.00795107033639144</v>
      </c>
      <c r="AJ2" s="2" t="n">
        <f aca="false">(V2+AA2)/(Y2-X2+AD2-AC2)</f>
        <v>0.228746177370031</v>
      </c>
      <c r="AK2" s="2" t="n">
        <f aca="false">W2/(Y2-X2)</f>
        <v>0.0036697247706422</v>
      </c>
      <c r="AL2" s="2" t="n">
        <f aca="false">Z2/(AD2-AC2)</f>
        <v>0.0100917431192661</v>
      </c>
      <c r="AM2" s="2" t="n">
        <f aca="false">U2/SUM(U2:X2)</f>
        <v>0.986238532110092</v>
      </c>
      <c r="AN2" s="2" t="n">
        <f aca="false">AB2/SUM(Z2:AC2)</f>
        <v>0.651834862385321</v>
      </c>
      <c r="AO2" s="3" t="n">
        <f aca="false">(V2+AA2)/(Y2+AD2)</f>
        <v>0.228746177370031</v>
      </c>
      <c r="AP2" s="3" t="s">
        <v>47</v>
      </c>
    </row>
    <row r="3" customFormat="false" ht="12.8" hidden="false" customHeight="false" outlineLevel="0" collapsed="false">
      <c r="A3" s="1" t="s">
        <v>52</v>
      </c>
      <c r="B3" s="1" t="n">
        <v>2024</v>
      </c>
      <c r="C3" s="1" t="s">
        <v>53</v>
      </c>
      <c r="F3" s="1" t="s">
        <v>54</v>
      </c>
      <c r="G3" s="1" t="s">
        <v>46</v>
      </c>
      <c r="H3" s="1" t="s">
        <v>47</v>
      </c>
      <c r="I3" s="1" t="s">
        <v>47</v>
      </c>
      <c r="J3" s="1" t="s">
        <v>47</v>
      </c>
      <c r="K3" s="1" t="s">
        <v>49</v>
      </c>
      <c r="L3" s="1" t="n">
        <f aca="false">28/(49+28)</f>
        <v>0.363636363636364</v>
      </c>
      <c r="M3" s="1" t="n">
        <f aca="false">1-(1443+1441)/(49*90)</f>
        <v>0.346031746031746</v>
      </c>
      <c r="N3" s="1" t="s">
        <v>48</v>
      </c>
      <c r="R3" s="1" t="n">
        <v>15</v>
      </c>
      <c r="S3" s="1" t="n">
        <v>30</v>
      </c>
      <c r="T3" s="1" t="n">
        <v>49</v>
      </c>
      <c r="U3" s="1" t="n">
        <v>322</v>
      </c>
      <c r="V3" s="1" t="n">
        <f aca="false">45+86+6</f>
        <v>137</v>
      </c>
      <c r="W3" s="1" t="n">
        <v>2</v>
      </c>
      <c r="X3" s="1" t="n">
        <v>23</v>
      </c>
      <c r="Y3" s="1" t="n">
        <v>484</v>
      </c>
      <c r="Z3" s="1" t="n">
        <v>16</v>
      </c>
      <c r="AA3" s="1" t="n">
        <f aca="false">54+443+178</f>
        <v>675</v>
      </c>
      <c r="AB3" s="1" t="n">
        <v>232</v>
      </c>
      <c r="AC3" s="1" t="n">
        <v>36</v>
      </c>
      <c r="AD3" s="1" t="n">
        <v>959</v>
      </c>
      <c r="AE3" s="1" t="s">
        <v>55</v>
      </c>
      <c r="AF3" s="1" t="s">
        <v>56</v>
      </c>
      <c r="AH3" s="2" t="n">
        <f aca="false">(U3+AB3)/(Y3+AD3)</f>
        <v>0.383922383922384</v>
      </c>
      <c r="AI3" s="2" t="n">
        <f aca="false">(W3+Z3)/(Y3-X3 +AD3-AC3)</f>
        <v>0.0130057803468208</v>
      </c>
      <c r="AJ3" s="2" t="n">
        <f aca="false">(V3+AA3)/(Y3-X3+AD3-AC3)</f>
        <v>0.586705202312139</v>
      </c>
      <c r="AK3" s="2" t="n">
        <f aca="false">W3/(Y3-X3)</f>
        <v>0.00433839479392625</v>
      </c>
      <c r="AL3" s="2" t="n">
        <f aca="false">Z3/(AD3-AC3)</f>
        <v>0.0173347778981582</v>
      </c>
      <c r="AM3" s="2" t="n">
        <f aca="false">U3/SUM(U3:X3)</f>
        <v>0.665289256198347</v>
      </c>
      <c r="AN3" s="2" t="n">
        <f aca="false">AB3/SUM(Z3:AC3)</f>
        <v>0.24191866527633</v>
      </c>
      <c r="AO3" s="4" t="n">
        <f aca="false">(V3+AA3)/(Y3+AD3)</f>
        <v>0.562716562716563</v>
      </c>
      <c r="AP3" s="1" t="s">
        <v>47</v>
      </c>
    </row>
    <row r="4" customFormat="false" ht="12.8" hidden="false" customHeight="false" outlineLevel="0" collapsed="false">
      <c r="A4" s="1" t="s">
        <v>52</v>
      </c>
      <c r="B4" s="1" t="n">
        <v>2024</v>
      </c>
      <c r="C4" s="1" t="s">
        <v>57</v>
      </c>
      <c r="F4" s="1" t="s">
        <v>54</v>
      </c>
      <c r="G4" s="1" t="s">
        <v>46</v>
      </c>
      <c r="H4" s="1" t="s">
        <v>47</v>
      </c>
      <c r="I4" s="1" t="s">
        <v>47</v>
      </c>
      <c r="J4" s="1" t="s">
        <v>47</v>
      </c>
      <c r="K4" s="1" t="s">
        <v>49</v>
      </c>
      <c r="L4" s="1" t="n">
        <f aca="false">28/(49+28)</f>
        <v>0.363636363636364</v>
      </c>
      <c r="M4" s="1" t="n">
        <f aca="false">1-(1443+1441)/(49*90)</f>
        <v>0.346031746031746</v>
      </c>
      <c r="N4" s="1" t="s">
        <v>48</v>
      </c>
      <c r="R4" s="1" t="n">
        <v>15</v>
      </c>
      <c r="S4" s="1" t="n">
        <v>30</v>
      </c>
      <c r="T4" s="1" t="n">
        <v>49</v>
      </c>
      <c r="U4" s="1" t="n">
        <v>254</v>
      </c>
      <c r="V4" s="1" t="n">
        <f aca="false">41+138+24</f>
        <v>203</v>
      </c>
      <c r="W4" s="1" t="n">
        <v>16</v>
      </c>
      <c r="X4" s="1" t="n">
        <v>10</v>
      </c>
      <c r="Y4" s="1" t="n">
        <f aca="false">SUM(U4:X4)</f>
        <v>483</v>
      </c>
      <c r="Z4" s="1" t="n">
        <v>10</v>
      </c>
      <c r="AA4" s="1" t="n">
        <f aca="false">48+414+139</f>
        <v>601</v>
      </c>
      <c r="AB4" s="1" t="n">
        <v>318</v>
      </c>
      <c r="AC4" s="1" t="n">
        <v>29</v>
      </c>
      <c r="AD4" s="1" t="n">
        <f aca="false">SUM(Z4:AC4)</f>
        <v>958</v>
      </c>
      <c r="AE4" s="1" t="s">
        <v>55</v>
      </c>
      <c r="AF4" s="1" t="s">
        <v>56</v>
      </c>
      <c r="AH4" s="2" t="n">
        <f aca="false">(U4+AB4)/(Y4+AD4)</f>
        <v>0.396946564885496</v>
      </c>
      <c r="AI4" s="2" t="n">
        <f aca="false">(W4+Z4)/(Y4-X4 +AD4-AC4)</f>
        <v>0.0185449358059914</v>
      </c>
      <c r="AJ4" s="2" t="n">
        <f aca="false">(V4+AA4)/(Y4-X4+AD4-AC4)</f>
        <v>0.573466476462197</v>
      </c>
      <c r="AK4" s="2" t="n">
        <f aca="false">W4/(Y4-X4)</f>
        <v>0.0338266384778013</v>
      </c>
      <c r="AL4" s="2" t="n">
        <f aca="false">Z4/(AD4-AC4)</f>
        <v>0.0107642626480086</v>
      </c>
      <c r="AM4" s="2" t="n">
        <f aca="false">U4/SUM(U4:X4)</f>
        <v>0.525879917184265</v>
      </c>
      <c r="AN4" s="2" t="n">
        <f aca="false">AB4/SUM(Z4:AC4)</f>
        <v>0.331941544885177</v>
      </c>
      <c r="AO4" s="4" t="n">
        <f aca="false">(V4+AA4)/(Y4+AD4)</f>
        <v>0.55794587092297</v>
      </c>
      <c r="AP4" s="1" t="s">
        <v>47</v>
      </c>
    </row>
    <row r="5" s="1" customFormat="true" ht="12.8" hidden="false" customHeight="false" outlineLevel="0" collapsed="false">
      <c r="A5" s="1" t="s">
        <v>58</v>
      </c>
      <c r="B5" s="1" t="n">
        <v>2023</v>
      </c>
      <c r="C5" s="1" t="s">
        <v>59</v>
      </c>
      <c r="D5" s="4" t="s">
        <v>60</v>
      </c>
      <c r="E5" s="1" t="s">
        <v>61</v>
      </c>
      <c r="F5" s="1" t="s">
        <v>54</v>
      </c>
      <c r="G5" s="1" t="s">
        <v>46</v>
      </c>
      <c r="H5" s="1" t="s">
        <v>47</v>
      </c>
      <c r="I5" s="1" t="s">
        <v>62</v>
      </c>
      <c r="J5" s="1" t="s">
        <v>47</v>
      </c>
      <c r="K5" s="1" t="s">
        <v>49</v>
      </c>
      <c r="L5" s="2" t="s">
        <v>63</v>
      </c>
      <c r="M5" s="2" t="s">
        <v>64</v>
      </c>
      <c r="N5" s="1" t="s">
        <v>48</v>
      </c>
      <c r="T5" s="1" t="n">
        <v>173</v>
      </c>
      <c r="U5" s="1" t="n">
        <v>1076</v>
      </c>
      <c r="V5" s="1" t="n">
        <f aca="false">127+125+36</f>
        <v>288</v>
      </c>
      <c r="W5" s="1" t="n">
        <v>41</v>
      </c>
      <c r="Y5" s="1" t="n">
        <f aca="false">SUM(U5:W5)</f>
        <v>1405</v>
      </c>
      <c r="Z5" s="1" t="n">
        <v>20</v>
      </c>
      <c r="AA5" s="1" t="n">
        <f aca="false">268+848+745</f>
        <v>1861</v>
      </c>
      <c r="AB5" s="1" t="n">
        <f aca="false">961</f>
        <v>961</v>
      </c>
      <c r="AD5" s="1" t="n">
        <f aca="false">SUM(Z5:AB5)</f>
        <v>2842</v>
      </c>
      <c r="AE5" s="1" t="s">
        <v>55</v>
      </c>
      <c r="AF5" s="1" t="s">
        <v>56</v>
      </c>
      <c r="AH5" s="2" t="n">
        <f aca="false">(U5+AB5)/(Y5+AD5)</f>
        <v>0.479632681893101</v>
      </c>
      <c r="AI5" s="2" t="n">
        <f aca="false">(W5+Z5)/(Y5-X5 +AD5-AC5)</f>
        <v>0.0143630798210502</v>
      </c>
      <c r="AJ5" s="2" t="n">
        <f aca="false">(V5+AA5)/(Y5-X5+AD5-AC5)</f>
        <v>0.506004238285849</v>
      </c>
      <c r="AK5" s="2" t="n">
        <f aca="false">W5/(Y5-X5)</f>
        <v>0.0291814946619217</v>
      </c>
      <c r="AL5" s="2" t="n">
        <f aca="false">Z5/(AD5-AC5)</f>
        <v>0.00703729767769177</v>
      </c>
      <c r="AM5" s="2" t="n">
        <f aca="false">U5/SUM(U5:X5)</f>
        <v>0.765836298932384</v>
      </c>
      <c r="AN5" s="2" t="n">
        <f aca="false">AB5/SUM(Z5:AC5)</f>
        <v>0.338142153413089</v>
      </c>
      <c r="AO5" s="4" t="n">
        <f aca="false">(V5+AA5)/(Y5+AD5)</f>
        <v>0.506004238285849</v>
      </c>
      <c r="AP5" s="1" t="s">
        <v>47</v>
      </c>
    </row>
    <row r="6" s="1" customFormat="true" ht="12.8" hidden="false" customHeight="false" outlineLevel="0" collapsed="false">
      <c r="A6" s="4" t="s">
        <v>58</v>
      </c>
      <c r="B6" s="4" t="n">
        <v>2023</v>
      </c>
      <c r="C6" s="4" t="s">
        <v>59</v>
      </c>
      <c r="D6" s="4" t="s">
        <v>60</v>
      </c>
      <c r="E6" s="4" t="s">
        <v>61</v>
      </c>
      <c r="F6" s="4" t="s">
        <v>45</v>
      </c>
      <c r="G6" s="4" t="s">
        <v>46</v>
      </c>
      <c r="H6" s="4" t="s">
        <v>47</v>
      </c>
      <c r="I6" s="4" t="s">
        <v>62</v>
      </c>
      <c r="J6" s="4" t="s">
        <v>47</v>
      </c>
      <c r="K6" s="4" t="s">
        <v>49</v>
      </c>
      <c r="L6" s="2" t="s">
        <v>63</v>
      </c>
      <c r="M6" s="2" t="s">
        <v>64</v>
      </c>
      <c r="N6" s="4" t="s">
        <v>48</v>
      </c>
      <c r="T6" s="1" t="n">
        <v>173</v>
      </c>
      <c r="U6" s="1" t="n">
        <v>1056</v>
      </c>
      <c r="V6" s="1" t="n">
        <f aca="false">177+140+22</f>
        <v>339</v>
      </c>
      <c r="W6" s="1" t="n">
        <v>25</v>
      </c>
      <c r="Y6" s="1" t="n">
        <f aca="false">SUM(U6:W6)</f>
        <v>1420</v>
      </c>
      <c r="Z6" s="1" t="n">
        <v>26</v>
      </c>
      <c r="AA6" s="1" t="n">
        <f aca="false">177+637+620</f>
        <v>1434</v>
      </c>
      <c r="AB6" s="1" t="n">
        <f aca="false">1375</f>
        <v>1375</v>
      </c>
      <c r="AD6" s="1" t="n">
        <f aca="false">SUM(Z6:AB6)</f>
        <v>2835</v>
      </c>
      <c r="AE6" s="1" t="s">
        <v>55</v>
      </c>
      <c r="AF6" s="1" t="s">
        <v>56</v>
      </c>
      <c r="AH6" s="2" t="n">
        <f aca="false">(U6+AB6)/(Y6+AD6)</f>
        <v>0.571327849588719</v>
      </c>
      <c r="AI6" s="2" t="n">
        <f aca="false">(W6+Z6)/(Y6-X6 +AD6-AC6)</f>
        <v>0.0119858989424207</v>
      </c>
      <c r="AJ6" s="2" t="n">
        <f aca="false">(V6+AA6)/(Y6-X6+AD6-AC6)</f>
        <v>0.41668625146886</v>
      </c>
      <c r="AK6" s="2" t="n">
        <f aca="false">W6/(Y6-X6)</f>
        <v>0.0176056338028169</v>
      </c>
      <c r="AL6" s="2" t="n">
        <f aca="false">Z6/(AD6-AC6)</f>
        <v>0.00917107583774251</v>
      </c>
      <c r="AM6" s="2" t="n">
        <f aca="false">U6/SUM(U6:X6)</f>
        <v>0.743661971830986</v>
      </c>
      <c r="AN6" s="2" t="n">
        <f aca="false">AB6/SUM(Z6:AC6)</f>
        <v>0.485008818342152</v>
      </c>
      <c r="AO6" s="4" t="n">
        <f aca="false">(V6+AA6)/(Y6+AD6)</f>
        <v>0.41668625146886</v>
      </c>
      <c r="AP6" s="1" t="s">
        <v>47</v>
      </c>
    </row>
    <row r="7" customFormat="false" ht="12.8" hidden="false" customHeight="false" outlineLevel="0" collapsed="false">
      <c r="A7" s="4" t="s">
        <v>65</v>
      </c>
      <c r="B7" s="4" t="n">
        <v>2023</v>
      </c>
      <c r="C7" s="4" t="s">
        <v>66</v>
      </c>
      <c r="D7" s="4" t="s">
        <v>67</v>
      </c>
      <c r="E7" s="4"/>
      <c r="F7" s="4" t="s">
        <v>45</v>
      </c>
      <c r="G7" s="4" t="s">
        <v>46</v>
      </c>
      <c r="H7" s="4" t="s">
        <v>47</v>
      </c>
      <c r="I7" s="4" t="s">
        <v>48</v>
      </c>
      <c r="J7" s="4" t="s">
        <v>47</v>
      </c>
      <c r="K7" s="4" t="s">
        <v>49</v>
      </c>
      <c r="L7" s="2" t="n">
        <f aca="false">1 - 218/284</f>
        <v>0.232394366197183</v>
      </c>
      <c r="M7" s="2" t="n">
        <f aca="false">110/((5+10+45)*218)</f>
        <v>0.00840978593272171</v>
      </c>
      <c r="N7" s="4" t="s">
        <v>48</v>
      </c>
      <c r="O7" s="1" t="n">
        <v>5</v>
      </c>
      <c r="P7" s="1" t="n">
        <v>10</v>
      </c>
      <c r="T7" s="1" t="n">
        <v>218</v>
      </c>
      <c r="U7" s="1" t="n">
        <v>1075</v>
      </c>
      <c r="V7" s="1" t="n">
        <v>11</v>
      </c>
      <c r="W7" s="1" t="n">
        <v>4</v>
      </c>
      <c r="X7" s="1"/>
      <c r="Y7" s="1" t="n">
        <v>1090</v>
      </c>
      <c r="Z7" s="1" t="n">
        <v>22</v>
      </c>
      <c r="AA7" s="1" t="n">
        <v>735</v>
      </c>
      <c r="AB7" s="1" t="n">
        <v>1421</v>
      </c>
      <c r="AC7" s="1"/>
      <c r="AD7" s="1" t="n">
        <v>2178</v>
      </c>
      <c r="AE7" s="1" t="s">
        <v>55</v>
      </c>
      <c r="AF7" s="1" t="s">
        <v>56</v>
      </c>
      <c r="AH7" s="2" t="n">
        <f aca="false">(U7+AB7)/(Y7+AD7)</f>
        <v>0.763769889840881</v>
      </c>
      <c r="AI7" s="2" t="n">
        <f aca="false">(W7+Z7)/(Y7-X7 +AD7-AC7)</f>
        <v>0.00795593635250918</v>
      </c>
      <c r="AJ7" s="2" t="n">
        <f aca="false">(V7+AA7)/(Y7-X7+AD7-AC7)</f>
        <v>0.22827417380661</v>
      </c>
      <c r="AK7" s="2" t="n">
        <f aca="false">W7/(Y7-X7)</f>
        <v>0.0036697247706422</v>
      </c>
      <c r="AL7" s="2" t="n">
        <f aca="false">Z7/(AD7-AC7)</f>
        <v>0.0101010101010101</v>
      </c>
      <c r="AM7" s="2" t="n">
        <f aca="false">U7/SUM(U7:X7)</f>
        <v>0.986238532110092</v>
      </c>
      <c r="AN7" s="2" t="n">
        <f aca="false">AB7/SUM(Z7:AC7)</f>
        <v>0.652433425160698</v>
      </c>
      <c r="AO7" s="4" t="n">
        <f aca="false">(V7+AA7)/(Y7+AD7)</f>
        <v>0.22827417380661</v>
      </c>
      <c r="AP7" s="1" t="s">
        <v>47</v>
      </c>
    </row>
    <row r="8" customFormat="false" ht="12.8" hidden="false" customHeight="false" outlineLevel="0" collapsed="false">
      <c r="A8" s="1" t="s">
        <v>68</v>
      </c>
      <c r="B8" s="1" t="n">
        <v>2023</v>
      </c>
      <c r="C8" s="1" t="s">
        <v>69</v>
      </c>
      <c r="D8" s="1" t="s">
        <v>70</v>
      </c>
      <c r="F8" s="1" t="s">
        <v>45</v>
      </c>
      <c r="G8" s="1" t="s">
        <v>46</v>
      </c>
      <c r="H8" s="1" t="s">
        <v>47</v>
      </c>
      <c r="I8" s="1" t="s">
        <v>47</v>
      </c>
      <c r="J8" s="1" t="s">
        <v>47</v>
      </c>
      <c r="K8" s="1" t="s">
        <v>49</v>
      </c>
      <c r="L8" s="2" t="s">
        <v>63</v>
      </c>
      <c r="M8" s="2" t="n">
        <f aca="false">0.16559</f>
        <v>0.16559</v>
      </c>
      <c r="N8" s="1" t="s">
        <v>48</v>
      </c>
      <c r="T8" s="1" t="n">
        <v>228</v>
      </c>
      <c r="U8" s="1" t="n">
        <v>851</v>
      </c>
      <c r="V8" s="1" t="n">
        <v>59</v>
      </c>
      <c r="W8" s="1" t="n">
        <v>1</v>
      </c>
      <c r="X8" s="1"/>
      <c r="Y8" s="1" t="n">
        <v>911</v>
      </c>
      <c r="Z8" s="1" t="n">
        <v>5</v>
      </c>
      <c r="AA8" s="1" t="n">
        <v>323</v>
      </c>
      <c r="AB8" s="1" t="n">
        <v>572</v>
      </c>
      <c r="AC8" s="1"/>
      <c r="AD8" s="1" t="n">
        <v>900</v>
      </c>
      <c r="AE8" s="1" t="s">
        <v>55</v>
      </c>
      <c r="AF8" s="1" t="s">
        <v>56</v>
      </c>
      <c r="AH8" s="2" t="n">
        <f aca="false">(U8+AB8)/(Y8+AD8)</f>
        <v>0.785753727222529</v>
      </c>
      <c r="AI8" s="2" t="n">
        <f aca="false">(W8+Z8)/(Y8-X8 +AD8-AC8)</f>
        <v>0.00331308669243512</v>
      </c>
      <c r="AJ8" s="2" t="n">
        <f aca="false">(V8+AA8)/(Y8-X8+AD8-AC8)</f>
        <v>0.210933186085036</v>
      </c>
      <c r="AK8" s="2" t="n">
        <f aca="false">W8/(Y8-X8)</f>
        <v>0.00109769484083425</v>
      </c>
      <c r="AL8" s="2" t="n">
        <f aca="false">Z8/(AD8-AC8)</f>
        <v>0.00555555555555556</v>
      </c>
      <c r="AM8" s="2" t="n">
        <f aca="false">U8/SUM(U8:X8)</f>
        <v>0.934138309549945</v>
      </c>
      <c r="AN8" s="2" t="n">
        <f aca="false">AB8/SUM(Z8:AC8)</f>
        <v>0.635555555555556</v>
      </c>
      <c r="AO8" s="4" t="n">
        <f aca="false">(V8+AA8)/(Y8+AD8)</f>
        <v>0.210933186085036</v>
      </c>
      <c r="AP8" s="1" t="s">
        <v>47</v>
      </c>
    </row>
    <row r="9" customFormat="false" ht="12.8" hidden="false" customHeight="false" outlineLevel="0" collapsed="false">
      <c r="A9" s="1" t="s">
        <v>71</v>
      </c>
      <c r="B9" s="1" t="n">
        <v>2018</v>
      </c>
      <c r="C9" s="1" t="s">
        <v>72</v>
      </c>
      <c r="E9" s="1" t="s">
        <v>73</v>
      </c>
      <c r="F9" s="1" t="s">
        <v>45</v>
      </c>
      <c r="G9" s="1" t="s">
        <v>46</v>
      </c>
      <c r="H9" s="1" t="s">
        <v>47</v>
      </c>
      <c r="I9" s="1" t="s">
        <v>48</v>
      </c>
      <c r="J9" s="1" t="s">
        <v>47</v>
      </c>
      <c r="K9" s="1" t="s">
        <v>49</v>
      </c>
      <c r="L9" s="2" t="s">
        <v>63</v>
      </c>
      <c r="M9" s="2" t="n">
        <v>0</v>
      </c>
      <c r="N9" s="1" t="s">
        <v>48</v>
      </c>
      <c r="O9" s="1" t="n">
        <v>12</v>
      </c>
      <c r="P9" s="1" t="n">
        <v>8</v>
      </c>
      <c r="T9" s="1" t="n">
        <v>126</v>
      </c>
      <c r="U9" s="1" t="n">
        <v>1508</v>
      </c>
      <c r="V9" s="1" t="n">
        <v>4</v>
      </c>
      <c r="W9" s="1" t="n">
        <v>0</v>
      </c>
      <c r="X9" s="1"/>
      <c r="Y9" s="1" t="n">
        <v>1512</v>
      </c>
      <c r="Z9" s="1" t="n">
        <v>0</v>
      </c>
      <c r="AA9" s="1" t="n">
        <v>203</v>
      </c>
      <c r="AB9" s="1" t="n">
        <v>805</v>
      </c>
      <c r="AC9" s="1"/>
      <c r="AD9" s="1" t="n">
        <v>1008</v>
      </c>
      <c r="AE9" s="1" t="s">
        <v>74</v>
      </c>
      <c r="AF9" s="1" t="s">
        <v>56</v>
      </c>
      <c r="AH9" s="2" t="n">
        <f aca="false">(U9+AB9)/(Y9+AD9)</f>
        <v>0.917857142857143</v>
      </c>
      <c r="AI9" s="2" t="n">
        <f aca="false">(W9+Z9)/(Y9-X9 +AD9-AC9)</f>
        <v>0</v>
      </c>
      <c r="AJ9" s="2" t="n">
        <f aca="false">(V9+AA9)/(Y9-X9+AD9-AC9)</f>
        <v>0.0821428571428571</v>
      </c>
      <c r="AK9" s="2" t="n">
        <f aca="false">W9/(Y9-X9)</f>
        <v>0</v>
      </c>
      <c r="AL9" s="2" t="n">
        <f aca="false">Z9/(AD9-AC9)</f>
        <v>0</v>
      </c>
      <c r="AM9" s="2" t="n">
        <f aca="false">U9/SUM(U9:X9)</f>
        <v>0.997354497354497</v>
      </c>
      <c r="AN9" s="2" t="n">
        <f aca="false">AB9/SUM(Z9:AC9)</f>
        <v>0.798611111111111</v>
      </c>
      <c r="AO9" s="4" t="n">
        <f aca="false">(V9+AA9)/(Y9+AD9)</f>
        <v>0.0821428571428571</v>
      </c>
      <c r="AP9" s="1" t="s">
        <v>47</v>
      </c>
    </row>
    <row r="10" customFormat="false" ht="12.8" hidden="false" customHeight="false" outlineLevel="0" collapsed="false">
      <c r="A10" s="1" t="s">
        <v>75</v>
      </c>
      <c r="B10" s="1" t="n">
        <v>2022</v>
      </c>
      <c r="C10" s="1"/>
      <c r="D10" s="1" t="s">
        <v>76</v>
      </c>
      <c r="E10" s="1" t="s">
        <v>77</v>
      </c>
      <c r="F10" s="1" t="s">
        <v>54</v>
      </c>
      <c r="G10" s="1" t="s">
        <v>46</v>
      </c>
      <c r="H10" s="1" t="s">
        <v>48</v>
      </c>
      <c r="I10" s="1" t="s">
        <v>48</v>
      </c>
      <c r="J10" s="1" t="s">
        <v>47</v>
      </c>
      <c r="K10" s="1" t="s">
        <v>78</v>
      </c>
      <c r="L10" s="2"/>
      <c r="M10" s="2"/>
      <c r="N10" s="1" t="s">
        <v>48</v>
      </c>
      <c r="O10" s="1" t="n">
        <v>192</v>
      </c>
      <c r="P10" s="1" t="n">
        <v>72</v>
      </c>
      <c r="Q10" s="1" t="n">
        <v>8</v>
      </c>
      <c r="T10" s="1" t="n">
        <v>11</v>
      </c>
      <c r="U10" s="1" t="n">
        <v>83</v>
      </c>
      <c r="V10" s="1" t="n">
        <v>109</v>
      </c>
      <c r="W10" s="1" t="n">
        <v>0</v>
      </c>
      <c r="X10" s="1"/>
      <c r="Y10" s="1" t="n">
        <v>192</v>
      </c>
      <c r="Z10" s="1" t="n">
        <v>0</v>
      </c>
      <c r="AA10" s="1" t="n">
        <v>59</v>
      </c>
      <c r="AB10" s="1" t="n">
        <v>13</v>
      </c>
      <c r="AC10" s="1"/>
      <c r="AD10" s="1" t="n">
        <v>72</v>
      </c>
      <c r="AE10" s="1" t="s">
        <v>55</v>
      </c>
      <c r="AF10" s="1" t="s">
        <v>56</v>
      </c>
      <c r="AH10" s="2" t="n">
        <f aca="false">(U10+AB10)/(Y10+AD10)</f>
        <v>0.363636363636364</v>
      </c>
      <c r="AI10" s="2" t="n">
        <f aca="false">(W10+Z10)/(Y10-X10 +AD10-AC10)</f>
        <v>0</v>
      </c>
      <c r="AJ10" s="2" t="n">
        <f aca="false">(V10+AA10)/(Y10-X10+AD10-AC10)</f>
        <v>0.636363636363636</v>
      </c>
      <c r="AK10" s="2" t="n">
        <f aca="false">W10/(Y10-X10)</f>
        <v>0</v>
      </c>
      <c r="AL10" s="2" t="n">
        <f aca="false">Z10/(AD10-AC10)</f>
        <v>0</v>
      </c>
      <c r="AM10" s="2" t="n">
        <f aca="false">U10/SUM(U10:X10)</f>
        <v>0.432291666666667</v>
      </c>
      <c r="AN10" s="2" t="n">
        <f aca="false">AB10/SUM(Z10:AC10)</f>
        <v>0.180555555555556</v>
      </c>
      <c r="AO10" s="4" t="n">
        <f aca="false">(V10+AA10)/(Y10+AD10)</f>
        <v>0.636363636363636</v>
      </c>
      <c r="AP10" s="1" t="s">
        <v>48</v>
      </c>
    </row>
    <row r="11" customFormat="false" ht="12.8" hidden="false" customHeight="false" outlineLevel="0" collapsed="false">
      <c r="A11" s="4" t="s">
        <v>75</v>
      </c>
      <c r="B11" s="4" t="n">
        <v>2022</v>
      </c>
      <c r="C11" s="4"/>
      <c r="D11" s="4" t="s">
        <v>76</v>
      </c>
      <c r="E11" s="4" t="s">
        <v>77</v>
      </c>
      <c r="F11" s="4" t="s">
        <v>45</v>
      </c>
      <c r="G11" s="4" t="s">
        <v>46</v>
      </c>
      <c r="H11" s="4" t="s">
        <v>48</v>
      </c>
      <c r="I11" s="4" t="s">
        <v>48</v>
      </c>
      <c r="J11" s="4" t="s">
        <v>47</v>
      </c>
      <c r="K11" s="4" t="s">
        <v>78</v>
      </c>
      <c r="L11" s="2"/>
      <c r="M11" s="2"/>
      <c r="N11" s="4" t="s">
        <v>48</v>
      </c>
      <c r="O11" s="1" t="n">
        <v>194</v>
      </c>
      <c r="P11" s="1" t="n">
        <v>71</v>
      </c>
      <c r="Q11" s="1" t="n">
        <v>0</v>
      </c>
      <c r="T11" s="1" t="n">
        <v>11</v>
      </c>
      <c r="U11" s="1" t="n">
        <v>184</v>
      </c>
      <c r="V11" s="1" t="n">
        <v>10</v>
      </c>
      <c r="W11" s="1" t="n">
        <v>0</v>
      </c>
      <c r="X11" s="1"/>
      <c r="Y11" s="1" t="n">
        <v>194</v>
      </c>
      <c r="Z11" s="1" t="n">
        <v>0</v>
      </c>
      <c r="AA11" s="1" t="n">
        <v>47</v>
      </c>
      <c r="AB11" s="1" t="n">
        <v>24</v>
      </c>
      <c r="AC11" s="1"/>
      <c r="AD11" s="1" t="n">
        <v>71</v>
      </c>
      <c r="AE11" s="1" t="s">
        <v>55</v>
      </c>
      <c r="AF11" s="1" t="s">
        <v>56</v>
      </c>
      <c r="AH11" s="2" t="n">
        <f aca="false">(U11+AB11)/(Y11+AD11)</f>
        <v>0.784905660377359</v>
      </c>
      <c r="AI11" s="2" t="n">
        <f aca="false">(W11+Z11)/(Y11-X11 +AD11-AC11)</f>
        <v>0</v>
      </c>
      <c r="AJ11" s="2" t="n">
        <f aca="false">(V11+AA11)/(Y11-X11+AD11-AC11)</f>
        <v>0.215094339622642</v>
      </c>
      <c r="AK11" s="2" t="n">
        <f aca="false">W11/(Y11-X11)</f>
        <v>0</v>
      </c>
      <c r="AL11" s="2" t="n">
        <f aca="false">Z11/(AD11-AC11)</f>
        <v>0</v>
      </c>
      <c r="AM11" s="2" t="n">
        <f aca="false">U11/SUM(U11:X11)</f>
        <v>0.948453608247423</v>
      </c>
      <c r="AN11" s="2" t="n">
        <f aca="false">AB11/SUM(Z11:AC11)</f>
        <v>0.338028169014085</v>
      </c>
      <c r="AO11" s="4" t="n">
        <f aca="false">(V11+AA11)/(Y11+AD11)</f>
        <v>0.215094339622642</v>
      </c>
      <c r="AP11" s="1" t="s">
        <v>48</v>
      </c>
    </row>
    <row r="12" customFormat="false" ht="12.8" hidden="false" customHeight="false" outlineLevel="0" collapsed="false">
      <c r="A12" s="1" t="s">
        <v>79</v>
      </c>
      <c r="B12" s="1" t="n">
        <v>2021</v>
      </c>
      <c r="C12" s="1"/>
      <c r="D12" s="1" t="s">
        <v>80</v>
      </c>
      <c r="E12" s="1" t="s">
        <v>81</v>
      </c>
      <c r="F12" s="1" t="s">
        <v>82</v>
      </c>
      <c r="G12" s="1" t="s">
        <v>83</v>
      </c>
      <c r="H12" s="1" t="s">
        <v>47</v>
      </c>
      <c r="I12" s="1" t="s">
        <v>48</v>
      </c>
      <c r="J12" s="1" t="s">
        <v>47</v>
      </c>
      <c r="K12" s="1" t="s">
        <v>78</v>
      </c>
      <c r="L12" s="2" t="s">
        <v>84</v>
      </c>
      <c r="M12" s="2" t="n">
        <v>0.03</v>
      </c>
      <c r="N12" s="1" t="s">
        <v>48</v>
      </c>
      <c r="O12" s="1" t="n">
        <v>17</v>
      </c>
      <c r="P12" s="1" t="n">
        <v>23</v>
      </c>
      <c r="T12" s="1" t="n">
        <v>76</v>
      </c>
      <c r="U12" s="1" t="n">
        <v>453</v>
      </c>
      <c r="V12" s="1" t="n">
        <v>38</v>
      </c>
      <c r="W12" s="1" t="n">
        <v>0</v>
      </c>
      <c r="X12" s="1"/>
      <c r="Y12" s="1" t="n">
        <v>491</v>
      </c>
      <c r="Z12" s="1" t="n">
        <v>3</v>
      </c>
      <c r="AA12" s="1" t="n">
        <v>254</v>
      </c>
      <c r="AB12" s="1" t="n">
        <v>436</v>
      </c>
      <c r="AC12" s="1"/>
      <c r="AD12" s="1" t="n">
        <v>693</v>
      </c>
      <c r="AE12" s="1" t="s">
        <v>55</v>
      </c>
      <c r="AF12" s="1" t="s">
        <v>56</v>
      </c>
      <c r="AH12" s="2" t="n">
        <f aca="false">(U12+AB12)/(Y12+AD12)</f>
        <v>0.750844594594595</v>
      </c>
      <c r="AI12" s="2" t="n">
        <f aca="false">(W12+Z12)/(Y12-X12 +AD12-AC12)</f>
        <v>0.00253378378378378</v>
      </c>
      <c r="AJ12" s="2" t="n">
        <f aca="false">(V12+AA12)/(Y12-X12+AD12-AC12)</f>
        <v>0.246621621621622</v>
      </c>
      <c r="AK12" s="2" t="n">
        <f aca="false">W12/(Y12-X12)</f>
        <v>0</v>
      </c>
      <c r="AL12" s="2" t="n">
        <f aca="false">Z12/(AD12-AC12)</f>
        <v>0.00432900432900433</v>
      </c>
      <c r="AM12" s="2" t="n">
        <f aca="false">U12/SUM(U12:X12)</f>
        <v>0.922606924643585</v>
      </c>
      <c r="AN12" s="2" t="n">
        <f aca="false">AB12/SUM(Z12:AC12)</f>
        <v>0.629148629148629</v>
      </c>
      <c r="AO12" s="4" t="n">
        <f aca="false">(V12+AA12)/(Y12+AD12)</f>
        <v>0.246621621621622</v>
      </c>
      <c r="AP12" s="1" t="s">
        <v>48</v>
      </c>
    </row>
    <row r="13" customFormat="false" ht="12.8" hidden="false" customHeight="false" outlineLevel="0" collapsed="false">
      <c r="A13" s="4" t="s">
        <v>85</v>
      </c>
      <c r="B13" s="1" t="n">
        <v>2021</v>
      </c>
      <c r="C13" s="1"/>
      <c r="D13" s="1" t="s">
        <v>86</v>
      </c>
      <c r="F13" s="1" t="s">
        <v>45</v>
      </c>
      <c r="G13" s="1" t="s">
        <v>87</v>
      </c>
      <c r="H13" s="1" t="s">
        <v>47</v>
      </c>
      <c r="I13" s="1" t="s">
        <v>88</v>
      </c>
      <c r="J13" s="1" t="s">
        <v>47</v>
      </c>
      <c r="K13" s="1" t="s">
        <v>49</v>
      </c>
      <c r="L13" s="2" t="n">
        <f aca="false">1/17</f>
        <v>0.0588235294117647</v>
      </c>
      <c r="M13" s="2"/>
      <c r="N13" s="1" t="s">
        <v>48</v>
      </c>
      <c r="O13" s="1" t="n">
        <v>7</v>
      </c>
      <c r="P13" s="1" t="n">
        <v>13</v>
      </c>
      <c r="T13" s="1" t="n">
        <v>17</v>
      </c>
      <c r="U13" s="1" t="n">
        <v>101</v>
      </c>
      <c r="V13" s="1" t="n">
        <v>18</v>
      </c>
      <c r="W13" s="1" t="n">
        <v>0</v>
      </c>
      <c r="X13" s="1"/>
      <c r="Y13" s="1" t="n">
        <v>119</v>
      </c>
      <c r="Z13" s="1" t="n">
        <v>1</v>
      </c>
      <c r="AA13" s="1" t="n">
        <f aca="false">11+22+32</f>
        <v>65</v>
      </c>
      <c r="AB13" s="1" t="n">
        <v>157</v>
      </c>
      <c r="AC13" s="1"/>
      <c r="AD13" s="1" t="n">
        <v>223</v>
      </c>
      <c r="AE13" s="1" t="s">
        <v>55</v>
      </c>
      <c r="AF13" s="1" t="s">
        <v>56</v>
      </c>
      <c r="AG13" s="1" t="s">
        <v>89</v>
      </c>
      <c r="AH13" s="2" t="n">
        <f aca="false">(U13+AB13)/(Y13+AD13)</f>
        <v>0.754385964912281</v>
      </c>
      <c r="AI13" s="2" t="n">
        <f aca="false">(W13+Z13)/(Y13-X13 +AD13-AC13)</f>
        <v>0.00292397660818713</v>
      </c>
      <c r="AJ13" s="2" t="n">
        <f aca="false">(V13+AA13)/(Y13-X13+AD13-AC13)</f>
        <v>0.242690058479532</v>
      </c>
      <c r="AK13" s="2" t="n">
        <f aca="false">W13/(Y13-X13)</f>
        <v>0</v>
      </c>
      <c r="AL13" s="2" t="n">
        <f aca="false">Z13/(AD13-AC13)</f>
        <v>0.00448430493273543</v>
      </c>
      <c r="AM13" s="2" t="n">
        <f aca="false">U13/SUM(U13:X13)</f>
        <v>0.848739495798319</v>
      </c>
      <c r="AN13" s="2" t="n">
        <f aca="false">AB13/SUM(Z13:AC13)</f>
        <v>0.704035874439462</v>
      </c>
      <c r="AO13" s="4" t="n">
        <f aca="false">(V13+AA13)/(Y13+AD13)</f>
        <v>0.242690058479532</v>
      </c>
      <c r="AP13" s="1" t="s">
        <v>48</v>
      </c>
    </row>
    <row r="14" customFormat="false" ht="12.8" hidden="false" customHeight="false" outlineLevel="0" collapsed="false">
      <c r="A14" s="1" t="s">
        <v>90</v>
      </c>
      <c r="B14" s="1" t="n">
        <v>2021</v>
      </c>
      <c r="C14" s="1"/>
      <c r="D14" s="1" t="s">
        <v>91</v>
      </c>
      <c r="E14" s="1" t="s">
        <v>92</v>
      </c>
      <c r="F14" s="1" t="s">
        <v>54</v>
      </c>
      <c r="G14" s="1" t="s">
        <v>46</v>
      </c>
      <c r="H14" s="1" t="s">
        <v>47</v>
      </c>
      <c r="I14" s="1" t="s">
        <v>48</v>
      </c>
      <c r="J14" s="1" t="s">
        <v>47</v>
      </c>
      <c r="K14" s="1" t="s">
        <v>78</v>
      </c>
      <c r="L14" s="2" t="n">
        <v>0.34</v>
      </c>
      <c r="M14" s="2" t="s">
        <v>63</v>
      </c>
      <c r="N14" s="1" t="s">
        <v>48</v>
      </c>
      <c r="R14" s="1" t="n">
        <v>15</v>
      </c>
      <c r="S14" s="1" t="n">
        <v>20</v>
      </c>
      <c r="T14" s="1" t="n">
        <v>74</v>
      </c>
      <c r="U14" s="1" t="n">
        <f aca="false">1108+129</f>
        <v>1237</v>
      </c>
      <c r="V14" s="1" t="s">
        <v>93</v>
      </c>
      <c r="W14" s="1" t="s">
        <v>93</v>
      </c>
      <c r="X14" s="1"/>
      <c r="Y14" s="1" t="n">
        <v>1300</v>
      </c>
      <c r="Z14" s="1" t="n">
        <v>7</v>
      </c>
      <c r="AA14" s="1" t="s">
        <v>93</v>
      </c>
      <c r="AB14" s="1" t="s">
        <v>93</v>
      </c>
      <c r="AC14" s="1"/>
      <c r="AD14" s="1" t="n">
        <v>6120</v>
      </c>
      <c r="AE14" s="1" t="s">
        <v>55</v>
      </c>
      <c r="AF14" s="1" t="s">
        <v>56</v>
      </c>
      <c r="AH14" s="2" t="e">
        <f aca="false">(U14+AB14)/(Y14+AD14)</f>
        <v>#VALUE!</v>
      </c>
      <c r="AI14" s="2" t="e">
        <f aca="false">(W14+Z14)/(Y14-X14 +AD14-AC14)</f>
        <v>#VALUE!</v>
      </c>
      <c r="AJ14" s="2" t="e">
        <f aca="false">(V14+AA14)/(Y14-X14+AD14-AC14)</f>
        <v>#VALUE!</v>
      </c>
      <c r="AK14" s="2" t="e">
        <f aca="false">W14/(Y14-X14)</f>
        <v>#VALUE!</v>
      </c>
      <c r="AL14" s="2" t="n">
        <f aca="false">Z14/(AD14-AC14)</f>
        <v>0.0011437908496732</v>
      </c>
      <c r="AM14" s="2" t="n">
        <f aca="false">U14/SUM(U14:X14)</f>
        <v>1</v>
      </c>
      <c r="AN14" s="2" t="e">
        <f aca="false">AB14/SUM(Z14:AC14)</f>
        <v>#VALUE!</v>
      </c>
      <c r="AO14" s="4" t="e">
        <f aca="false">(V14+AA14)/(Y14+AD14)</f>
        <v>#VALUE!</v>
      </c>
      <c r="AP14" s="1" t="s">
        <v>48</v>
      </c>
    </row>
    <row r="15" customFormat="false" ht="12.8" hidden="false" customHeight="false" outlineLevel="0" collapsed="false">
      <c r="A15" s="1" t="s">
        <v>94</v>
      </c>
      <c r="B15" s="1" t="n">
        <v>2020</v>
      </c>
      <c r="C15" s="1"/>
      <c r="D15" s="1" t="s">
        <v>95</v>
      </c>
      <c r="E15" s="1" t="s">
        <v>96</v>
      </c>
      <c r="F15" s="1" t="s">
        <v>97</v>
      </c>
      <c r="G15" s="1" t="s">
        <v>98</v>
      </c>
      <c r="H15" s="1" t="s">
        <v>47</v>
      </c>
      <c r="I15" s="1" t="s">
        <v>48</v>
      </c>
      <c r="J15" s="1" t="s">
        <v>47</v>
      </c>
      <c r="K15" s="1" t="s">
        <v>49</v>
      </c>
      <c r="L15" s="2"/>
      <c r="M15" s="2"/>
      <c r="N15" s="1" t="s">
        <v>48</v>
      </c>
      <c r="O15" s="1" t="n">
        <v>38</v>
      </c>
      <c r="P15" s="1" t="n">
        <v>22</v>
      </c>
      <c r="T15" s="1" t="n">
        <v>77</v>
      </c>
      <c r="U15" s="1" t="n">
        <v>2365</v>
      </c>
      <c r="V15" s="1" t="n">
        <v>487</v>
      </c>
      <c r="W15" s="1" t="n">
        <v>95</v>
      </c>
      <c r="X15" s="1"/>
      <c r="Y15" s="1" t="n">
        <v>2947</v>
      </c>
      <c r="Z15" s="1" t="n">
        <v>74</v>
      </c>
      <c r="AA15" s="1" t="n">
        <v>815</v>
      </c>
      <c r="AB15" s="1" t="n">
        <v>784</v>
      </c>
      <c r="AC15" s="1"/>
      <c r="AD15" s="1" t="n">
        <v>1673</v>
      </c>
      <c r="AE15" s="1" t="s">
        <v>55</v>
      </c>
      <c r="AF15" s="1" t="s">
        <v>56</v>
      </c>
      <c r="AH15" s="2" t="n">
        <f aca="false">(U15+AB15)/(Y15+AD15)</f>
        <v>0.681601731601732</v>
      </c>
      <c r="AI15" s="2" t="n">
        <f aca="false">(W15+Z15)/(Y15-X15 +AD15-AC15)</f>
        <v>0.0365800865800866</v>
      </c>
      <c r="AJ15" s="2" t="n">
        <f aca="false">(V15+AA15)/(Y15-X15+AD15-AC15)</f>
        <v>0.281818181818182</v>
      </c>
      <c r="AK15" s="2" t="n">
        <f aca="false">W15/(Y15-X15)</f>
        <v>0.0322361723786902</v>
      </c>
      <c r="AL15" s="2" t="n">
        <f aca="false">Z15/(AD15-AC15)</f>
        <v>0.0442319187089062</v>
      </c>
      <c r="AM15" s="2" t="n">
        <f aca="false">U15/SUM(U15:X15)</f>
        <v>0.802511028164235</v>
      </c>
      <c r="AN15" s="2" t="n">
        <f aca="false">AB15/SUM(Z15:AC15)</f>
        <v>0.468619246861925</v>
      </c>
      <c r="AO15" s="4" t="n">
        <f aca="false">(V15+AA15)/(Y15+AD15)</f>
        <v>0.281818181818182</v>
      </c>
      <c r="AP15" s="1" t="s">
        <v>48</v>
      </c>
    </row>
    <row r="16" customFormat="false" ht="12.8" hidden="false" customHeight="false" outlineLevel="0" collapsed="false">
      <c r="A16" s="4" t="s">
        <v>94</v>
      </c>
      <c r="B16" s="4" t="n">
        <v>2020</v>
      </c>
      <c r="C16" s="4"/>
      <c r="D16" s="4" t="s">
        <v>95</v>
      </c>
      <c r="E16" s="4" t="s">
        <v>96</v>
      </c>
      <c r="F16" s="4" t="s">
        <v>97</v>
      </c>
      <c r="G16" s="4" t="s">
        <v>98</v>
      </c>
      <c r="H16" s="1" t="s">
        <v>48</v>
      </c>
      <c r="I16" s="1" t="s">
        <v>48</v>
      </c>
      <c r="J16" s="4" t="s">
        <v>47</v>
      </c>
      <c r="K16" s="4" t="s">
        <v>49</v>
      </c>
      <c r="L16" s="2" t="n">
        <v>0</v>
      </c>
      <c r="M16" s="2" t="n">
        <v>0</v>
      </c>
      <c r="N16" s="1" t="s">
        <v>47</v>
      </c>
      <c r="O16" s="1" t="n">
        <v>200</v>
      </c>
      <c r="P16" s="1" t="n">
        <v>79600</v>
      </c>
      <c r="T16" s="1" t="n">
        <v>1</v>
      </c>
      <c r="U16" s="4" t="n">
        <v>198</v>
      </c>
      <c r="V16" s="4" t="n">
        <v>0</v>
      </c>
      <c r="W16" s="4" t="n">
        <v>2</v>
      </c>
      <c r="X16" s="4"/>
      <c r="Y16" s="4" t="n">
        <v>200</v>
      </c>
      <c r="Z16" s="4" t="n">
        <v>1012</v>
      </c>
      <c r="AA16" s="4" t="n">
        <v>0</v>
      </c>
      <c r="AB16" s="4" t="n">
        <v>78588</v>
      </c>
      <c r="AC16" s="4"/>
      <c r="AD16" s="4" t="n">
        <v>79600</v>
      </c>
      <c r="AE16" s="1" t="s">
        <v>55</v>
      </c>
      <c r="AF16" s="1" t="s">
        <v>56</v>
      </c>
      <c r="AH16" s="2" t="n">
        <f aca="false">(U16+AB16)/(Y16+AD16)</f>
        <v>0.987293233082707</v>
      </c>
      <c r="AI16" s="2" t="n">
        <f aca="false">(W16+Z16)/(Y16-X16 +AD16-AC16)</f>
        <v>0.0127067669172932</v>
      </c>
      <c r="AJ16" s="2" t="n">
        <f aca="false">(V16+AA16)/(Y16-X16+AD16-AC16)</f>
        <v>0</v>
      </c>
      <c r="AK16" s="2" t="n">
        <f aca="false">W16/(Y16-X16)</f>
        <v>0.01</v>
      </c>
      <c r="AL16" s="2" t="n">
        <f aca="false">Z16/(AD16-AC16)</f>
        <v>0.012713567839196</v>
      </c>
      <c r="AM16" s="2" t="n">
        <f aca="false">U16/SUM(U16:X16)</f>
        <v>0.99</v>
      </c>
      <c r="AN16" s="2" t="n">
        <f aca="false">AB16/SUM(Z16:AC16)</f>
        <v>0.987286432160804</v>
      </c>
      <c r="AO16" s="4" t="n">
        <f aca="false">(V16+AA16)/(Y16+AD16)</f>
        <v>0</v>
      </c>
      <c r="AP16" s="1" t="s">
        <v>48</v>
      </c>
    </row>
    <row r="17" s="4" customFormat="true" ht="12.8" hidden="false" customHeight="false" outlineLevel="0" collapsed="false">
      <c r="A17" s="1" t="s">
        <v>99</v>
      </c>
      <c r="B17" s="1" t="n">
        <v>2019</v>
      </c>
      <c r="C17" s="1"/>
      <c r="D17" s="1" t="s">
        <v>100</v>
      </c>
      <c r="E17" s="1" t="s">
        <v>101</v>
      </c>
      <c r="F17" s="1" t="s">
        <v>54</v>
      </c>
      <c r="G17" s="1" t="s">
        <v>46</v>
      </c>
      <c r="H17" s="1" t="s">
        <v>47</v>
      </c>
      <c r="I17" s="1" t="s">
        <v>48</v>
      </c>
      <c r="J17" s="1" t="s">
        <v>48</v>
      </c>
      <c r="K17" s="1" t="s">
        <v>78</v>
      </c>
      <c r="L17" s="2"/>
      <c r="M17" s="2"/>
      <c r="N17" s="1" t="s">
        <v>48</v>
      </c>
      <c r="O17" s="1"/>
      <c r="P17" s="1"/>
      <c r="Q17" s="1"/>
      <c r="R17" s="1" t="n">
        <v>10</v>
      </c>
      <c r="S17" s="1" t="n">
        <v>15</v>
      </c>
      <c r="T17" s="1" t="n">
        <v>507</v>
      </c>
      <c r="U17" s="1" t="n">
        <v>10447</v>
      </c>
      <c r="V17" s="1" t="n">
        <v>8</v>
      </c>
      <c r="W17" s="1" t="n">
        <v>0</v>
      </c>
      <c r="X17" s="1"/>
      <c r="Y17" s="1" t="n">
        <v>10455</v>
      </c>
      <c r="Z17" s="1" t="n">
        <v>0</v>
      </c>
      <c r="AA17" s="1" t="s">
        <v>93</v>
      </c>
      <c r="AB17" s="1" t="s">
        <v>93</v>
      </c>
      <c r="AC17" s="1"/>
      <c r="AD17" s="1" t="s">
        <v>93</v>
      </c>
      <c r="AE17" s="1" t="s">
        <v>55</v>
      </c>
      <c r="AF17" s="1" t="s">
        <v>56</v>
      </c>
      <c r="AG17" s="1"/>
      <c r="AH17" s="2" t="e">
        <f aca="false">(U17+AB17)/(Y17+AD17)</f>
        <v>#VALUE!</v>
      </c>
      <c r="AI17" s="2" t="e">
        <f aca="false">(W17+Z17)/(Y17-X17 +AD17-AC17)</f>
        <v>#VALUE!</v>
      </c>
      <c r="AJ17" s="2" t="e">
        <f aca="false">(V17+AA17)/(Y17-X17+AD17-AC17)</f>
        <v>#VALUE!</v>
      </c>
      <c r="AK17" s="2" t="n">
        <f aca="false">W17/(Y17-X17)</f>
        <v>0</v>
      </c>
      <c r="AL17" s="2" t="e">
        <f aca="false">Z17/(AD17-AC17)</f>
        <v>#VALUE!</v>
      </c>
      <c r="AM17" s="2" t="n">
        <f aca="false">U17/SUM(U17:X17)</f>
        <v>0.999234815877571</v>
      </c>
      <c r="AN17" s="2" t="e">
        <f aca="false">AB17/SUM(Z17:AC17)</f>
        <v>#VALUE!</v>
      </c>
      <c r="AO17" s="4" t="e">
        <f aca="false">(V17+AA17)/(Y17+AD17)</f>
        <v>#VALUE!</v>
      </c>
      <c r="AP17" s="1" t="s">
        <v>48</v>
      </c>
      <c r="AQ17" s="1"/>
      <c r="AR17" s="1"/>
      <c r="AS17" s="1"/>
    </row>
    <row r="18" customFormat="false" ht="12.8" hidden="false" customHeight="false" outlineLevel="0" collapsed="false">
      <c r="A18" s="1" t="s">
        <v>102</v>
      </c>
      <c r="B18" s="1" t="n">
        <v>2018</v>
      </c>
      <c r="C18" s="1"/>
      <c r="D18" s="1" t="s">
        <v>103</v>
      </c>
      <c r="E18" s="1" t="s">
        <v>104</v>
      </c>
      <c r="F18" s="1" t="s">
        <v>45</v>
      </c>
      <c r="G18" s="1" t="s">
        <v>83</v>
      </c>
      <c r="H18" s="1" t="s">
        <v>47</v>
      </c>
      <c r="I18" s="1" t="s">
        <v>48</v>
      </c>
      <c r="J18" s="1" t="s">
        <v>47</v>
      </c>
      <c r="K18" s="1" t="s">
        <v>78</v>
      </c>
      <c r="L18" s="2"/>
      <c r="M18" s="2"/>
      <c r="N18" s="1" t="s">
        <v>48</v>
      </c>
      <c r="O18" s="1" t="n">
        <v>6</v>
      </c>
      <c r="P18" s="1" t="n">
        <v>2</v>
      </c>
      <c r="T18" s="1" t="n">
        <v>56</v>
      </c>
      <c r="U18" s="1" t="n">
        <f aca="false">276+59</f>
        <v>335</v>
      </c>
      <c r="V18" s="1" t="n">
        <f aca="false">0+1</f>
        <v>1</v>
      </c>
      <c r="W18" s="1" t="n">
        <f aca="false">0+0</f>
        <v>0</v>
      </c>
      <c r="X18" s="1"/>
      <c r="Y18" s="1" t="n">
        <f aca="false">276+60</f>
        <v>336</v>
      </c>
      <c r="Z18" s="1" t="n">
        <f aca="false">0+2</f>
        <v>2</v>
      </c>
      <c r="AA18" s="1" t="n">
        <f aca="false">12+13</f>
        <v>25</v>
      </c>
      <c r="AB18" s="1" t="n">
        <f aca="false">80+5</f>
        <v>85</v>
      </c>
      <c r="AC18" s="1"/>
      <c r="AD18" s="1" t="n">
        <f aca="false">92+20</f>
        <v>112</v>
      </c>
      <c r="AE18" s="1" t="s">
        <v>55</v>
      </c>
      <c r="AF18" s="1" t="s">
        <v>56</v>
      </c>
      <c r="AH18" s="2" t="n">
        <f aca="false">(U18+AB18)/(Y18+AD18)</f>
        <v>0.9375</v>
      </c>
      <c r="AI18" s="2" t="n">
        <f aca="false">(W18+Z18)/(Y18-X18 +AD18-AC18)</f>
        <v>0.00446428571428571</v>
      </c>
      <c r="AJ18" s="2" t="n">
        <f aca="false">(V18+AA18)/(Y18-X18+AD18-AC18)</f>
        <v>0.0580357142857143</v>
      </c>
      <c r="AK18" s="2" t="n">
        <f aca="false">W18/(Y18-X18)</f>
        <v>0</v>
      </c>
      <c r="AL18" s="2" t="n">
        <f aca="false">Z18/(AD18-AC18)</f>
        <v>0.0178571428571429</v>
      </c>
      <c r="AM18" s="2" t="n">
        <f aca="false">U18/SUM(U18:X18)</f>
        <v>0.99702380952381</v>
      </c>
      <c r="AN18" s="2" t="n">
        <f aca="false">AB18/SUM(Z18:AC18)</f>
        <v>0.758928571428571</v>
      </c>
      <c r="AO18" s="4" t="n">
        <f aca="false">(V18+AA18)/(Y18+AD18)</f>
        <v>0.0580357142857143</v>
      </c>
      <c r="AP18" s="1" t="s">
        <v>48</v>
      </c>
    </row>
    <row r="19" customFormat="false" ht="12.8" hidden="false" customHeight="false" outlineLevel="0" collapsed="false">
      <c r="A19" s="1" t="s">
        <v>105</v>
      </c>
      <c r="B19" s="1" t="n">
        <v>2016</v>
      </c>
      <c r="C19" s="1"/>
      <c r="F19" s="1" t="s">
        <v>45</v>
      </c>
      <c r="G19" s="1" t="s">
        <v>46</v>
      </c>
      <c r="H19" s="1" t="s">
        <v>47</v>
      </c>
      <c r="I19" s="1" t="s">
        <v>48</v>
      </c>
      <c r="J19" s="1" t="s">
        <v>48</v>
      </c>
      <c r="K19" s="1" t="s">
        <v>78</v>
      </c>
      <c r="L19" s="2" t="n">
        <f aca="false">17/47</f>
        <v>0.361702127659575</v>
      </c>
      <c r="M19" s="2" t="s">
        <v>63</v>
      </c>
      <c r="N19" s="1" t="s">
        <v>48</v>
      </c>
      <c r="O19" s="1"/>
      <c r="P19" s="1"/>
      <c r="Q19" s="1"/>
      <c r="R19" s="1" t="s">
        <v>93</v>
      </c>
      <c r="S19" s="1" t="n">
        <v>12</v>
      </c>
      <c r="T19" s="1" t="n">
        <v>34</v>
      </c>
      <c r="U19" s="1" t="n">
        <v>190</v>
      </c>
      <c r="V19" s="1" t="n">
        <v>6</v>
      </c>
      <c r="W19" s="1" t="n">
        <v>3</v>
      </c>
      <c r="X19" s="1"/>
      <c r="Y19" s="1" t="n">
        <v>199</v>
      </c>
      <c r="Z19" s="1" t="n">
        <v>1</v>
      </c>
      <c r="AA19" s="1" t="n">
        <v>33</v>
      </c>
      <c r="AB19" s="1" t="n">
        <v>403</v>
      </c>
      <c r="AC19" s="1"/>
      <c r="AD19" s="1" t="s">
        <v>93</v>
      </c>
      <c r="AE19" s="1" t="s">
        <v>55</v>
      </c>
      <c r="AF19" s="1" t="s">
        <v>56</v>
      </c>
      <c r="AH19" s="2" t="e">
        <f aca="false">(U19+AB19)/(Y19+AD19)</f>
        <v>#VALUE!</v>
      </c>
      <c r="AI19" s="2" t="e">
        <f aca="false">(W19+Z19)/(Y19-X19 +AD19-AC19)</f>
        <v>#VALUE!</v>
      </c>
      <c r="AJ19" s="2" t="e">
        <f aca="false">(V19+AA19)/(Y19-X19+AD19-AC19)</f>
        <v>#VALUE!</v>
      </c>
      <c r="AK19" s="2" t="n">
        <f aca="false">W19/(Y19-X19)</f>
        <v>0.0150753768844221</v>
      </c>
      <c r="AL19" s="2" t="e">
        <f aca="false">Z19/(AD19-AC19)</f>
        <v>#VALUE!</v>
      </c>
      <c r="AM19" s="2" t="n">
        <f aca="false">U19/SUM(U19:X19)</f>
        <v>0.954773869346734</v>
      </c>
      <c r="AN19" s="2" t="n">
        <f aca="false">AB19/SUM(Z19:AC19)</f>
        <v>0.922196796338673</v>
      </c>
      <c r="AO19" s="4" t="e">
        <f aca="false">(V19+AA19)/(Y19+AD19)</f>
        <v>#VALUE!</v>
      </c>
      <c r="AP19" s="4" t="s">
        <v>48</v>
      </c>
    </row>
    <row r="20" customFormat="false" ht="12.8" hidden="false" customHeight="false" outlineLevel="0" collapsed="false">
      <c r="A20" s="4" t="s">
        <v>105</v>
      </c>
      <c r="B20" s="4" t="n">
        <v>2016</v>
      </c>
      <c r="C20" s="4"/>
      <c r="D20" s="4"/>
      <c r="E20" s="4"/>
      <c r="F20" s="4" t="s">
        <v>54</v>
      </c>
      <c r="G20" s="4" t="s">
        <v>46</v>
      </c>
      <c r="H20" s="4" t="s">
        <v>47</v>
      </c>
      <c r="I20" s="4" t="s">
        <v>48</v>
      </c>
      <c r="J20" s="4" t="s">
        <v>48</v>
      </c>
      <c r="K20" s="4" t="s">
        <v>78</v>
      </c>
      <c r="L20" s="2" t="n">
        <f aca="false">17/47</f>
        <v>0.361702127659575</v>
      </c>
      <c r="M20" s="2" t="s">
        <v>63</v>
      </c>
      <c r="N20" s="4" t="s">
        <v>48</v>
      </c>
      <c r="O20" s="4"/>
      <c r="P20" s="4"/>
      <c r="Q20" s="4"/>
      <c r="R20" s="4" t="s">
        <v>93</v>
      </c>
      <c r="S20" s="4" t="n">
        <v>12</v>
      </c>
      <c r="T20" s="4" t="n">
        <v>34</v>
      </c>
      <c r="U20" s="4" t="n">
        <v>156</v>
      </c>
      <c r="V20" s="4" t="n">
        <v>62</v>
      </c>
      <c r="W20" s="4" t="n">
        <v>1</v>
      </c>
      <c r="X20" s="4"/>
      <c r="Y20" s="4" t="n">
        <v>207</v>
      </c>
      <c r="Z20" s="4" t="n">
        <v>0</v>
      </c>
      <c r="AA20" s="4" t="n">
        <v>103</v>
      </c>
      <c r="AB20" s="4" t="n">
        <v>518</v>
      </c>
      <c r="AC20" s="4"/>
      <c r="AD20" s="4" t="s">
        <v>93</v>
      </c>
      <c r="AE20" s="4" t="s">
        <v>55</v>
      </c>
      <c r="AF20" s="4" t="s">
        <v>56</v>
      </c>
      <c r="AG20" s="4"/>
      <c r="AH20" s="2" t="e">
        <f aca="false">(U20+AB20)/(Y20+AD20)</f>
        <v>#VALUE!</v>
      </c>
      <c r="AI20" s="2" t="e">
        <f aca="false">(W20+Z20)/(Y20-X20 +AD20-AC20)</f>
        <v>#VALUE!</v>
      </c>
      <c r="AJ20" s="2" t="e">
        <f aca="false">(V20+AA20)/(Y20-X20+AD20-AC20)</f>
        <v>#VALUE!</v>
      </c>
      <c r="AK20" s="2" t="n">
        <f aca="false">W20/(Y20-X20)</f>
        <v>0.00483091787439614</v>
      </c>
      <c r="AL20" s="2" t="e">
        <f aca="false">Z20/(AD20-AC20)</f>
        <v>#VALUE!</v>
      </c>
      <c r="AM20" s="2" t="n">
        <f aca="false">U20/SUM(U20:X20)</f>
        <v>0.712328767123288</v>
      </c>
      <c r="AN20" s="2" t="n">
        <f aca="false">AB20/SUM(Z20:AC20)</f>
        <v>0.834138486312399</v>
      </c>
      <c r="AO20" s="4" t="e">
        <f aca="false">(V20+AA20)/(Y20+AD20)</f>
        <v>#VALUE!</v>
      </c>
      <c r="AP20" s="1" t="s">
        <v>48</v>
      </c>
    </row>
    <row r="21" customFormat="false" ht="12.8" hidden="false" customHeight="false" outlineLevel="0" collapsed="false">
      <c r="A21" s="1" t="s">
        <v>106</v>
      </c>
      <c r="B21" s="1" t="n">
        <v>2014</v>
      </c>
      <c r="C21" s="1"/>
      <c r="F21" s="1" t="s">
        <v>45</v>
      </c>
      <c r="G21" s="1" t="s">
        <v>46</v>
      </c>
      <c r="H21" s="1" t="s">
        <v>47</v>
      </c>
      <c r="I21" s="1" t="s">
        <v>48</v>
      </c>
      <c r="J21" s="1" t="s">
        <v>48</v>
      </c>
      <c r="K21" s="1" t="s">
        <v>78</v>
      </c>
      <c r="L21" s="2" t="n">
        <f aca="false">1/6</f>
        <v>0.166666666666667</v>
      </c>
      <c r="M21" s="2" t="s">
        <v>63</v>
      </c>
      <c r="N21" s="1" t="s">
        <v>48</v>
      </c>
      <c r="R21" s="1" t="n">
        <v>3</v>
      </c>
      <c r="S21" s="1" t="n">
        <v>3</v>
      </c>
      <c r="T21" s="1" t="n">
        <v>25</v>
      </c>
      <c r="U21" s="1" t="n">
        <v>74</v>
      </c>
      <c r="V21" s="1" t="n">
        <v>1</v>
      </c>
      <c r="W21" s="1" t="n">
        <v>0</v>
      </c>
      <c r="X21" s="1"/>
      <c r="Y21" s="1" t="n">
        <v>75</v>
      </c>
      <c r="Z21" s="1" t="n">
        <v>0</v>
      </c>
      <c r="AA21" s="1" t="s">
        <v>93</v>
      </c>
      <c r="AB21" s="1" t="s">
        <v>93</v>
      </c>
      <c r="AC21" s="1"/>
      <c r="AD21" s="1" t="s">
        <v>93</v>
      </c>
      <c r="AE21" s="1" t="s">
        <v>74</v>
      </c>
      <c r="AF21" s="1" t="s">
        <v>56</v>
      </c>
      <c r="AH21" s="2" t="e">
        <f aca="false">(U21+AB21)/(Y21+AD21)</f>
        <v>#VALUE!</v>
      </c>
      <c r="AI21" s="2" t="e">
        <f aca="false">(W21+Z21)/(Y21-X21 +AD21-AC21)</f>
        <v>#VALUE!</v>
      </c>
      <c r="AJ21" s="2" t="e">
        <f aca="false">(V21+AA21)/(Y21-X21+AD21-AC21)</f>
        <v>#VALUE!</v>
      </c>
      <c r="AK21" s="2" t="n">
        <f aca="false">W21/(Y21-X21)</f>
        <v>0</v>
      </c>
      <c r="AL21" s="2" t="e">
        <f aca="false">Z21/(AD21-AC21)</f>
        <v>#VALUE!</v>
      </c>
      <c r="AM21" s="2" t="n">
        <f aca="false">U21/SUM(U21:X21)</f>
        <v>0.986666666666667</v>
      </c>
      <c r="AN21" s="2" t="e">
        <f aca="false">AB21/SUM(Z21:AC21)</f>
        <v>#VALUE!</v>
      </c>
      <c r="AO21" s="4" t="e">
        <f aca="false">(V21+AA21)/(Y21+AD21)</f>
        <v>#VALUE!</v>
      </c>
      <c r="AP21" s="1" t="s">
        <v>48</v>
      </c>
    </row>
    <row r="22" customFormat="false" ht="12.8" hidden="false" customHeight="false" outlineLevel="0" collapsed="false">
      <c r="A22" s="1" t="s">
        <v>107</v>
      </c>
      <c r="B22" s="1" t="n">
        <v>2013</v>
      </c>
      <c r="C22" s="1"/>
      <c r="F22" s="1" t="s">
        <v>108</v>
      </c>
      <c r="G22" s="1" t="s">
        <v>46</v>
      </c>
      <c r="H22" s="1" t="s">
        <v>47</v>
      </c>
      <c r="I22" s="1" t="s">
        <v>48</v>
      </c>
      <c r="J22" s="1" t="s">
        <v>48</v>
      </c>
      <c r="K22" s="1" t="s">
        <v>78</v>
      </c>
      <c r="L22" s="2" t="s">
        <v>109</v>
      </c>
      <c r="M22" s="2" t="n">
        <v>0</v>
      </c>
      <c r="N22" s="1" t="s">
        <v>48</v>
      </c>
      <c r="R22" s="1" t="n">
        <v>10</v>
      </c>
      <c r="S22" s="1" t="n">
        <v>15</v>
      </c>
      <c r="T22" s="1" t="n">
        <v>217</v>
      </c>
      <c r="U22" s="1" t="n">
        <v>3239</v>
      </c>
      <c r="V22" s="1" t="n">
        <v>14</v>
      </c>
      <c r="W22" s="1" t="n">
        <v>2</v>
      </c>
      <c r="X22" s="1"/>
      <c r="Y22" s="1" t="n">
        <v>3255</v>
      </c>
      <c r="Z22" s="1" t="n">
        <v>2</v>
      </c>
      <c r="AA22" s="1" t="s">
        <v>93</v>
      </c>
      <c r="AB22" s="1" t="s">
        <v>93</v>
      </c>
      <c r="AC22" s="1"/>
      <c r="AD22" s="1" t="s">
        <v>93</v>
      </c>
      <c r="AE22" s="1" t="s">
        <v>74</v>
      </c>
      <c r="AF22" s="1" t="s">
        <v>56</v>
      </c>
      <c r="AH22" s="2" t="e">
        <f aca="false">(U22+AB22)/(Y22+AD22)</f>
        <v>#VALUE!</v>
      </c>
      <c r="AI22" s="2" t="e">
        <f aca="false">(W22+Z22)/(Y22-X22 +AD22-AC22)</f>
        <v>#VALUE!</v>
      </c>
      <c r="AJ22" s="2" t="e">
        <f aca="false">(V22+AA22)/(Y22-X22+AD22-AC22)</f>
        <v>#VALUE!</v>
      </c>
      <c r="AK22" s="2" t="n">
        <f aca="false">W22/(Y22-X22)</f>
        <v>0.000614439324116744</v>
      </c>
      <c r="AL22" s="2" t="e">
        <f aca="false">Z22/(AD22-AC22)</f>
        <v>#VALUE!</v>
      </c>
      <c r="AM22" s="2" t="n">
        <f aca="false">U22/SUM(U22:X22)</f>
        <v>0.995084485407066</v>
      </c>
      <c r="AN22" s="2" t="e">
        <f aca="false">AB22/SUM(Z22:AC22)</f>
        <v>#VALUE!</v>
      </c>
      <c r="AO22" s="4" t="e">
        <f aca="false">(V22+AA22)/(Y22+AD22)</f>
        <v>#VALUE!</v>
      </c>
      <c r="AP22" s="1" t="s">
        <v>48</v>
      </c>
    </row>
    <row r="23" s="4" customFormat="true" ht="12.8" hidden="false" customHeight="false" outlineLevel="0" collapsed="false">
      <c r="A23" s="1" t="s">
        <v>110</v>
      </c>
      <c r="B23" s="1" t="n">
        <v>2013</v>
      </c>
      <c r="C23" s="1"/>
      <c r="D23" s="1"/>
      <c r="E23" s="1" t="s">
        <v>111</v>
      </c>
      <c r="F23" s="1" t="s">
        <v>54</v>
      </c>
      <c r="G23" s="1" t="s">
        <v>87</v>
      </c>
      <c r="H23" s="1" t="s">
        <v>47</v>
      </c>
      <c r="I23" s="1" t="s">
        <v>48</v>
      </c>
      <c r="J23" s="1" t="s">
        <v>47</v>
      </c>
      <c r="K23" s="1" t="s">
        <v>49</v>
      </c>
      <c r="L23" s="2"/>
      <c r="M23" s="2"/>
      <c r="N23" s="1" t="s">
        <v>48</v>
      </c>
      <c r="O23" s="1" t="n">
        <v>188</v>
      </c>
      <c r="P23" s="1" t="n">
        <v>124</v>
      </c>
      <c r="Q23" s="1"/>
      <c r="R23" s="1"/>
      <c r="S23" s="1"/>
      <c r="T23" s="1" t="n">
        <v>64</v>
      </c>
      <c r="U23" s="1" t="n">
        <v>83</v>
      </c>
      <c r="V23" s="1" t="n">
        <v>99</v>
      </c>
      <c r="W23" s="1" t="n">
        <v>6</v>
      </c>
      <c r="X23" s="1"/>
      <c r="Y23" s="1" t="n">
        <v>188</v>
      </c>
      <c r="Z23" s="1" t="n">
        <v>5</v>
      </c>
      <c r="AA23" s="1" t="n">
        <v>47</v>
      </c>
      <c r="AB23" s="1" t="n">
        <v>72</v>
      </c>
      <c r="AC23" s="1"/>
      <c r="AD23" s="1" t="n">
        <v>124</v>
      </c>
      <c r="AE23" s="4" t="s">
        <v>74</v>
      </c>
      <c r="AF23" s="4" t="s">
        <v>56</v>
      </c>
      <c r="AG23" s="1"/>
      <c r="AH23" s="2" t="n">
        <f aca="false">(U23+AB23)/(Y23+AD23)</f>
        <v>0.496794871794872</v>
      </c>
      <c r="AI23" s="2" t="n">
        <f aca="false">(W23+Z23)/(Y23-X23 +AD23-AC23)</f>
        <v>0.0352564102564103</v>
      </c>
      <c r="AJ23" s="2" t="n">
        <f aca="false">(V23+AA23)/(Y23-X23+AD23-AC23)</f>
        <v>0.467948717948718</v>
      </c>
      <c r="AK23" s="2" t="n">
        <f aca="false">W23/(Y23-X23)</f>
        <v>0.0319148936170213</v>
      </c>
      <c r="AL23" s="2" t="n">
        <f aca="false">Z23/(AD23-AC23)</f>
        <v>0.0403225806451613</v>
      </c>
      <c r="AM23" s="2" t="n">
        <f aca="false">U23/SUM(U23:X23)</f>
        <v>0.441489361702128</v>
      </c>
      <c r="AN23" s="2" t="n">
        <f aca="false">AB23/SUM(Z23:AC23)</f>
        <v>0.580645161290323</v>
      </c>
      <c r="AO23" s="4" t="n">
        <f aca="false">(V23+AA23)/(Y23+AD23)</f>
        <v>0.467948717948718</v>
      </c>
      <c r="AP23" s="1" t="s">
        <v>48</v>
      </c>
      <c r="AQ23" s="1"/>
      <c r="AR23" s="1"/>
      <c r="AS23" s="1"/>
    </row>
    <row r="24" customFormat="false" ht="12.8" hidden="false" customHeight="false" outlineLevel="0" collapsed="false">
      <c r="A24" s="4" t="s">
        <v>110</v>
      </c>
      <c r="B24" s="4" t="n">
        <v>2013</v>
      </c>
      <c r="C24" s="4"/>
      <c r="D24" s="4"/>
      <c r="E24" s="4" t="s">
        <v>111</v>
      </c>
      <c r="F24" s="4" t="s">
        <v>45</v>
      </c>
      <c r="G24" s="4" t="s">
        <v>87</v>
      </c>
      <c r="H24" s="4" t="s">
        <v>47</v>
      </c>
      <c r="I24" s="4" t="s">
        <v>48</v>
      </c>
      <c r="J24" s="4" t="s">
        <v>47</v>
      </c>
      <c r="K24" s="4" t="s">
        <v>49</v>
      </c>
      <c r="L24" s="2"/>
      <c r="M24" s="2"/>
      <c r="N24" s="4" t="s">
        <v>48</v>
      </c>
      <c r="O24" s="1" t="n">
        <v>127</v>
      </c>
      <c r="P24" s="1" t="n">
        <v>189</v>
      </c>
      <c r="T24" s="1" t="n">
        <v>64</v>
      </c>
      <c r="U24" s="1" t="n">
        <v>98</v>
      </c>
      <c r="V24" s="1" t="n">
        <v>22</v>
      </c>
      <c r="W24" s="1" t="n">
        <v>7</v>
      </c>
      <c r="X24" s="1"/>
      <c r="Y24" s="1" t="n">
        <v>127</v>
      </c>
      <c r="Z24" s="1" t="n">
        <v>15</v>
      </c>
      <c r="AA24" s="1" t="n">
        <v>55</v>
      </c>
      <c r="AB24" s="1" t="n">
        <v>119</v>
      </c>
      <c r="AC24" s="1"/>
      <c r="AD24" s="1" t="n">
        <v>189</v>
      </c>
      <c r="AE24" s="1" t="s">
        <v>74</v>
      </c>
      <c r="AF24" s="1" t="s">
        <v>56</v>
      </c>
      <c r="AH24" s="2" t="n">
        <f aca="false">(U24+AB24)/(Y24+AD24)</f>
        <v>0.686708860759494</v>
      </c>
      <c r="AI24" s="2" t="n">
        <f aca="false">(W24+Z24)/(Y24-X24 +AD24-AC24)</f>
        <v>0.069620253164557</v>
      </c>
      <c r="AJ24" s="2" t="n">
        <f aca="false">(V24+AA24)/(Y24-X24+AD24-AC24)</f>
        <v>0.243670886075949</v>
      </c>
      <c r="AK24" s="2" t="n">
        <f aca="false">W24/(Y24-X24)</f>
        <v>0.0551181102362205</v>
      </c>
      <c r="AL24" s="2" t="n">
        <f aca="false">Z24/(AD24-AC24)</f>
        <v>0.0793650793650794</v>
      </c>
      <c r="AM24" s="2" t="n">
        <f aca="false">U24/SUM(U24:X24)</f>
        <v>0.771653543307087</v>
      </c>
      <c r="AN24" s="2" t="n">
        <f aca="false">AB24/SUM(Z24:AC24)</f>
        <v>0.62962962962963</v>
      </c>
      <c r="AO24" s="4" t="n">
        <f aca="false">(V24+AA24)/(Y24+AD24)</f>
        <v>0.243670886075949</v>
      </c>
      <c r="AP24" s="1" t="s">
        <v>48</v>
      </c>
    </row>
    <row r="25" customFormat="false" ht="12.8" hidden="false" customHeight="false" outlineLevel="0" collapsed="false">
      <c r="A25" s="1" t="s">
        <v>112</v>
      </c>
      <c r="B25" s="1" t="n">
        <v>2012</v>
      </c>
      <c r="C25" s="1"/>
      <c r="F25" s="4" t="s">
        <v>113</v>
      </c>
      <c r="G25" s="4" t="s">
        <v>46</v>
      </c>
      <c r="H25" s="1" t="s">
        <v>47</v>
      </c>
      <c r="I25" s="1" t="s">
        <v>88</v>
      </c>
      <c r="J25" s="1" t="s">
        <v>48</v>
      </c>
      <c r="K25" s="1" t="s">
        <v>78</v>
      </c>
      <c r="L25" s="2" t="s">
        <v>114</v>
      </c>
      <c r="M25" s="2" t="n">
        <v>0</v>
      </c>
      <c r="N25" s="1" t="s">
        <v>48</v>
      </c>
      <c r="O25" s="1"/>
      <c r="P25" s="1"/>
      <c r="Q25" s="1"/>
      <c r="R25" s="1" t="n">
        <v>5</v>
      </c>
      <c r="S25" s="1" t="n">
        <v>3</v>
      </c>
      <c r="T25" s="1" t="n">
        <v>64</v>
      </c>
      <c r="U25" s="1" t="n">
        <v>178</v>
      </c>
      <c r="V25" s="1" t="n">
        <v>11</v>
      </c>
      <c r="W25" s="1" t="n">
        <v>3</v>
      </c>
      <c r="X25" s="1"/>
      <c r="Y25" s="1" t="n">
        <v>192</v>
      </c>
      <c r="Z25" s="1" t="n">
        <v>3</v>
      </c>
      <c r="AA25" s="1" t="s">
        <v>93</v>
      </c>
      <c r="AB25" s="1" t="s">
        <v>93</v>
      </c>
      <c r="AC25" s="1"/>
      <c r="AD25" s="1" t="s">
        <v>93</v>
      </c>
      <c r="AE25" s="1" t="s">
        <v>74</v>
      </c>
      <c r="AF25" s="1" t="s">
        <v>56</v>
      </c>
      <c r="AH25" s="2" t="e">
        <f aca="false">(U25+AB25)/(Y25+AD25)</f>
        <v>#VALUE!</v>
      </c>
      <c r="AI25" s="2" t="e">
        <f aca="false">(W25+Z25)/(Y25-X25 +AD25-AC25)</f>
        <v>#VALUE!</v>
      </c>
      <c r="AJ25" s="2" t="e">
        <f aca="false">(V25+AA25)/(Y25-X25+AD25-AC25)</f>
        <v>#VALUE!</v>
      </c>
      <c r="AK25" s="2" t="n">
        <f aca="false">W25/(Y25-X25)</f>
        <v>0.015625</v>
      </c>
      <c r="AL25" s="2" t="e">
        <f aca="false">Z25/(AD25-AC25)</f>
        <v>#VALUE!</v>
      </c>
      <c r="AM25" s="2" t="n">
        <f aca="false">U25/SUM(U25:X25)</f>
        <v>0.927083333333333</v>
      </c>
      <c r="AN25" s="2" t="e">
        <f aca="false">AB25/SUM(Z25:AC25)</f>
        <v>#VALUE!</v>
      </c>
      <c r="AO25" s="4" t="e">
        <f aca="false">(V25+AA25)/(Y25+AD25)</f>
        <v>#VALUE!</v>
      </c>
      <c r="AP25" s="4" t="s">
        <v>48</v>
      </c>
    </row>
    <row r="26" customFormat="false" ht="12.8" hidden="false" customHeight="false" outlineLevel="0" collapsed="false">
      <c r="A26" s="1" t="s">
        <v>115</v>
      </c>
      <c r="B26" s="1" t="n">
        <v>2009</v>
      </c>
      <c r="C26" s="1"/>
      <c r="D26" s="1" t="s">
        <v>116</v>
      </c>
      <c r="E26" s="1" t="s">
        <v>117</v>
      </c>
      <c r="F26" s="1" t="s">
        <v>113</v>
      </c>
      <c r="G26" s="1" t="s">
        <v>46</v>
      </c>
      <c r="H26" s="1" t="s">
        <v>47</v>
      </c>
      <c r="I26" s="1" t="s">
        <v>48</v>
      </c>
      <c r="J26" s="1" t="s">
        <v>48</v>
      </c>
      <c r="K26" s="1" t="s">
        <v>78</v>
      </c>
      <c r="L26" s="2" t="s">
        <v>63</v>
      </c>
      <c r="M26" s="2" t="n">
        <v>0</v>
      </c>
      <c r="N26" s="1" t="s">
        <v>48</v>
      </c>
      <c r="R26" s="1" t="n">
        <v>10</v>
      </c>
      <c r="S26" s="1" t="n">
        <v>12</v>
      </c>
      <c r="T26" s="1" t="n">
        <v>15</v>
      </c>
      <c r="U26" s="1" t="n">
        <v>174</v>
      </c>
      <c r="V26" s="1" t="n">
        <v>1</v>
      </c>
      <c r="W26" s="1" t="n">
        <v>3</v>
      </c>
      <c r="X26" s="1"/>
      <c r="Y26" s="1" t="n">
        <v>178</v>
      </c>
      <c r="Z26" s="1" t="n">
        <v>3</v>
      </c>
      <c r="AA26" s="1" t="s">
        <v>93</v>
      </c>
      <c r="AB26" s="1" t="s">
        <v>93</v>
      </c>
      <c r="AC26" s="1"/>
      <c r="AD26" s="1" t="s">
        <v>93</v>
      </c>
      <c r="AE26" s="1" t="s">
        <v>74</v>
      </c>
      <c r="AF26" s="1" t="s">
        <v>56</v>
      </c>
      <c r="AH26" s="2" t="e">
        <f aca="false">(U26+AB26)/(Y26+AD26)</f>
        <v>#VALUE!</v>
      </c>
      <c r="AI26" s="2" t="e">
        <f aca="false">(W26+Z26)/(Y26-X26 +AD26-AC26)</f>
        <v>#VALUE!</v>
      </c>
      <c r="AJ26" s="2" t="e">
        <f aca="false">(V26+AA26)/(Y26-X26+AD26-AC26)</f>
        <v>#VALUE!</v>
      </c>
      <c r="AK26" s="2" t="n">
        <f aca="false">W26/(Y26-X26)</f>
        <v>0.0168539325842697</v>
      </c>
      <c r="AL26" s="2" t="e">
        <f aca="false">Z26/(AD26-AC26)</f>
        <v>#VALUE!</v>
      </c>
      <c r="AM26" s="2" t="n">
        <f aca="false">U26/SUM(U26:X26)</f>
        <v>0.97752808988764</v>
      </c>
      <c r="AN26" s="2" t="e">
        <f aca="false">AB26/SUM(Z26:AC26)</f>
        <v>#VALUE!</v>
      </c>
      <c r="AO26" s="4" t="e">
        <f aca="false">(V26+AA26)/(Y26+AD26)</f>
        <v>#VALUE!</v>
      </c>
      <c r="AP26" s="1" t="s">
        <v>48</v>
      </c>
    </row>
    <row r="27" customFormat="false" ht="12.8" hidden="false" customHeight="false" outlineLevel="0" collapsed="false">
      <c r="A27" s="1" t="s">
        <v>118</v>
      </c>
      <c r="B27" s="1" t="n">
        <v>2003</v>
      </c>
      <c r="C27" s="1"/>
      <c r="E27" s="1" t="s">
        <v>119</v>
      </c>
      <c r="F27" s="1" t="s">
        <v>45</v>
      </c>
      <c r="G27" s="1" t="s">
        <v>46</v>
      </c>
      <c r="H27" s="1" t="s">
        <v>47</v>
      </c>
      <c r="I27" s="1" t="s">
        <v>48</v>
      </c>
      <c r="J27" s="1" t="s">
        <v>47</v>
      </c>
      <c r="K27" s="1" t="s">
        <v>78</v>
      </c>
      <c r="L27" s="2" t="n">
        <v>0</v>
      </c>
      <c r="M27" s="2" t="n">
        <v>0</v>
      </c>
      <c r="N27" s="1" t="s">
        <v>48</v>
      </c>
      <c r="O27" s="1" t="n">
        <v>70</v>
      </c>
      <c r="R27" s="1" t="s">
        <v>120</v>
      </c>
      <c r="S27" s="1" t="s">
        <v>120</v>
      </c>
      <c r="T27" s="1" t="n">
        <v>8</v>
      </c>
      <c r="U27" s="1" t="n">
        <v>70</v>
      </c>
      <c r="V27" s="1" t="n">
        <v>0</v>
      </c>
      <c r="W27" s="1" t="n">
        <v>0</v>
      </c>
      <c r="X27" s="1"/>
      <c r="Y27" s="1" t="s">
        <v>121</v>
      </c>
      <c r="Z27" s="1" t="n">
        <v>0</v>
      </c>
      <c r="AA27" s="1" t="n">
        <v>172</v>
      </c>
      <c r="AB27" s="1" t="n">
        <v>118</v>
      </c>
      <c r="AC27" s="1"/>
      <c r="AD27" s="1" t="s">
        <v>121</v>
      </c>
      <c r="AE27" s="1" t="s">
        <v>74</v>
      </c>
      <c r="AF27" s="1" t="s">
        <v>56</v>
      </c>
      <c r="AH27" s="2" t="e">
        <f aca="false">(U27+AB27)/(Y27+AD27)</f>
        <v>#VALUE!</v>
      </c>
      <c r="AI27" s="2" t="e">
        <f aca="false">(W27+Z27)/(Y27-X27 +AD27-AC27)</f>
        <v>#VALUE!</v>
      </c>
      <c r="AJ27" s="2" t="e">
        <f aca="false">(V27+AA27)/(Y27-X27+AD27-AC27)</f>
        <v>#VALUE!</v>
      </c>
      <c r="AK27" s="2" t="e">
        <f aca="false">W27/(Y27-X27)</f>
        <v>#VALUE!</v>
      </c>
      <c r="AL27" s="2" t="e">
        <f aca="false">Z27/(AD27-AC27)</f>
        <v>#VALUE!</v>
      </c>
      <c r="AM27" s="2" t="n">
        <f aca="false">U27/SUM(U27:X27)</f>
        <v>1</v>
      </c>
      <c r="AN27" s="2" t="n">
        <f aca="false">AB27/SUM(Z27:AC27)</f>
        <v>0.406896551724138</v>
      </c>
      <c r="AO27" s="4" t="e">
        <f aca="false">(V27+AA27)/(Y27+AD27)</f>
        <v>#VALUE!</v>
      </c>
      <c r="AP27" s="1" t="s">
        <v>48</v>
      </c>
    </row>
  </sheetData>
  <autoFilter ref="A2:AP27">
    <filterColumn colId="5">
      <filters>
        <filter val="Cartridge"/>
      </filters>
    </filterColumn>
    <filterColumn colId="41">
      <filters>
        <filter val="T"/>
      </filters>
    </filterColumn>
  </autoFilter>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26"/>
  <sheetViews>
    <sheetView showFormulas="false" showGridLines="true" showRowColHeaders="true" showZeros="true" rightToLeft="false" tabSelected="false" showOutlineSymbols="true" defaultGridColor="true" view="normal" topLeftCell="A5" colorId="64" zoomScale="80" zoomScaleNormal="80" zoomScalePageLayoutView="100" workbookViewId="0">
      <selection pane="topLeft" activeCell="A17" activeCellId="0" sqref="A17"/>
    </sheetView>
  </sheetViews>
  <sheetFormatPr defaultColWidth="11.53515625" defaultRowHeight="12.8" zeroHeight="false" outlineLevelRow="0" outlineLevelCol="0"/>
  <cols>
    <col collapsed="false" customWidth="true" hidden="false" outlineLevel="0" max="1" min="1" style="1" width="40.19"/>
    <col collapsed="false" customWidth="true" hidden="false" outlineLevel="0" max="3" min="3" style="1" width="17.82"/>
    <col collapsed="false" customWidth="false" hidden="false" outlineLevel="0" max="19" min="4" style="1" width="11.53"/>
    <col collapsed="false" customWidth="true" hidden="false" outlineLevel="0" max="20" min="20" style="1" width="16.18"/>
    <col collapsed="false" customWidth="true" hidden="false" outlineLevel="0" max="23" min="23" style="1" width="16.77"/>
    <col collapsed="false" customWidth="true" hidden="false" outlineLevel="0" max="24" min="24" style="1" width="21.18"/>
  </cols>
  <sheetData>
    <row r="1" customFormat="false" ht="24.75" hidden="false" customHeight="true" outlineLevel="0" collapsed="false">
      <c r="A1" s="1" t="s">
        <v>122</v>
      </c>
      <c r="B1" s="1" t="s">
        <v>1</v>
      </c>
      <c r="C1" s="1" t="s">
        <v>123</v>
      </c>
      <c r="D1" s="1" t="s">
        <v>124</v>
      </c>
      <c r="E1" s="1" t="s">
        <v>19</v>
      </c>
      <c r="F1" s="1" t="s">
        <v>20</v>
      </c>
      <c r="G1" s="1" t="s">
        <v>21</v>
      </c>
      <c r="H1" s="1" t="s">
        <v>23</v>
      </c>
      <c r="I1" s="1" t="s">
        <v>24</v>
      </c>
      <c r="J1" s="1" t="s">
        <v>25</v>
      </c>
      <c r="K1" s="1" t="s">
        <v>26</v>
      </c>
      <c r="L1" s="1" t="s">
        <v>28</v>
      </c>
      <c r="M1" s="1" t="s">
        <v>37</v>
      </c>
      <c r="N1" s="1" t="s">
        <v>38</v>
      </c>
      <c r="O1" s="5" t="s">
        <v>125</v>
      </c>
      <c r="P1" s="5" t="s">
        <v>126</v>
      </c>
      <c r="Q1" s="5" t="s">
        <v>127</v>
      </c>
      <c r="R1" s="5" t="s">
        <v>128</v>
      </c>
      <c r="S1" s="5" t="s">
        <v>129</v>
      </c>
      <c r="T1" s="5" t="s">
        <v>130</v>
      </c>
      <c r="U1" s="2" t="s">
        <v>32</v>
      </c>
      <c r="V1" s="2" t="s">
        <v>33</v>
      </c>
      <c r="W1" s="2" t="s">
        <v>34</v>
      </c>
      <c r="X1" s="2" t="s">
        <v>131</v>
      </c>
      <c r="Y1" s="1"/>
      <c r="Z1" s="1"/>
      <c r="AA1" s="1"/>
      <c r="AB1" s="1"/>
      <c r="AC1" s="1"/>
    </row>
    <row r="2" customFormat="false" ht="12.8" hidden="false" customHeight="false" outlineLevel="0" collapsed="false">
      <c r="A2" s="1" t="s">
        <v>41</v>
      </c>
      <c r="B2" s="1" t="n">
        <v>2014</v>
      </c>
      <c r="C2" s="1" t="s">
        <v>42</v>
      </c>
      <c r="D2" s="1" t="s">
        <v>45</v>
      </c>
      <c r="E2" s="4" t="n">
        <v>1075</v>
      </c>
      <c r="F2" s="4" t="n">
        <v>11</v>
      </c>
      <c r="G2" s="4" t="n">
        <v>4</v>
      </c>
      <c r="H2" s="4" t="n">
        <v>1090</v>
      </c>
      <c r="I2" s="4" t="n">
        <v>22</v>
      </c>
      <c r="J2" s="4" t="n">
        <v>737</v>
      </c>
      <c r="K2" s="4" t="n">
        <v>1421</v>
      </c>
      <c r="L2" s="4" t="n">
        <v>2180</v>
      </c>
      <c r="M2" s="6" t="n">
        <f aca="false">E2/SUM(E2:G2)</f>
        <v>0.986238532110092</v>
      </c>
      <c r="N2" s="6" t="n">
        <f aca="false">K2/SUM(I2:K2)</f>
        <v>0.651834862385321</v>
      </c>
      <c r="O2" s="6" t="n">
        <f aca="false">F2/H2</f>
        <v>0.0100917431192661</v>
      </c>
      <c r="P2" s="6" t="n">
        <f aca="false">J2/L2</f>
        <v>0.338073394495413</v>
      </c>
      <c r="Q2" s="6" t="n">
        <f aca="false">(F2+J2)/(H2+L2)</f>
        <v>0.228746177370031</v>
      </c>
      <c r="R2" s="6" t="n">
        <f aca="false">(G2+I2)/(H2+L2)</f>
        <v>0.00795107033639144</v>
      </c>
      <c r="S2" s="6" t="n">
        <f aca="false">(G2+I2)/(E2+G2+I2+K2)</f>
        <v>0.0103092783505155</v>
      </c>
      <c r="T2" s="6" t="n">
        <f aca="false">1 - (E2+K2)/(H2+L2)</f>
        <v>0.236697247706422</v>
      </c>
      <c r="U2" s="6" t="n">
        <f aca="false">Sheet1!AH2</f>
        <v>0.763302752293578</v>
      </c>
      <c r="V2" s="6" t="n">
        <f aca="false">Sheet1!AI2</f>
        <v>0.00795107033639144</v>
      </c>
      <c r="W2" s="6" t="n">
        <f aca="false">Sheet1!AJ2</f>
        <v>0.228746177370031</v>
      </c>
      <c r="X2" s="6" t="n">
        <f aca="false">1-U2</f>
        <v>0.236697247706422</v>
      </c>
      <c r="Y2" s="1"/>
      <c r="Z2" s="1"/>
      <c r="AA2" s="1"/>
      <c r="AB2" s="1"/>
      <c r="AC2" s="1"/>
    </row>
    <row r="3" customFormat="false" ht="12.8" hidden="false" customHeight="false" outlineLevel="0" collapsed="false">
      <c r="A3" s="4" t="s">
        <v>58</v>
      </c>
      <c r="B3" s="4" t="n">
        <v>2023</v>
      </c>
      <c r="C3" s="4" t="s">
        <v>59</v>
      </c>
      <c r="D3" s="4" t="s">
        <v>45</v>
      </c>
      <c r="E3" s="1" t="n">
        <v>1056</v>
      </c>
      <c r="F3" s="1" t="n">
        <f aca="false">177+140+22</f>
        <v>339</v>
      </c>
      <c r="G3" s="1" t="n">
        <v>25</v>
      </c>
      <c r="H3" s="1" t="n">
        <f aca="false">SUM(E3:G3)</f>
        <v>1420</v>
      </c>
      <c r="I3" s="1" t="n">
        <v>26</v>
      </c>
      <c r="J3" s="1" t="n">
        <f aca="false">177+637+620</f>
        <v>1434</v>
      </c>
      <c r="K3" s="1" t="n">
        <f aca="false">1375</f>
        <v>1375</v>
      </c>
      <c r="L3" s="1" t="n">
        <f aca="false">SUM(I3:K3)</f>
        <v>2835</v>
      </c>
      <c r="M3" s="6" t="n">
        <f aca="false">E3/SUM(E3:G3)</f>
        <v>0.743661971830986</v>
      </c>
      <c r="N3" s="6" t="n">
        <f aca="false">K3/SUM(I3:K3)</f>
        <v>0.485008818342152</v>
      </c>
      <c r="O3" s="6" t="n">
        <f aca="false">F3/H3</f>
        <v>0.238732394366197</v>
      </c>
      <c r="P3" s="6" t="n">
        <f aca="false">J3/L3</f>
        <v>0.505820105820106</v>
      </c>
      <c r="Q3" s="6" t="n">
        <f aca="false">(F3+J3)/(H3+L3)</f>
        <v>0.41668625146886</v>
      </c>
      <c r="R3" s="6" t="n">
        <f aca="false">(G3+I3)/(H3+L3)</f>
        <v>0.0119858989424207</v>
      </c>
      <c r="S3" s="6" t="n">
        <f aca="false">(G3+I3)/(E3+G3+I3+K3)</f>
        <v>0.0205479452054795</v>
      </c>
      <c r="T3" s="6" t="n">
        <f aca="false">1 - (E3+K3)/(H3+L3)</f>
        <v>0.428672150411281</v>
      </c>
      <c r="U3" s="6" t="n">
        <f aca="false">Sheet1!AH6</f>
        <v>0.571327849588719</v>
      </c>
      <c r="V3" s="6" t="n">
        <f aca="false">Sheet1!AI6</f>
        <v>0.0119858989424207</v>
      </c>
      <c r="W3" s="6" t="n">
        <f aca="false">Sheet1!AJ6</f>
        <v>0.41668625146886</v>
      </c>
      <c r="X3" s="6" t="n">
        <f aca="false">1-U3</f>
        <v>0.428672150411281</v>
      </c>
      <c r="Y3" s="1"/>
      <c r="Z3" s="1"/>
      <c r="AA3" s="1"/>
      <c r="AB3" s="1"/>
      <c r="AC3" s="1"/>
    </row>
    <row r="4" customFormat="false" ht="12.8" hidden="false" customHeight="false" outlineLevel="0" collapsed="false">
      <c r="A4" s="4" t="s">
        <v>65</v>
      </c>
      <c r="B4" s="4" t="n">
        <v>2023</v>
      </c>
      <c r="C4" s="4" t="s">
        <v>66</v>
      </c>
      <c r="D4" s="4" t="s">
        <v>45</v>
      </c>
      <c r="E4" s="1" t="n">
        <v>1075</v>
      </c>
      <c r="F4" s="1" t="n">
        <v>11</v>
      </c>
      <c r="G4" s="1" t="n">
        <v>4</v>
      </c>
      <c r="H4" s="1" t="n">
        <v>1090</v>
      </c>
      <c r="I4" s="1" t="n">
        <v>22</v>
      </c>
      <c r="J4" s="1" t="n">
        <v>735</v>
      </c>
      <c r="K4" s="1" t="n">
        <v>1421</v>
      </c>
      <c r="L4" s="1" t="n">
        <v>2178</v>
      </c>
      <c r="M4" s="6" t="n">
        <f aca="false">E4/SUM(E4:G4)</f>
        <v>0.986238532110092</v>
      </c>
      <c r="N4" s="6" t="n">
        <f aca="false">K4/SUM(I4:K4)</f>
        <v>0.652433425160698</v>
      </c>
      <c r="O4" s="6" t="n">
        <f aca="false">F4/H4</f>
        <v>0.0100917431192661</v>
      </c>
      <c r="P4" s="6" t="n">
        <f aca="false">J4/L4</f>
        <v>0.337465564738292</v>
      </c>
      <c r="Q4" s="6" t="n">
        <f aca="false">(F4+J4)/(H4+L4)</f>
        <v>0.22827417380661</v>
      </c>
      <c r="R4" s="6" t="n">
        <f aca="false">(G4+I4)/(H4+L4)</f>
        <v>0.00795593635250918</v>
      </c>
      <c r="S4" s="6" t="n">
        <f aca="false">(G4+I4)/(E4+G4+I4+K4)</f>
        <v>0.0103092783505155</v>
      </c>
      <c r="T4" s="6" t="n">
        <f aca="false">1 - (E4+K4)/(H4+L4)</f>
        <v>0.236230110159119</v>
      </c>
      <c r="U4" s="6" t="n">
        <f aca="false">Sheet1!AH7</f>
        <v>0.763769889840881</v>
      </c>
      <c r="V4" s="6" t="n">
        <f aca="false">Sheet1!AI7</f>
        <v>0.00795593635250918</v>
      </c>
      <c r="W4" s="6" t="n">
        <f aca="false">Sheet1!AJ7</f>
        <v>0.22827417380661</v>
      </c>
      <c r="X4" s="6" t="n">
        <f aca="false">1-U4</f>
        <v>0.236230110159119</v>
      </c>
      <c r="Y4" s="1"/>
      <c r="Z4" s="1"/>
      <c r="AA4" s="1"/>
      <c r="AB4" s="1"/>
      <c r="AC4" s="1"/>
    </row>
    <row r="5" customFormat="false" ht="12.8" hidden="false" customHeight="false" outlineLevel="0" collapsed="false">
      <c r="A5" s="1" t="s">
        <v>68</v>
      </c>
      <c r="B5" s="1" t="n">
        <v>2023</v>
      </c>
      <c r="C5" s="1" t="s">
        <v>69</v>
      </c>
      <c r="D5" s="1" t="s">
        <v>45</v>
      </c>
      <c r="E5" s="1" t="n">
        <v>851</v>
      </c>
      <c r="F5" s="1" t="n">
        <v>59</v>
      </c>
      <c r="G5" s="1" t="n">
        <v>1</v>
      </c>
      <c r="H5" s="1" t="n">
        <v>911</v>
      </c>
      <c r="I5" s="1" t="n">
        <v>5</v>
      </c>
      <c r="J5" s="1" t="n">
        <v>323</v>
      </c>
      <c r="K5" s="1" t="n">
        <v>572</v>
      </c>
      <c r="L5" s="1" t="n">
        <v>900</v>
      </c>
      <c r="M5" s="6" t="n">
        <f aca="false">E5/SUM(E5:G5)</f>
        <v>0.934138309549945</v>
      </c>
      <c r="N5" s="6" t="n">
        <f aca="false">K5/SUM(I5:K5)</f>
        <v>0.635555555555556</v>
      </c>
      <c r="O5" s="6" t="n">
        <f aca="false">F5/H5</f>
        <v>0.0647639956092206</v>
      </c>
      <c r="P5" s="6" t="n">
        <f aca="false">J5/L5</f>
        <v>0.358888888888889</v>
      </c>
      <c r="Q5" s="6" t="n">
        <f aca="false">(F5+J5)/(H5+L5)</f>
        <v>0.210933186085036</v>
      </c>
      <c r="R5" s="6" t="n">
        <f aca="false">(G5+I5)/(H5+L5)</f>
        <v>0.00331308669243512</v>
      </c>
      <c r="S5" s="6" t="n">
        <f aca="false">(G5+I5)/(E5+G5+I5+K5)</f>
        <v>0.00419874037788663</v>
      </c>
      <c r="T5" s="6" t="n">
        <f aca="false">1 - (E5+K5)/(H5+L5)</f>
        <v>0.214246272777471</v>
      </c>
      <c r="U5" s="6" t="n">
        <f aca="false">Sheet1!AH10</f>
        <v>0.363636363636364</v>
      </c>
      <c r="V5" s="6" t="n">
        <f aca="false">Sheet1!AI10</f>
        <v>0</v>
      </c>
      <c r="W5" s="6" t="n">
        <f aca="false">Sheet1!AJ10</f>
        <v>0.636363636363636</v>
      </c>
      <c r="X5" s="6" t="n">
        <f aca="false">1-U5</f>
        <v>0.636363636363636</v>
      </c>
      <c r="Y5" s="1"/>
      <c r="Z5" s="1"/>
      <c r="AA5" s="1"/>
      <c r="AB5" s="1"/>
      <c r="AC5" s="1"/>
    </row>
    <row r="6" customFormat="false" ht="12.8" hidden="false" customHeight="false" outlineLevel="0" collapsed="false">
      <c r="A6" s="1" t="s">
        <v>71</v>
      </c>
      <c r="B6" s="1" t="n">
        <v>2018</v>
      </c>
      <c r="C6" s="1" t="s">
        <v>72</v>
      </c>
      <c r="D6" s="1" t="s">
        <v>45</v>
      </c>
      <c r="E6" s="1" t="n">
        <v>1508</v>
      </c>
      <c r="F6" s="1" t="n">
        <v>4</v>
      </c>
      <c r="G6" s="1" t="n">
        <v>0</v>
      </c>
      <c r="H6" s="1" t="n">
        <v>1512</v>
      </c>
      <c r="I6" s="1" t="n">
        <v>0</v>
      </c>
      <c r="J6" s="1" t="n">
        <v>203</v>
      </c>
      <c r="K6" s="1" t="n">
        <v>805</v>
      </c>
      <c r="L6" s="1" t="n">
        <v>1008</v>
      </c>
      <c r="M6" s="6" t="n">
        <f aca="false">E6/SUM(E6:G6)</f>
        <v>0.997354497354497</v>
      </c>
      <c r="N6" s="6" t="n">
        <f aca="false">K6/SUM(I6:K6)</f>
        <v>0.798611111111111</v>
      </c>
      <c r="O6" s="6" t="n">
        <f aca="false">F6/H6</f>
        <v>0.00264550264550265</v>
      </c>
      <c r="P6" s="6" t="n">
        <f aca="false">J6/L6</f>
        <v>0.201388888888889</v>
      </c>
      <c r="Q6" s="6" t="n">
        <f aca="false">(F6+J6)/(H6+L6)</f>
        <v>0.0821428571428571</v>
      </c>
      <c r="R6" s="6" t="n">
        <f aca="false">(G6+I6)/(H6+L6)</f>
        <v>0</v>
      </c>
      <c r="S6" s="6" t="n">
        <f aca="false">(G6+I6)/(E6+G6+I6+K6)</f>
        <v>0</v>
      </c>
      <c r="T6" s="6" t="n">
        <f aca="false">1 - (E6+K6)/(H6+L6)</f>
        <v>0.0821428571428572</v>
      </c>
      <c r="U6" s="6" t="n">
        <f aca="false">Sheet1!AH12</f>
        <v>0.750844594594595</v>
      </c>
      <c r="V6" s="6" t="n">
        <f aca="false">Sheet1!AI12</f>
        <v>0.00253378378378378</v>
      </c>
      <c r="W6" s="6" t="n">
        <f aca="false">Sheet1!AJ12</f>
        <v>0.246621621621622</v>
      </c>
      <c r="X6" s="6" t="n">
        <f aca="false">1-U6</f>
        <v>0.249155405405405</v>
      </c>
      <c r="Y6" s="1"/>
      <c r="Z6" s="1"/>
      <c r="AA6" s="1"/>
      <c r="AB6" s="1"/>
      <c r="AC6" s="1"/>
    </row>
    <row r="7" customFormat="false" ht="12.8" hidden="false" customHeight="false" outlineLevel="0" collapsed="false">
      <c r="B7" s="1"/>
      <c r="Y7" s="1"/>
      <c r="Z7" s="1"/>
      <c r="AA7" s="1"/>
      <c r="AB7" s="1"/>
      <c r="AC7" s="1"/>
    </row>
    <row r="8" customFormat="false" ht="23.7" hidden="false" customHeight="false" outlineLevel="0" collapsed="false">
      <c r="B8" s="1" t="s">
        <v>37</v>
      </c>
      <c r="C8" s="1" t="s">
        <v>38</v>
      </c>
      <c r="D8" s="5" t="s">
        <v>125</v>
      </c>
      <c r="E8" s="5" t="s">
        <v>126</v>
      </c>
      <c r="F8" s="5" t="s">
        <v>127</v>
      </c>
      <c r="Y8" s="1"/>
      <c r="Z8" s="1"/>
      <c r="AA8" s="1"/>
      <c r="AB8" s="1"/>
      <c r="AC8" s="1"/>
    </row>
    <row r="9" customFormat="false" ht="12.8" hidden="false" customHeight="false" outlineLevel="0" collapsed="false">
      <c r="A9" s="1" t="s">
        <v>41</v>
      </c>
      <c r="B9" s="6" t="n">
        <v>0.986238532110092</v>
      </c>
      <c r="C9" s="6" t="n">
        <v>0.651834862385321</v>
      </c>
      <c r="D9" s="6" t="n">
        <v>0.0100917431192661</v>
      </c>
      <c r="E9" s="6" t="n">
        <v>0.338073394495413</v>
      </c>
      <c r="F9" s="6" t="n">
        <v>0.228746177370031</v>
      </c>
      <c r="Y9" s="1"/>
      <c r="Z9" s="1"/>
      <c r="AA9" s="1"/>
      <c r="AB9" s="1"/>
      <c r="AC9" s="1"/>
    </row>
    <row r="10" customFormat="false" ht="12.8" hidden="false" customHeight="false" outlineLevel="0" collapsed="false">
      <c r="A10" s="4" t="s">
        <v>58</v>
      </c>
      <c r="B10" s="6" t="n">
        <v>0.743661971830986</v>
      </c>
      <c r="C10" s="6" t="n">
        <v>0.485008818342152</v>
      </c>
      <c r="D10" s="6" t="n">
        <v>0.238732394366197</v>
      </c>
      <c r="E10" s="6" t="n">
        <v>0.505820105820106</v>
      </c>
      <c r="F10" s="6" t="n">
        <v>0.41668625146886</v>
      </c>
      <c r="Y10" s="1"/>
      <c r="Z10" s="1"/>
      <c r="AA10" s="1"/>
      <c r="AB10" s="1"/>
      <c r="AC10" s="1"/>
    </row>
    <row r="11" customFormat="false" ht="12.8" hidden="false" customHeight="false" outlineLevel="0" collapsed="false">
      <c r="A11" s="4" t="s">
        <v>65</v>
      </c>
      <c r="B11" s="6" t="n">
        <v>0.986238532110092</v>
      </c>
      <c r="C11" s="6" t="n">
        <v>0.652433425160698</v>
      </c>
      <c r="D11" s="6" t="n">
        <v>0.0100917431192661</v>
      </c>
      <c r="E11" s="6" t="n">
        <v>0.337465564738292</v>
      </c>
      <c r="F11" s="6" t="n">
        <v>0.22827417380661</v>
      </c>
      <c r="Y11" s="1"/>
      <c r="Z11" s="1"/>
      <c r="AA11" s="1"/>
      <c r="AB11" s="1"/>
      <c r="AC11" s="1"/>
    </row>
    <row r="12" customFormat="false" ht="12.8" hidden="false" customHeight="false" outlineLevel="0" collapsed="false">
      <c r="A12" s="1" t="s">
        <v>68</v>
      </c>
      <c r="B12" s="6" t="n">
        <v>0.934138309549945</v>
      </c>
      <c r="C12" s="6" t="n">
        <v>0.635555555555556</v>
      </c>
      <c r="D12" s="6" t="n">
        <v>0.0647639956092206</v>
      </c>
      <c r="E12" s="6" t="n">
        <v>0.358888888888889</v>
      </c>
      <c r="F12" s="6" t="n">
        <v>0.210933186085036</v>
      </c>
      <c r="Y12" s="1"/>
      <c r="Z12" s="1"/>
      <c r="AA12" s="1"/>
      <c r="AB12" s="1"/>
      <c r="AC12" s="1"/>
    </row>
    <row r="13" customFormat="false" ht="12.8" hidden="false" customHeight="false" outlineLevel="0" collapsed="false">
      <c r="A13" s="1" t="s">
        <v>71</v>
      </c>
      <c r="B13" s="6" t="n">
        <v>0.997354497354497</v>
      </c>
      <c r="C13" s="6" t="n">
        <v>0.798611111111111</v>
      </c>
      <c r="D13" s="6" t="n">
        <v>0.00264550264550265</v>
      </c>
      <c r="E13" s="6" t="n">
        <v>0.201388888888889</v>
      </c>
      <c r="F13" s="6" t="n">
        <v>0.0821428571428571</v>
      </c>
      <c r="Y13" s="1"/>
      <c r="Z13" s="1"/>
      <c r="AA13" s="1"/>
      <c r="AB13" s="1"/>
      <c r="AC13" s="1"/>
    </row>
    <row r="14" customFormat="false" ht="12.8" hidden="false" customHeight="false" outlineLevel="0" collapsed="false">
      <c r="B14" s="1"/>
      <c r="E14" s="6"/>
      <c r="Y14" s="1"/>
      <c r="Z14" s="1"/>
      <c r="AA14" s="1"/>
      <c r="AB14" s="1"/>
      <c r="AC14" s="1"/>
    </row>
    <row r="15" customFormat="false" ht="23.7" hidden="false" customHeight="false" outlineLevel="0" collapsed="false">
      <c r="B15" s="5" t="s">
        <v>128</v>
      </c>
      <c r="C15" s="5" t="s">
        <v>129</v>
      </c>
      <c r="D15" s="5" t="s">
        <v>130</v>
      </c>
      <c r="Y15" s="1"/>
      <c r="Z15" s="1"/>
      <c r="AA15" s="1"/>
      <c r="AB15" s="1"/>
      <c r="AC15" s="1"/>
    </row>
    <row r="16" customFormat="false" ht="12.8" hidden="false" customHeight="false" outlineLevel="0" collapsed="false">
      <c r="A16" s="1" t="s">
        <v>41</v>
      </c>
      <c r="B16" s="6" t="n">
        <v>0.00795107033639144</v>
      </c>
      <c r="C16" s="6" t="n">
        <v>0.0103092783505155</v>
      </c>
      <c r="D16" s="6" t="n">
        <v>0.236697247706422</v>
      </c>
      <c r="Y16" s="1"/>
      <c r="Z16" s="1"/>
      <c r="AA16" s="1"/>
      <c r="AB16" s="1"/>
      <c r="AC16" s="1"/>
    </row>
    <row r="17" customFormat="false" ht="12.8" hidden="false" customHeight="false" outlineLevel="0" collapsed="false">
      <c r="A17" s="4" t="s">
        <v>58</v>
      </c>
      <c r="B17" s="6" t="n">
        <v>0.0119858989424207</v>
      </c>
      <c r="C17" s="6" t="n">
        <v>0.0205479452054795</v>
      </c>
      <c r="D17" s="6" t="n">
        <v>0.428672150411281</v>
      </c>
      <c r="Y17" s="1"/>
      <c r="Z17" s="1"/>
      <c r="AA17" s="1"/>
      <c r="AB17" s="1"/>
      <c r="AC17" s="1"/>
    </row>
    <row r="18" customFormat="false" ht="12.8" hidden="false" customHeight="false" outlineLevel="0" collapsed="false">
      <c r="A18" s="4" t="s">
        <v>65</v>
      </c>
      <c r="B18" s="6" t="n">
        <v>0.00795593635250918</v>
      </c>
      <c r="C18" s="6" t="n">
        <v>0.0103092783505155</v>
      </c>
      <c r="D18" s="6" t="n">
        <v>0.236230110159119</v>
      </c>
      <c r="Y18" s="1"/>
      <c r="Z18" s="1"/>
      <c r="AA18" s="1"/>
      <c r="AB18" s="1"/>
      <c r="AC18" s="1"/>
    </row>
    <row r="19" customFormat="false" ht="12.8" hidden="false" customHeight="false" outlineLevel="0" collapsed="false">
      <c r="A19" s="1" t="s">
        <v>68</v>
      </c>
      <c r="B19" s="6" t="n">
        <v>0.00331308669243512</v>
      </c>
      <c r="C19" s="6" t="n">
        <v>0.00419874037788663</v>
      </c>
      <c r="D19" s="6" t="n">
        <v>0.214246272777471</v>
      </c>
      <c r="Y19" s="1"/>
      <c r="Z19" s="1"/>
      <c r="AA19" s="1"/>
      <c r="AB19" s="1"/>
      <c r="AC19" s="1"/>
    </row>
    <row r="20" customFormat="false" ht="12.8" hidden="false" customHeight="false" outlineLevel="0" collapsed="false">
      <c r="A20" s="1" t="s">
        <v>71</v>
      </c>
      <c r="B20" s="6" t="n">
        <v>0</v>
      </c>
      <c r="C20" s="6" t="n">
        <v>0</v>
      </c>
      <c r="D20" s="6" t="n">
        <v>0.0821428571428572</v>
      </c>
      <c r="Y20" s="1"/>
      <c r="Z20" s="1"/>
      <c r="AA20" s="1"/>
      <c r="AB20" s="1"/>
      <c r="AC20" s="1"/>
    </row>
    <row r="21" customFormat="false" ht="12.8" hidden="false" customHeight="false" outlineLevel="0" collapsed="false">
      <c r="Y21" s="1"/>
      <c r="Z21" s="1"/>
      <c r="AA21" s="1"/>
      <c r="AB21" s="1"/>
      <c r="AC21" s="1"/>
    </row>
    <row r="22" customFormat="false" ht="12.8" hidden="false" customHeight="false" outlineLevel="0" collapsed="false">
      <c r="Y22" s="1"/>
      <c r="Z22" s="1"/>
      <c r="AA22" s="1"/>
      <c r="AB22" s="1"/>
      <c r="AC22" s="1"/>
    </row>
    <row r="25" customFormat="false" ht="12.8" hidden="false" customHeight="false" outlineLevel="0" collapsed="false">
      <c r="Y25" s="1"/>
      <c r="Z25" s="1"/>
      <c r="AA25" s="1"/>
      <c r="AB25" s="1"/>
      <c r="AC25" s="1"/>
    </row>
    <row r="26" customFormat="false" ht="12.8" hidden="false" customHeight="false" outlineLevel="0" collapsed="false">
      <c r="Y26" s="1"/>
      <c r="Z26" s="1"/>
      <c r="AA26" s="1"/>
      <c r="AB26" s="1"/>
      <c r="AC26"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1194</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2023-06-27T16:22:36Z</dcterms:created>
  <dc:creator/>
  <dc:description/>
  <dc:language>en-US</dc:language>
  <cp:lastModifiedBy/>
  <dcterms:modified xsi:type="dcterms:W3CDTF">2025-04-24T14:02:07Z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