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Sheet1!$A$2:$AN$25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<sst xmlns="http://schemas.openxmlformats.org/spreadsheetml/2006/main" count="439" uniqueCount="127">
  <si>
    <t xml:space="preserve">Study Key</t>
  </si>
  <si>
    <t xml:space="preserve">Year</t>
  </si>
  <si>
    <t xml:space="preserve">URL</t>
  </si>
  <si>
    <t xml:space="preserve">Description</t>
  </si>
  <si>
    <t xml:space="preserve">ExamType</t>
  </si>
  <si>
    <t xml:space="preserve">EvidenceType</t>
  </si>
  <si>
    <t xml:space="preserve">Volunteers</t>
  </si>
  <si>
    <t xml:space="preserve">Data_Available</t>
  </si>
  <si>
    <t xml:space="preserve">Open</t>
  </si>
  <si>
    <t xml:space="preserve">StudyType</t>
  </si>
  <si>
    <t xml:space="preserve">Drop_Out_Rate</t>
  </si>
  <si>
    <t xml:space="preserve">Item_Nonresponse_Rate</t>
  </si>
  <si>
    <t xml:space="preserve">Algorithm</t>
  </si>
  <si>
    <t xml:space="preserve">Set_SS_Comparisons</t>
  </si>
  <si>
    <t xml:space="preserve">Set_DS_Comparisons</t>
  </si>
  <si>
    <t xml:space="preserve">Set_US_Comparisons</t>
  </si>
  <si>
    <t xml:space="preserve">Kit_Knowns</t>
  </si>
  <si>
    <t xml:space="preserve">Kit_Unknowns</t>
  </si>
  <si>
    <t xml:space="preserve">Participants</t>
  </si>
  <si>
    <t xml:space="preserve">SS_ID</t>
  </si>
  <si>
    <t xml:space="preserve">SS_IN</t>
  </si>
  <si>
    <t xml:space="preserve">SS_EL</t>
  </si>
  <si>
    <t xml:space="preserve">SS_Tot</t>
  </si>
  <si>
    <t xml:space="preserve">DS_ID</t>
  </si>
  <si>
    <t xml:space="preserve">DS_IN</t>
  </si>
  <si>
    <t xml:space="preserve">DS_EL</t>
  </si>
  <si>
    <t xml:space="preserve">DS_Tot</t>
  </si>
  <si>
    <t xml:space="preserve">JournalType</t>
  </si>
  <si>
    <t xml:space="preserve">PeerReview</t>
  </si>
  <si>
    <t xml:space="preserve">Notes</t>
  </si>
  <si>
    <t xml:space="preserve">CSDR</t>
  </si>
  <si>
    <t xml:space="preserve">Overall_Error</t>
  </si>
  <si>
    <t xml:space="preserve">Inconclusive_Rate</t>
  </si>
  <si>
    <t xml:space="preserve">FPR</t>
  </si>
  <si>
    <t xml:space="preserve">FNR</t>
  </si>
  <si>
    <t xml:space="preserve">Sensitivity</t>
  </si>
  <si>
    <t xml:space="preserve">Specificity</t>
  </si>
  <si>
    <t xml:space="preserve">Inconclusives_as_Errors</t>
  </si>
  <si>
    <t xml:space="preserve">Reliable</t>
  </si>
  <si>
    <t xml:space="preserve">baldwinStudyFalsePositiveFalseNegative2014</t>
  </si>
  <si>
    <t xml:space="preserve">Ames I</t>
  </si>
  <si>
    <t xml:space="preserve">https://www.ojp.gov/pdffiles1/nij/249874.pdf</t>
  </si>
  <si>
    <t xml:space="preserve">The Baldwin study  was designed such that each test kit consists of 15 sets of 3 known cartridge cases and 1 questioned cartridge case. In 5 of the 15 sets the questioned cartridge was from the same source as the knowns, while the other 10 questioned cartridges were from different sources as their respective knowns. 25 firearms were used for the study, such that within each kit no firearm was re-used for either knowns or questioned cartridge cases, i.e. no additional information could be gained by comparing any cartridge cases across sets.</t>
  </si>
  <si>
    <t xml:space="preserve">Cartridge</t>
  </si>
  <si>
    <t xml:space="preserve">Physical</t>
  </si>
  <si>
    <t xml:space="preserve">T</t>
  </si>
  <si>
    <t xml:space="preserve">F</t>
  </si>
  <si>
    <t xml:space="preserve">Pair</t>
  </si>
  <si>
    <t xml:space="preserve">Report</t>
  </si>
  <si>
    <t xml:space="preserve">No</t>
  </si>
  <si>
    <t xml:space="preserve">bunch2003comprehensive</t>
  </si>
  <si>
    <t xml:space="preserve">Bunch used a study design that is not conducive to a quick summary. The study consisted of 8 test kits of varying composition; the test kits were evaluated by 8 examiners at the FBI laboratory. </t>
  </si>
  <si>
    <t xml:space="preserve">Kit</t>
  </si>
  <si>
    <t xml:space="preserve">Varies</t>
  </si>
  <si>
    <t xml:space="preserve">?</t>
  </si>
  <si>
    <t xml:space="preserve">Trade</t>
  </si>
  <si>
    <t xml:space="preserve">Yes</t>
  </si>
  <si>
    <t xml:space="preserve">chapnickResults3DVirtual2021</t>
  </si>
  <si>
    <t xml:space="preserve">https://onlinelibrary.wiley.com/doi/abs/10.1111/1556-4029.14602</t>
  </si>
  <si>
    <t xml:space="preserve">The VCMER study [used virtual microscopy to evaluate scans of cartridge cases. Each participant was asked to make sixteen evaluations of breech face impressions, selected from a total of forty sets in a balanced incomplete block design. Each set consisted of two exemplars and one questioned bullet. Data from this study was also reported in lilienFirearmForensicsBlackBox2019.</t>
  </si>
  <si>
    <t xml:space="preserve">Breech Face</t>
  </si>
  <si>
    <t xml:space="preserve">Virtual</t>
  </si>
  <si>
    <t xml:space="preserve">$\geq$ 0.29 [^17]</t>
  </si>
  <si>
    <t xml:space="preserve">Research</t>
  </si>
  <si>
    <t xml:space="preserve">monsonAccuracyComparisonDecisions2023</t>
  </si>
  <si>
    <t xml:space="preserve">Ames II – Reliability</t>
  </si>
  <si>
    <t xml:space="preserve">https://onlinelibrary.wiley.com/doi/full/10.1111/1556-4029.15152</t>
  </si>
  <si>
    <t xml:space="preserve">Ames II accuracy study writeup</t>
  </si>
  <si>
    <t xml:space="preserve">Bullet</t>
  </si>
  <si>
    <t xml:space="preserve">Partially [^18]</t>
  </si>
  <si>
    <t xml:space="preserve">Unreported</t>
  </si>
  <si>
    <t xml:space="preserve">0.356 [^19]</t>
  </si>
  <si>
    <t xml:space="preserve">baldwinStudyExaminerAccuracy2023</t>
  </si>
  <si>
    <t xml:space="preserve">Baldwin 2023</t>
  </si>
  <si>
    <t xml:space="preserve">https://doi.org/10.1016/j.forsciint.2023.111733</t>
  </si>
  <si>
    <t xml:space="preserve">duezDevelopmentValidationVirtual2018</t>
  </si>
  <si>
    <t xml:space="preserve">https://onlinelibrary.wiley.com/doi/abs/10.1111/1556-4029.13668</t>
  </si>
  <si>
    <t xml:space="preserve">The Duez study used virtual microscopy to evaluate scans of cartridge cases. Each participant was asked to make eight evaluations of breech face impressions. These consisted of two sets: CCTS1, a set of three knowns, four questioned breech face impressions. All questioned breech face impressions are from the same source as the knowns. CCTS2, a set of three knowns, four questioned breech face impressions. Two questioned breech face impressions are from the same source, two are from different sources. Both sets were evaluated by 56 participants (46 fully certified examiners and 10 trainees). CCTS1 resulted in 56 x 4 correct identifications. The design of the experiment does not allow us to quantify all of the quantities to evaluate examiner performance unless we aggregate performance over both sets. </t>
  </si>
  <si>
    <t xml:space="preserve">fadulEmpiricalStudyImprove2013a</t>
  </si>
  <si>
    <t xml:space="preserve">Slide</t>
  </si>
  <si>
    <t xml:space="preserve">0.23 [^16]</t>
  </si>
  <si>
    <t xml:space="preserve">NA</t>
  </si>
  <si>
    <t xml:space="preserve">guyllValidityForensicCartridgecase2023</t>
  </si>
  <si>
    <t xml:space="preserve">Guyll</t>
  </si>
  <si>
    <t xml:space="preserve">https://www.pnas.org/doi/abs/10.1073/pnas.2210428120</t>
  </si>
  <si>
    <t xml:space="preserve">hambyWorldwideStudyBullets2019</t>
  </si>
  <si>
    <t xml:space="preserve">https://onlinelibrary.wiley.com/doi/abs/10.1111/1556-4029.13916</t>
  </si>
  <si>
    <t xml:space="preserve">The Brundage-Hamby study consists of sets of 20 test fires from known barrels and 15 questioned bullets. The 20 known test fires are 2 bullets from each of ten consecutively manufactured barrels. The Brundage-Hamby study is a closed set study, i.e. the 15 questioned bullets are known to be fired from one of these ten barrels. Participants (firearm examiners) are asked to identify which of the knowns a questioned bullet matches. The study was originally reported on by Brundage in 1998. Updates on the study with increasing number of responses have been published several times since.</t>
  </si>
  <si>
    <t xml:space="preserve">keislerIsolatedPairsResearch2018</t>
  </si>
  <si>
    <t xml:space="preserve">Keisler</t>
  </si>
  <si>
    <t xml:space="preserve">The Keisler Study  was designed so that each test kit consisted of sets of 20 pairs of cartridge cases from Smith &amp; Wesson pistols, where 12 of the pairs were from the same source and 8 pairs were from different sources.  Kits were assembled using only 9 Smith &amp; Wesson pistols (i.e. there is a potential to gain additional information by making comparisons across sets). However, participants were instructed to only compare single pairs.</t>
  </si>
  <si>
    <t xml:space="preserve">lawEvaluatingFirearmExaminer2021</t>
  </si>
  <si>
    <t xml:space="preserve">https://onlinelibrary.wiley.com/doi/abs/10.1111/1556-4029.14758</t>
  </si>
  <si>
    <t xml:space="preserve">Casting</t>
  </si>
  <si>
    <t xml:space="preserve">Partially </t>
  </si>
  <si>
    <t xml:space="preserve">One participant dropped out after completing all 20 kits; this participant made 5 FP errors</t>
  </si>
  <si>
    <t xml:space="preserve">lyonsIdentificationConsecutivelyManufactured2009</t>
  </si>
  <si>
    <t xml:space="preserve">https://unl.illiad.oclc.org/illiad/illiad.dll?Action=10&amp;Form=75&amp;Value=1315162</t>
  </si>
  <si>
    <t xml:space="preserve"> The Lyons study examined marks made by 10 consecutively manufactured extractors (manufactured by Caspian Arms Ltd). Kits were assembled from 32 cartridge cases: 20 known cartridge cases from pairs of 2 cartridges from each of the 10 extractors (the knowns) and 12 questioned cartridges, such that each known corresponded to at least one questioned, with some replication in most of the kits (one kit accidentally only had ten questioned cartridges). Thus, the setup of this study is similar to the Brundage-Hamby study. This study suffers from the same problems as the Brundage-Hamby study: it is a closed set study with multiple knowns and asks for identifications only. We can therefore only estimate a fraction of the relevant error rates. It is also not possible to determine the total number of independent different source comparisons. </t>
  </si>
  <si>
    <t xml:space="preserve">Extractor</t>
  </si>
  <si>
    <t xml:space="preserve">mattijssenValidityReliabilityForensic2020</t>
  </si>
  <si>
    <t xml:space="preserve">http://www.sciencedirect.com/science/article/pii/S0379073819305249</t>
  </si>
  <si>
    <t xml:space="preserve">The Mattijssen study examined firing pin aperture shear marks made by 200 9mm Luger Glock pistols confiscated in the Netherlands. The study considered both 3D scans and 2D images; examinations were of the resulting digital representations rather than the actual physical objects. Seventy-seven examiners from 5 continents participated in the study; of these, 75 were fully qualified examiners. Of the participants, 58 indicated that they provided categorical conclusions (exclusion/inclusion/inconclusive), 13 provided probabilistic conclusions, and 6 used a 5-step reporting scale as in FAID09.</t>
  </si>
  <si>
    <t xml:space="preserve">Aperture shear</t>
  </si>
  <si>
    <t xml:space="preserve">Image</t>
  </si>
  <si>
    <t xml:space="preserve">mayland2012validation</t>
  </si>
  <si>
    <t xml:space="preserve">Unreported [^15]</t>
  </si>
  <si>
    <t xml:space="preserve">neumanBlindTestingFirearms2022</t>
  </si>
  <si>
    <t xml:space="preserve">https://onlinelibrary.wiley.com/doi/abs/10.1111/1556-4029.15031</t>
  </si>
  <si>
    <t xml:space="preserve">The Houston Forensic Science Center blind firearms proficiency study consisted of 272 bullet and 265 cartridge comparisons conducted as blind proficiency tests by 11 HFSC examiners. </t>
  </si>
  <si>
    <t xml:space="preserve">pauw2013faid</t>
  </si>
  <si>
    <t xml:space="preserve">The FAID09 study consists of 10 sets of 3 knowns and 1 unknown, in both bullets and cartridge cases. Test sets were castings of the original fired bullets and cases, rather than the objects themselves. Examiners reported conclusions on a 5-point (+ unsuitable) scale, where A corresponds to identification, B corresponds to probable identification or AFTE Inconclusive-A, C corresponds to inconclusive or AFTE Inconclusive B, D corresponds to probable exclusion, or AFTE Inconclusive C, and E corresponds to Exclusion; Z corresponds to unsuitable. There were between 62 and 64 evaluations of each set.</t>
  </si>
  <si>
    <t xml:space="preserve">smithBerettaBarrelFired2021</t>
  </si>
  <si>
    <t xml:space="preserve">https://onlinelibrary.wiley.com/doi/abs/10.1111/1556-4029.14604</t>
  </si>
  <si>
    <t xml:space="preserve">The Smith 2021 study consists of kits containing 15 knowns and 20 unknown bullets. Kits included unknowns from two same-model barrels not included as knowns in the kit as well as three different-model barrels. The format of the answer sheet does not allow us to calculate the number of comparisons performed; the study reports only missed identifications and incorrect identifications and eliminations; this does not allow us to separate responses into inconclusive comparisons. </t>
  </si>
  <si>
    <t xml:space="preserve">smithValidationStudyBullet2016</t>
  </si>
  <si>
    <t xml:space="preserve">stromanEmpiricallyDeterminedFrequency2014</t>
  </si>
  <si>
    <t xml:space="preserve">Study</t>
  </si>
  <si>
    <t xml:space="preserve">Nickname</t>
  </si>
  <si>
    <t xml:space="preserve">Type</t>
  </si>
  <si>
    <t xml:space="preserve">Same Source 
Incl Rate</t>
  </si>
  <si>
    <t xml:space="preserve">Diff Source 
Inconcl Rate</t>
  </si>
  <si>
    <t xml:space="preserve">Overall 
Inconcl Rate</t>
  </si>
  <si>
    <t xml:space="preserve">AFTE 
Error Rate</t>
  </si>
  <si>
    <t xml:space="preserve">PCAST 
Error Rate</t>
  </si>
  <si>
    <t xml:space="preserve">Inconcl as Errors
Error Rate</t>
  </si>
  <si>
    <t xml:space="preserve">Errors_w_Inconclusives</t>
  </si>
</sst>
</file>

<file path=xl/styles.xml><?xml version="1.0" encoding="utf-8"?>
<styleSheet xmlns="http://schemas.openxmlformats.org/spreadsheetml/2006/main">
  <numFmts count="3">
    <numFmt numFmtId="164" formatCode="General"/>
    <numFmt numFmtId="165" formatCode="0.0000"/>
    <numFmt numFmtId="166" formatCode="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N2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0" activeCellId="0" sqref="A20"/>
    </sheetView>
  </sheetViews>
  <sheetFormatPr defaultColWidth="11.53515625" defaultRowHeight="12.8" zeroHeight="false" outlineLevelRow="0" outlineLevelCol="0"/>
  <cols>
    <col collapsed="false" customWidth="true" hidden="false" outlineLevel="0" max="1" min="1" style="1" width="38.7"/>
    <col collapsed="false" customWidth="false" hidden="true" outlineLevel="0" max="5" min="4" style="1" width="11.53"/>
    <col collapsed="false" customWidth="true" hidden="false" outlineLevel="0" max="8" min="8" style="1" width="10.06"/>
    <col collapsed="false" customWidth="true" hidden="false" outlineLevel="0" max="10" min="9" style="1" width="5.56"/>
    <col collapsed="false" customWidth="true" hidden="false" outlineLevel="0" max="12" min="12" style="1" width="15.48"/>
    <col collapsed="false" customWidth="true" hidden="false" outlineLevel="0" max="14" min="14" style="1" width="7.93"/>
    <col collapsed="false" customWidth="false" hidden="true" outlineLevel="0" max="31" min="31" style="1" width="11.53"/>
    <col collapsed="false" customWidth="false" hidden="false" outlineLevel="0" max="33" min="32" style="2" width="11.53"/>
    <col collapsed="false" customWidth="true" hidden="false" outlineLevel="0" max="34" min="34" style="2" width="16.45"/>
    <col collapsed="false" customWidth="false" hidden="false" outlineLevel="0" max="38" min="35" style="2" width="11.53"/>
  </cols>
  <sheetData>
    <row r="1" customFormat="false" ht="12.8" hidden="true" customHeight="false" outlineLevel="0" collapsed="false">
      <c r="A1" s="1" t="s">
        <v>0</v>
      </c>
      <c r="B1" s="1" t="s">
        <v>1</v>
      </c>
      <c r="C1" s="1"/>
      <c r="D1" s="1" t="s">
        <v>2</v>
      </c>
      <c r="E1" s="1" t="s">
        <v>3</v>
      </c>
      <c r="F1" s="1" t="s">
        <v>4</v>
      </c>
      <c r="G1" s="1" t="s">
        <v>5</v>
      </c>
      <c r="H1" s="1" t="s">
        <v>6</v>
      </c>
      <c r="I1" s="1" t="s">
        <v>7</v>
      </c>
      <c r="J1" s="1" t="s">
        <v>8</v>
      </c>
      <c r="K1" s="1" t="s">
        <v>9</v>
      </c>
      <c r="L1" s="2" t="s">
        <v>10</v>
      </c>
      <c r="M1" s="2"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2" t="s">
        <v>30</v>
      </c>
      <c r="AG1" s="2" t="s">
        <v>31</v>
      </c>
      <c r="AH1" s="2" t="s">
        <v>32</v>
      </c>
      <c r="AI1" s="2" t="s">
        <v>33</v>
      </c>
      <c r="AJ1" s="2" t="s">
        <v>34</v>
      </c>
      <c r="AK1" s="2" t="s">
        <v>35</v>
      </c>
      <c r="AL1" s="2" t="s">
        <v>36</v>
      </c>
      <c r="AM1" s="1" t="s">
        <v>37</v>
      </c>
      <c r="AN1" s="1" t="s">
        <v>38</v>
      </c>
    </row>
    <row r="2" customFormat="false" ht="12.8" hidden="false" customHeight="false" outlineLevel="0" collapsed="false">
      <c r="A2" s="3" t="s">
        <v>39</v>
      </c>
      <c r="B2" s="3" t="n">
        <v>2014</v>
      </c>
      <c r="C2" s="3" t="s">
        <v>40</v>
      </c>
      <c r="D2" s="3" t="s">
        <v>41</v>
      </c>
      <c r="E2" s="3" t="s">
        <v>42</v>
      </c>
      <c r="F2" s="3" t="s">
        <v>43</v>
      </c>
      <c r="G2" s="3" t="s">
        <v>44</v>
      </c>
      <c r="H2" s="3" t="s">
        <v>45</v>
      </c>
      <c r="I2" s="3" t="s">
        <v>46</v>
      </c>
      <c r="J2" s="3" t="s">
        <v>45</v>
      </c>
      <c r="K2" s="3" t="s">
        <v>47</v>
      </c>
      <c r="L2" s="2" t="n">
        <v>0.23</v>
      </c>
      <c r="M2" s="2" t="n">
        <v>0.0006</v>
      </c>
      <c r="N2" s="3" t="s">
        <v>46</v>
      </c>
      <c r="O2" s="3" t="n">
        <v>5</v>
      </c>
      <c r="P2" s="3" t="n">
        <v>10</v>
      </c>
      <c r="T2" s="3" t="n">
        <v>218</v>
      </c>
      <c r="U2" s="3" t="n">
        <v>1075</v>
      </c>
      <c r="V2" s="3" t="n">
        <v>11</v>
      </c>
      <c r="W2" s="3" t="n">
        <v>4</v>
      </c>
      <c r="X2" s="3" t="n">
        <v>1090</v>
      </c>
      <c r="Y2" s="3" t="n">
        <v>22</v>
      </c>
      <c r="Z2" s="3" t="n">
        <v>737</v>
      </c>
      <c r="AA2" s="3" t="n">
        <v>1421</v>
      </c>
      <c r="AB2" s="3" t="n">
        <v>2180</v>
      </c>
      <c r="AC2" s="3" t="s">
        <v>48</v>
      </c>
      <c r="AD2" s="3" t="s">
        <v>49</v>
      </c>
      <c r="AE2" s="3"/>
      <c r="AF2" s="2" t="n">
        <f aca="false">(U2+AA2)/(X2+AB2)</f>
        <v>0.763302752293578</v>
      </c>
      <c r="AG2" s="2" t="n">
        <f aca="false">(W2+Y2)/(X2 +AB2)</f>
        <v>0.00795107033639144</v>
      </c>
      <c r="AH2" s="2" t="n">
        <f aca="false">(V2+Z2)/(X2+AB2)</f>
        <v>0.228746177370031</v>
      </c>
      <c r="AI2" s="2" t="n">
        <f aca="false">W2/X2</f>
        <v>0.0036697247706422</v>
      </c>
      <c r="AJ2" s="2" t="n">
        <f aca="false">Y2/AB2</f>
        <v>0.0100917431192661</v>
      </c>
      <c r="AK2" s="2" t="n">
        <f aca="false">U2/SUM(U2:W2)</f>
        <v>0.986238532110092</v>
      </c>
      <c r="AL2" s="2" t="n">
        <f aca="false">AA2/SUM(Y2:AA2)</f>
        <v>0.651834862385321</v>
      </c>
      <c r="AM2" s="3" t="n">
        <f aca="false">1-AF2</f>
        <v>0.236697247706422</v>
      </c>
      <c r="AN2" s="3" t="s">
        <v>45</v>
      </c>
    </row>
    <row r="3" customFormat="false" ht="12.8" hidden="true" customHeight="false" outlineLevel="0" collapsed="false">
      <c r="A3" s="1" t="s">
        <v>50</v>
      </c>
      <c r="B3" s="1" t="n">
        <v>2003</v>
      </c>
      <c r="C3" s="1"/>
      <c r="E3" s="1" t="s">
        <v>51</v>
      </c>
      <c r="F3" s="1" t="s">
        <v>43</v>
      </c>
      <c r="G3" s="1" t="s">
        <v>44</v>
      </c>
      <c r="H3" s="1" t="s">
        <v>45</v>
      </c>
      <c r="I3" s="1" t="s">
        <v>46</v>
      </c>
      <c r="J3" s="1" t="s">
        <v>45</v>
      </c>
      <c r="K3" s="1" t="s">
        <v>52</v>
      </c>
      <c r="L3" s="2" t="n">
        <v>0</v>
      </c>
      <c r="M3" s="2" t="n">
        <v>0</v>
      </c>
      <c r="N3" s="1" t="s">
        <v>46</v>
      </c>
      <c r="O3" s="1" t="n">
        <v>70</v>
      </c>
      <c r="R3" s="1" t="s">
        <v>53</v>
      </c>
      <c r="S3" s="1" t="s">
        <v>53</v>
      </c>
      <c r="T3" s="1" t="n">
        <v>8</v>
      </c>
      <c r="U3" s="1" t="n">
        <v>70</v>
      </c>
      <c r="V3" s="1" t="n">
        <v>0</v>
      </c>
      <c r="W3" s="1" t="n">
        <v>0</v>
      </c>
      <c r="X3" s="1" t="s">
        <v>54</v>
      </c>
      <c r="Y3" s="1" t="n">
        <v>0</v>
      </c>
      <c r="Z3" s="1" t="n">
        <v>172</v>
      </c>
      <c r="AA3" s="1" t="n">
        <v>118</v>
      </c>
      <c r="AB3" s="1" t="s">
        <v>54</v>
      </c>
      <c r="AC3" s="1" t="s">
        <v>55</v>
      </c>
      <c r="AD3" s="1" t="s">
        <v>56</v>
      </c>
      <c r="AF3" s="2" t="e">
        <f aca="false">(U3+AA3)/(X3+AB3)</f>
        <v>#VALUE!</v>
      </c>
      <c r="AG3" s="2" t="e">
        <f aca="false">(W3+Y3)/(X3 +AB3)</f>
        <v>#VALUE!</v>
      </c>
      <c r="AH3" s="2" t="e">
        <f aca="false">(V3+Z3)/(X3+AB3)</f>
        <v>#VALUE!</v>
      </c>
      <c r="AI3" s="2" t="e">
        <f aca="false">W3/X3</f>
        <v>#VALUE!</v>
      </c>
      <c r="AJ3" s="2" t="e">
        <f aca="false">Y3/AB3</f>
        <v>#VALUE!</v>
      </c>
      <c r="AK3" s="2" t="n">
        <f aca="false">U3/SUM(U3:W3)</f>
        <v>1</v>
      </c>
      <c r="AL3" s="2" t="n">
        <f aca="false">AA3/SUM(Y3:AA3)</f>
        <v>0.406896551724138</v>
      </c>
      <c r="AM3" s="1" t="e">
        <f aca="false">1-AF3</f>
        <v>#VALUE!</v>
      </c>
      <c r="AN3" s="1" t="s">
        <v>46</v>
      </c>
    </row>
    <row r="4" customFormat="false" ht="12.8" hidden="true" customHeight="false" outlineLevel="0" collapsed="false">
      <c r="A4" s="1" t="s">
        <v>57</v>
      </c>
      <c r="B4" s="1" t="n">
        <v>2021</v>
      </c>
      <c r="C4" s="1"/>
      <c r="D4" s="1" t="s">
        <v>58</v>
      </c>
      <c r="E4" s="1" t="s">
        <v>59</v>
      </c>
      <c r="F4" s="1" t="s">
        <v>60</v>
      </c>
      <c r="G4" s="1" t="s">
        <v>61</v>
      </c>
      <c r="H4" s="1" t="s">
        <v>45</v>
      </c>
      <c r="I4" s="1" t="s">
        <v>46</v>
      </c>
      <c r="J4" s="1" t="s">
        <v>45</v>
      </c>
      <c r="K4" s="1" t="s">
        <v>52</v>
      </c>
      <c r="L4" s="2" t="s">
        <v>62</v>
      </c>
      <c r="M4" s="2" t="n">
        <v>0.03</v>
      </c>
      <c r="N4" s="1" t="s">
        <v>46</v>
      </c>
      <c r="O4" s="1" t="n">
        <v>17</v>
      </c>
      <c r="P4" s="1" t="n">
        <v>23</v>
      </c>
      <c r="T4" s="1" t="n">
        <v>76</v>
      </c>
      <c r="U4" s="1" t="n">
        <v>453</v>
      </c>
      <c r="V4" s="1" t="n">
        <v>38</v>
      </c>
      <c r="W4" s="1" t="n">
        <v>0</v>
      </c>
      <c r="X4" s="1" t="n">
        <v>491</v>
      </c>
      <c r="Y4" s="1" t="n">
        <v>3</v>
      </c>
      <c r="Z4" s="1" t="n">
        <v>254</v>
      </c>
      <c r="AA4" s="1" t="n">
        <v>436</v>
      </c>
      <c r="AB4" s="1" t="n">
        <v>693</v>
      </c>
      <c r="AC4" s="1" t="s">
        <v>63</v>
      </c>
      <c r="AD4" s="1" t="s">
        <v>56</v>
      </c>
      <c r="AF4" s="2" t="n">
        <f aca="false">(U4+AA4)/(X4+AB4)</f>
        <v>0.750844594594595</v>
      </c>
      <c r="AG4" s="2" t="n">
        <f aca="false">(W4+Y4)/(X4 +AB4)</f>
        <v>0.00253378378378378</v>
      </c>
      <c r="AH4" s="2" t="n">
        <f aca="false">(V4+Z4)/(X4+AB4)</f>
        <v>0.246621621621622</v>
      </c>
      <c r="AI4" s="2" t="n">
        <f aca="false">W4/X4</f>
        <v>0</v>
      </c>
      <c r="AJ4" s="2" t="n">
        <f aca="false">Y4/AB4</f>
        <v>0.00432900432900433</v>
      </c>
      <c r="AK4" s="2" t="n">
        <f aca="false">U4/SUM(U4:W4)</f>
        <v>0.922606924643585</v>
      </c>
      <c r="AL4" s="2" t="n">
        <f aca="false">AA4/SUM(Y4:AA4)</f>
        <v>0.629148629148629</v>
      </c>
      <c r="AM4" s="1" t="n">
        <f aca="false">1-AF4</f>
        <v>0.249155405405405</v>
      </c>
      <c r="AN4" s="1" t="s">
        <v>46</v>
      </c>
    </row>
    <row r="5" s="1" customFormat="true" ht="12.8" hidden="false" customHeight="false" outlineLevel="0" collapsed="false">
      <c r="A5" s="1" t="s">
        <v>64</v>
      </c>
      <c r="B5" s="1" t="n">
        <v>2023</v>
      </c>
      <c r="C5" s="1" t="s">
        <v>65</v>
      </c>
      <c r="D5" s="3" t="s">
        <v>66</v>
      </c>
      <c r="E5" s="1" t="s">
        <v>67</v>
      </c>
      <c r="F5" s="1" t="s">
        <v>68</v>
      </c>
      <c r="G5" s="1" t="s">
        <v>44</v>
      </c>
      <c r="H5" s="1" t="s">
        <v>45</v>
      </c>
      <c r="I5" s="1" t="s">
        <v>69</v>
      </c>
      <c r="J5" s="1" t="s">
        <v>45</v>
      </c>
      <c r="K5" s="1" t="s">
        <v>47</v>
      </c>
      <c r="L5" s="2" t="s">
        <v>70</v>
      </c>
      <c r="M5" s="2" t="s">
        <v>71</v>
      </c>
      <c r="N5" s="1" t="s">
        <v>46</v>
      </c>
      <c r="T5" s="1" t="n">
        <v>173</v>
      </c>
      <c r="U5" s="1" t="n">
        <v>1076</v>
      </c>
      <c r="V5" s="1" t="n">
        <f aca="false">127+125+36</f>
        <v>288</v>
      </c>
      <c r="W5" s="1" t="n">
        <v>41</v>
      </c>
      <c r="X5" s="1" t="n">
        <f aca="false">SUM(U5:W5)</f>
        <v>1405</v>
      </c>
      <c r="Y5" s="1" t="n">
        <v>20</v>
      </c>
      <c r="Z5" s="1" t="n">
        <f aca="false">268+848+745</f>
        <v>1861</v>
      </c>
      <c r="AA5" s="1" t="n">
        <f aca="false">961</f>
        <v>961</v>
      </c>
      <c r="AB5" s="1" t="n">
        <f aca="false">SUM(Y5:AA5)</f>
        <v>2842</v>
      </c>
      <c r="AC5" s="1" t="s">
        <v>63</v>
      </c>
      <c r="AD5" s="1" t="s">
        <v>56</v>
      </c>
      <c r="AF5" s="2" t="n">
        <f aca="false">(U5+AA5)/(X5+AB5)</f>
        <v>0.479632681893101</v>
      </c>
      <c r="AG5" s="2" t="n">
        <f aca="false">(W5+Y5)/(X5 +AB5)</f>
        <v>0.0143630798210502</v>
      </c>
      <c r="AH5" s="2" t="n">
        <f aca="false">(V5+Z5)/(X5+AB5)</f>
        <v>0.506004238285849</v>
      </c>
      <c r="AI5" s="2" t="n">
        <f aca="false">W5/X5</f>
        <v>0.0291814946619217</v>
      </c>
      <c r="AJ5" s="2" t="n">
        <f aca="false">Y5/AB5</f>
        <v>0.00703729767769177</v>
      </c>
      <c r="AK5" s="2" t="n">
        <f aca="false">U5/SUM(U5:W5)</f>
        <v>0.765836298932384</v>
      </c>
      <c r="AL5" s="2" t="n">
        <f aca="false">AA5/SUM(Y5:AA5)</f>
        <v>0.338142153413089</v>
      </c>
      <c r="AM5" s="1" t="n">
        <f aca="false">1-AF5</f>
        <v>0.520367318106899</v>
      </c>
      <c r="AN5" s="1" t="s">
        <v>45</v>
      </c>
    </row>
    <row r="6" s="1" customFormat="true" ht="12.8" hidden="false" customHeight="false" outlineLevel="0" collapsed="false">
      <c r="A6" s="3" t="s">
        <v>64</v>
      </c>
      <c r="B6" s="3" t="n">
        <v>2023</v>
      </c>
      <c r="C6" s="3" t="s">
        <v>65</v>
      </c>
      <c r="D6" s="3" t="s">
        <v>66</v>
      </c>
      <c r="E6" s="3" t="s">
        <v>67</v>
      </c>
      <c r="F6" s="3" t="s">
        <v>43</v>
      </c>
      <c r="G6" s="3" t="s">
        <v>44</v>
      </c>
      <c r="H6" s="3" t="s">
        <v>45</v>
      </c>
      <c r="I6" s="3" t="s">
        <v>69</v>
      </c>
      <c r="J6" s="3" t="s">
        <v>45</v>
      </c>
      <c r="K6" s="3" t="s">
        <v>47</v>
      </c>
      <c r="L6" s="2" t="s">
        <v>70</v>
      </c>
      <c r="M6" s="2" t="s">
        <v>71</v>
      </c>
      <c r="N6" s="3" t="s">
        <v>46</v>
      </c>
      <c r="T6" s="1" t="n">
        <v>173</v>
      </c>
      <c r="U6" s="1" t="n">
        <v>1056</v>
      </c>
      <c r="V6" s="1" t="n">
        <f aca="false">177+140+22</f>
        <v>339</v>
      </c>
      <c r="W6" s="1" t="n">
        <v>25</v>
      </c>
      <c r="X6" s="1" t="n">
        <f aca="false">SUM(U6:W6)</f>
        <v>1420</v>
      </c>
      <c r="Y6" s="1" t="n">
        <v>26</v>
      </c>
      <c r="Z6" s="1" t="n">
        <f aca="false">177+637+620</f>
        <v>1434</v>
      </c>
      <c r="AA6" s="1" t="n">
        <f aca="false">1375</f>
        <v>1375</v>
      </c>
      <c r="AB6" s="1" t="n">
        <f aca="false">SUM(Y6:AA6)</f>
        <v>2835</v>
      </c>
      <c r="AC6" s="1" t="s">
        <v>63</v>
      </c>
      <c r="AD6" s="1" t="s">
        <v>56</v>
      </c>
      <c r="AF6" s="2" t="n">
        <f aca="false">(U6+AA6)/(X6+AB6)</f>
        <v>0.571327849588719</v>
      </c>
      <c r="AG6" s="2" t="n">
        <f aca="false">(W6+Y6)/(X6 +AB6)</f>
        <v>0.0119858989424207</v>
      </c>
      <c r="AH6" s="2" t="n">
        <f aca="false">(V6+Z6)/(X6+AB6)</f>
        <v>0.41668625146886</v>
      </c>
      <c r="AI6" s="2" t="n">
        <f aca="false">W6/X6</f>
        <v>0.0176056338028169</v>
      </c>
      <c r="AJ6" s="2" t="n">
        <f aca="false">Y6/AB6</f>
        <v>0.00917107583774251</v>
      </c>
      <c r="AK6" s="2" t="n">
        <f aca="false">U6/SUM(U6:W6)</f>
        <v>0.743661971830986</v>
      </c>
      <c r="AL6" s="2" t="n">
        <f aca="false">AA6/SUM(Y6:AA6)</f>
        <v>0.485008818342152</v>
      </c>
      <c r="AM6" s="1" t="n">
        <f aca="false">1-AF6</f>
        <v>0.428672150411281</v>
      </c>
      <c r="AN6" s="1" t="s">
        <v>45</v>
      </c>
    </row>
    <row r="7" customFormat="false" ht="12.8" hidden="false" customHeight="false" outlineLevel="0" collapsed="false">
      <c r="A7" s="3" t="s">
        <v>72</v>
      </c>
      <c r="B7" s="3" t="n">
        <v>2023</v>
      </c>
      <c r="C7" s="3" t="s">
        <v>73</v>
      </c>
      <c r="D7" s="3" t="s">
        <v>74</v>
      </c>
      <c r="E7" s="3"/>
      <c r="F7" s="3" t="s">
        <v>43</v>
      </c>
      <c r="G7" s="3" t="s">
        <v>44</v>
      </c>
      <c r="H7" s="3" t="s">
        <v>45</v>
      </c>
      <c r="I7" s="3" t="s">
        <v>46</v>
      </c>
      <c r="J7" s="3" t="s">
        <v>45</v>
      </c>
      <c r="K7" s="3" t="s">
        <v>47</v>
      </c>
      <c r="L7" s="2" t="n">
        <f aca="false">1 - 218/284</f>
        <v>0.232394366197183</v>
      </c>
      <c r="M7" s="2" t="n">
        <f aca="false">110/((5+10+45)*218)</f>
        <v>0.00840978593272171</v>
      </c>
      <c r="N7" s="3" t="s">
        <v>46</v>
      </c>
      <c r="O7" s="1" t="n">
        <v>5</v>
      </c>
      <c r="P7" s="1" t="n">
        <v>10</v>
      </c>
      <c r="T7" s="1" t="n">
        <v>218</v>
      </c>
      <c r="U7" s="1" t="n">
        <v>1075</v>
      </c>
      <c r="V7" s="1" t="n">
        <v>11</v>
      </c>
      <c r="W7" s="1" t="n">
        <v>4</v>
      </c>
      <c r="X7" s="1" t="n">
        <v>1090</v>
      </c>
      <c r="Y7" s="1" t="n">
        <v>22</v>
      </c>
      <c r="Z7" s="1" t="n">
        <v>735</v>
      </c>
      <c r="AA7" s="1" t="n">
        <v>1421</v>
      </c>
      <c r="AB7" s="1" t="n">
        <v>2178</v>
      </c>
      <c r="AC7" s="1" t="s">
        <v>63</v>
      </c>
      <c r="AD7" s="1" t="s">
        <v>56</v>
      </c>
      <c r="AF7" s="2" t="n">
        <f aca="false">(U7+AA7)/(X7+AB7)</f>
        <v>0.763769889840881</v>
      </c>
      <c r="AG7" s="2" t="n">
        <f aca="false">(W7+Y7)/(X7 +AB7)</f>
        <v>0.00795593635250918</v>
      </c>
      <c r="AH7" s="2" t="n">
        <f aca="false">(V7+Z7)/(X7+AB7)</f>
        <v>0.22827417380661</v>
      </c>
      <c r="AI7" s="2" t="n">
        <f aca="false">W7/X7</f>
        <v>0.0036697247706422</v>
      </c>
      <c r="AJ7" s="2" t="n">
        <f aca="false">Y7/AB7</f>
        <v>0.0101010101010101</v>
      </c>
      <c r="AK7" s="2" t="n">
        <f aca="false">U7/SUM(U7:W7)</f>
        <v>0.986238532110092</v>
      </c>
      <c r="AL7" s="2" t="n">
        <f aca="false">AA7/SUM(Y7:AA7)</f>
        <v>0.652433425160698</v>
      </c>
      <c r="AM7" s="1" t="n">
        <f aca="false">1-AF7</f>
        <v>0.236230110159119</v>
      </c>
      <c r="AN7" s="1" t="s">
        <v>45</v>
      </c>
    </row>
    <row r="8" customFormat="false" ht="12.8" hidden="true" customHeight="false" outlineLevel="0" collapsed="false">
      <c r="A8" s="1" t="s">
        <v>75</v>
      </c>
      <c r="B8" s="1" t="n">
        <v>2018</v>
      </c>
      <c r="C8" s="1"/>
      <c r="D8" s="1" t="s">
        <v>76</v>
      </c>
      <c r="E8" s="1" t="s">
        <v>77</v>
      </c>
      <c r="F8" s="1" t="s">
        <v>43</v>
      </c>
      <c r="G8" s="1" t="s">
        <v>61</v>
      </c>
      <c r="H8" s="1" t="s">
        <v>45</v>
      </c>
      <c r="I8" s="1" t="s">
        <v>46</v>
      </c>
      <c r="J8" s="1" t="s">
        <v>45</v>
      </c>
      <c r="K8" s="1" t="s">
        <v>52</v>
      </c>
      <c r="L8" s="2"/>
      <c r="M8" s="2"/>
      <c r="N8" s="1" t="s">
        <v>46</v>
      </c>
      <c r="O8" s="1" t="n">
        <v>6</v>
      </c>
      <c r="P8" s="1" t="n">
        <v>2</v>
      </c>
      <c r="T8" s="1" t="n">
        <v>56</v>
      </c>
      <c r="U8" s="1" t="n">
        <f aca="false">276+59</f>
        <v>335</v>
      </c>
      <c r="V8" s="1" t="n">
        <f aca="false">0+1</f>
        <v>1</v>
      </c>
      <c r="W8" s="1" t="n">
        <f aca="false">0+0</f>
        <v>0</v>
      </c>
      <c r="X8" s="1" t="n">
        <f aca="false">276+60</f>
        <v>336</v>
      </c>
      <c r="Y8" s="1" t="n">
        <f aca="false">0+2</f>
        <v>2</v>
      </c>
      <c r="Z8" s="1" t="n">
        <f aca="false">12+13</f>
        <v>25</v>
      </c>
      <c r="AA8" s="1" t="n">
        <f aca="false">80+5</f>
        <v>85</v>
      </c>
      <c r="AB8" s="1" t="n">
        <f aca="false">92+20</f>
        <v>112</v>
      </c>
      <c r="AC8" s="1" t="s">
        <v>63</v>
      </c>
      <c r="AD8" s="1" t="s">
        <v>56</v>
      </c>
      <c r="AF8" s="2" t="n">
        <f aca="false">(U8+AA8)/(X8+AB8)</f>
        <v>0.9375</v>
      </c>
      <c r="AG8" s="2" t="n">
        <f aca="false">(W8+Y8)/(X8 +AB8)</f>
        <v>0.00446428571428571</v>
      </c>
      <c r="AH8" s="2" t="n">
        <f aca="false">(V8+Z8)/(X8+AB8)</f>
        <v>0.0580357142857143</v>
      </c>
      <c r="AI8" s="2" t="n">
        <f aca="false">W8/X8</f>
        <v>0</v>
      </c>
      <c r="AJ8" s="2" t="n">
        <f aca="false">Y8/AB8</f>
        <v>0.0178571428571429</v>
      </c>
      <c r="AK8" s="2" t="n">
        <f aca="false">U8/SUM(U8:W8)</f>
        <v>0.99702380952381</v>
      </c>
      <c r="AL8" s="2" t="n">
        <f aca="false">AA8/SUM(Y8:AA8)</f>
        <v>0.758928571428571</v>
      </c>
      <c r="AM8" s="1" t="n">
        <f aca="false">1-AF8</f>
        <v>0.0625</v>
      </c>
      <c r="AN8" s="1" t="s">
        <v>46</v>
      </c>
    </row>
    <row r="9" customFormat="false" ht="12.8" hidden="true" customHeight="false" outlineLevel="0" collapsed="false">
      <c r="A9" s="1" t="s">
        <v>78</v>
      </c>
      <c r="B9" s="1" t="n">
        <v>2013</v>
      </c>
      <c r="C9" s="1"/>
      <c r="F9" s="1" t="s">
        <v>79</v>
      </c>
      <c r="G9" s="1" t="s">
        <v>44</v>
      </c>
      <c r="H9" s="1" t="s">
        <v>45</v>
      </c>
      <c r="I9" s="1" t="s">
        <v>46</v>
      </c>
      <c r="J9" s="1" t="s">
        <v>46</v>
      </c>
      <c r="K9" s="1" t="s">
        <v>52</v>
      </c>
      <c r="L9" s="2" t="s">
        <v>80</v>
      </c>
      <c r="M9" s="2" t="n">
        <v>0</v>
      </c>
      <c r="N9" s="1" t="s">
        <v>46</v>
      </c>
      <c r="R9" s="1" t="n">
        <v>10</v>
      </c>
      <c r="S9" s="1" t="n">
        <v>15</v>
      </c>
      <c r="T9" s="1" t="n">
        <v>217</v>
      </c>
      <c r="U9" s="1" t="n">
        <v>3239</v>
      </c>
      <c r="V9" s="1" t="n">
        <v>14</v>
      </c>
      <c r="W9" s="1" t="n">
        <v>2</v>
      </c>
      <c r="X9" s="1" t="n">
        <v>3255</v>
      </c>
      <c r="Y9" s="1" t="n">
        <v>2</v>
      </c>
      <c r="Z9" s="1" t="s">
        <v>81</v>
      </c>
      <c r="AA9" s="1" t="s">
        <v>81</v>
      </c>
      <c r="AB9" s="1" t="s">
        <v>81</v>
      </c>
      <c r="AC9" s="1" t="s">
        <v>55</v>
      </c>
      <c r="AD9" s="1" t="s">
        <v>56</v>
      </c>
      <c r="AF9" s="2" t="e">
        <f aca="false">(U9+AA9)/(X9+AB9)</f>
        <v>#VALUE!</v>
      </c>
      <c r="AG9" s="2" t="e">
        <f aca="false">(W9+Y9)/(X9 +AB9)</f>
        <v>#VALUE!</v>
      </c>
      <c r="AH9" s="2" t="e">
        <f aca="false">(V9+Z9)/(X9+AB9)</f>
        <v>#VALUE!</v>
      </c>
      <c r="AI9" s="2" t="n">
        <f aca="false">W9/X9</f>
        <v>0.000614439324116744</v>
      </c>
      <c r="AJ9" s="2" t="e">
        <f aca="false">Y9/AB9</f>
        <v>#VALUE!</v>
      </c>
      <c r="AK9" s="2" t="n">
        <f aca="false">U9/SUM(U9:W9)</f>
        <v>0.995084485407066</v>
      </c>
      <c r="AL9" s="2" t="e">
        <f aca="false">AA9/SUM(Y9:AA9)</f>
        <v>#VALUE!</v>
      </c>
      <c r="AM9" s="1" t="e">
        <f aca="false">1-AF9</f>
        <v>#VALUE!</v>
      </c>
      <c r="AN9" s="1" t="s">
        <v>46</v>
      </c>
    </row>
    <row r="10" customFormat="false" ht="12.8" hidden="false" customHeight="false" outlineLevel="0" collapsed="false">
      <c r="A10" s="1" t="s">
        <v>82</v>
      </c>
      <c r="B10" s="1" t="n">
        <v>2023</v>
      </c>
      <c r="C10" s="1" t="s">
        <v>83</v>
      </c>
      <c r="D10" s="1" t="s">
        <v>84</v>
      </c>
      <c r="F10" s="1" t="s">
        <v>43</v>
      </c>
      <c r="G10" s="1" t="s">
        <v>44</v>
      </c>
      <c r="H10" s="1" t="s">
        <v>45</v>
      </c>
      <c r="I10" s="1" t="s">
        <v>45</v>
      </c>
      <c r="J10" s="1" t="s">
        <v>45</v>
      </c>
      <c r="K10" s="1" t="s">
        <v>47</v>
      </c>
      <c r="L10" s="2" t="s">
        <v>70</v>
      </c>
      <c r="M10" s="2" t="n">
        <f aca="false">0.16559</f>
        <v>0.16559</v>
      </c>
      <c r="N10" s="1" t="s">
        <v>46</v>
      </c>
      <c r="T10" s="1" t="n">
        <v>228</v>
      </c>
      <c r="U10" s="1" t="n">
        <v>851</v>
      </c>
      <c r="V10" s="1" t="n">
        <v>59</v>
      </c>
      <c r="W10" s="1" t="n">
        <v>1</v>
      </c>
      <c r="X10" s="1" t="n">
        <v>911</v>
      </c>
      <c r="Y10" s="1" t="n">
        <v>5</v>
      </c>
      <c r="Z10" s="1" t="n">
        <v>323</v>
      </c>
      <c r="AA10" s="1" t="n">
        <v>572</v>
      </c>
      <c r="AB10" s="1" t="n">
        <v>900</v>
      </c>
      <c r="AC10" s="1" t="s">
        <v>63</v>
      </c>
      <c r="AD10" s="1" t="s">
        <v>56</v>
      </c>
      <c r="AF10" s="2" t="n">
        <f aca="false">(U10+AA10)/(X10+AB10)</f>
        <v>0.785753727222529</v>
      </c>
      <c r="AG10" s="2" t="n">
        <f aca="false">(W10+Y10)/(X10 +AB10)</f>
        <v>0.00331308669243512</v>
      </c>
      <c r="AH10" s="2" t="n">
        <f aca="false">(V10+Z10)/(X10+AB10)</f>
        <v>0.210933186085036</v>
      </c>
      <c r="AI10" s="2" t="n">
        <f aca="false">W10/X10</f>
        <v>0.00109769484083425</v>
      </c>
      <c r="AJ10" s="2" t="n">
        <f aca="false">Y10/AB10</f>
        <v>0.00555555555555556</v>
      </c>
      <c r="AK10" s="2" t="n">
        <f aca="false">U10/SUM(U10:W10)</f>
        <v>0.934138309549945</v>
      </c>
      <c r="AL10" s="2" t="n">
        <f aca="false">AA10/SUM(Y10:AA10)</f>
        <v>0.635555555555556</v>
      </c>
      <c r="AM10" s="1" t="n">
        <f aca="false">1-AF10</f>
        <v>0.214246272777471</v>
      </c>
      <c r="AN10" s="1" t="s">
        <v>45</v>
      </c>
    </row>
    <row r="11" customFormat="false" ht="12.8" hidden="true" customHeight="false" outlineLevel="0" collapsed="false">
      <c r="A11" s="1" t="s">
        <v>85</v>
      </c>
      <c r="B11" s="1" t="n">
        <v>2019</v>
      </c>
      <c r="C11" s="1"/>
      <c r="D11" s="1" t="s">
        <v>86</v>
      </c>
      <c r="E11" s="1" t="s">
        <v>87</v>
      </c>
      <c r="F11" s="1" t="s">
        <v>68</v>
      </c>
      <c r="G11" s="1" t="s">
        <v>44</v>
      </c>
      <c r="H11" s="1" t="s">
        <v>45</v>
      </c>
      <c r="I11" s="1" t="s">
        <v>46</v>
      </c>
      <c r="J11" s="1" t="s">
        <v>46</v>
      </c>
      <c r="K11" s="1" t="s">
        <v>52</v>
      </c>
      <c r="L11" s="2"/>
      <c r="M11" s="2"/>
      <c r="N11" s="1" t="s">
        <v>46</v>
      </c>
      <c r="R11" s="1" t="n">
        <v>10</v>
      </c>
      <c r="S11" s="1" t="n">
        <v>15</v>
      </c>
      <c r="T11" s="1" t="n">
        <v>507</v>
      </c>
      <c r="U11" s="1" t="n">
        <v>10447</v>
      </c>
      <c r="V11" s="1" t="n">
        <v>8</v>
      </c>
      <c r="W11" s="1" t="n">
        <v>0</v>
      </c>
      <c r="X11" s="1" t="n">
        <v>10455</v>
      </c>
      <c r="Y11" s="1" t="n">
        <v>0</v>
      </c>
      <c r="Z11" s="1" t="s">
        <v>81</v>
      </c>
      <c r="AA11" s="1" t="s">
        <v>81</v>
      </c>
      <c r="AB11" s="1" t="s">
        <v>81</v>
      </c>
      <c r="AC11" s="1" t="s">
        <v>63</v>
      </c>
      <c r="AD11" s="1" t="s">
        <v>56</v>
      </c>
      <c r="AF11" s="2" t="e">
        <f aca="false">(U11+AA11)/(X11+AB11)</f>
        <v>#VALUE!</v>
      </c>
      <c r="AG11" s="2" t="e">
        <f aca="false">(W11+Y11)/(X11 +AB11)</f>
        <v>#VALUE!</v>
      </c>
      <c r="AH11" s="2" t="e">
        <f aca="false">(V11+Z11)/(X11+AB11)</f>
        <v>#VALUE!</v>
      </c>
      <c r="AI11" s="2" t="n">
        <f aca="false">W11/X11</f>
        <v>0</v>
      </c>
      <c r="AJ11" s="2" t="e">
        <f aca="false">Y11/AB11</f>
        <v>#VALUE!</v>
      </c>
      <c r="AK11" s="2" t="n">
        <f aca="false">U11/SUM(U11:W11)</f>
        <v>0.999234815877571</v>
      </c>
      <c r="AL11" s="2" t="e">
        <f aca="false">AA11/SUM(Y11:AA11)</f>
        <v>#VALUE!</v>
      </c>
      <c r="AM11" s="1" t="e">
        <f aca="false">1-AF11</f>
        <v>#VALUE!</v>
      </c>
      <c r="AN11" s="1" t="s">
        <v>46</v>
      </c>
    </row>
    <row r="12" customFormat="false" ht="12.8" hidden="false" customHeight="false" outlineLevel="0" collapsed="false">
      <c r="A12" s="1" t="s">
        <v>88</v>
      </c>
      <c r="B12" s="1" t="n">
        <v>2018</v>
      </c>
      <c r="C12" s="1" t="s">
        <v>89</v>
      </c>
      <c r="E12" s="1" t="s">
        <v>90</v>
      </c>
      <c r="F12" s="1" t="s">
        <v>43</v>
      </c>
      <c r="G12" s="1" t="s">
        <v>44</v>
      </c>
      <c r="H12" s="1" t="s">
        <v>45</v>
      </c>
      <c r="I12" s="1" t="s">
        <v>46</v>
      </c>
      <c r="J12" s="1" t="s">
        <v>45</v>
      </c>
      <c r="K12" s="1" t="s">
        <v>47</v>
      </c>
      <c r="L12" s="2" t="s">
        <v>70</v>
      </c>
      <c r="M12" s="2" t="n">
        <v>0</v>
      </c>
      <c r="N12" s="1" t="s">
        <v>46</v>
      </c>
      <c r="O12" s="1" t="n">
        <v>12</v>
      </c>
      <c r="P12" s="1" t="n">
        <v>8</v>
      </c>
      <c r="T12" s="1" t="n">
        <v>126</v>
      </c>
      <c r="U12" s="1" t="n">
        <v>1508</v>
      </c>
      <c r="V12" s="1" t="n">
        <v>4</v>
      </c>
      <c r="W12" s="1" t="n">
        <v>0</v>
      </c>
      <c r="X12" s="1" t="n">
        <v>1512</v>
      </c>
      <c r="Y12" s="1" t="n">
        <v>0</v>
      </c>
      <c r="Z12" s="1" t="n">
        <v>203</v>
      </c>
      <c r="AA12" s="1" t="n">
        <v>805</v>
      </c>
      <c r="AB12" s="1" t="n">
        <v>1008</v>
      </c>
      <c r="AC12" s="1" t="s">
        <v>55</v>
      </c>
      <c r="AD12" s="1" t="s">
        <v>56</v>
      </c>
      <c r="AF12" s="2" t="n">
        <f aca="false">(U12+AA12)/(X12+AB12)</f>
        <v>0.917857142857143</v>
      </c>
      <c r="AG12" s="2" t="n">
        <f aca="false">(W12+Y12)/(X12 +AB12)</f>
        <v>0</v>
      </c>
      <c r="AH12" s="2" t="n">
        <f aca="false">(V12+Z12)/(X12+AB12)</f>
        <v>0.0821428571428571</v>
      </c>
      <c r="AI12" s="2" t="n">
        <f aca="false">W12/X12</f>
        <v>0</v>
      </c>
      <c r="AJ12" s="2" t="n">
        <f aca="false">Y12/AB12</f>
        <v>0</v>
      </c>
      <c r="AK12" s="2" t="n">
        <f aca="false">U12/SUM(U12:W12)</f>
        <v>0.997354497354497</v>
      </c>
      <c r="AL12" s="2" t="n">
        <f aca="false">AA12/SUM(Y12:AA12)</f>
        <v>0.798611111111111</v>
      </c>
      <c r="AM12" s="1" t="n">
        <f aca="false">1-AF12</f>
        <v>0.0821428571428572</v>
      </c>
      <c r="AN12" s="1" t="s">
        <v>45</v>
      </c>
    </row>
    <row r="13" customFormat="false" ht="12.8" hidden="false" customHeight="false" outlineLevel="0" collapsed="false">
      <c r="A13" s="3" t="s">
        <v>91</v>
      </c>
      <c r="B13" s="1" t="n">
        <v>2021</v>
      </c>
      <c r="C13" s="1"/>
      <c r="D13" s="1" t="s">
        <v>92</v>
      </c>
      <c r="F13" s="1" t="s">
        <v>43</v>
      </c>
      <c r="G13" s="1" t="s">
        <v>93</v>
      </c>
      <c r="H13" s="1" t="s">
        <v>45</v>
      </c>
      <c r="I13" s="1" t="s">
        <v>94</v>
      </c>
      <c r="J13" s="1" t="s">
        <v>45</v>
      </c>
      <c r="K13" s="1" t="s">
        <v>47</v>
      </c>
      <c r="L13" s="2" t="n">
        <f aca="false">1/17</f>
        <v>0.0588235294117647</v>
      </c>
      <c r="M13" s="2"/>
      <c r="N13" s="1" t="s">
        <v>46</v>
      </c>
      <c r="O13" s="1" t="n">
        <v>7</v>
      </c>
      <c r="P13" s="1" t="n">
        <v>13</v>
      </c>
      <c r="T13" s="1" t="n">
        <v>17</v>
      </c>
      <c r="U13" s="1" t="n">
        <v>101</v>
      </c>
      <c r="V13" s="1" t="n">
        <v>18</v>
      </c>
      <c r="W13" s="1" t="n">
        <v>0</v>
      </c>
      <c r="X13" s="1" t="n">
        <v>119</v>
      </c>
      <c r="Y13" s="1" t="n">
        <v>1</v>
      </c>
      <c r="Z13" s="1" t="n">
        <f aca="false">11+22+32</f>
        <v>65</v>
      </c>
      <c r="AA13" s="1" t="n">
        <v>157</v>
      </c>
      <c r="AB13" s="1" t="n">
        <v>223</v>
      </c>
      <c r="AC13" s="1" t="s">
        <v>63</v>
      </c>
      <c r="AD13" s="1" t="s">
        <v>56</v>
      </c>
      <c r="AE13" s="1" t="s">
        <v>95</v>
      </c>
      <c r="AF13" s="2" t="n">
        <f aca="false">(U13+AA13)/(X13+AB13)</f>
        <v>0.754385964912281</v>
      </c>
      <c r="AG13" s="2" t="n">
        <f aca="false">(W13+Y13)/(X13 +AB13)</f>
        <v>0.00292397660818713</v>
      </c>
      <c r="AH13" s="2" t="n">
        <f aca="false">(V13+Z13)/(X13+AB13)</f>
        <v>0.242690058479532</v>
      </c>
      <c r="AI13" s="2" t="n">
        <f aca="false">W13/X13</f>
        <v>0</v>
      </c>
      <c r="AJ13" s="2" t="n">
        <f aca="false">Y13/AB13</f>
        <v>0.00448430493273543</v>
      </c>
      <c r="AK13" s="2" t="n">
        <f aca="false">U13/SUM(U13:W13)</f>
        <v>0.848739495798319</v>
      </c>
      <c r="AL13" s="2" t="n">
        <f aca="false">AA13/SUM(Y13:AA13)</f>
        <v>0.704035874439462</v>
      </c>
      <c r="AM13" s="1" t="n">
        <f aca="false">1-AF13</f>
        <v>0.245614035087719</v>
      </c>
      <c r="AN13" s="1" t="s">
        <v>46</v>
      </c>
    </row>
    <row r="14" customFormat="false" ht="12.8" hidden="true" customHeight="false" outlineLevel="0" collapsed="false">
      <c r="A14" s="1" t="s">
        <v>96</v>
      </c>
      <c r="B14" s="1" t="n">
        <v>2009</v>
      </c>
      <c r="C14" s="1"/>
      <c r="D14" s="1" t="s">
        <v>97</v>
      </c>
      <c r="E14" s="1" t="s">
        <v>98</v>
      </c>
      <c r="F14" s="1" t="s">
        <v>99</v>
      </c>
      <c r="G14" s="1" t="s">
        <v>44</v>
      </c>
      <c r="H14" s="1" t="s">
        <v>45</v>
      </c>
      <c r="I14" s="1" t="s">
        <v>46</v>
      </c>
      <c r="J14" s="1" t="s">
        <v>46</v>
      </c>
      <c r="K14" s="1" t="s">
        <v>52</v>
      </c>
      <c r="L14" s="2" t="s">
        <v>70</v>
      </c>
      <c r="M14" s="2" t="n">
        <v>0</v>
      </c>
      <c r="N14" s="1" t="s">
        <v>46</v>
      </c>
      <c r="R14" s="1" t="n">
        <v>10</v>
      </c>
      <c r="S14" s="1" t="n">
        <v>12</v>
      </c>
      <c r="T14" s="1" t="n">
        <v>15</v>
      </c>
      <c r="U14" s="1" t="n">
        <v>174</v>
      </c>
      <c r="V14" s="1" t="n">
        <v>1</v>
      </c>
      <c r="W14" s="1" t="n">
        <v>3</v>
      </c>
      <c r="X14" s="1" t="n">
        <v>178</v>
      </c>
      <c r="Y14" s="1" t="n">
        <v>3</v>
      </c>
      <c r="Z14" s="1" t="s">
        <v>81</v>
      </c>
      <c r="AA14" s="1" t="s">
        <v>81</v>
      </c>
      <c r="AB14" s="1" t="s">
        <v>81</v>
      </c>
      <c r="AC14" s="1" t="s">
        <v>55</v>
      </c>
      <c r="AD14" s="1" t="s">
        <v>56</v>
      </c>
      <c r="AF14" s="2" t="e">
        <f aca="false">(U14+AA14)/(X14+AB14)</f>
        <v>#VALUE!</v>
      </c>
      <c r="AG14" s="2" t="e">
        <f aca="false">(W14+Y14)/(X14 +AB14)</f>
        <v>#VALUE!</v>
      </c>
      <c r="AH14" s="2" t="e">
        <f aca="false">(V14+Z14)/(X14+AB14)</f>
        <v>#VALUE!</v>
      </c>
      <c r="AI14" s="2" t="n">
        <f aca="false">W14/X14</f>
        <v>0.0168539325842697</v>
      </c>
      <c r="AJ14" s="2" t="e">
        <f aca="false">Y14/AB14</f>
        <v>#VALUE!</v>
      </c>
      <c r="AK14" s="2" t="n">
        <f aca="false">U14/SUM(U14:W14)</f>
        <v>0.97752808988764</v>
      </c>
      <c r="AL14" s="2" t="e">
        <f aca="false">AA14/SUM(Y14:AA14)</f>
        <v>#VALUE!</v>
      </c>
      <c r="AM14" s="1" t="e">
        <f aca="false">1-AF14</f>
        <v>#VALUE!</v>
      </c>
      <c r="AN14" s="1" t="s">
        <v>46</v>
      </c>
    </row>
    <row r="15" customFormat="false" ht="12.8" hidden="false" customHeight="false" outlineLevel="0" collapsed="false">
      <c r="A15" s="1" t="s">
        <v>100</v>
      </c>
      <c r="B15" s="1" t="n">
        <v>2020</v>
      </c>
      <c r="C15" s="1"/>
      <c r="D15" s="1" t="s">
        <v>101</v>
      </c>
      <c r="E15" s="1" t="s">
        <v>102</v>
      </c>
      <c r="F15" s="1" t="s">
        <v>103</v>
      </c>
      <c r="G15" s="1" t="s">
        <v>104</v>
      </c>
      <c r="H15" s="1" t="s">
        <v>45</v>
      </c>
      <c r="I15" s="1" t="s">
        <v>46</v>
      </c>
      <c r="J15" s="1" t="s">
        <v>45</v>
      </c>
      <c r="K15" s="1" t="s">
        <v>47</v>
      </c>
      <c r="L15" s="2"/>
      <c r="M15" s="2"/>
      <c r="N15" s="1" t="s">
        <v>46</v>
      </c>
      <c r="O15" s="1" t="n">
        <v>38</v>
      </c>
      <c r="P15" s="1" t="n">
        <v>22</v>
      </c>
      <c r="T15" s="1" t="n">
        <v>77</v>
      </c>
      <c r="U15" s="1" t="n">
        <v>2365</v>
      </c>
      <c r="V15" s="1" t="n">
        <v>487</v>
      </c>
      <c r="W15" s="1" t="n">
        <v>95</v>
      </c>
      <c r="X15" s="1" t="n">
        <v>2947</v>
      </c>
      <c r="Y15" s="1" t="n">
        <v>74</v>
      </c>
      <c r="Z15" s="1" t="n">
        <v>815</v>
      </c>
      <c r="AA15" s="1" t="n">
        <v>784</v>
      </c>
      <c r="AB15" s="1" t="n">
        <v>1673</v>
      </c>
      <c r="AC15" s="1" t="s">
        <v>63</v>
      </c>
      <c r="AD15" s="1" t="s">
        <v>56</v>
      </c>
      <c r="AF15" s="2" t="n">
        <f aca="false">(U15+AA15)/(X15+AB15)</f>
        <v>0.681601731601732</v>
      </c>
      <c r="AG15" s="2" t="n">
        <f aca="false">(W15+Y15)/(X15 +AB15)</f>
        <v>0.0365800865800866</v>
      </c>
      <c r="AH15" s="2" t="n">
        <f aca="false">(V15+Z15)/(X15+AB15)</f>
        <v>0.281818181818182</v>
      </c>
      <c r="AI15" s="2" t="n">
        <f aca="false">W15/X15</f>
        <v>0.0322361723786902</v>
      </c>
      <c r="AJ15" s="2" t="n">
        <f aca="false">Y15/AB15</f>
        <v>0.0442319187089062</v>
      </c>
      <c r="AK15" s="2" t="n">
        <f aca="false">U15/SUM(U15:W15)</f>
        <v>0.802511028164235</v>
      </c>
      <c r="AL15" s="2" t="n">
        <f aca="false">AA15/SUM(Y15:AA15)</f>
        <v>0.468619246861925</v>
      </c>
      <c r="AM15" s="1" t="n">
        <f aca="false">1-AF15</f>
        <v>0.318398268398268</v>
      </c>
      <c r="AN15" s="1" t="s">
        <v>46</v>
      </c>
    </row>
    <row r="16" customFormat="false" ht="12.8" hidden="false" customHeight="false" outlineLevel="0" collapsed="false">
      <c r="A16" s="3" t="s">
        <v>100</v>
      </c>
      <c r="B16" s="3" t="n">
        <v>2020</v>
      </c>
      <c r="C16" s="3"/>
      <c r="D16" s="3" t="s">
        <v>101</v>
      </c>
      <c r="E16" s="3" t="s">
        <v>102</v>
      </c>
      <c r="F16" s="3" t="s">
        <v>103</v>
      </c>
      <c r="G16" s="3" t="s">
        <v>104</v>
      </c>
      <c r="H16" s="1" t="s">
        <v>46</v>
      </c>
      <c r="I16" s="1" t="s">
        <v>46</v>
      </c>
      <c r="J16" s="3" t="s">
        <v>45</v>
      </c>
      <c r="K16" s="3" t="s">
        <v>47</v>
      </c>
      <c r="L16" s="2" t="n">
        <v>0</v>
      </c>
      <c r="M16" s="2" t="n">
        <v>0</v>
      </c>
      <c r="N16" s="1" t="s">
        <v>45</v>
      </c>
      <c r="O16" s="1" t="n">
        <v>200</v>
      </c>
      <c r="P16" s="1" t="n">
        <v>79600</v>
      </c>
      <c r="T16" s="1" t="n">
        <v>1</v>
      </c>
      <c r="U16" s="3" t="n">
        <v>198</v>
      </c>
      <c r="V16" s="3" t="n">
        <v>0</v>
      </c>
      <c r="W16" s="3" t="n">
        <v>2</v>
      </c>
      <c r="X16" s="3" t="n">
        <v>200</v>
      </c>
      <c r="Y16" s="3" t="n">
        <v>1012</v>
      </c>
      <c r="Z16" s="3" t="n">
        <v>0</v>
      </c>
      <c r="AA16" s="3" t="n">
        <v>78588</v>
      </c>
      <c r="AB16" s="3" t="n">
        <v>79600</v>
      </c>
      <c r="AC16" s="1" t="s">
        <v>63</v>
      </c>
      <c r="AD16" s="1" t="s">
        <v>56</v>
      </c>
      <c r="AF16" s="2" t="n">
        <f aca="false">(U16+AA16)/(X16+AB16)</f>
        <v>0.987293233082707</v>
      </c>
      <c r="AG16" s="2" t="n">
        <f aca="false">(W16+Y16)/(X16 +AB16)</f>
        <v>0.0127067669172932</v>
      </c>
      <c r="AH16" s="2" t="n">
        <f aca="false">(V16+Z16)/(X16+AB16)</f>
        <v>0</v>
      </c>
      <c r="AI16" s="2" t="n">
        <f aca="false">W16/X16</f>
        <v>0.01</v>
      </c>
      <c r="AJ16" s="2" t="n">
        <f aca="false">Y16/AB16</f>
        <v>0.012713567839196</v>
      </c>
      <c r="AK16" s="2" t="n">
        <f aca="false">U16/SUM(U16:W16)</f>
        <v>0.99</v>
      </c>
      <c r="AL16" s="2" t="n">
        <f aca="false">AA16/SUM(Y16:AA16)</f>
        <v>0.987286432160804</v>
      </c>
      <c r="AM16" s="1" t="n">
        <f aca="false">1-AF16</f>
        <v>0.0127067669172932</v>
      </c>
      <c r="AN16" s="1" t="s">
        <v>46</v>
      </c>
    </row>
    <row r="17" s="3" customFormat="true" ht="12.8" hidden="true" customHeight="false" outlineLevel="0" collapsed="false">
      <c r="A17" s="1" t="s">
        <v>105</v>
      </c>
      <c r="B17" s="1" t="n">
        <v>2012</v>
      </c>
      <c r="C17" s="1"/>
      <c r="D17" s="1"/>
      <c r="E17" s="1"/>
      <c r="F17" s="3" t="s">
        <v>99</v>
      </c>
      <c r="G17" s="3" t="s">
        <v>44</v>
      </c>
      <c r="H17" s="1" t="s">
        <v>45</v>
      </c>
      <c r="I17" s="1" t="s">
        <v>94</v>
      </c>
      <c r="J17" s="1" t="s">
        <v>46</v>
      </c>
      <c r="K17" s="1" t="s">
        <v>52</v>
      </c>
      <c r="L17" s="2" t="s">
        <v>106</v>
      </c>
      <c r="M17" s="2" t="n">
        <v>0</v>
      </c>
      <c r="N17" s="1" t="s">
        <v>46</v>
      </c>
      <c r="O17" s="1"/>
      <c r="P17" s="1"/>
      <c r="Q17" s="1"/>
      <c r="R17" s="1" t="n">
        <v>5</v>
      </c>
      <c r="S17" s="1" t="n">
        <v>3</v>
      </c>
      <c r="T17" s="1" t="n">
        <v>64</v>
      </c>
      <c r="U17" s="1" t="n">
        <v>178</v>
      </c>
      <c r="V17" s="1" t="n">
        <v>11</v>
      </c>
      <c r="W17" s="1" t="n">
        <v>3</v>
      </c>
      <c r="X17" s="1" t="n">
        <v>192</v>
      </c>
      <c r="Y17" s="1" t="n">
        <v>3</v>
      </c>
      <c r="Z17" s="1" t="s">
        <v>81</v>
      </c>
      <c r="AA17" s="1" t="s">
        <v>81</v>
      </c>
      <c r="AB17" s="1" t="s">
        <v>81</v>
      </c>
      <c r="AC17" s="1" t="s">
        <v>55</v>
      </c>
      <c r="AD17" s="1" t="s">
        <v>56</v>
      </c>
      <c r="AE17" s="1"/>
      <c r="AF17" s="2" t="e">
        <f aca="false">(U17+AA17)/(X17+AB17)</f>
        <v>#VALUE!</v>
      </c>
      <c r="AG17" s="2" t="e">
        <f aca="false">(W17+Y17)/(X17 +AB17)</f>
        <v>#VALUE!</v>
      </c>
      <c r="AH17" s="2" t="e">
        <f aca="false">(V17+Z17)/(X17+AB17)</f>
        <v>#VALUE!</v>
      </c>
      <c r="AI17" s="2" t="n">
        <f aca="false">W17/X17</f>
        <v>0.015625</v>
      </c>
      <c r="AJ17" s="2" t="e">
        <f aca="false">Y17/AB17</f>
        <v>#VALUE!</v>
      </c>
      <c r="AK17" s="2" t="n">
        <f aca="false">U17/SUM(U17:W17)</f>
        <v>0.927083333333333</v>
      </c>
      <c r="AL17" s="2" t="e">
        <f aca="false">AA17/SUM(Y17:AA17)</f>
        <v>#VALUE!</v>
      </c>
      <c r="AM17" s="1" t="e">
        <f aca="false">1-AF17</f>
        <v>#VALUE!</v>
      </c>
      <c r="AN17" s="3" t="s">
        <v>46</v>
      </c>
    </row>
    <row r="18" customFormat="false" ht="12.8" hidden="true" customHeight="false" outlineLevel="0" collapsed="false">
      <c r="A18" s="1" t="s">
        <v>107</v>
      </c>
      <c r="B18" s="1" t="n">
        <v>2022</v>
      </c>
      <c r="C18" s="1"/>
      <c r="D18" s="1" t="s">
        <v>108</v>
      </c>
      <c r="E18" s="1" t="s">
        <v>109</v>
      </c>
      <c r="F18" s="1" t="s">
        <v>68</v>
      </c>
      <c r="G18" s="1" t="s">
        <v>44</v>
      </c>
      <c r="H18" s="1" t="s">
        <v>46</v>
      </c>
      <c r="I18" s="1" t="s">
        <v>46</v>
      </c>
      <c r="J18" s="1" t="s">
        <v>45</v>
      </c>
      <c r="K18" s="1" t="s">
        <v>52</v>
      </c>
      <c r="L18" s="2"/>
      <c r="M18" s="2"/>
      <c r="N18" s="1" t="s">
        <v>46</v>
      </c>
      <c r="O18" s="1" t="n">
        <v>192</v>
      </c>
      <c r="P18" s="1" t="n">
        <v>72</v>
      </c>
      <c r="Q18" s="1" t="n">
        <v>8</v>
      </c>
      <c r="T18" s="1" t="n">
        <v>11</v>
      </c>
      <c r="U18" s="1" t="n">
        <v>83</v>
      </c>
      <c r="V18" s="1" t="n">
        <v>109</v>
      </c>
      <c r="W18" s="1" t="n">
        <v>0</v>
      </c>
      <c r="X18" s="1" t="n">
        <v>192</v>
      </c>
      <c r="Y18" s="1" t="n">
        <v>0</v>
      </c>
      <c r="Z18" s="1" t="n">
        <v>59</v>
      </c>
      <c r="AA18" s="1" t="n">
        <v>13</v>
      </c>
      <c r="AB18" s="1" t="n">
        <v>72</v>
      </c>
      <c r="AC18" s="1" t="s">
        <v>63</v>
      </c>
      <c r="AD18" s="1" t="s">
        <v>56</v>
      </c>
      <c r="AF18" s="2" t="n">
        <f aca="false">(U18+AA18)/(X18+AB18)</f>
        <v>0.363636363636364</v>
      </c>
      <c r="AG18" s="2" t="n">
        <f aca="false">(W18+Y18)/(X18 +AB18)</f>
        <v>0</v>
      </c>
      <c r="AH18" s="2" t="n">
        <f aca="false">(V18+Z18)/(X18+AB18)</f>
        <v>0.636363636363636</v>
      </c>
      <c r="AI18" s="2" t="n">
        <f aca="false">W18/X18</f>
        <v>0</v>
      </c>
      <c r="AJ18" s="2" t="n">
        <f aca="false">Y18/AB18</f>
        <v>0</v>
      </c>
      <c r="AK18" s="2" t="n">
        <f aca="false">U18/SUM(U18:W18)</f>
        <v>0.432291666666667</v>
      </c>
      <c r="AL18" s="2" t="n">
        <f aca="false">AA18/SUM(Y18:AA18)</f>
        <v>0.180555555555556</v>
      </c>
      <c r="AM18" s="1" t="n">
        <f aca="false">1-AF18</f>
        <v>0.636363636363636</v>
      </c>
      <c r="AN18" s="1" t="s">
        <v>46</v>
      </c>
    </row>
    <row r="19" customFormat="false" ht="12.8" hidden="true" customHeight="false" outlineLevel="0" collapsed="false">
      <c r="A19" s="3" t="s">
        <v>107</v>
      </c>
      <c r="B19" s="3" t="n">
        <v>2022</v>
      </c>
      <c r="C19" s="3"/>
      <c r="D19" s="3" t="s">
        <v>108</v>
      </c>
      <c r="E19" s="3" t="s">
        <v>109</v>
      </c>
      <c r="F19" s="3" t="s">
        <v>43</v>
      </c>
      <c r="G19" s="3" t="s">
        <v>44</v>
      </c>
      <c r="H19" s="3" t="s">
        <v>46</v>
      </c>
      <c r="I19" s="3" t="s">
        <v>46</v>
      </c>
      <c r="J19" s="3" t="s">
        <v>45</v>
      </c>
      <c r="K19" s="3" t="s">
        <v>52</v>
      </c>
      <c r="L19" s="2"/>
      <c r="M19" s="2"/>
      <c r="N19" s="3" t="s">
        <v>46</v>
      </c>
      <c r="O19" s="1" t="n">
        <v>194</v>
      </c>
      <c r="P19" s="1" t="n">
        <v>71</v>
      </c>
      <c r="Q19" s="1" t="n">
        <v>0</v>
      </c>
      <c r="T19" s="1" t="n">
        <v>11</v>
      </c>
      <c r="U19" s="1" t="n">
        <v>184</v>
      </c>
      <c r="V19" s="1" t="n">
        <v>10</v>
      </c>
      <c r="W19" s="1" t="n">
        <v>0</v>
      </c>
      <c r="X19" s="1" t="n">
        <v>194</v>
      </c>
      <c r="Y19" s="1" t="n">
        <v>0</v>
      </c>
      <c r="Z19" s="1" t="n">
        <v>47</v>
      </c>
      <c r="AA19" s="1" t="n">
        <v>24</v>
      </c>
      <c r="AB19" s="1" t="n">
        <v>71</v>
      </c>
      <c r="AC19" s="1" t="s">
        <v>63</v>
      </c>
      <c r="AD19" s="1" t="s">
        <v>56</v>
      </c>
      <c r="AF19" s="2" t="n">
        <f aca="false">(U19+AA19)/(X19+AB19)</f>
        <v>0.784905660377359</v>
      </c>
      <c r="AG19" s="2" t="n">
        <f aca="false">(W19+Y19)/(X19 +AB19)</f>
        <v>0</v>
      </c>
      <c r="AH19" s="2" t="n">
        <f aca="false">(V19+Z19)/(X19+AB19)</f>
        <v>0.215094339622642</v>
      </c>
      <c r="AI19" s="2" t="n">
        <f aca="false">W19/X19</f>
        <v>0</v>
      </c>
      <c r="AJ19" s="2" t="n">
        <f aca="false">Y19/AB19</f>
        <v>0</v>
      </c>
      <c r="AK19" s="2" t="n">
        <f aca="false">U19/SUM(U19:W19)</f>
        <v>0.948453608247423</v>
      </c>
      <c r="AL19" s="2" t="n">
        <f aca="false">AA19/SUM(Y19:AA19)</f>
        <v>0.338028169014085</v>
      </c>
      <c r="AM19" s="1" t="n">
        <f aca="false">1-AF19</f>
        <v>0.215094339622641</v>
      </c>
      <c r="AN19" s="1" t="s">
        <v>46</v>
      </c>
    </row>
    <row r="20" customFormat="false" ht="12.8" hidden="false" customHeight="false" outlineLevel="0" collapsed="false">
      <c r="A20" s="1" t="s">
        <v>110</v>
      </c>
      <c r="B20" s="1" t="n">
        <v>2013</v>
      </c>
      <c r="C20" s="1"/>
      <c r="E20" s="1" t="s">
        <v>111</v>
      </c>
      <c r="F20" s="1" t="s">
        <v>68</v>
      </c>
      <c r="G20" s="1" t="s">
        <v>93</v>
      </c>
      <c r="H20" s="1" t="s">
        <v>45</v>
      </c>
      <c r="I20" s="1" t="s">
        <v>46</v>
      </c>
      <c r="J20" s="1" t="s">
        <v>45</v>
      </c>
      <c r="K20" s="1" t="s">
        <v>47</v>
      </c>
      <c r="L20" s="2"/>
      <c r="M20" s="2"/>
      <c r="N20" s="1" t="s">
        <v>46</v>
      </c>
      <c r="O20" s="1" t="n">
        <v>188</v>
      </c>
      <c r="P20" s="1" t="n">
        <v>124</v>
      </c>
      <c r="T20" s="1" t="n">
        <v>64</v>
      </c>
      <c r="U20" s="1" t="n">
        <v>83</v>
      </c>
      <c r="V20" s="1" t="n">
        <v>99</v>
      </c>
      <c r="W20" s="1" t="n">
        <v>6</v>
      </c>
      <c r="X20" s="1" t="n">
        <v>188</v>
      </c>
      <c r="Y20" s="1" t="n">
        <v>5</v>
      </c>
      <c r="Z20" s="1" t="n">
        <v>47</v>
      </c>
      <c r="AA20" s="1" t="n">
        <v>72</v>
      </c>
      <c r="AB20" s="1" t="n">
        <v>124</v>
      </c>
      <c r="AC20" s="3" t="s">
        <v>55</v>
      </c>
      <c r="AD20" s="3" t="s">
        <v>56</v>
      </c>
      <c r="AF20" s="2" t="n">
        <f aca="false">(U20+AA20)/(X20+AB20)</f>
        <v>0.496794871794872</v>
      </c>
      <c r="AG20" s="2" t="n">
        <f aca="false">(W20+Y20)/(X20 +AB20)</f>
        <v>0.0352564102564103</v>
      </c>
      <c r="AH20" s="2" t="n">
        <f aca="false">(V20+Z20)/(X20+AB20)</f>
        <v>0.467948717948718</v>
      </c>
      <c r="AI20" s="2" t="n">
        <f aca="false">W20/X20</f>
        <v>0.0319148936170213</v>
      </c>
      <c r="AJ20" s="2" t="n">
        <f aca="false">Y20/AB20</f>
        <v>0.0403225806451613</v>
      </c>
      <c r="AK20" s="2" t="n">
        <f aca="false">U20/SUM(U20:W20)</f>
        <v>0.441489361702128</v>
      </c>
      <c r="AL20" s="2" t="n">
        <f aca="false">AA20/SUM(Y20:AA20)</f>
        <v>0.580645161290323</v>
      </c>
      <c r="AM20" s="1" t="n">
        <f aca="false">1-AF20</f>
        <v>0.503205128205128</v>
      </c>
      <c r="AN20" s="1" t="s">
        <v>46</v>
      </c>
    </row>
    <row r="21" customFormat="false" ht="12.8" hidden="false" customHeight="false" outlineLevel="0" collapsed="false">
      <c r="A21" s="3" t="s">
        <v>110</v>
      </c>
      <c r="B21" s="3" t="n">
        <v>2013</v>
      </c>
      <c r="C21" s="3"/>
      <c r="D21" s="3"/>
      <c r="E21" s="3" t="s">
        <v>111</v>
      </c>
      <c r="F21" s="3" t="s">
        <v>43</v>
      </c>
      <c r="G21" s="3" t="s">
        <v>93</v>
      </c>
      <c r="H21" s="3" t="s">
        <v>45</v>
      </c>
      <c r="I21" s="3" t="s">
        <v>46</v>
      </c>
      <c r="J21" s="3" t="s">
        <v>45</v>
      </c>
      <c r="K21" s="3" t="s">
        <v>47</v>
      </c>
      <c r="L21" s="2"/>
      <c r="M21" s="2"/>
      <c r="N21" s="3" t="s">
        <v>46</v>
      </c>
      <c r="O21" s="1" t="n">
        <v>127</v>
      </c>
      <c r="P21" s="1" t="n">
        <v>189</v>
      </c>
      <c r="T21" s="1" t="n">
        <v>64</v>
      </c>
      <c r="U21" s="1" t="n">
        <v>98</v>
      </c>
      <c r="V21" s="1" t="n">
        <v>22</v>
      </c>
      <c r="W21" s="1" t="n">
        <v>7</v>
      </c>
      <c r="X21" s="1" t="n">
        <v>127</v>
      </c>
      <c r="Y21" s="1" t="n">
        <v>15</v>
      </c>
      <c r="Z21" s="1" t="n">
        <v>55</v>
      </c>
      <c r="AA21" s="1" t="n">
        <v>119</v>
      </c>
      <c r="AB21" s="1" t="n">
        <v>189</v>
      </c>
      <c r="AC21" s="1" t="s">
        <v>55</v>
      </c>
      <c r="AD21" s="1" t="s">
        <v>56</v>
      </c>
      <c r="AF21" s="2" t="n">
        <f aca="false">(U21+AA21)/(X21+AB21)</f>
        <v>0.686708860759494</v>
      </c>
      <c r="AG21" s="2" t="n">
        <f aca="false">(W21+Y21)/(X21 +AB21)</f>
        <v>0.069620253164557</v>
      </c>
      <c r="AH21" s="2" t="n">
        <f aca="false">(V21+Z21)/(X21+AB21)</f>
        <v>0.243670886075949</v>
      </c>
      <c r="AI21" s="2" t="n">
        <f aca="false">W21/X21</f>
        <v>0.0551181102362205</v>
      </c>
      <c r="AJ21" s="2" t="n">
        <f aca="false">Y21/AB21</f>
        <v>0.0793650793650794</v>
      </c>
      <c r="AK21" s="2" t="n">
        <f aca="false">U21/SUM(U21:W21)</f>
        <v>0.771653543307087</v>
      </c>
      <c r="AL21" s="2" t="n">
        <f aca="false">AA21/SUM(Y21:AA21)</f>
        <v>0.62962962962963</v>
      </c>
      <c r="AM21" s="1" t="n">
        <f aca="false">1-AF21</f>
        <v>0.313291139240506</v>
      </c>
      <c r="AN21" s="1" t="s">
        <v>46</v>
      </c>
    </row>
    <row r="22" customFormat="false" ht="12.8" hidden="true" customHeight="false" outlineLevel="0" collapsed="false">
      <c r="A22" s="1" t="s">
        <v>112</v>
      </c>
      <c r="B22" s="1" t="n">
        <v>2021</v>
      </c>
      <c r="C22" s="1"/>
      <c r="D22" s="1" t="s">
        <v>113</v>
      </c>
      <c r="E22" s="1" t="s">
        <v>114</v>
      </c>
      <c r="F22" s="1" t="s">
        <v>68</v>
      </c>
      <c r="G22" s="1" t="s">
        <v>44</v>
      </c>
      <c r="H22" s="1" t="s">
        <v>45</v>
      </c>
      <c r="I22" s="1" t="s">
        <v>46</v>
      </c>
      <c r="J22" s="1" t="s">
        <v>45</v>
      </c>
      <c r="K22" s="1" t="s">
        <v>52</v>
      </c>
      <c r="L22" s="2" t="n">
        <v>0.34</v>
      </c>
      <c r="M22" s="2" t="s">
        <v>70</v>
      </c>
      <c r="N22" s="1" t="s">
        <v>46</v>
      </c>
      <c r="R22" s="1" t="n">
        <v>15</v>
      </c>
      <c r="S22" s="1" t="n">
        <v>20</v>
      </c>
      <c r="T22" s="1" t="n">
        <v>74</v>
      </c>
      <c r="U22" s="1" t="n">
        <f aca="false">1108+129</f>
        <v>1237</v>
      </c>
      <c r="V22" s="1" t="s">
        <v>81</v>
      </c>
      <c r="W22" s="1" t="s">
        <v>81</v>
      </c>
      <c r="X22" s="1" t="n">
        <v>1300</v>
      </c>
      <c r="Y22" s="1" t="n">
        <v>7</v>
      </c>
      <c r="Z22" s="1" t="s">
        <v>81</v>
      </c>
      <c r="AA22" s="1" t="s">
        <v>81</v>
      </c>
      <c r="AB22" s="1" t="n">
        <v>6120</v>
      </c>
      <c r="AC22" s="1" t="s">
        <v>63</v>
      </c>
      <c r="AD22" s="1" t="s">
        <v>56</v>
      </c>
      <c r="AF22" s="2" t="e">
        <f aca="false">(U22+AA22)/(X22+AB22)</f>
        <v>#VALUE!</v>
      </c>
      <c r="AG22" s="2" t="e">
        <f aca="false">(W22+Y22)/(X22 +AB22)</f>
        <v>#VALUE!</v>
      </c>
      <c r="AH22" s="2" t="e">
        <f aca="false">(V22+Z22)/(X22+AB22)</f>
        <v>#VALUE!</v>
      </c>
      <c r="AI22" s="2" t="e">
        <f aca="false">W22/X22</f>
        <v>#VALUE!</v>
      </c>
      <c r="AJ22" s="2" t="n">
        <f aca="false">Y22/AB22</f>
        <v>0.0011437908496732</v>
      </c>
      <c r="AK22" s="2" t="n">
        <f aca="false">U22/SUM(U22:W22)</f>
        <v>1</v>
      </c>
      <c r="AL22" s="2" t="e">
        <f aca="false">AA22/SUM(Y22:AA22)</f>
        <v>#VALUE!</v>
      </c>
      <c r="AM22" s="1" t="e">
        <f aca="false">1-AF22</f>
        <v>#VALUE!</v>
      </c>
      <c r="AN22" s="1" t="s">
        <v>46</v>
      </c>
    </row>
    <row r="23" s="3" customFormat="true" ht="12.8" hidden="true" customHeight="false" outlineLevel="0" collapsed="false">
      <c r="A23" s="1" t="s">
        <v>115</v>
      </c>
      <c r="B23" s="1" t="n">
        <v>2016</v>
      </c>
      <c r="C23" s="1"/>
      <c r="D23" s="1"/>
      <c r="E23" s="1"/>
      <c r="F23" s="1" t="s">
        <v>43</v>
      </c>
      <c r="G23" s="1" t="s">
        <v>44</v>
      </c>
      <c r="H23" s="1" t="s">
        <v>45</v>
      </c>
      <c r="I23" s="1" t="s">
        <v>46</v>
      </c>
      <c r="J23" s="1" t="s">
        <v>46</v>
      </c>
      <c r="K23" s="1" t="s">
        <v>52</v>
      </c>
      <c r="L23" s="2" t="n">
        <f aca="false">17/47</f>
        <v>0.361702127659575</v>
      </c>
      <c r="M23" s="2" t="s">
        <v>70</v>
      </c>
      <c r="N23" s="1" t="s">
        <v>46</v>
      </c>
      <c r="O23" s="1"/>
      <c r="P23" s="1"/>
      <c r="Q23" s="1"/>
      <c r="R23" s="1" t="s">
        <v>81</v>
      </c>
      <c r="S23" s="1" t="n">
        <v>12</v>
      </c>
      <c r="T23" s="1" t="n">
        <v>34</v>
      </c>
      <c r="U23" s="1" t="n">
        <v>190</v>
      </c>
      <c r="V23" s="1" t="n">
        <v>6</v>
      </c>
      <c r="W23" s="1" t="n">
        <v>3</v>
      </c>
      <c r="X23" s="1" t="n">
        <v>199</v>
      </c>
      <c r="Y23" s="1" t="n">
        <v>1</v>
      </c>
      <c r="Z23" s="1" t="n">
        <v>33</v>
      </c>
      <c r="AA23" s="1" t="n">
        <v>403</v>
      </c>
      <c r="AB23" s="1" t="s">
        <v>81</v>
      </c>
      <c r="AC23" s="1" t="s">
        <v>63</v>
      </c>
      <c r="AD23" s="1" t="s">
        <v>56</v>
      </c>
      <c r="AE23" s="1"/>
      <c r="AF23" s="2" t="e">
        <f aca="false">(U23+AA23)/(X23+AB23)</f>
        <v>#VALUE!</v>
      </c>
      <c r="AG23" s="2" t="e">
        <f aca="false">(W23+Y23)/(X23 +AB23)</f>
        <v>#VALUE!</v>
      </c>
      <c r="AH23" s="2" t="e">
        <f aca="false">(V23+Z23)/(X23+AB23)</f>
        <v>#VALUE!</v>
      </c>
      <c r="AI23" s="2" t="n">
        <f aca="false">W23/X23</f>
        <v>0.0150753768844221</v>
      </c>
      <c r="AJ23" s="2" t="e">
        <f aca="false">Y23/AB23</f>
        <v>#VALUE!</v>
      </c>
      <c r="AK23" s="2" t="n">
        <f aca="false">U23/SUM(U23:W23)</f>
        <v>0.954773869346734</v>
      </c>
      <c r="AL23" s="2" t="n">
        <f aca="false">AA23/SUM(Y23:AA23)</f>
        <v>0.922196796338673</v>
      </c>
      <c r="AM23" s="1" t="e">
        <f aca="false">1-AF23</f>
        <v>#VALUE!</v>
      </c>
      <c r="AN23" s="3" t="s">
        <v>46</v>
      </c>
    </row>
    <row r="24" customFormat="false" ht="12.8" hidden="true" customHeight="false" outlineLevel="0" collapsed="false">
      <c r="A24" s="3" t="s">
        <v>115</v>
      </c>
      <c r="B24" s="3" t="n">
        <v>2016</v>
      </c>
      <c r="C24" s="3"/>
      <c r="D24" s="3"/>
      <c r="E24" s="3"/>
      <c r="F24" s="3" t="s">
        <v>68</v>
      </c>
      <c r="G24" s="3" t="s">
        <v>44</v>
      </c>
      <c r="H24" s="3" t="s">
        <v>45</v>
      </c>
      <c r="I24" s="3" t="s">
        <v>46</v>
      </c>
      <c r="J24" s="3" t="s">
        <v>46</v>
      </c>
      <c r="K24" s="3" t="s">
        <v>52</v>
      </c>
      <c r="L24" s="2" t="n">
        <f aca="false">17/47</f>
        <v>0.361702127659575</v>
      </c>
      <c r="M24" s="2" t="s">
        <v>70</v>
      </c>
      <c r="N24" s="3" t="s">
        <v>46</v>
      </c>
      <c r="O24" s="3"/>
      <c r="P24" s="3"/>
      <c r="Q24" s="3"/>
      <c r="R24" s="3" t="s">
        <v>81</v>
      </c>
      <c r="S24" s="3" t="n">
        <v>12</v>
      </c>
      <c r="T24" s="3" t="n">
        <v>34</v>
      </c>
      <c r="U24" s="3" t="n">
        <v>156</v>
      </c>
      <c r="V24" s="3" t="n">
        <v>62</v>
      </c>
      <c r="W24" s="3" t="n">
        <v>1</v>
      </c>
      <c r="X24" s="3" t="n">
        <v>207</v>
      </c>
      <c r="Y24" s="3" t="n">
        <v>0</v>
      </c>
      <c r="Z24" s="3" t="n">
        <v>103</v>
      </c>
      <c r="AA24" s="3" t="n">
        <v>518</v>
      </c>
      <c r="AB24" s="3" t="s">
        <v>81</v>
      </c>
      <c r="AC24" s="3" t="s">
        <v>63</v>
      </c>
      <c r="AD24" s="3" t="s">
        <v>56</v>
      </c>
      <c r="AE24" s="3"/>
      <c r="AF24" s="2" t="e">
        <f aca="false">(U24+AA24)/(X24+AB24)</f>
        <v>#VALUE!</v>
      </c>
      <c r="AG24" s="2" t="e">
        <f aca="false">(W24+Y24)/(X24 +AB24)</f>
        <v>#VALUE!</v>
      </c>
      <c r="AH24" s="2" t="e">
        <f aca="false">(V24+Z24)/(X24+AB24)</f>
        <v>#VALUE!</v>
      </c>
      <c r="AI24" s="2" t="n">
        <f aca="false">W24/X24</f>
        <v>0.00483091787439614</v>
      </c>
      <c r="AJ24" s="2" t="e">
        <f aca="false">Y24/AB24</f>
        <v>#VALUE!</v>
      </c>
      <c r="AK24" s="2" t="n">
        <f aca="false">U24/SUM(U24:W24)</f>
        <v>0.712328767123288</v>
      </c>
      <c r="AL24" s="2" t="n">
        <f aca="false">AA24/SUM(Y24:AA24)</f>
        <v>0.834138486312399</v>
      </c>
      <c r="AM24" s="1" t="e">
        <f aca="false">1-AF24</f>
        <v>#VALUE!</v>
      </c>
      <c r="AN24" s="1" t="s">
        <v>46</v>
      </c>
    </row>
    <row r="25" customFormat="false" ht="12.8" hidden="true" customHeight="false" outlineLevel="0" collapsed="false">
      <c r="A25" s="1" t="s">
        <v>116</v>
      </c>
      <c r="B25" s="1" t="n">
        <v>2014</v>
      </c>
      <c r="C25" s="1"/>
      <c r="F25" s="1" t="s">
        <v>43</v>
      </c>
      <c r="G25" s="1" t="s">
        <v>44</v>
      </c>
      <c r="H25" s="1" t="s">
        <v>45</v>
      </c>
      <c r="I25" s="1" t="s">
        <v>46</v>
      </c>
      <c r="J25" s="1" t="s">
        <v>46</v>
      </c>
      <c r="K25" s="1" t="s">
        <v>52</v>
      </c>
      <c r="L25" s="2" t="n">
        <f aca="false">1/6</f>
        <v>0.166666666666667</v>
      </c>
      <c r="M25" s="2" t="s">
        <v>70</v>
      </c>
      <c r="N25" s="1" t="s">
        <v>46</v>
      </c>
      <c r="R25" s="1" t="n">
        <v>3</v>
      </c>
      <c r="S25" s="1" t="n">
        <v>3</v>
      </c>
      <c r="T25" s="1" t="n">
        <v>25</v>
      </c>
      <c r="U25" s="1" t="n">
        <v>74</v>
      </c>
      <c r="V25" s="1" t="n">
        <v>1</v>
      </c>
      <c r="W25" s="1" t="n">
        <v>0</v>
      </c>
      <c r="X25" s="1" t="n">
        <v>75</v>
      </c>
      <c r="Y25" s="1" t="n">
        <v>0</v>
      </c>
      <c r="Z25" s="1" t="s">
        <v>81</v>
      </c>
      <c r="AA25" s="1" t="s">
        <v>81</v>
      </c>
      <c r="AB25" s="1" t="s">
        <v>81</v>
      </c>
      <c r="AC25" s="1" t="s">
        <v>55</v>
      </c>
      <c r="AD25" s="1" t="s">
        <v>56</v>
      </c>
      <c r="AF25" s="2" t="e">
        <f aca="false">(U25+AA25)/(X25+AB25)</f>
        <v>#VALUE!</v>
      </c>
      <c r="AG25" s="2" t="e">
        <f aca="false">(W25+Y25)/(X25 +AB25)</f>
        <v>#VALUE!</v>
      </c>
      <c r="AH25" s="2" t="e">
        <f aca="false">(V25+Z25)/(X25+AB25)</f>
        <v>#VALUE!</v>
      </c>
      <c r="AI25" s="2" t="n">
        <f aca="false">W25/X25</f>
        <v>0</v>
      </c>
      <c r="AJ25" s="2" t="e">
        <f aca="false">Y25/AB25</f>
        <v>#VALUE!</v>
      </c>
      <c r="AK25" s="2" t="n">
        <f aca="false">U25/SUM(U25:W25)</f>
        <v>0.986666666666667</v>
      </c>
      <c r="AL25" s="2" t="e">
        <f aca="false">AA25/SUM(Y25:AA25)</f>
        <v>#VALUE!</v>
      </c>
      <c r="AM25" s="1" t="e">
        <f aca="false">1-AF25</f>
        <v>#VALUE!</v>
      </c>
      <c r="AN25" s="1" t="s">
        <v>46</v>
      </c>
    </row>
  </sheetData>
  <autoFilter ref="A2:AN25">
    <filterColumn colId="5" hiddenButton="1">
      <filters>
        <filter val="Cartridge"/>
      </filters>
    </filterColumn>
    <filterColumn colId="39" hiddenButton="1">
      <filters>
        <filter val="T"/>
      </filters>
    </filterColumn>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autoFilter>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26"/>
  <sheetViews>
    <sheetView showFormulas="false" showGridLines="true" showRowColHeaders="true" showZeros="true" rightToLeft="false" tabSelected="false" showOutlineSymbols="true" defaultGridColor="true" view="normal" topLeftCell="A5" colorId="64" zoomScale="110" zoomScaleNormal="110" zoomScalePageLayoutView="100" workbookViewId="0">
      <selection pane="topLeft" activeCell="A17" activeCellId="0" sqref="A17"/>
    </sheetView>
  </sheetViews>
  <sheetFormatPr defaultColWidth="11.53515625" defaultRowHeight="12.8" zeroHeight="false" outlineLevelRow="0" outlineLevelCol="0"/>
  <cols>
    <col collapsed="false" customWidth="true" hidden="false" outlineLevel="0" max="1" min="1" style="1" width="40.19"/>
    <col collapsed="false" customWidth="true" hidden="false" outlineLevel="0" max="3" min="3" style="1" width="17.82"/>
    <col collapsed="false" customWidth="false" hidden="false" outlineLevel="0" max="19" min="4" style="1" width="11.53"/>
    <col collapsed="false" customWidth="true" hidden="false" outlineLevel="0" max="20" min="20" style="1" width="16.18"/>
    <col collapsed="false" customWidth="true" hidden="false" outlineLevel="0" max="23" min="23" style="1" width="16.77"/>
    <col collapsed="false" customWidth="true" hidden="false" outlineLevel="0" max="24" min="24" style="1" width="21.18"/>
  </cols>
  <sheetData>
    <row r="1" customFormat="false" ht="24.75" hidden="false" customHeight="true" outlineLevel="0" collapsed="false">
      <c r="A1" s="1" t="s">
        <v>117</v>
      </c>
      <c r="B1" s="1" t="s">
        <v>1</v>
      </c>
      <c r="C1" s="1" t="s">
        <v>118</v>
      </c>
      <c r="D1" s="1" t="s">
        <v>119</v>
      </c>
      <c r="E1" s="1" t="s">
        <v>19</v>
      </c>
      <c r="F1" s="1" t="s">
        <v>20</v>
      </c>
      <c r="G1" s="1" t="s">
        <v>21</v>
      </c>
      <c r="H1" s="1" t="s">
        <v>22</v>
      </c>
      <c r="I1" s="1" t="s">
        <v>23</v>
      </c>
      <c r="J1" s="1" t="s">
        <v>24</v>
      </c>
      <c r="K1" s="1" t="s">
        <v>25</v>
      </c>
      <c r="L1" s="1" t="s">
        <v>26</v>
      </c>
      <c r="M1" s="1" t="s">
        <v>35</v>
      </c>
      <c r="N1" s="1" t="s">
        <v>36</v>
      </c>
      <c r="O1" s="4" t="s">
        <v>120</v>
      </c>
      <c r="P1" s="4" t="s">
        <v>121</v>
      </c>
      <c r="Q1" s="4" t="s">
        <v>122</v>
      </c>
      <c r="R1" s="4" t="s">
        <v>123</v>
      </c>
      <c r="S1" s="4" t="s">
        <v>124</v>
      </c>
      <c r="T1" s="4" t="s">
        <v>125</v>
      </c>
      <c r="U1" s="2" t="s">
        <v>30</v>
      </c>
      <c r="V1" s="2" t="s">
        <v>31</v>
      </c>
      <c r="W1" s="2" t="s">
        <v>32</v>
      </c>
      <c r="X1" s="2" t="s">
        <v>126</v>
      </c>
      <c r="Y1" s="1"/>
      <c r="Z1" s="1"/>
      <c r="AA1" s="1"/>
      <c r="AB1" s="1"/>
      <c r="AC1" s="1"/>
    </row>
    <row r="2" customFormat="false" ht="12.8" hidden="false" customHeight="false" outlineLevel="0" collapsed="false">
      <c r="A2" s="1" t="s">
        <v>39</v>
      </c>
      <c r="B2" s="1" t="n">
        <v>2014</v>
      </c>
      <c r="C2" s="1" t="s">
        <v>40</v>
      </c>
      <c r="D2" s="1" t="s">
        <v>43</v>
      </c>
      <c r="E2" s="3" t="n">
        <v>1075</v>
      </c>
      <c r="F2" s="3" t="n">
        <v>11</v>
      </c>
      <c r="G2" s="3" t="n">
        <v>4</v>
      </c>
      <c r="H2" s="3" t="n">
        <v>1090</v>
      </c>
      <c r="I2" s="3" t="n">
        <v>22</v>
      </c>
      <c r="J2" s="3" t="n">
        <v>737</v>
      </c>
      <c r="K2" s="3" t="n">
        <v>1421</v>
      </c>
      <c r="L2" s="3" t="n">
        <v>2180</v>
      </c>
      <c r="M2" s="5" t="n">
        <f aca="false">E2/SUM(E2:G2)</f>
        <v>0.986238532110092</v>
      </c>
      <c r="N2" s="5" t="n">
        <f aca="false">K2/SUM(I2:K2)</f>
        <v>0.651834862385321</v>
      </c>
      <c r="O2" s="5" t="n">
        <f aca="false">F2/H2</f>
        <v>0.0100917431192661</v>
      </c>
      <c r="P2" s="5" t="n">
        <f aca="false">J2/L2</f>
        <v>0.338073394495413</v>
      </c>
      <c r="Q2" s="5" t="n">
        <f aca="false">(F2+J2)/(H2+L2)</f>
        <v>0.228746177370031</v>
      </c>
      <c r="R2" s="5" t="n">
        <f aca="false">(G2+I2)/(H2+L2)</f>
        <v>0.00795107033639144</v>
      </c>
      <c r="S2" s="5" t="n">
        <f aca="false">(G2+I2)/(E2+G2+I2+K2)</f>
        <v>0.0103092783505155</v>
      </c>
      <c r="T2" s="5" t="n">
        <f aca="false">1 - (E2+K2)/(H2+L2)</f>
        <v>0.236697247706422</v>
      </c>
      <c r="U2" s="5" t="n">
        <f aca="false">Sheet1!AF2</f>
        <v>0.763302752293578</v>
      </c>
      <c r="V2" s="5" t="n">
        <f aca="false">Sheet1!AG2</f>
        <v>0.00795107033639144</v>
      </c>
      <c r="W2" s="5" t="n">
        <f aca="false">Sheet1!AH2</f>
        <v>0.228746177370031</v>
      </c>
      <c r="X2" s="5" t="n">
        <f aca="false">1-U2</f>
        <v>0.236697247706422</v>
      </c>
      <c r="Y2" s="1"/>
      <c r="Z2" s="1"/>
      <c r="AA2" s="1"/>
      <c r="AB2" s="1"/>
      <c r="AC2" s="1"/>
    </row>
    <row r="3" customFormat="false" ht="12.8" hidden="false" customHeight="false" outlineLevel="0" collapsed="false">
      <c r="A3" s="3" t="s">
        <v>64</v>
      </c>
      <c r="B3" s="3" t="n">
        <v>2023</v>
      </c>
      <c r="C3" s="3" t="s">
        <v>65</v>
      </c>
      <c r="D3" s="3" t="s">
        <v>43</v>
      </c>
      <c r="E3" s="1" t="n">
        <v>1056</v>
      </c>
      <c r="F3" s="1" t="n">
        <f aca="false">177+140+22</f>
        <v>339</v>
      </c>
      <c r="G3" s="1" t="n">
        <v>25</v>
      </c>
      <c r="H3" s="1" t="n">
        <f aca="false">SUM(E3:G3)</f>
        <v>1420</v>
      </c>
      <c r="I3" s="1" t="n">
        <v>26</v>
      </c>
      <c r="J3" s="1" t="n">
        <f aca="false">177+637+620</f>
        <v>1434</v>
      </c>
      <c r="K3" s="1" t="n">
        <f aca="false">1375</f>
        <v>1375</v>
      </c>
      <c r="L3" s="1" t="n">
        <f aca="false">SUM(I3:K3)</f>
        <v>2835</v>
      </c>
      <c r="M3" s="5" t="n">
        <f aca="false">E3/SUM(E3:G3)</f>
        <v>0.743661971830986</v>
      </c>
      <c r="N3" s="5" t="n">
        <f aca="false">K3/SUM(I3:K3)</f>
        <v>0.485008818342152</v>
      </c>
      <c r="O3" s="5" t="n">
        <f aca="false">F3/H3</f>
        <v>0.238732394366197</v>
      </c>
      <c r="P3" s="5" t="n">
        <f aca="false">J3/L3</f>
        <v>0.505820105820106</v>
      </c>
      <c r="Q3" s="5" t="n">
        <f aca="false">(F3+J3)/(H3+L3)</f>
        <v>0.41668625146886</v>
      </c>
      <c r="R3" s="5" t="n">
        <f aca="false">(G3+I3)/(H3+L3)</f>
        <v>0.0119858989424207</v>
      </c>
      <c r="S3" s="5" t="n">
        <f aca="false">(G3+I3)/(E3+G3+I3+K3)</f>
        <v>0.0205479452054795</v>
      </c>
      <c r="T3" s="5" t="n">
        <f aca="false">1 - (E3+K3)/(H3+L3)</f>
        <v>0.428672150411281</v>
      </c>
      <c r="U3" s="5" t="n">
        <f aca="false">Sheet1!AF6</f>
        <v>0.571327849588719</v>
      </c>
      <c r="V3" s="5" t="n">
        <f aca="false">Sheet1!AG6</f>
        <v>0.0119858989424207</v>
      </c>
      <c r="W3" s="5" t="n">
        <f aca="false">Sheet1!AH6</f>
        <v>0.41668625146886</v>
      </c>
      <c r="X3" s="5" t="n">
        <f aca="false">1-U3</f>
        <v>0.428672150411281</v>
      </c>
      <c r="Y3" s="1"/>
      <c r="Z3" s="1"/>
      <c r="AA3" s="1"/>
      <c r="AB3" s="1"/>
      <c r="AC3" s="1"/>
    </row>
    <row r="4" customFormat="false" ht="12.8" hidden="false" customHeight="false" outlineLevel="0" collapsed="false">
      <c r="A4" s="3" t="s">
        <v>72</v>
      </c>
      <c r="B4" s="3" t="n">
        <v>2023</v>
      </c>
      <c r="C4" s="3" t="s">
        <v>73</v>
      </c>
      <c r="D4" s="3" t="s">
        <v>43</v>
      </c>
      <c r="E4" s="1" t="n">
        <v>1075</v>
      </c>
      <c r="F4" s="1" t="n">
        <v>11</v>
      </c>
      <c r="G4" s="1" t="n">
        <v>4</v>
      </c>
      <c r="H4" s="1" t="n">
        <v>1090</v>
      </c>
      <c r="I4" s="1" t="n">
        <v>22</v>
      </c>
      <c r="J4" s="1" t="n">
        <v>735</v>
      </c>
      <c r="K4" s="1" t="n">
        <v>1421</v>
      </c>
      <c r="L4" s="1" t="n">
        <v>2178</v>
      </c>
      <c r="M4" s="5" t="n">
        <f aca="false">E4/SUM(E4:G4)</f>
        <v>0.986238532110092</v>
      </c>
      <c r="N4" s="5" t="n">
        <f aca="false">K4/SUM(I4:K4)</f>
        <v>0.652433425160698</v>
      </c>
      <c r="O4" s="5" t="n">
        <f aca="false">F4/H4</f>
        <v>0.0100917431192661</v>
      </c>
      <c r="P4" s="5" t="n">
        <f aca="false">J4/L4</f>
        <v>0.337465564738292</v>
      </c>
      <c r="Q4" s="5" t="n">
        <f aca="false">(F4+J4)/(H4+L4)</f>
        <v>0.22827417380661</v>
      </c>
      <c r="R4" s="5" t="n">
        <f aca="false">(G4+I4)/(H4+L4)</f>
        <v>0.00795593635250918</v>
      </c>
      <c r="S4" s="5" t="n">
        <f aca="false">(G4+I4)/(E4+G4+I4+K4)</f>
        <v>0.0103092783505155</v>
      </c>
      <c r="T4" s="5" t="n">
        <f aca="false">1 - (E4+K4)/(H4+L4)</f>
        <v>0.236230110159119</v>
      </c>
      <c r="U4" s="5" t="n">
        <f aca="false">Sheet1!AF7</f>
        <v>0.763769889840881</v>
      </c>
      <c r="V4" s="5" t="n">
        <f aca="false">Sheet1!AG7</f>
        <v>0.00795593635250918</v>
      </c>
      <c r="W4" s="5" t="n">
        <f aca="false">Sheet1!AH7</f>
        <v>0.22827417380661</v>
      </c>
      <c r="X4" s="5" t="n">
        <f aca="false">1-U4</f>
        <v>0.236230110159119</v>
      </c>
      <c r="Y4" s="1"/>
      <c r="Z4" s="1"/>
      <c r="AA4" s="1"/>
      <c r="AB4" s="1"/>
      <c r="AC4" s="1"/>
    </row>
    <row r="5" customFormat="false" ht="12.8" hidden="false" customHeight="false" outlineLevel="0" collapsed="false">
      <c r="A5" s="1" t="s">
        <v>82</v>
      </c>
      <c r="B5" s="1" t="n">
        <v>2023</v>
      </c>
      <c r="C5" s="1" t="s">
        <v>83</v>
      </c>
      <c r="D5" s="1" t="s">
        <v>43</v>
      </c>
      <c r="E5" s="1" t="n">
        <v>851</v>
      </c>
      <c r="F5" s="1" t="n">
        <v>59</v>
      </c>
      <c r="G5" s="1" t="n">
        <v>1</v>
      </c>
      <c r="H5" s="1" t="n">
        <v>911</v>
      </c>
      <c r="I5" s="1" t="n">
        <v>5</v>
      </c>
      <c r="J5" s="1" t="n">
        <v>323</v>
      </c>
      <c r="K5" s="1" t="n">
        <v>572</v>
      </c>
      <c r="L5" s="1" t="n">
        <v>900</v>
      </c>
      <c r="M5" s="5" t="n">
        <f aca="false">E5/SUM(E5:G5)</f>
        <v>0.934138309549945</v>
      </c>
      <c r="N5" s="5" t="n">
        <f aca="false">K5/SUM(I5:K5)</f>
        <v>0.635555555555556</v>
      </c>
      <c r="O5" s="5" t="n">
        <f aca="false">F5/H5</f>
        <v>0.0647639956092206</v>
      </c>
      <c r="P5" s="5" t="n">
        <f aca="false">J5/L5</f>
        <v>0.358888888888889</v>
      </c>
      <c r="Q5" s="5" t="n">
        <f aca="false">(F5+J5)/(H5+L5)</f>
        <v>0.210933186085036</v>
      </c>
      <c r="R5" s="5" t="n">
        <f aca="false">(G5+I5)/(H5+L5)</f>
        <v>0.00331308669243512</v>
      </c>
      <c r="S5" s="5" t="n">
        <f aca="false">(G5+I5)/(E5+G5+I5+K5)</f>
        <v>0.00419874037788663</v>
      </c>
      <c r="T5" s="5" t="n">
        <f aca="false">1 - (E5+K5)/(H5+L5)</f>
        <v>0.214246272777471</v>
      </c>
      <c r="U5" s="5" t="n">
        <f aca="false">Sheet1!AF10</f>
        <v>0.785753727222529</v>
      </c>
      <c r="V5" s="5" t="n">
        <f aca="false">Sheet1!AG10</f>
        <v>0.00331308669243512</v>
      </c>
      <c r="W5" s="5" t="n">
        <f aca="false">Sheet1!AH10</f>
        <v>0.210933186085036</v>
      </c>
      <c r="X5" s="5" t="n">
        <f aca="false">1-U5</f>
        <v>0.214246272777471</v>
      </c>
      <c r="Y5" s="1"/>
      <c r="Z5" s="1"/>
      <c r="AA5" s="1"/>
      <c r="AB5" s="1"/>
      <c r="AC5" s="1"/>
    </row>
    <row r="6" customFormat="false" ht="12.8" hidden="false" customHeight="false" outlineLevel="0" collapsed="false">
      <c r="A6" s="1" t="s">
        <v>88</v>
      </c>
      <c r="B6" s="1" t="n">
        <v>2018</v>
      </c>
      <c r="C6" s="1" t="s">
        <v>89</v>
      </c>
      <c r="D6" s="1" t="s">
        <v>43</v>
      </c>
      <c r="E6" s="1" t="n">
        <v>1508</v>
      </c>
      <c r="F6" s="1" t="n">
        <v>4</v>
      </c>
      <c r="G6" s="1" t="n">
        <v>0</v>
      </c>
      <c r="H6" s="1" t="n">
        <v>1512</v>
      </c>
      <c r="I6" s="1" t="n">
        <v>0</v>
      </c>
      <c r="J6" s="1" t="n">
        <v>203</v>
      </c>
      <c r="K6" s="1" t="n">
        <v>805</v>
      </c>
      <c r="L6" s="1" t="n">
        <v>1008</v>
      </c>
      <c r="M6" s="5" t="n">
        <f aca="false">E6/SUM(E6:G6)</f>
        <v>0.997354497354497</v>
      </c>
      <c r="N6" s="5" t="n">
        <f aca="false">K6/SUM(I6:K6)</f>
        <v>0.798611111111111</v>
      </c>
      <c r="O6" s="5" t="n">
        <f aca="false">F6/H6</f>
        <v>0.00264550264550265</v>
      </c>
      <c r="P6" s="5" t="n">
        <f aca="false">J6/L6</f>
        <v>0.201388888888889</v>
      </c>
      <c r="Q6" s="5" t="n">
        <f aca="false">(F6+J6)/(H6+L6)</f>
        <v>0.0821428571428571</v>
      </c>
      <c r="R6" s="5" t="n">
        <f aca="false">(G6+I6)/(H6+L6)</f>
        <v>0</v>
      </c>
      <c r="S6" s="5" t="n">
        <f aca="false">(G6+I6)/(E6+G6+I6+K6)</f>
        <v>0</v>
      </c>
      <c r="T6" s="5" t="n">
        <f aca="false">1 - (E6+K6)/(H6+L6)</f>
        <v>0.0821428571428572</v>
      </c>
      <c r="U6" s="5" t="n">
        <f aca="false">Sheet1!AF12</f>
        <v>0.917857142857143</v>
      </c>
      <c r="V6" s="5" t="n">
        <f aca="false">Sheet1!AG12</f>
        <v>0</v>
      </c>
      <c r="W6" s="5" t="n">
        <f aca="false">Sheet1!AH12</f>
        <v>0.0821428571428571</v>
      </c>
      <c r="X6" s="5" t="n">
        <f aca="false">1-U6</f>
        <v>0.0821428571428572</v>
      </c>
      <c r="Y6" s="1"/>
      <c r="Z6" s="1"/>
      <c r="AA6" s="1"/>
      <c r="AB6" s="1"/>
      <c r="AC6" s="1"/>
    </row>
    <row r="7" customFormat="false" ht="12.8" hidden="false" customHeight="false" outlineLevel="0" collapsed="false">
      <c r="B7" s="1"/>
      <c r="Y7" s="1"/>
      <c r="Z7" s="1"/>
      <c r="AA7" s="1"/>
      <c r="AB7" s="1"/>
      <c r="AC7" s="1"/>
    </row>
    <row r="8" customFormat="false" ht="23.7" hidden="false" customHeight="false" outlineLevel="0" collapsed="false">
      <c r="B8" s="1" t="s">
        <v>35</v>
      </c>
      <c r="C8" s="1" t="s">
        <v>36</v>
      </c>
      <c r="D8" s="4" t="s">
        <v>120</v>
      </c>
      <c r="E8" s="4" t="s">
        <v>121</v>
      </c>
      <c r="F8" s="4" t="s">
        <v>122</v>
      </c>
      <c r="G8" s="0"/>
      <c r="H8" s="0"/>
      <c r="I8" s="0"/>
      <c r="Y8" s="1"/>
      <c r="Z8" s="1"/>
      <c r="AA8" s="1"/>
      <c r="AB8" s="1"/>
      <c r="AC8" s="1"/>
    </row>
    <row r="9" customFormat="false" ht="12.8" hidden="false" customHeight="false" outlineLevel="0" collapsed="false">
      <c r="A9" s="1" t="s">
        <v>39</v>
      </c>
      <c r="B9" s="5" t="n">
        <v>0.986238532110092</v>
      </c>
      <c r="C9" s="5" t="n">
        <v>0.651834862385321</v>
      </c>
      <c r="D9" s="5" t="n">
        <v>0.0100917431192661</v>
      </c>
      <c r="E9" s="5" t="n">
        <v>0.338073394495413</v>
      </c>
      <c r="F9" s="5" t="n">
        <v>0.228746177370031</v>
      </c>
      <c r="G9" s="0"/>
      <c r="H9" s="0"/>
      <c r="I9" s="0"/>
      <c r="Y9" s="1"/>
      <c r="Z9" s="1"/>
      <c r="AA9" s="1"/>
      <c r="AB9" s="1"/>
      <c r="AC9" s="1"/>
    </row>
    <row r="10" customFormat="false" ht="12.8" hidden="false" customHeight="false" outlineLevel="0" collapsed="false">
      <c r="A10" s="3" t="s">
        <v>64</v>
      </c>
      <c r="B10" s="5" t="n">
        <v>0.743661971830986</v>
      </c>
      <c r="C10" s="5" t="n">
        <v>0.485008818342152</v>
      </c>
      <c r="D10" s="5" t="n">
        <v>0.238732394366197</v>
      </c>
      <c r="E10" s="5" t="n">
        <v>0.505820105820106</v>
      </c>
      <c r="F10" s="5" t="n">
        <v>0.41668625146886</v>
      </c>
      <c r="G10" s="0"/>
      <c r="H10" s="0"/>
      <c r="I10" s="0"/>
      <c r="Y10" s="1"/>
      <c r="Z10" s="1"/>
      <c r="AA10" s="1"/>
      <c r="AB10" s="1"/>
      <c r="AC10" s="1"/>
    </row>
    <row r="11" customFormat="false" ht="12.8" hidden="false" customHeight="false" outlineLevel="0" collapsed="false">
      <c r="A11" s="3" t="s">
        <v>72</v>
      </c>
      <c r="B11" s="5" t="n">
        <v>0.986238532110092</v>
      </c>
      <c r="C11" s="5" t="n">
        <v>0.652433425160698</v>
      </c>
      <c r="D11" s="5" t="n">
        <v>0.0100917431192661</v>
      </c>
      <c r="E11" s="5" t="n">
        <v>0.337465564738292</v>
      </c>
      <c r="F11" s="5" t="n">
        <v>0.22827417380661</v>
      </c>
      <c r="G11" s="0"/>
      <c r="H11" s="0"/>
      <c r="I11" s="0"/>
      <c r="Y11" s="1"/>
      <c r="Z11" s="1"/>
      <c r="AA11" s="1"/>
      <c r="AB11" s="1"/>
      <c r="AC11" s="1"/>
    </row>
    <row r="12" customFormat="false" ht="12.8" hidden="false" customHeight="false" outlineLevel="0" collapsed="false">
      <c r="A12" s="1" t="s">
        <v>82</v>
      </c>
      <c r="B12" s="5" t="n">
        <v>0.934138309549945</v>
      </c>
      <c r="C12" s="5" t="n">
        <v>0.635555555555556</v>
      </c>
      <c r="D12" s="5" t="n">
        <v>0.0647639956092206</v>
      </c>
      <c r="E12" s="5" t="n">
        <v>0.358888888888889</v>
      </c>
      <c r="F12" s="5" t="n">
        <v>0.210933186085036</v>
      </c>
      <c r="G12" s="0"/>
      <c r="H12" s="0"/>
      <c r="I12" s="0"/>
      <c r="Y12" s="1"/>
      <c r="Z12" s="1"/>
      <c r="AA12" s="1"/>
      <c r="AB12" s="1"/>
      <c r="AC12" s="1"/>
    </row>
    <row r="13" customFormat="false" ht="12.8" hidden="false" customHeight="false" outlineLevel="0" collapsed="false">
      <c r="A13" s="1" t="s">
        <v>88</v>
      </c>
      <c r="B13" s="5" t="n">
        <v>0.997354497354497</v>
      </c>
      <c r="C13" s="5" t="n">
        <v>0.798611111111111</v>
      </c>
      <c r="D13" s="5" t="n">
        <v>0.00264550264550265</v>
      </c>
      <c r="E13" s="5" t="n">
        <v>0.201388888888889</v>
      </c>
      <c r="F13" s="5" t="n">
        <v>0.0821428571428571</v>
      </c>
      <c r="G13" s="0"/>
      <c r="H13" s="0"/>
      <c r="I13" s="0"/>
      <c r="Y13" s="1"/>
      <c r="Z13" s="1"/>
      <c r="AA13" s="1"/>
      <c r="AB13" s="1"/>
      <c r="AC13" s="1"/>
    </row>
    <row r="14" customFormat="false" ht="12.8" hidden="false" customHeight="false" outlineLevel="0" collapsed="false">
      <c r="B14" s="1"/>
      <c r="E14" s="5"/>
      <c r="Y14" s="1"/>
      <c r="Z14" s="1"/>
      <c r="AA14" s="1"/>
      <c r="AB14" s="1"/>
      <c r="AC14" s="1"/>
    </row>
    <row r="15" customFormat="false" ht="23.7" hidden="false" customHeight="false" outlineLevel="0" collapsed="false">
      <c r="B15" s="4" t="s">
        <v>123</v>
      </c>
      <c r="C15" s="4" t="s">
        <v>124</v>
      </c>
      <c r="D15" s="4" t="s">
        <v>125</v>
      </c>
      <c r="Y15" s="1"/>
      <c r="Z15" s="1"/>
      <c r="AA15" s="1"/>
      <c r="AB15" s="1"/>
      <c r="AC15" s="1"/>
    </row>
    <row r="16" customFormat="false" ht="12.8" hidden="false" customHeight="false" outlineLevel="0" collapsed="false">
      <c r="A16" s="1" t="s">
        <v>39</v>
      </c>
      <c r="B16" s="5" t="n">
        <v>0.00795107033639144</v>
      </c>
      <c r="C16" s="5" t="n">
        <v>0.0103092783505155</v>
      </c>
      <c r="D16" s="5" t="n">
        <v>0.236697247706422</v>
      </c>
      <c r="Y16" s="1"/>
      <c r="Z16" s="1"/>
      <c r="AA16" s="1"/>
      <c r="AB16" s="1"/>
      <c r="AC16" s="1"/>
    </row>
    <row r="17" customFormat="false" ht="12.8" hidden="false" customHeight="false" outlineLevel="0" collapsed="false">
      <c r="A17" s="3" t="s">
        <v>64</v>
      </c>
      <c r="B17" s="5" t="n">
        <v>0.0119858989424207</v>
      </c>
      <c r="C17" s="5" t="n">
        <v>0.0205479452054795</v>
      </c>
      <c r="D17" s="5" t="n">
        <v>0.428672150411281</v>
      </c>
      <c r="Y17" s="1"/>
      <c r="Z17" s="1"/>
      <c r="AA17" s="1"/>
      <c r="AB17" s="1"/>
      <c r="AC17" s="1"/>
    </row>
    <row r="18" customFormat="false" ht="12.8" hidden="false" customHeight="false" outlineLevel="0" collapsed="false">
      <c r="A18" s="3" t="s">
        <v>72</v>
      </c>
      <c r="B18" s="5" t="n">
        <v>0.00795593635250918</v>
      </c>
      <c r="C18" s="5" t="n">
        <v>0.0103092783505155</v>
      </c>
      <c r="D18" s="5" t="n">
        <v>0.236230110159119</v>
      </c>
      <c r="Y18" s="1"/>
      <c r="Z18" s="1"/>
      <c r="AA18" s="1"/>
      <c r="AB18" s="1"/>
      <c r="AC18" s="1"/>
    </row>
    <row r="19" customFormat="false" ht="12.8" hidden="false" customHeight="false" outlineLevel="0" collapsed="false">
      <c r="A19" s="1" t="s">
        <v>82</v>
      </c>
      <c r="B19" s="5" t="n">
        <v>0.00331308669243512</v>
      </c>
      <c r="C19" s="5" t="n">
        <v>0.00419874037788663</v>
      </c>
      <c r="D19" s="5" t="n">
        <v>0.214246272777471</v>
      </c>
      <c r="Y19" s="1"/>
      <c r="Z19" s="1"/>
      <c r="AA19" s="1"/>
      <c r="AB19" s="1"/>
      <c r="AC19" s="1"/>
    </row>
    <row r="20" customFormat="false" ht="12.8" hidden="false" customHeight="false" outlineLevel="0" collapsed="false">
      <c r="A20" s="1" t="s">
        <v>88</v>
      </c>
      <c r="B20" s="5" t="n">
        <v>0</v>
      </c>
      <c r="C20" s="5" t="n">
        <v>0</v>
      </c>
      <c r="D20" s="5" t="n">
        <v>0.0821428571428572</v>
      </c>
      <c r="Y20" s="1"/>
      <c r="Z20" s="1"/>
      <c r="AA20" s="1"/>
      <c r="AB20" s="1"/>
      <c r="AC20" s="1"/>
    </row>
    <row r="21" customFormat="false" ht="12.8" hidden="false" customHeight="false" outlineLevel="0" collapsed="false">
      <c r="Y21" s="1"/>
      <c r="Z21" s="1"/>
      <c r="AA21" s="1"/>
      <c r="AB21" s="1"/>
      <c r="AC21" s="1"/>
    </row>
    <row r="22" customFormat="false" ht="12.8" hidden="false" customHeight="false" outlineLevel="0" collapsed="false">
      <c r="Y22" s="1"/>
      <c r="Z22" s="1"/>
      <c r="AA22" s="1"/>
      <c r="AB22" s="1"/>
      <c r="AC22" s="1"/>
    </row>
    <row r="25" customFormat="false" ht="12.8" hidden="false" customHeight="false" outlineLevel="0" collapsed="false">
      <c r="Y25" s="1"/>
      <c r="Z25" s="1"/>
      <c r="AA25" s="1"/>
      <c r="AB25" s="1"/>
      <c r="AC25" s="1"/>
    </row>
    <row r="26" customFormat="false" ht="12.8" hidden="false" customHeight="false" outlineLevel="0" collapsed="false">
      <c r="Y26" s="1"/>
      <c r="Z26" s="1"/>
      <c r="AA26" s="1"/>
      <c r="AB26" s="1"/>
      <c r="AC26"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1096</TotalTime>
  <Application>LibreOffice/7.5.4.2$Linux_X86_64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2023-06-27T16:22:36Z</dcterms:created>
  <dc:creator/>
  <dc:description/>
  <dc:language>en-US</dc:language>
  <cp:lastModifiedBy/>
  <dcterms:modified xsi:type="dcterms:W3CDTF">2023-06-29T22:51:14Z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