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<sst xmlns="http://schemas.openxmlformats.org/spreadsheetml/2006/main" count="53" uniqueCount="31">
  <si>
    <t>Overall Cville Data</t>
  </si>
  <si>
    <t>Red Cross Current</t>
  </si>
  <si>
    <t>Add High Schools</t>
  </si>
  <si>
    <t>White</t>
  </si>
  <si>
    <t>Black</t>
  </si>
  <si>
    <t>Asian</t>
  </si>
  <si>
    <t>Hispanic</t>
  </si>
  <si>
    <t>Other</t>
  </si>
  <si>
    <t>Multiple Races</t>
  </si>
  <si>
    <t>Overall Area Demographics</t>
  </si>
  <si>
    <t>County</t>
  </si>
  <si>
    <t>Number People</t>
  </si>
  <si>
    <t>Albemarle County</t>
  </si>
  <si>
    <t>Fluvanna County</t>
  </si>
  <si>
    <t>Charlottesville City</t>
  </si>
  <si>
    <t>Buckingham County</t>
  </si>
  <si>
    <t>Nelson County</t>
  </si>
  <si>
    <t>Waynesboro City</t>
  </si>
  <si>
    <t>Staunton City</t>
  </si>
  <si>
    <t>Augusta County</t>
  </si>
  <si>
    <t>Highland County</t>
  </si>
  <si>
    <t>Bath County</t>
  </si>
  <si>
    <t>Harrisonburg City</t>
  </si>
  <si>
    <t>Rockingham County</t>
  </si>
  <si>
    <t>Orange County</t>
  </si>
  <si>
    <t>Greene County</t>
  </si>
  <si>
    <t>Madison County</t>
  </si>
  <si>
    <t>Culpeper County</t>
  </si>
  <si>
    <t>Rappahannock County</t>
  </si>
  <si>
    <t>Fauquier County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</si>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</sst>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Charlottesville Demographics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Sheet1!$A$2:$A$5</c:f>
            </c:strRef>
          </c:cat>
          <c:val>
            <c:numRef>
              <c:f>Sheet1!$B$2:$B$5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Red Cross Current Demographics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Sheet1!$D$2:$D$7</c:f>
            </c:strRef>
          </c:cat>
          <c:val>
            <c:numRef>
              <c:f>Sheet1!$E$2:$E$7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Predicted Demographics with Red Cross Clubs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Sheet1!$G$2:$G$7</c:f>
            </c:strRef>
          </c:cat>
          <c:val>
            <c:numRef>
              <c:f>Sheet1!$H$2:$H$7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Central Virginia Chapter Demographics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Sheet2!$J$3:$J$8</c:f>
            </c:strRef>
          </c:cat>
          <c:val>
            <c:numRef>
              <c:f>Sheet2!$K$3:$K$8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47625</xdr:rowOff>
    </xdr:from>
    <xdr:ext cx="3381375" cy="21336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752475</xdr:colOff>
      <xdr:row>9</xdr:row>
      <xdr:rowOff>171450</xdr:rowOff>
    </xdr:from>
    <xdr:ext cx="3457575" cy="21336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7</xdr:col>
      <xdr:colOff>723900</xdr:colOff>
      <xdr:row>7</xdr:row>
      <xdr:rowOff>76200</xdr:rowOff>
    </xdr:from>
    <xdr:ext cx="4305300" cy="27051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581025</xdr:colOff>
      <xdr:row>13</xdr:row>
      <xdr:rowOff>104775</xdr:rowOff>
    </xdr:from>
    <xdr:ext cx="2981325" cy="183832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D1" s="1" t="s">
        <v>1</v>
      </c>
      <c r="G1" s="1" t="s">
        <v>2</v>
      </c>
    </row>
    <row r="2">
      <c r="A2" s="1" t="s">
        <v>3</v>
      </c>
      <c r="B2" s="1">
        <v>69.1</v>
      </c>
      <c r="D2" s="1" t="s">
        <v>3</v>
      </c>
      <c r="E2" s="1">
        <v>110.0</v>
      </c>
      <c r="G2" s="1" t="s">
        <v>3</v>
      </c>
      <c r="H2" s="1">
        <v>147.0</v>
      </c>
    </row>
    <row r="3">
      <c r="A3" s="1" t="s">
        <v>4</v>
      </c>
      <c r="B3" s="1">
        <v>19.4</v>
      </c>
      <c r="D3" s="1" t="s">
        <v>5</v>
      </c>
      <c r="E3" s="1">
        <v>15.0</v>
      </c>
      <c r="G3" s="1" t="s">
        <v>5</v>
      </c>
      <c r="H3" s="1">
        <v>19.0</v>
      </c>
    </row>
    <row r="4">
      <c r="A4" s="1" t="s">
        <v>5</v>
      </c>
      <c r="B4" s="1">
        <v>6.4</v>
      </c>
      <c r="D4" s="1" t="s">
        <v>4</v>
      </c>
      <c r="E4" s="1">
        <v>11.0</v>
      </c>
      <c r="G4" s="1" t="s">
        <v>4</v>
      </c>
      <c r="H4" s="1">
        <v>23.0</v>
      </c>
    </row>
    <row r="5">
      <c r="A5" s="1" t="s">
        <v>6</v>
      </c>
      <c r="B5" s="1">
        <v>5.1</v>
      </c>
      <c r="D5" s="1" t="s">
        <v>7</v>
      </c>
      <c r="E5" s="1">
        <v>3.0</v>
      </c>
      <c r="G5" s="1" t="s">
        <v>7</v>
      </c>
      <c r="H5" s="1">
        <v>3.0</v>
      </c>
    </row>
    <row r="6">
      <c r="D6" s="1" t="s">
        <v>8</v>
      </c>
      <c r="E6" s="1">
        <v>10.0</v>
      </c>
      <c r="G6" s="1" t="s">
        <v>8</v>
      </c>
      <c r="H6" s="1">
        <v>14.0</v>
      </c>
    </row>
    <row r="7">
      <c r="D7" s="1" t="s">
        <v>6</v>
      </c>
      <c r="E7" s="1">
        <v>9.0</v>
      </c>
      <c r="G7" s="1" t="s">
        <v>6</v>
      </c>
      <c r="H7" s="1">
        <v>29.0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</cols>
  <sheetData>
    <row r="1">
      <c r="A1" s="1" t="s">
        <v>9</v>
      </c>
    </row>
    <row r="2">
      <c r="A2" s="1" t="s">
        <v>10</v>
      </c>
      <c r="B2" s="1" t="s">
        <v>11</v>
      </c>
      <c r="C2" s="1" t="s">
        <v>3</v>
      </c>
      <c r="D2" s="1" t="s">
        <v>4</v>
      </c>
      <c r="E2" s="1" t="s">
        <v>7</v>
      </c>
      <c r="F2" s="1" t="s">
        <v>5</v>
      </c>
      <c r="G2" s="1" t="s">
        <v>8</v>
      </c>
      <c r="H2" s="1" t="s">
        <v>6</v>
      </c>
    </row>
    <row r="3">
      <c r="A3" s="1" t="s">
        <v>12</v>
      </c>
      <c r="B3" s="1">
        <v>109330.0</v>
      </c>
      <c r="C3" s="2">
        <f>B3*0.769</f>
        <v>84074.77</v>
      </c>
      <c r="D3" s="2">
        <f>B3*0.097</f>
        <v>10605.01</v>
      </c>
      <c r="E3" s="2">
        <f>B3*0.005</f>
        <v>546.65</v>
      </c>
      <c r="F3" s="2">
        <f>B3*0.055</f>
        <v>6013.15</v>
      </c>
      <c r="G3" s="2">
        <f t="shared" ref="G3:G4" si="1">B3*0.026</f>
        <v>2842.58</v>
      </c>
      <c r="H3" s="2">
        <f>B3*0.058</f>
        <v>6341.14</v>
      </c>
      <c r="J3" s="1" t="s">
        <v>3</v>
      </c>
      <c r="K3" s="2">
        <f>C21</f>
        <v>507161.2476</v>
      </c>
    </row>
    <row r="4">
      <c r="A4" s="1" t="s">
        <v>13</v>
      </c>
      <c r="B4" s="1">
        <v>27270.0</v>
      </c>
      <c r="C4" s="2">
        <f>B4*0.776</f>
        <v>21161.52</v>
      </c>
      <c r="D4" s="2">
        <f>B4*0.153</f>
        <v>4172.31</v>
      </c>
      <c r="E4" s="2">
        <f>B4*0.05</f>
        <v>1363.5</v>
      </c>
      <c r="F4" s="2">
        <f>B4*0.009</f>
        <v>245.43</v>
      </c>
      <c r="G4" s="2">
        <f t="shared" si="1"/>
        <v>709.02</v>
      </c>
      <c r="H4" s="2">
        <f>B4*0.038</f>
        <v>1036.26</v>
      </c>
      <c r="J4" s="1" t="s">
        <v>4</v>
      </c>
      <c r="K4" s="2">
        <f>D21</f>
        <v>72089.737</v>
      </c>
    </row>
    <row r="5">
      <c r="A5" s="1" t="s">
        <v>14</v>
      </c>
      <c r="B5" s="1">
        <v>47266.0</v>
      </c>
      <c r="C5" s="2">
        <f>B5*0.657</f>
        <v>31053.762</v>
      </c>
      <c r="D5" s="2">
        <f>B5*0.188</f>
        <v>8886.008</v>
      </c>
      <c r="E5" s="2">
        <f>B5*0.003</f>
        <v>141.798</v>
      </c>
      <c r="F5" s="2">
        <f>B5*0.071</f>
        <v>3355.886</v>
      </c>
      <c r="G5" s="2">
        <f>B5*0.029</f>
        <v>1370.714</v>
      </c>
      <c r="H5" s="2">
        <f>B5*0.055</f>
        <v>2599.63</v>
      </c>
      <c r="J5" s="1" t="s">
        <v>7</v>
      </c>
      <c r="K5" s="2">
        <f>E21</f>
        <v>4218.806</v>
      </c>
    </row>
    <row r="6">
      <c r="A6" s="1" t="s">
        <v>15</v>
      </c>
      <c r="B6" s="1">
        <v>17148.0</v>
      </c>
      <c r="C6" s="2">
        <f>B6*0.613</f>
        <v>10511.724</v>
      </c>
      <c r="D6" s="2">
        <f>B6*0.337</f>
        <v>5778.876</v>
      </c>
      <c r="E6" s="2">
        <f>B6*0.004</f>
        <v>68.592</v>
      </c>
      <c r="F6" s="2">
        <f>B6*0.004</f>
        <v>68.592</v>
      </c>
      <c r="G6" s="2">
        <f>B6*0.021</f>
        <v>360.108</v>
      </c>
      <c r="H6" s="2">
        <f>B6*0.024</f>
        <v>411.552</v>
      </c>
      <c r="J6" s="1" t="s">
        <v>5</v>
      </c>
      <c r="K6" s="2">
        <f>F21</f>
        <v>16837.069</v>
      </c>
    </row>
    <row r="7">
      <c r="A7" s="1" t="s">
        <v>16</v>
      </c>
      <c r="B7" s="1">
        <v>14930.0</v>
      </c>
      <c r="C7" s="2">
        <f>B7*0.816</f>
        <v>12182.88</v>
      </c>
      <c r="D7" s="2">
        <f>B7*0.114</f>
        <v>1702.02</v>
      </c>
      <c r="E7" s="2">
        <f>B7*0.006</f>
        <v>89.58</v>
      </c>
      <c r="F7" s="2">
        <f>B7*0.008</f>
        <v>119.44</v>
      </c>
      <c r="G7" s="2">
        <f>B7*0.023</f>
        <v>343.39</v>
      </c>
      <c r="H7" s="2">
        <f>B7*0.043</f>
        <v>641.99</v>
      </c>
      <c r="J7" s="1" t="s">
        <v>8</v>
      </c>
      <c r="K7" s="2">
        <f>G21</f>
        <v>18391.769</v>
      </c>
    </row>
    <row r="8">
      <c r="A8" s="1" t="s">
        <v>17</v>
      </c>
      <c r="B8" s="1">
        <v>22630.0</v>
      </c>
      <c r="C8" s="2">
        <f>B8*0.751</f>
        <v>16995.13</v>
      </c>
      <c r="D8" s="2">
        <f>B8*0.142</f>
        <v>3213.46</v>
      </c>
      <c r="E8" s="2">
        <f>B8*0.008</f>
        <v>181.04</v>
      </c>
      <c r="F8" s="2">
        <f>B8*0.011</f>
        <v>248.93</v>
      </c>
      <c r="G8" s="2">
        <f>B8*0.021</f>
        <v>475.23</v>
      </c>
      <c r="H8" s="2">
        <f>B8*0.081</f>
        <v>1833.03</v>
      </c>
      <c r="J8" s="1" t="s">
        <v>6</v>
      </c>
      <c r="K8" s="2">
        <f>H21</f>
        <v>47128.684</v>
      </c>
    </row>
    <row r="9">
      <c r="A9" s="1" t="s">
        <v>18</v>
      </c>
      <c r="B9" s="1">
        <v>24932.0</v>
      </c>
      <c r="C9" s="2">
        <f>B9*0.811</f>
        <v>20219.852</v>
      </c>
      <c r="D9" s="2">
        <f>B9*0.113</f>
        <v>2817.316</v>
      </c>
      <c r="E9" s="2">
        <f>B9*0.004</f>
        <v>99.728</v>
      </c>
      <c r="F9" s="2">
        <f>B9*0.014</f>
        <v>349.048</v>
      </c>
      <c r="G9" s="2">
        <f>B9*0.032</f>
        <v>797.824</v>
      </c>
      <c r="H9" s="2">
        <f t="shared" ref="H9:H10" si="2">B9*0.031</f>
        <v>772.892</v>
      </c>
    </row>
    <row r="10">
      <c r="A10" s="1" t="s">
        <v>19</v>
      </c>
      <c r="B10" s="1">
        <v>75558.0</v>
      </c>
      <c r="C10" s="2">
        <f>B10*0.902</f>
        <v>68153.316</v>
      </c>
      <c r="D10" s="2">
        <f>B10*0.047</f>
        <v>3551.226</v>
      </c>
      <c r="E10" s="2">
        <f t="shared" ref="E10:E11" si="3">B10*0.003</f>
        <v>226.674</v>
      </c>
      <c r="F10" s="2">
        <f t="shared" ref="F10:F11" si="4">B10*0.006</f>
        <v>453.348</v>
      </c>
      <c r="G10" s="2">
        <f>B10*0.016</f>
        <v>1208.928</v>
      </c>
      <c r="H10" s="2">
        <f t="shared" si="2"/>
        <v>2342.298</v>
      </c>
    </row>
    <row r="11">
      <c r="A11" s="1" t="s">
        <v>20</v>
      </c>
      <c r="B11" s="1">
        <v>2190.0</v>
      </c>
      <c r="C11" s="2">
        <f>B11*0.967</f>
        <v>2117.73</v>
      </c>
      <c r="D11" s="2">
        <f>B11*0.011</f>
        <v>24.09</v>
      </c>
      <c r="E11" s="2">
        <f t="shared" si="3"/>
        <v>6.57</v>
      </c>
      <c r="F11" s="2">
        <f t="shared" si="4"/>
        <v>13.14</v>
      </c>
      <c r="G11" s="2">
        <f>B11*0.003</f>
        <v>6.57</v>
      </c>
      <c r="H11" s="2">
        <f>B11*0.011</f>
        <v>24.09</v>
      </c>
    </row>
    <row r="12">
      <c r="A12" s="1" t="s">
        <v>21</v>
      </c>
      <c r="B12" s="1">
        <v>4147.0</v>
      </c>
      <c r="C12" s="2">
        <f>B12*0.911</f>
        <v>3777.917</v>
      </c>
      <c r="D12" s="2">
        <f>B12*0.048</f>
        <v>199.056</v>
      </c>
      <c r="E12" s="2">
        <f>B12*0.002</f>
        <v>8.294</v>
      </c>
      <c r="F12" s="2">
        <f>B12*0.005</f>
        <v>20.735</v>
      </c>
      <c r="G12" s="2">
        <f>B12*0.015</f>
        <v>62.205</v>
      </c>
      <c r="H12" s="2">
        <f>B12*0.022</f>
        <v>91.234</v>
      </c>
    </row>
    <row r="13">
      <c r="A13" s="1" t="s">
        <v>22</v>
      </c>
      <c r="B13" s="1">
        <v>53016.0</v>
      </c>
      <c r="C13" s="2">
        <f>B13*0.661</f>
        <v>35043.576</v>
      </c>
      <c r="D13" s="2">
        <f t="shared" ref="D13:D14" si="5">B13*0.074</f>
        <v>3923.184</v>
      </c>
      <c r="E13" s="2">
        <f t="shared" ref="E13:E14" si="6">B13*0.001</f>
        <v>53.016</v>
      </c>
      <c r="F13" s="2">
        <f>B13*0.039</f>
        <v>2067.624</v>
      </c>
      <c r="G13" s="2">
        <f>B13*0.067</f>
        <v>3552.072</v>
      </c>
      <c r="H13" s="2">
        <f>B13*0.197</f>
        <v>10444.152</v>
      </c>
    </row>
    <row r="14">
      <c r="A14" s="1" t="s">
        <v>23</v>
      </c>
      <c r="B14" s="1">
        <v>81948.0</v>
      </c>
      <c r="C14" s="2">
        <f>B14*0.879</f>
        <v>72032.292</v>
      </c>
      <c r="D14" s="2">
        <f t="shared" si="5"/>
        <v>6064.152</v>
      </c>
      <c r="E14" s="2">
        <f t="shared" si="6"/>
        <v>81.948</v>
      </c>
      <c r="F14" s="2">
        <f>B14*0.01</f>
        <v>819.48</v>
      </c>
      <c r="G14" s="2">
        <f>B13*0.016</f>
        <v>848.256</v>
      </c>
      <c r="H14" s="2">
        <f>B13*0.074</f>
        <v>3923.184</v>
      </c>
    </row>
    <row r="15">
      <c r="A15" s="1" t="s">
        <v>24</v>
      </c>
      <c r="B15" s="1">
        <v>37051.0</v>
      </c>
      <c r="C15" s="2">
        <f>B15*0.0776</f>
        <v>2875.1576</v>
      </c>
      <c r="D15" s="2">
        <f>B15*0.133</f>
        <v>4927.783</v>
      </c>
      <c r="E15" s="2">
        <f>B15*0.006</f>
        <v>222.306</v>
      </c>
      <c r="F15" s="2">
        <f>B15*0.011</f>
        <v>407.561</v>
      </c>
      <c r="G15" s="2">
        <f>B15*0.028</f>
        <v>1037.428</v>
      </c>
      <c r="H15" s="2">
        <f>B15*0.056</f>
        <v>2074.856</v>
      </c>
    </row>
    <row r="16">
      <c r="A16" s="1" t="s">
        <v>25</v>
      </c>
      <c r="B16" s="1">
        <v>19819.0</v>
      </c>
      <c r="C16" s="2">
        <f>B16*0.822</f>
        <v>16291.218</v>
      </c>
      <c r="D16" s="2">
        <f>B16*0.073</f>
        <v>1446.787</v>
      </c>
      <c r="E16" s="2">
        <f>B16*0.005</f>
        <v>99.095</v>
      </c>
      <c r="F16" s="2">
        <f>B16*0.02</f>
        <v>396.38</v>
      </c>
      <c r="G16" s="2">
        <f>B16*0.026</f>
        <v>515.294</v>
      </c>
      <c r="H16" s="2">
        <f>B16*0.06</f>
        <v>1189.14</v>
      </c>
    </row>
    <row r="17">
      <c r="A17" s="1" t="s">
        <v>26</v>
      </c>
      <c r="B17" s="1">
        <v>13261.0</v>
      </c>
      <c r="C17" s="2">
        <f>B17*0.843</f>
        <v>11179.023</v>
      </c>
      <c r="D17" s="2">
        <f>B17*0.093</f>
        <v>1233.273</v>
      </c>
      <c r="E17" s="2">
        <f>B17*0.003</f>
        <v>39.783</v>
      </c>
      <c r="F17" s="2">
        <f>B17*0.006</f>
        <v>79.566</v>
      </c>
      <c r="G17" s="2">
        <f>B17*0.029</f>
        <v>384.569</v>
      </c>
      <c r="H17" s="2">
        <f>B17*0.032</f>
        <v>424.352</v>
      </c>
    </row>
    <row r="18">
      <c r="A18" s="1" t="s">
        <v>27</v>
      </c>
      <c r="B18" s="1">
        <v>52605.0</v>
      </c>
      <c r="C18" s="2">
        <f>B18*0.698</f>
        <v>36718.29</v>
      </c>
      <c r="D18" s="2">
        <f>B18*0.146</f>
        <v>7680.33</v>
      </c>
      <c r="E18" s="2">
        <f>B18*0.01</f>
        <v>526.05</v>
      </c>
      <c r="F18" s="2">
        <f>B18*0.017</f>
        <v>894.285</v>
      </c>
      <c r="G18" s="2">
        <f>B18*0.033</f>
        <v>1735.965</v>
      </c>
      <c r="H18" s="2">
        <f>B18*0.116</f>
        <v>6102.18</v>
      </c>
    </row>
    <row r="19">
      <c r="A19" s="1" t="s">
        <v>28</v>
      </c>
      <c r="B19" s="1">
        <v>7370.0</v>
      </c>
      <c r="C19" s="2">
        <f>B19*0.883</f>
        <v>6507.71</v>
      </c>
      <c r="D19" s="2">
        <f>B19*0.042</f>
        <v>309.54</v>
      </c>
      <c r="E19" s="2">
        <f>B19*0.005</f>
        <v>36.85</v>
      </c>
      <c r="F19" s="2">
        <f>B19*0.01</f>
        <v>73.7</v>
      </c>
      <c r="G19" s="2">
        <f>B19*0.02</f>
        <v>147.4</v>
      </c>
      <c r="H19" s="2">
        <f>B19*0.044</f>
        <v>324.28</v>
      </c>
    </row>
    <row r="20">
      <c r="A20" s="1" t="s">
        <v>29</v>
      </c>
      <c r="B20" s="1">
        <v>71222.0</v>
      </c>
      <c r="C20" s="2">
        <f>B20*0.79</f>
        <v>56265.38</v>
      </c>
      <c r="D20" s="2">
        <f>B20*0.078</f>
        <v>5555.316</v>
      </c>
      <c r="E20" s="2">
        <f>B20*0.006</f>
        <v>427.332</v>
      </c>
      <c r="F20" s="2">
        <f>B20*0.017</f>
        <v>1210.774</v>
      </c>
      <c r="G20" s="2">
        <f>B20*0.028</f>
        <v>1994.216</v>
      </c>
      <c r="H20" s="2">
        <f>B20*0.092</f>
        <v>6552.424</v>
      </c>
    </row>
    <row r="21">
      <c r="A21" s="1" t="s">
        <v>30</v>
      </c>
      <c r="B21" s="2">
        <f t="shared" ref="B21:H21" si="7">SUM(B3:B20)</f>
        <v>681693</v>
      </c>
      <c r="C21" s="2">
        <f t="shared" si="7"/>
        <v>507161.2476</v>
      </c>
      <c r="D21" s="2">
        <f t="shared" si="7"/>
        <v>72089.737</v>
      </c>
      <c r="E21" s="2">
        <f t="shared" si="7"/>
        <v>4218.806</v>
      </c>
      <c r="F21" s="2">
        <f t="shared" si="7"/>
        <v>16837.069</v>
      </c>
      <c r="G21" s="2">
        <f t="shared" si="7"/>
        <v>18391.769</v>
      </c>
      <c r="H21" s="2">
        <f t="shared" si="7"/>
        <v>47128.684</v>
      </c>
    </row>
  </sheetData>
  <drawing r:id="rId1"/>
</worksheet>
</file>